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activeTab="10"/>
  </bookViews>
  <sheets>
    <sheet name="INVENTARIO" sheetId="1" r:id="rId1"/>
    <sheet name="Hoja1" sheetId="18" r:id="rId2"/>
    <sheet name="benito" sheetId="9" state="hidden" r:id="rId3"/>
    <sheet name="DETALLE DE VENTAS" sheetId="3" state="hidden" r:id="rId4"/>
    <sheet name="DETALLE DE VENTAS 20-05 - 30-06" sheetId="6" state="hidden" r:id="rId5"/>
    <sheet name="MAPEI SUGERIDO" sheetId="7" state="hidden" r:id="rId6"/>
    <sheet name="RESUMEN 01-08 - 31-08" sheetId="10" state="hidden" r:id="rId7"/>
    <sheet name="DETALLE DE VENTAS - OTRO" sheetId="12" state="hidden" r:id="rId8"/>
    <sheet name="RESUMEN 01-09 - 30-09" sheetId="13" state="hidden" r:id="rId9"/>
    <sheet name="RESUMEN 01-10 - 31-10" sheetId="16" state="hidden" r:id="rId10"/>
    <sheet name="INGRESO DIARIO" sheetId="8" r:id="rId11"/>
    <sheet name="CREDITOS" sheetId="11" r:id="rId12"/>
    <sheet name="DETALLE DE CREDITOS" sheetId="17" r:id="rId13"/>
    <sheet name="RIFA" sheetId="15" state="hidden" r:id="rId14"/>
    <sheet name="AVANCE DE INVENTARIO OCTUBRE" sheetId="14" state="hidden" r:id="rId15"/>
    <sheet name="RESUMEN 30-06" sheetId="5" state="hidden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4" i="8" l="1"/>
  <c r="D13" i="11" l="1"/>
  <c r="H302" i="17"/>
  <c r="H301" i="17"/>
  <c r="H300" i="17"/>
  <c r="H299" i="17"/>
  <c r="H298" i="17"/>
  <c r="H297" i="17"/>
  <c r="H296" i="17"/>
  <c r="H295" i="17"/>
  <c r="H294" i="17"/>
  <c r="H293" i="17"/>
  <c r="H303" i="17" l="1"/>
  <c r="C13" i="11" s="1"/>
  <c r="E13" i="11" s="1"/>
  <c r="H95" i="17"/>
  <c r="H94" i="17"/>
  <c r="H93" i="17"/>
  <c r="H92" i="17"/>
  <c r="H91" i="17"/>
  <c r="H90" i="17"/>
  <c r="H89" i="17"/>
  <c r="H88" i="17"/>
  <c r="H87" i="17"/>
  <c r="H86" i="17"/>
  <c r="H96" i="17" l="1"/>
  <c r="D12" i="11"/>
  <c r="G13" i="18" l="1"/>
  <c r="H13" i="18" s="1"/>
  <c r="J13" i="18"/>
  <c r="H287" i="17" l="1"/>
  <c r="H286" i="17"/>
  <c r="H285" i="17"/>
  <c r="H284" i="17"/>
  <c r="H283" i="17"/>
  <c r="H282" i="17"/>
  <c r="H281" i="17"/>
  <c r="H280" i="17"/>
  <c r="H279" i="17"/>
  <c r="H278" i="17"/>
  <c r="H288" i="17" l="1"/>
  <c r="C12" i="11" s="1"/>
  <c r="E12" i="11" s="1"/>
  <c r="H271" i="17"/>
  <c r="H270" i="17"/>
  <c r="H269" i="17"/>
  <c r="H268" i="17"/>
  <c r="H267" i="17"/>
  <c r="H266" i="17"/>
  <c r="H265" i="17"/>
  <c r="H264" i="17"/>
  <c r="H263" i="17"/>
  <c r="H262" i="17"/>
  <c r="H272" i="17" l="1"/>
  <c r="C11" i="11" s="1"/>
  <c r="E11" i="11" s="1"/>
  <c r="G29" i="18"/>
  <c r="H29" i="18" s="1"/>
  <c r="G30" i="18"/>
  <c r="H30" i="18" s="1"/>
  <c r="G31" i="18"/>
  <c r="H31" i="18" s="1"/>
  <c r="G32" i="18"/>
  <c r="H32" i="18" s="1"/>
  <c r="G33" i="18"/>
  <c r="H33" i="18" s="1"/>
  <c r="G34" i="18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3" i="18"/>
  <c r="H43" i="18" s="1"/>
  <c r="G44" i="18"/>
  <c r="H44" i="18" s="1"/>
  <c r="G45" i="18"/>
  <c r="H45" i="18" s="1"/>
  <c r="G47" i="18"/>
  <c r="H47" i="18" s="1"/>
  <c r="G48" i="18"/>
  <c r="H48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7" i="18"/>
  <c r="H57" i="18" s="1"/>
  <c r="G58" i="18"/>
  <c r="H58" i="18" s="1"/>
  <c r="G59" i="18"/>
  <c r="H59" i="18" s="1"/>
  <c r="G60" i="18"/>
  <c r="H60" i="18" s="1"/>
  <c r="G61" i="18"/>
  <c r="H61" i="18" s="1"/>
  <c r="G28" i="18"/>
  <c r="H28" i="18" s="1"/>
  <c r="J29" i="18"/>
  <c r="J30" i="18"/>
  <c r="J31" i="18"/>
  <c r="J32" i="18"/>
  <c r="J33" i="18"/>
  <c r="J34" i="18"/>
  <c r="J35" i="18"/>
  <c r="J36" i="18"/>
  <c r="J37" i="18"/>
  <c r="J38" i="18"/>
  <c r="J39" i="18"/>
  <c r="J40" i="18"/>
  <c r="J41" i="18"/>
  <c r="J42" i="18"/>
  <c r="J43" i="18"/>
  <c r="J44" i="18"/>
  <c r="J45" i="18"/>
  <c r="J47" i="18"/>
  <c r="J48" i="18"/>
  <c r="J49" i="18"/>
  <c r="J50" i="18"/>
  <c r="J51" i="18"/>
  <c r="J52" i="18"/>
  <c r="J53" i="18"/>
  <c r="J54" i="18"/>
  <c r="J55" i="18"/>
  <c r="J57" i="18"/>
  <c r="J58" i="18"/>
  <c r="J59" i="18"/>
  <c r="J60" i="18"/>
  <c r="J61" i="18"/>
  <c r="J28" i="18"/>
  <c r="G4" i="18"/>
  <c r="H4" i="18" s="1"/>
  <c r="G5" i="18"/>
  <c r="H5" i="18" s="1"/>
  <c r="G6" i="18"/>
  <c r="H6" i="18" s="1"/>
  <c r="G7" i="18"/>
  <c r="H7" i="18" s="1"/>
  <c r="G8" i="18"/>
  <c r="H8" i="18" s="1"/>
  <c r="G9" i="18"/>
  <c r="H9" i="18" s="1"/>
  <c r="G10" i="18"/>
  <c r="H10" i="18" s="1"/>
  <c r="G11" i="18"/>
  <c r="H11" i="18" s="1"/>
  <c r="G12" i="18"/>
  <c r="H12" i="18" s="1"/>
  <c r="G14" i="18"/>
  <c r="H14" i="18" s="1"/>
  <c r="G15" i="18"/>
  <c r="H15" i="18" s="1"/>
  <c r="G18" i="18"/>
  <c r="H18" i="18" s="1"/>
  <c r="G19" i="18"/>
  <c r="H19" i="18" s="1"/>
  <c r="G20" i="18"/>
  <c r="H20" i="18" s="1"/>
  <c r="G21" i="18"/>
  <c r="H21" i="18" s="1"/>
  <c r="G22" i="18"/>
  <c r="H22" i="18" s="1"/>
  <c r="G23" i="18"/>
  <c r="H23" i="18" s="1"/>
  <c r="G24" i="18"/>
  <c r="H24" i="18" s="1"/>
  <c r="G25" i="18"/>
  <c r="H25" i="18" s="1"/>
  <c r="G3" i="18"/>
  <c r="H3" i="18" s="1"/>
  <c r="J4" i="18"/>
  <c r="J5" i="18"/>
  <c r="J6" i="18"/>
  <c r="J7" i="18"/>
  <c r="J8" i="18"/>
  <c r="J9" i="18"/>
  <c r="J10" i="18"/>
  <c r="J11" i="18"/>
  <c r="J12" i="18"/>
  <c r="J14" i="18"/>
  <c r="J15" i="18"/>
  <c r="J18" i="18"/>
  <c r="J19" i="18"/>
  <c r="J20" i="18"/>
  <c r="J21" i="18"/>
  <c r="J22" i="18"/>
  <c r="J23" i="18"/>
  <c r="J24" i="18"/>
  <c r="J25" i="18"/>
  <c r="J3" i="18"/>
  <c r="F227" i="16" l="1"/>
  <c r="C228" i="16"/>
  <c r="E227" i="16"/>
  <c r="P146" i="8"/>
  <c r="P147" i="8"/>
  <c r="G145" i="8" l="1"/>
  <c r="G144" i="8"/>
  <c r="C96" i="1"/>
  <c r="D8" i="11" l="1"/>
  <c r="G141" i="8" l="1"/>
  <c r="G139" i="8" l="1"/>
  <c r="G138" i="8" l="1"/>
  <c r="J229" i="3"/>
  <c r="J230" i="3"/>
  <c r="J231" i="3"/>
  <c r="J232" i="3"/>
  <c r="J233" i="3"/>
  <c r="J234" i="3"/>
  <c r="G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D3" i="11"/>
  <c r="G102" i="17"/>
  <c r="H102" i="17" s="1"/>
  <c r="H255" i="17"/>
  <c r="H254" i="17"/>
  <c r="H253" i="17"/>
  <c r="H252" i="17"/>
  <c r="H251" i="17"/>
  <c r="H250" i="17"/>
  <c r="H249" i="17"/>
  <c r="H248" i="17"/>
  <c r="H247" i="17"/>
  <c r="H246" i="17"/>
  <c r="H239" i="17"/>
  <c r="H238" i="17"/>
  <c r="H237" i="17"/>
  <c r="H236" i="17"/>
  <c r="H235" i="17"/>
  <c r="H234" i="17"/>
  <c r="H233" i="17"/>
  <c r="H232" i="17"/>
  <c r="H231" i="17"/>
  <c r="H230" i="17"/>
  <c r="H223" i="17"/>
  <c r="H222" i="17"/>
  <c r="H221" i="17"/>
  <c r="H220" i="17"/>
  <c r="H219" i="17"/>
  <c r="H218" i="17"/>
  <c r="H217" i="17"/>
  <c r="H216" i="17"/>
  <c r="H215" i="17"/>
  <c r="H214" i="17"/>
  <c r="H207" i="17"/>
  <c r="H206" i="17"/>
  <c r="H205" i="17"/>
  <c r="H204" i="17"/>
  <c r="H203" i="17"/>
  <c r="H202" i="17"/>
  <c r="H201" i="17"/>
  <c r="H200" i="17"/>
  <c r="H199" i="17"/>
  <c r="H198" i="17"/>
  <c r="H191" i="17"/>
  <c r="H190" i="17"/>
  <c r="H189" i="17"/>
  <c r="H188" i="17"/>
  <c r="H187" i="17"/>
  <c r="H186" i="17"/>
  <c r="H185" i="17"/>
  <c r="H184" i="17"/>
  <c r="H183" i="17"/>
  <c r="H182" i="17"/>
  <c r="H175" i="17"/>
  <c r="H174" i="17"/>
  <c r="H173" i="17"/>
  <c r="H172" i="17"/>
  <c r="H171" i="17"/>
  <c r="H170" i="17"/>
  <c r="H169" i="17"/>
  <c r="H168" i="17"/>
  <c r="H167" i="17"/>
  <c r="H166" i="17"/>
  <c r="H159" i="17"/>
  <c r="H158" i="17"/>
  <c r="H157" i="17"/>
  <c r="H156" i="17"/>
  <c r="H155" i="17"/>
  <c r="H154" i="17"/>
  <c r="H153" i="17"/>
  <c r="H152" i="17"/>
  <c r="H151" i="17"/>
  <c r="H150" i="17"/>
  <c r="H143" i="17"/>
  <c r="H142" i="17"/>
  <c r="H141" i="17"/>
  <c r="H140" i="17"/>
  <c r="H139" i="17"/>
  <c r="H138" i="17"/>
  <c r="H137" i="17"/>
  <c r="H136" i="17"/>
  <c r="H135" i="17"/>
  <c r="H134" i="17"/>
  <c r="H127" i="17"/>
  <c r="H126" i="17"/>
  <c r="H125" i="17"/>
  <c r="H124" i="17"/>
  <c r="H123" i="17"/>
  <c r="H122" i="17"/>
  <c r="H121" i="17"/>
  <c r="H120" i="17"/>
  <c r="H119" i="17"/>
  <c r="H118" i="17"/>
  <c r="H111" i="17"/>
  <c r="H110" i="17"/>
  <c r="H109" i="17"/>
  <c r="H108" i="17"/>
  <c r="H107" i="17"/>
  <c r="H106" i="17"/>
  <c r="H105" i="17"/>
  <c r="H104" i="17"/>
  <c r="H103" i="17"/>
  <c r="H79" i="17"/>
  <c r="H78" i="17"/>
  <c r="H77" i="17"/>
  <c r="H76" i="17"/>
  <c r="H75" i="17"/>
  <c r="H74" i="17"/>
  <c r="H73" i="17"/>
  <c r="H72" i="17"/>
  <c r="H71" i="17"/>
  <c r="H70" i="17"/>
  <c r="H63" i="17"/>
  <c r="H62" i="17"/>
  <c r="H61" i="17"/>
  <c r="H60" i="17"/>
  <c r="H59" i="17"/>
  <c r="H58" i="17"/>
  <c r="H57" i="17"/>
  <c r="H56" i="17"/>
  <c r="H55" i="17"/>
  <c r="H54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P15" i="17"/>
  <c r="P14" i="17"/>
  <c r="P13" i="17"/>
  <c r="P12" i="17"/>
  <c r="P11" i="17"/>
  <c r="P10" i="17"/>
  <c r="P9" i="17"/>
  <c r="P8" i="17"/>
  <c r="P7" i="17"/>
  <c r="P6" i="17"/>
  <c r="H7" i="17"/>
  <c r="H8" i="17"/>
  <c r="H9" i="17"/>
  <c r="H10" i="17"/>
  <c r="H11" i="17"/>
  <c r="H12" i="17"/>
  <c r="H13" i="17"/>
  <c r="H14" i="17"/>
  <c r="H15" i="17"/>
  <c r="H6" i="17"/>
  <c r="H144" i="17" l="1"/>
  <c r="H224" i="17"/>
  <c r="H112" i="17"/>
  <c r="H16" i="17"/>
  <c r="P16" i="17"/>
  <c r="H32" i="17"/>
  <c r="C9" i="11" s="1"/>
  <c r="E9" i="11" s="1"/>
  <c r="H48" i="17"/>
  <c r="H240" i="17"/>
  <c r="H64" i="17"/>
  <c r="H80" i="17"/>
  <c r="C6" i="11" s="1"/>
  <c r="H176" i="17"/>
  <c r="H208" i="17"/>
  <c r="H256" i="17"/>
  <c r="C10" i="11" s="1"/>
  <c r="E10" i="11" s="1"/>
  <c r="H192" i="17"/>
  <c r="C8" i="11" s="1"/>
  <c r="E8" i="11" s="1"/>
  <c r="H160" i="17"/>
  <c r="H128" i="17"/>
  <c r="N134" i="8"/>
  <c r="N132" i="8"/>
  <c r="G134" i="8"/>
  <c r="C134" i="8"/>
  <c r="K132" i="8"/>
  <c r="M132" i="8"/>
  <c r="J132" i="8"/>
  <c r="C5" i="11" l="1"/>
  <c r="C4" i="11"/>
  <c r="E4" i="11" s="1"/>
  <c r="C3" i="11"/>
  <c r="E6" i="11"/>
  <c r="C7" i="11"/>
  <c r="E7" i="11" s="1"/>
  <c r="M131" i="8"/>
  <c r="K131" i="8"/>
  <c r="N131" i="8"/>
  <c r="J131" i="8"/>
  <c r="C131" i="8"/>
  <c r="K130" i="8" l="1"/>
  <c r="M130" i="8"/>
  <c r="N130" i="8"/>
  <c r="J130" i="8"/>
  <c r="C130" i="8"/>
  <c r="K129" i="8" l="1"/>
  <c r="I129" i="8"/>
  <c r="N129" i="8"/>
  <c r="J129" i="8"/>
  <c r="C129" i="8"/>
  <c r="U58" i="1"/>
  <c r="V58" i="1" s="1"/>
  <c r="U59" i="1"/>
  <c r="V59" i="1" s="1"/>
  <c r="U60" i="1"/>
  <c r="V60" i="1" s="1"/>
  <c r="U61" i="1"/>
  <c r="V61" i="1" s="1"/>
  <c r="U62" i="1"/>
  <c r="V62" i="1" s="1"/>
  <c r="U63" i="1"/>
  <c r="V63" i="1" s="1"/>
  <c r="U64" i="1"/>
  <c r="V64" i="1" s="1"/>
  <c r="U65" i="1"/>
  <c r="V65" i="1" s="1"/>
  <c r="U66" i="1"/>
  <c r="V66" i="1" s="1"/>
  <c r="U67" i="1"/>
  <c r="V67" i="1" s="1"/>
  <c r="U68" i="1"/>
  <c r="V68" i="1" s="1"/>
  <c r="U69" i="1"/>
  <c r="V69" i="1" s="1"/>
  <c r="U70" i="1"/>
  <c r="V70" i="1" s="1"/>
  <c r="U71" i="1"/>
  <c r="V71" i="1" s="1"/>
  <c r="U72" i="1"/>
  <c r="V72" i="1" s="1"/>
  <c r="U73" i="1"/>
  <c r="V73" i="1" s="1"/>
  <c r="U74" i="1"/>
  <c r="V74" i="1" s="1"/>
  <c r="U75" i="1"/>
  <c r="V75" i="1" s="1"/>
  <c r="U76" i="1"/>
  <c r="V76" i="1" s="1"/>
  <c r="U77" i="1"/>
  <c r="V77" i="1" s="1"/>
  <c r="U78" i="1"/>
  <c r="V78" i="1" s="1"/>
  <c r="U79" i="1"/>
  <c r="V79" i="1" s="1"/>
  <c r="U80" i="1"/>
  <c r="V80" i="1" s="1"/>
  <c r="U81" i="1"/>
  <c r="V81" i="1" s="1"/>
  <c r="U82" i="1"/>
  <c r="V82" i="1" s="1"/>
  <c r="U83" i="1"/>
  <c r="U57" i="1"/>
  <c r="V57" i="1" s="1"/>
  <c r="K127" i="8" l="1"/>
  <c r="N127" i="8"/>
  <c r="J127" i="8"/>
  <c r="C127" i="8"/>
  <c r="K126" i="8" l="1"/>
  <c r="M126" i="8"/>
  <c r="N126" i="8"/>
  <c r="O125" i="8" l="1"/>
  <c r="J125" i="8"/>
  <c r="K125" i="8"/>
  <c r="M125" i="8"/>
  <c r="C125" i="8"/>
  <c r="C97" i="1"/>
  <c r="S18" i="1" l="1"/>
  <c r="S14" i="1"/>
  <c r="S17" i="1"/>
  <c r="S16" i="1"/>
  <c r="S19" i="1"/>
  <c r="S15" i="1"/>
  <c r="J90" i="1"/>
  <c r="J89" i="1"/>
  <c r="O124" i="8"/>
  <c r="M124" i="8"/>
  <c r="K124" i="8"/>
  <c r="J124" i="8"/>
  <c r="N124" i="8"/>
  <c r="C124" i="8"/>
  <c r="J113" i="1"/>
  <c r="B24" i="1"/>
  <c r="B20" i="1"/>
  <c r="B61" i="1" l="1"/>
  <c r="B44" i="1"/>
  <c r="B15" i="1"/>
  <c r="B65" i="1"/>
  <c r="J120" i="8" l="1"/>
  <c r="K120" i="8"/>
  <c r="N120" i="8"/>
  <c r="NR102" i="3"/>
  <c r="OC24" i="3"/>
  <c r="NQ102" i="3" l="1"/>
  <c r="N119" i="8"/>
  <c r="NQ101" i="3"/>
  <c r="C119" i="8"/>
  <c r="K119" i="8"/>
  <c r="O119" i="8"/>
  <c r="J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O118" i="8"/>
  <c r="K118" i="8"/>
  <c r="M118" i="8"/>
  <c r="C118" i="8"/>
  <c r="N118" i="8"/>
  <c r="J118" i="8"/>
  <c r="E3" i="1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G117" i="8"/>
  <c r="K116" i="8"/>
  <c r="K117" i="8"/>
  <c r="N117" i="8"/>
  <c r="M117" i="8"/>
  <c r="J117" i="8"/>
  <c r="F175" i="16" l="1"/>
  <c r="F212" i="16"/>
  <c r="D224" i="16" s="1"/>
  <c r="B87" i="16"/>
  <c r="B211" i="16" s="1"/>
  <c r="B88" i="16"/>
  <c r="B174" i="16" s="1"/>
  <c r="B86" i="16"/>
  <c r="B210" i="16" s="1"/>
  <c r="F204" i="16"/>
  <c r="D223" i="16" s="1"/>
  <c r="F198" i="16"/>
  <c r="D222" i="16" s="1"/>
  <c r="D221" i="16"/>
  <c r="F135" i="16"/>
  <c r="D220" i="16" s="1"/>
  <c r="F127" i="16"/>
  <c r="D219" i="16" s="1"/>
  <c r="F116" i="16"/>
  <c r="D218" i="16" s="1"/>
  <c r="B115" i="16"/>
  <c r="B114" i="16"/>
  <c r="B113" i="16"/>
  <c r="B112" i="16"/>
  <c r="B111" i="16"/>
  <c r="B110" i="16"/>
  <c r="B109" i="16"/>
  <c r="B108" i="16"/>
  <c r="B107" i="16"/>
  <c r="B106" i="16"/>
  <c r="B105" i="16"/>
  <c r="B104" i="16"/>
  <c r="B103" i="16"/>
  <c r="B102" i="16"/>
  <c r="B101" i="16"/>
  <c r="B100" i="16"/>
  <c r="B99" i="16"/>
  <c r="B98" i="16"/>
  <c r="B97" i="16"/>
  <c r="B96" i="16"/>
  <c r="B95" i="16"/>
  <c r="B94" i="16"/>
  <c r="B93" i="16"/>
  <c r="B85" i="16"/>
  <c r="B197" i="16" s="1"/>
  <c r="B84" i="16"/>
  <c r="B196" i="16" s="1"/>
  <c r="B83" i="16"/>
  <c r="B195" i="16" s="1"/>
  <c r="B82" i="16"/>
  <c r="B194" i="16" s="1"/>
  <c r="B81" i="16"/>
  <c r="B193" i="16" s="1"/>
  <c r="B80" i="16"/>
  <c r="B192" i="16" s="1"/>
  <c r="B79" i="16"/>
  <c r="B191" i="16" s="1"/>
  <c r="B78" i="16"/>
  <c r="B190" i="16" s="1"/>
  <c r="B77" i="16"/>
  <c r="B189" i="16" s="1"/>
  <c r="B76" i="16"/>
  <c r="B188" i="16" s="1"/>
  <c r="B75" i="16"/>
  <c r="B187" i="16" s="1"/>
  <c r="B74" i="16"/>
  <c r="B186" i="16" s="1"/>
  <c r="B73" i="16"/>
  <c r="B185" i="16" s="1"/>
  <c r="B72" i="16"/>
  <c r="B184" i="16" s="1"/>
  <c r="B71" i="16"/>
  <c r="B173" i="16" s="1"/>
  <c r="B70" i="16"/>
  <c r="B183" i="16" s="1"/>
  <c r="B69" i="16"/>
  <c r="B68" i="16"/>
  <c r="B203" i="16" s="1"/>
  <c r="B67" i="16"/>
  <c r="B182" i="16" s="1"/>
  <c r="B66" i="16"/>
  <c r="B181" i="16" s="1"/>
  <c r="B65" i="16"/>
  <c r="B172" i="16" s="1"/>
  <c r="B64" i="16"/>
  <c r="B171" i="16" s="1"/>
  <c r="B63" i="16"/>
  <c r="B170" i="16" s="1"/>
  <c r="B62" i="16"/>
  <c r="B169" i="16" s="1"/>
  <c r="B61" i="16"/>
  <c r="B168" i="16" s="1"/>
  <c r="B60" i="16"/>
  <c r="B167" i="16" s="1"/>
  <c r="B59" i="16"/>
  <c r="B166" i="16" s="1"/>
  <c r="B58" i="16"/>
  <c r="B165" i="16" s="1"/>
  <c r="B57" i="16"/>
  <c r="B164" i="16" s="1"/>
  <c r="B56" i="16"/>
  <c r="B163" i="16" s="1"/>
  <c r="B55" i="16"/>
  <c r="B162" i="16" s="1"/>
  <c r="B54" i="16"/>
  <c r="B161" i="16" s="1"/>
  <c r="B53" i="16"/>
  <c r="B160" i="16" s="1"/>
  <c r="B52" i="16"/>
  <c r="B159" i="16" s="1"/>
  <c r="B51" i="16"/>
  <c r="B158" i="16" s="1"/>
  <c r="B50" i="16"/>
  <c r="B157" i="16" s="1"/>
  <c r="B49" i="16"/>
  <c r="B156" i="16" s="1"/>
  <c r="B48" i="16"/>
  <c r="B155" i="16" s="1"/>
  <c r="B47" i="16"/>
  <c r="B154" i="16" s="1"/>
  <c r="B46" i="16"/>
  <c r="B153" i="16" s="1"/>
  <c r="B45" i="16"/>
  <c r="B152" i="16" s="1"/>
  <c r="B44" i="16"/>
  <c r="B151" i="16" s="1"/>
  <c r="B43" i="16"/>
  <c r="B150" i="16" s="1"/>
  <c r="B42" i="16"/>
  <c r="B149" i="16" s="1"/>
  <c r="B41" i="16"/>
  <c r="B148" i="16" s="1"/>
  <c r="B40" i="16"/>
  <c r="B147" i="16" s="1"/>
  <c r="B39" i="16"/>
  <c r="B146" i="16" s="1"/>
  <c r="B38" i="16"/>
  <c r="B145" i="16" s="1"/>
  <c r="B37" i="16"/>
  <c r="B144" i="16" s="1"/>
  <c r="B36" i="16"/>
  <c r="B143" i="16" s="1"/>
  <c r="B35" i="16"/>
  <c r="B142" i="16" s="1"/>
  <c r="B34" i="16"/>
  <c r="B141" i="16" s="1"/>
  <c r="B33" i="16"/>
  <c r="B32" i="16"/>
  <c r="B31" i="16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D225" i="16" l="1"/>
  <c r="D227" i="16" s="1"/>
  <c r="N116" i="8"/>
  <c r="M116" i="8"/>
  <c r="J116" i="8"/>
  <c r="O116" i="8"/>
  <c r="H116" i="8"/>
  <c r="I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N115" i="8"/>
  <c r="J115" i="8"/>
  <c r="C115" i="8"/>
  <c r="I115" i="8"/>
  <c r="M115" i="8"/>
  <c r="K115" i="8"/>
  <c r="ND8" i="3"/>
  <c r="NE8" i="3" s="1"/>
  <c r="N113" i="8"/>
  <c r="H113" i="8"/>
  <c r="M113" i="8"/>
  <c r="K113" i="8"/>
  <c r="C113" i="8"/>
  <c r="J113" i="8"/>
  <c r="O113" i="8"/>
  <c r="H112" i="8"/>
  <c r="M112" i="8"/>
  <c r="N112" i="8"/>
  <c r="J112" i="8"/>
  <c r="K112" i="8"/>
  <c r="N111" i="8"/>
  <c r="I111" i="8"/>
  <c r="O111" i="8"/>
  <c r="K111" i="8"/>
  <c r="J111" i="8"/>
  <c r="MT102" i="3"/>
  <c r="MS102" i="3"/>
  <c r="O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K110" i="8"/>
  <c r="N110" i="8"/>
  <c r="J110" i="8"/>
  <c r="J115" i="1"/>
  <c r="C109" i="8"/>
  <c r="M109" i="8"/>
  <c r="K109" i="8"/>
  <c r="O109" i="8"/>
  <c r="N109" i="8"/>
  <c r="J109" i="8"/>
  <c r="J114" i="1"/>
  <c r="J116" i="1" s="1"/>
  <c r="M108" i="8"/>
  <c r="N108" i="8"/>
  <c r="J108" i="8"/>
  <c r="P108" i="8" s="1"/>
  <c r="O108" i="8"/>
  <c r="K108" i="8"/>
  <c r="M106" i="8"/>
  <c r="K106" i="8"/>
  <c r="H106" i="8"/>
  <c r="J106" i="8"/>
  <c r="N106" i="8"/>
  <c r="C106" i="8"/>
  <c r="N105" i="8"/>
  <c r="J105" i="8"/>
  <c r="P105" i="8" s="1"/>
  <c r="J104" i="8"/>
  <c r="P104" i="8" s="1"/>
  <c r="N104" i="8"/>
  <c r="MR101" i="3"/>
  <c r="K103" i="8"/>
  <c r="N103" i="8"/>
  <c r="J103" i="8"/>
  <c r="P103" i="8" s="1"/>
  <c r="P107" i="8"/>
  <c r="P114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J102" i="8"/>
  <c r="M102" i="8"/>
  <c r="K102" i="8"/>
  <c r="N102" i="8"/>
  <c r="G102" i="8"/>
  <c r="N101" i="8"/>
  <c r="O101" i="8"/>
  <c r="G101" i="8"/>
  <c r="I101" i="8"/>
  <c r="J101" i="8"/>
  <c r="K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H99" i="8"/>
  <c r="N99" i="8"/>
  <c r="MD102" i="3"/>
  <c r="K99" i="8"/>
  <c r="M99" i="8"/>
  <c r="J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G98" i="8"/>
  <c r="N84" i="8"/>
  <c r="J84" i="8"/>
  <c r="Z228" i="3"/>
  <c r="AL228" i="3" s="1"/>
  <c r="J98" i="8"/>
  <c r="I98" i="8"/>
  <c r="K98" i="8"/>
  <c r="N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N96" i="8"/>
  <c r="N97" i="8"/>
  <c r="G97" i="8"/>
  <c r="O97" i="8"/>
  <c r="J97" i="8"/>
  <c r="K96" i="8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F107" i="14" s="1"/>
  <c r="B35" i="14"/>
  <c r="F108" i="14" s="1"/>
  <c r="B36" i="14"/>
  <c r="F109" i="14" s="1"/>
  <c r="B37" i="14"/>
  <c r="F110" i="14" s="1"/>
  <c r="B38" i="14"/>
  <c r="F111" i="14" s="1"/>
  <c r="B39" i="14"/>
  <c r="F112" i="14" s="1"/>
  <c r="B40" i="14"/>
  <c r="F113" i="14" s="1"/>
  <c r="B41" i="14"/>
  <c r="F114" i="14" s="1"/>
  <c r="B42" i="14"/>
  <c r="F115" i="14" s="1"/>
  <c r="B43" i="14"/>
  <c r="F116" i="14" s="1"/>
  <c r="B44" i="14"/>
  <c r="F117" i="14" s="1"/>
  <c r="B45" i="14"/>
  <c r="F118" i="14" s="1"/>
  <c r="B46" i="14"/>
  <c r="F119" i="14" s="1"/>
  <c r="B47" i="14"/>
  <c r="F120" i="14" s="1"/>
  <c r="B48" i="14"/>
  <c r="F121" i="14" s="1"/>
  <c r="B49" i="14"/>
  <c r="F122" i="14" s="1"/>
  <c r="B50" i="14"/>
  <c r="F123" i="14" s="1"/>
  <c r="B51" i="14"/>
  <c r="F124" i="14" s="1"/>
  <c r="B52" i="14"/>
  <c r="F125" i="14" s="1"/>
  <c r="B53" i="14"/>
  <c r="F126" i="14" s="1"/>
  <c r="B54" i="14"/>
  <c r="F127" i="14" s="1"/>
  <c r="B55" i="14"/>
  <c r="F128" i="14" s="1"/>
  <c r="B56" i="14"/>
  <c r="F129" i="14" s="1"/>
  <c r="B57" i="14"/>
  <c r="F130" i="14" s="1"/>
  <c r="B58" i="14"/>
  <c r="F131" i="14" s="1"/>
  <c r="B59" i="14"/>
  <c r="F132" i="14" s="1"/>
  <c r="B60" i="14"/>
  <c r="F133" i="14" s="1"/>
  <c r="B61" i="14"/>
  <c r="F134" i="14" s="1"/>
  <c r="B62" i="14"/>
  <c r="F135" i="14" s="1"/>
  <c r="B63" i="14"/>
  <c r="F136" i="14" s="1"/>
  <c r="B64" i="14"/>
  <c r="F137" i="14" s="1"/>
  <c r="B65" i="14"/>
  <c r="F138" i="14" s="1"/>
  <c r="B66" i="14"/>
  <c r="B117" i="14" s="1"/>
  <c r="B67" i="14"/>
  <c r="B118" i="14" s="1"/>
  <c r="B68" i="14"/>
  <c r="B138" i="14" s="1"/>
  <c r="B69" i="14"/>
  <c r="B70" i="14"/>
  <c r="B119" i="14" s="1"/>
  <c r="B71" i="14"/>
  <c r="F139" i="14" s="1"/>
  <c r="B72" i="14"/>
  <c r="B120" i="14" s="1"/>
  <c r="B73" i="14"/>
  <c r="B121" i="14" s="1"/>
  <c r="B74" i="14"/>
  <c r="B122" i="14" s="1"/>
  <c r="B75" i="14"/>
  <c r="B123" i="14" s="1"/>
  <c r="B76" i="14"/>
  <c r="B124" i="14" s="1"/>
  <c r="B77" i="14"/>
  <c r="B125" i="14" s="1"/>
  <c r="B78" i="14"/>
  <c r="B126" i="14" s="1"/>
  <c r="B79" i="14"/>
  <c r="B127" i="14" s="1"/>
  <c r="B80" i="14"/>
  <c r="B128" i="14" s="1"/>
  <c r="B81" i="14"/>
  <c r="B129" i="14" s="1"/>
  <c r="B82" i="14"/>
  <c r="B130" i="14" s="1"/>
  <c r="B83" i="14"/>
  <c r="B131" i="14" s="1"/>
  <c r="B84" i="14"/>
  <c r="B132" i="14" s="1"/>
  <c r="B85" i="14"/>
  <c r="B133" i="14" s="1"/>
  <c r="B112" i="14"/>
  <c r="B111" i="14"/>
  <c r="B110" i="14"/>
  <c r="B109" i="14"/>
  <c r="B108" i="14"/>
  <c r="B107" i="14"/>
  <c r="B106" i="14"/>
  <c r="B105" i="14"/>
  <c r="B104" i="14"/>
  <c r="B103" i="14"/>
  <c r="B102" i="14"/>
  <c r="B101" i="14"/>
  <c r="B100" i="14"/>
  <c r="B99" i="14"/>
  <c r="B98" i="14"/>
  <c r="B97" i="14"/>
  <c r="B96" i="14"/>
  <c r="B95" i="14"/>
  <c r="B94" i="14"/>
  <c r="B93" i="14"/>
  <c r="B92" i="14"/>
  <c r="B91" i="14"/>
  <c r="B90" i="14"/>
  <c r="H96" i="8"/>
  <c r="M96" i="8"/>
  <c r="O96" i="8"/>
  <c r="J96" i="8"/>
  <c r="N95" i="8"/>
  <c r="H95" i="8"/>
  <c r="C95" i="8"/>
  <c r="K95" i="8"/>
  <c r="M95" i="8"/>
  <c r="J95" i="8"/>
  <c r="O95" i="8"/>
  <c r="C94" i="8"/>
  <c r="K91" i="8"/>
  <c r="K92" i="8"/>
  <c r="L91" i="8"/>
  <c r="M91" i="8"/>
  <c r="O91" i="8"/>
  <c r="N91" i="8"/>
  <c r="I91" i="8"/>
  <c r="J91" i="8"/>
  <c r="LQ101" i="3"/>
  <c r="LV101" i="3"/>
  <c r="O90" i="8"/>
  <c r="I90" i="8"/>
  <c r="M90" i="8"/>
  <c r="J90" i="8"/>
  <c r="N90" i="8"/>
  <c r="K87" i="8"/>
  <c r="N87" i="8"/>
  <c r="J87" i="8"/>
  <c r="N94" i="8"/>
  <c r="O94" i="8"/>
  <c r="K94" i="8"/>
  <c r="J94" i="8"/>
  <c r="M94" i="8"/>
  <c r="H94" i="8"/>
  <c r="I94" i="8"/>
  <c r="O252" i="3"/>
  <c r="O251" i="3"/>
  <c r="LW101" i="3"/>
  <c r="M92" i="8"/>
  <c r="H92" i="8"/>
  <c r="I92" i="8"/>
  <c r="E5" i="11"/>
  <c r="F2" i="11" s="1"/>
  <c r="J92" i="8"/>
  <c r="N92" i="8"/>
  <c r="P92" i="8" s="1"/>
  <c r="LW102" i="3"/>
  <c r="LU101" i="3"/>
  <c r="LX101" i="3"/>
  <c r="LY101" i="3"/>
  <c r="LZ101" i="3"/>
  <c r="MA101" i="3"/>
  <c r="MB101" i="3"/>
  <c r="MF74" i="3"/>
  <c r="M89" i="8"/>
  <c r="H89" i="8"/>
  <c r="K89" i="8"/>
  <c r="J89" i="8"/>
  <c r="N89" i="8"/>
  <c r="LT101" i="3"/>
  <c r="C127" i="1"/>
  <c r="C126" i="1"/>
  <c r="C125" i="1"/>
  <c r="C124" i="1"/>
  <c r="C123" i="1"/>
  <c r="C122" i="1"/>
  <c r="C121" i="1"/>
  <c r="C120" i="1"/>
  <c r="C119" i="1"/>
  <c r="N88" i="8"/>
  <c r="J88" i="8"/>
  <c r="LS101" i="3"/>
  <c r="LR101" i="3"/>
  <c r="LR102" i="3"/>
  <c r="H85" i="8"/>
  <c r="J85" i="8"/>
  <c r="M85" i="8"/>
  <c r="K85" i="8"/>
  <c r="N85" i="8"/>
  <c r="LP101" i="3"/>
  <c r="KF102" i="3"/>
  <c r="KT102" i="3"/>
  <c r="LG102" i="3"/>
  <c r="F194" i="13"/>
  <c r="D209" i="13" s="1"/>
  <c r="B85" i="13"/>
  <c r="B193" i="13" s="1"/>
  <c r="B84" i="13"/>
  <c r="B192" i="13" s="1"/>
  <c r="F171" i="13"/>
  <c r="D208" i="13" s="1"/>
  <c r="H131" i="13"/>
  <c r="F113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90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139" i="13" s="1"/>
  <c r="B36" i="13"/>
  <c r="B140" i="13" s="1"/>
  <c r="B37" i="13"/>
  <c r="B141" i="13" s="1"/>
  <c r="B38" i="13"/>
  <c r="B39" i="13"/>
  <c r="B143" i="13" s="1"/>
  <c r="B40" i="13"/>
  <c r="B144" i="13" s="1"/>
  <c r="B41" i="13"/>
  <c r="B42" i="13"/>
  <c r="B43" i="13"/>
  <c r="B147" i="13" s="1"/>
  <c r="B44" i="13"/>
  <c r="B148" i="13" s="1"/>
  <c r="B45" i="13"/>
  <c r="B149" i="13" s="1"/>
  <c r="B46" i="13"/>
  <c r="B47" i="13"/>
  <c r="B151" i="13" s="1"/>
  <c r="B48" i="13"/>
  <c r="B49" i="13"/>
  <c r="B153" i="13" s="1"/>
  <c r="B50" i="13"/>
  <c r="B51" i="13"/>
  <c r="B155" i="13" s="1"/>
  <c r="B52" i="13"/>
  <c r="B156" i="13" s="1"/>
  <c r="B53" i="13"/>
  <c r="B157" i="13" s="1"/>
  <c r="B54" i="13"/>
  <c r="B158" i="13" s="1"/>
  <c r="B55" i="13"/>
  <c r="B159" i="13" s="1"/>
  <c r="B56" i="13"/>
  <c r="B57" i="13"/>
  <c r="B58" i="13"/>
  <c r="B59" i="13"/>
  <c r="B163" i="13" s="1"/>
  <c r="B60" i="13"/>
  <c r="B164" i="13" s="1"/>
  <c r="B61" i="13"/>
  <c r="B165" i="13" s="1"/>
  <c r="B62" i="13"/>
  <c r="B63" i="13"/>
  <c r="B167" i="13" s="1"/>
  <c r="B64" i="13"/>
  <c r="B65" i="13"/>
  <c r="B66" i="13"/>
  <c r="B177" i="13" s="1"/>
  <c r="B67" i="13"/>
  <c r="B178" i="13" s="1"/>
  <c r="B68" i="13"/>
  <c r="B199" i="13" s="1"/>
  <c r="B69" i="13"/>
  <c r="B70" i="13"/>
  <c r="B179" i="13" s="1"/>
  <c r="B71" i="13"/>
  <c r="B170" i="13" s="1"/>
  <c r="B72" i="13"/>
  <c r="B180" i="13" s="1"/>
  <c r="B73" i="13"/>
  <c r="B181" i="13" s="1"/>
  <c r="B74" i="13"/>
  <c r="B182" i="13" s="1"/>
  <c r="B75" i="13"/>
  <c r="B183" i="13" s="1"/>
  <c r="B76" i="13"/>
  <c r="B184" i="13" s="1"/>
  <c r="B77" i="13"/>
  <c r="B185" i="13" s="1"/>
  <c r="B78" i="13"/>
  <c r="B186" i="13" s="1"/>
  <c r="B79" i="13"/>
  <c r="B187" i="13" s="1"/>
  <c r="B80" i="13"/>
  <c r="B188" i="13" s="1"/>
  <c r="B81" i="13"/>
  <c r="B189" i="13" s="1"/>
  <c r="B82" i="13"/>
  <c r="B190" i="13" s="1"/>
  <c r="B83" i="13"/>
  <c r="B191" i="13" s="1"/>
  <c r="B3" i="13"/>
  <c r="F200" i="13"/>
  <c r="D210" i="13" s="1"/>
  <c r="F132" i="13"/>
  <c r="D207" i="13" s="1"/>
  <c r="F124" i="13"/>
  <c r="D206" i="13" s="1"/>
  <c r="D205" i="13"/>
  <c r="C84" i="8"/>
  <c r="M84" i="8"/>
  <c r="LE101" i="3"/>
  <c r="I83" i="8"/>
  <c r="N83" i="8"/>
  <c r="K83" i="8"/>
  <c r="J83" i="8"/>
  <c r="G83" i="8"/>
  <c r="P83" i="8" s="1"/>
  <c r="N82" i="8"/>
  <c r="K82" i="8"/>
  <c r="H82" i="8"/>
  <c r="J82" i="8"/>
  <c r="M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P94" i="8" l="1"/>
  <c r="P116" i="8"/>
  <c r="P112" i="8"/>
  <c r="P113" i="8"/>
  <c r="P106" i="8"/>
  <c r="P109" i="8"/>
  <c r="P115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C84" i="16" s="1"/>
  <c r="C196" i="16" s="1"/>
  <c r="AC181" i="3"/>
  <c r="C76" i="16" s="1"/>
  <c r="C188" i="16" s="1"/>
  <c r="MF92" i="3"/>
  <c r="AH192" i="3" s="1"/>
  <c r="AC192" i="3"/>
  <c r="C87" i="16" s="1"/>
  <c r="C211" i="16" s="1"/>
  <c r="P101" i="8"/>
  <c r="P110" i="8"/>
  <c r="AH173" i="3"/>
  <c r="D68" i="16" s="1"/>
  <c r="E203" i="16" s="1"/>
  <c r="P111" i="8"/>
  <c r="NE102" i="3"/>
  <c r="AH185" i="3"/>
  <c r="D80" i="16" s="1"/>
  <c r="E192" i="16" s="1"/>
  <c r="G192" i="16" s="1"/>
  <c r="AC188" i="3"/>
  <c r="C83" i="16" s="1"/>
  <c r="C195" i="16" s="1"/>
  <c r="AC180" i="3"/>
  <c r="C75" i="16" s="1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D77" i="16" s="1"/>
  <c r="E189" i="16" s="1"/>
  <c r="G189" i="16" s="1"/>
  <c r="MF80" i="3"/>
  <c r="AH180" i="3" s="1"/>
  <c r="D75" i="16" s="1"/>
  <c r="AH174" i="3"/>
  <c r="D69" i="16" s="1"/>
  <c r="E115" i="16" s="1"/>
  <c r="G115" i="16" s="1"/>
  <c r="NE101" i="3"/>
  <c r="AH186" i="3"/>
  <c r="D81" i="16" s="1"/>
  <c r="E193" i="16" s="1"/>
  <c r="G193" i="16" s="1"/>
  <c r="AH178" i="3"/>
  <c r="D73" i="16" s="1"/>
  <c r="E185" i="16" s="1"/>
  <c r="G185" i="16" s="1"/>
  <c r="AH122" i="3"/>
  <c r="D17" i="16" s="1"/>
  <c r="E107" i="16" s="1"/>
  <c r="G107" i="16" s="1"/>
  <c r="AH130" i="3"/>
  <c r="D25" i="16" s="1"/>
  <c r="E114" i="16" s="1"/>
  <c r="G114" i="16" s="1"/>
  <c r="AH138" i="3"/>
  <c r="D33" i="16" s="1"/>
  <c r="AH146" i="3"/>
  <c r="D41" i="16" s="1"/>
  <c r="E148" i="16" s="1"/>
  <c r="G148" i="16" s="1"/>
  <c r="AH170" i="3"/>
  <c r="D65" i="16" s="1"/>
  <c r="E172" i="16" s="1"/>
  <c r="G172" i="16" s="1"/>
  <c r="AC187" i="3"/>
  <c r="C82" i="16" s="1"/>
  <c r="C194" i="16" s="1"/>
  <c r="AC179" i="3"/>
  <c r="C74" i="16" s="1"/>
  <c r="C186" i="16" s="1"/>
  <c r="AH166" i="3"/>
  <c r="D61" i="16" s="1"/>
  <c r="E168" i="16" s="1"/>
  <c r="G168" i="16" s="1"/>
  <c r="AC184" i="3"/>
  <c r="C79" i="16" s="1"/>
  <c r="C191" i="16" s="1"/>
  <c r="MF79" i="3"/>
  <c r="AH179" i="3" s="1"/>
  <c r="D74" i="16" s="1"/>
  <c r="E186" i="16" s="1"/>
  <c r="G186" i="16" s="1"/>
  <c r="MF89" i="3"/>
  <c r="AH189" i="3" s="1"/>
  <c r="D84" i="16" s="1"/>
  <c r="E196" i="16" s="1"/>
  <c r="G196" i="16" s="1"/>
  <c r="AC182" i="3"/>
  <c r="C77" i="16" s="1"/>
  <c r="C189" i="16" s="1"/>
  <c r="AC134" i="3"/>
  <c r="C29" i="16" s="1"/>
  <c r="C133" i="16" s="1"/>
  <c r="AH115" i="3"/>
  <c r="D10" i="16" s="1"/>
  <c r="E100" i="16" s="1"/>
  <c r="G100" i="16" s="1"/>
  <c r="MF87" i="3"/>
  <c r="AH187" i="3" s="1"/>
  <c r="D82" i="16" s="1"/>
  <c r="E194" i="16" s="1"/>
  <c r="G194" i="16" s="1"/>
  <c r="AC178" i="3"/>
  <c r="C73" i="16" s="1"/>
  <c r="C185" i="16" s="1"/>
  <c r="AC176" i="3"/>
  <c r="C71" i="16" s="1"/>
  <c r="C173" i="16" s="1"/>
  <c r="AH113" i="3"/>
  <c r="D8" i="16" s="1"/>
  <c r="E98" i="16" s="1"/>
  <c r="G98" i="16" s="1"/>
  <c r="AH121" i="3"/>
  <c r="D16" i="16" s="1"/>
  <c r="E106" i="16" s="1"/>
  <c r="G106" i="16" s="1"/>
  <c r="AH129" i="3"/>
  <c r="D24" i="16" s="1"/>
  <c r="E113" i="16" s="1"/>
  <c r="G113" i="16" s="1"/>
  <c r="AH137" i="3"/>
  <c r="D32" i="16" s="1"/>
  <c r="AH145" i="3"/>
  <c r="D40" i="16" s="1"/>
  <c r="E147" i="16" s="1"/>
  <c r="G147" i="16" s="1"/>
  <c r="AH161" i="3"/>
  <c r="D56" i="16" s="1"/>
  <c r="E163" i="16" s="1"/>
  <c r="G163" i="16" s="1"/>
  <c r="AC186" i="3"/>
  <c r="C81" i="16" s="1"/>
  <c r="C193" i="16" s="1"/>
  <c r="AH176" i="3"/>
  <c r="D71" i="16" s="1"/>
  <c r="E173" i="16" s="1"/>
  <c r="G173" i="16" s="1"/>
  <c r="AC183" i="3"/>
  <c r="C78" i="16" s="1"/>
  <c r="C190" i="16" s="1"/>
  <c r="AH154" i="3"/>
  <c r="D49" i="16" s="1"/>
  <c r="E156" i="16" s="1"/>
  <c r="G156" i="16" s="1"/>
  <c r="AH177" i="3"/>
  <c r="D72" i="16" s="1"/>
  <c r="E184" i="16" s="1"/>
  <c r="G184" i="16" s="1"/>
  <c r="AC190" i="3"/>
  <c r="C85" i="16" s="1"/>
  <c r="C197" i="16" s="1"/>
  <c r="AH117" i="3"/>
  <c r="D12" i="16" s="1"/>
  <c r="E102" i="16" s="1"/>
  <c r="G102" i="16" s="1"/>
  <c r="AH184" i="3"/>
  <c r="D79" i="16" s="1"/>
  <c r="E191" i="16" s="1"/>
  <c r="G191" i="16" s="1"/>
  <c r="MF81" i="3"/>
  <c r="AH181" i="3" s="1"/>
  <c r="D76" i="16" s="1"/>
  <c r="E188" i="16" s="1"/>
  <c r="G188" i="16" s="1"/>
  <c r="AH111" i="3"/>
  <c r="D6" i="16" s="1"/>
  <c r="E96" i="16" s="1"/>
  <c r="G96" i="16" s="1"/>
  <c r="AH119" i="3"/>
  <c r="D14" i="16" s="1"/>
  <c r="E104" i="16" s="1"/>
  <c r="G104" i="16" s="1"/>
  <c r="AH127" i="3"/>
  <c r="D22" i="16" s="1"/>
  <c r="E111" i="16" s="1"/>
  <c r="G111" i="16" s="1"/>
  <c r="AH135" i="3"/>
  <c r="D30" i="16" s="1"/>
  <c r="AH143" i="3"/>
  <c r="D38" i="16" s="1"/>
  <c r="E145" i="16" s="1"/>
  <c r="G145" i="16" s="1"/>
  <c r="AH159" i="3"/>
  <c r="D54" i="16" s="1"/>
  <c r="E161" i="16" s="1"/>
  <c r="G161" i="16" s="1"/>
  <c r="AH167" i="3"/>
  <c r="D62" i="16" s="1"/>
  <c r="E169" i="16" s="1"/>
  <c r="G169" i="16" s="1"/>
  <c r="AH175" i="3"/>
  <c r="D70" i="16" s="1"/>
  <c r="E183" i="16" s="1"/>
  <c r="G183" i="16" s="1"/>
  <c r="AH112" i="3"/>
  <c r="D7" i="16" s="1"/>
  <c r="E97" i="16" s="1"/>
  <c r="G97" i="16" s="1"/>
  <c r="AH120" i="3"/>
  <c r="D15" i="16" s="1"/>
  <c r="E105" i="16" s="1"/>
  <c r="G105" i="16" s="1"/>
  <c r="AH128" i="3"/>
  <c r="D23" i="16" s="1"/>
  <c r="E112" i="16" s="1"/>
  <c r="G112" i="16" s="1"/>
  <c r="AH136" i="3"/>
  <c r="D31" i="16" s="1"/>
  <c r="E134" i="16" s="1"/>
  <c r="G134" i="16" s="1"/>
  <c r="AH144" i="3"/>
  <c r="D39" i="16" s="1"/>
  <c r="E146" i="16" s="1"/>
  <c r="G146" i="16" s="1"/>
  <c r="AH152" i="3"/>
  <c r="D47" i="16" s="1"/>
  <c r="E154" i="16" s="1"/>
  <c r="G154" i="16" s="1"/>
  <c r="AH160" i="3"/>
  <c r="D55" i="16" s="1"/>
  <c r="E162" i="16" s="1"/>
  <c r="G162" i="16" s="1"/>
  <c r="AH168" i="3"/>
  <c r="D63" i="16" s="1"/>
  <c r="E170" i="16" s="1"/>
  <c r="G170" i="16" s="1"/>
  <c r="AH162" i="3"/>
  <c r="D57" i="16" s="1"/>
  <c r="E164" i="16" s="1"/>
  <c r="G164" i="16" s="1"/>
  <c r="AH123" i="3"/>
  <c r="D18" i="16" s="1"/>
  <c r="E108" i="16" s="1"/>
  <c r="G108" i="16" s="1"/>
  <c r="AH131" i="3"/>
  <c r="D26" i="16" s="1"/>
  <c r="E121" i="16" s="1"/>
  <c r="AH139" i="3"/>
  <c r="D34" i="16" s="1"/>
  <c r="E141" i="16" s="1"/>
  <c r="AH147" i="3"/>
  <c r="D42" i="16" s="1"/>
  <c r="E149" i="16" s="1"/>
  <c r="G149" i="16" s="1"/>
  <c r="AH163" i="3"/>
  <c r="D58" i="16" s="1"/>
  <c r="E165" i="16" s="1"/>
  <c r="G165" i="16" s="1"/>
  <c r="AH171" i="3"/>
  <c r="D66" i="16" s="1"/>
  <c r="E181" i="16" s="1"/>
  <c r="AC185" i="3"/>
  <c r="C80" i="16" s="1"/>
  <c r="C192" i="16" s="1"/>
  <c r="AC177" i="3"/>
  <c r="C72" i="16" s="1"/>
  <c r="C184" i="16" s="1"/>
  <c r="AH108" i="3"/>
  <c r="AH116" i="3"/>
  <c r="D11" i="16" s="1"/>
  <c r="E101" i="16" s="1"/>
  <c r="G101" i="16" s="1"/>
  <c r="AH124" i="3"/>
  <c r="D19" i="16" s="1"/>
  <c r="AH132" i="3"/>
  <c r="D27" i="16" s="1"/>
  <c r="AH140" i="3"/>
  <c r="D35" i="16" s="1"/>
  <c r="E142" i="16" s="1"/>
  <c r="G142" i="16" s="1"/>
  <c r="AH148" i="3"/>
  <c r="D43" i="16" s="1"/>
  <c r="E150" i="16" s="1"/>
  <c r="G150" i="16" s="1"/>
  <c r="AH172" i="3"/>
  <c r="D67" i="16" s="1"/>
  <c r="E182" i="16" s="1"/>
  <c r="G182" i="16" s="1"/>
  <c r="AH109" i="3"/>
  <c r="D4" i="16" s="1"/>
  <c r="E94" i="16" s="1"/>
  <c r="G94" i="16" s="1"/>
  <c r="AH125" i="3"/>
  <c r="D20" i="16" s="1"/>
  <c r="AH133" i="3"/>
  <c r="D28" i="16" s="1"/>
  <c r="AH141" i="3"/>
  <c r="D36" i="16" s="1"/>
  <c r="E143" i="16" s="1"/>
  <c r="G143" i="16" s="1"/>
  <c r="AH149" i="3"/>
  <c r="D44" i="16" s="1"/>
  <c r="E151" i="16" s="1"/>
  <c r="G151" i="16" s="1"/>
  <c r="AH157" i="3"/>
  <c r="D52" i="16" s="1"/>
  <c r="E159" i="16" s="1"/>
  <c r="G159" i="16" s="1"/>
  <c r="AH165" i="3"/>
  <c r="D60" i="16" s="1"/>
  <c r="E167" i="16" s="1"/>
  <c r="G167" i="16" s="1"/>
  <c r="AH110" i="3"/>
  <c r="D5" i="16" s="1"/>
  <c r="E95" i="16" s="1"/>
  <c r="G95" i="16" s="1"/>
  <c r="AH126" i="3"/>
  <c r="D21" i="16" s="1"/>
  <c r="E110" i="16" s="1"/>
  <c r="G110" i="16" s="1"/>
  <c r="AH134" i="3"/>
  <c r="D29" i="16" s="1"/>
  <c r="E133" i="16" s="1"/>
  <c r="AH142" i="3"/>
  <c r="D37" i="16" s="1"/>
  <c r="E144" i="16" s="1"/>
  <c r="G144" i="16" s="1"/>
  <c r="AH150" i="3"/>
  <c r="D45" i="16" s="1"/>
  <c r="E152" i="16" s="1"/>
  <c r="G152" i="16" s="1"/>
  <c r="AH158" i="3"/>
  <c r="D53" i="16" s="1"/>
  <c r="E160" i="16" s="1"/>
  <c r="G160" i="16" s="1"/>
  <c r="AC173" i="3"/>
  <c r="C68" i="16" s="1"/>
  <c r="C203" i="16" s="1"/>
  <c r="AC147" i="3"/>
  <c r="C42" i="16" s="1"/>
  <c r="C149" i="16" s="1"/>
  <c r="AC172" i="3"/>
  <c r="C67" i="16" s="1"/>
  <c r="C182" i="16" s="1"/>
  <c r="AC171" i="3"/>
  <c r="C66" i="16" s="1"/>
  <c r="C181" i="16" s="1"/>
  <c r="AC138" i="3"/>
  <c r="C33" i="16" s="1"/>
  <c r="C126" i="16" s="1"/>
  <c r="AC175" i="3"/>
  <c r="C70" i="16" s="1"/>
  <c r="C183" i="16" s="1"/>
  <c r="AC174" i="3"/>
  <c r="C69" i="16" s="1"/>
  <c r="C115" i="16" s="1"/>
  <c r="AC163" i="3"/>
  <c r="C58" i="16" s="1"/>
  <c r="C165" i="16" s="1"/>
  <c r="AC154" i="3"/>
  <c r="C49" i="16" s="1"/>
  <c r="C156" i="16" s="1"/>
  <c r="AC170" i="3"/>
  <c r="C65" i="16" s="1"/>
  <c r="C172" i="16" s="1"/>
  <c r="AC166" i="3"/>
  <c r="C61" i="16" s="1"/>
  <c r="C168" i="16" s="1"/>
  <c r="AC162" i="3"/>
  <c r="C57" i="16" s="1"/>
  <c r="C164" i="16" s="1"/>
  <c r="AC158" i="3"/>
  <c r="C53" i="16" s="1"/>
  <c r="C160" i="16" s="1"/>
  <c r="AC153" i="3"/>
  <c r="C48" i="16" s="1"/>
  <c r="C155" i="16" s="1"/>
  <c r="AC146" i="3"/>
  <c r="C41" i="16" s="1"/>
  <c r="C148" i="16" s="1"/>
  <c r="AC142" i="3"/>
  <c r="C37" i="16" s="1"/>
  <c r="C144" i="16" s="1"/>
  <c r="AC137" i="3"/>
  <c r="C32" i="16" s="1"/>
  <c r="C125" i="16" s="1"/>
  <c r="AC133" i="3"/>
  <c r="C28" i="16" s="1"/>
  <c r="C123" i="16" s="1"/>
  <c r="AC129" i="3"/>
  <c r="C24" i="16" s="1"/>
  <c r="C113" i="16" s="1"/>
  <c r="AC125" i="3"/>
  <c r="C20" i="16" s="1"/>
  <c r="AC116" i="3"/>
  <c r="C11" i="16" s="1"/>
  <c r="C101" i="16" s="1"/>
  <c r="AC111" i="3"/>
  <c r="C6" i="16" s="1"/>
  <c r="C96" i="16" s="1"/>
  <c r="AC169" i="3"/>
  <c r="C64" i="16" s="1"/>
  <c r="C171" i="16" s="1"/>
  <c r="AC165" i="3"/>
  <c r="C60" i="16" s="1"/>
  <c r="C167" i="16" s="1"/>
  <c r="AC161" i="3"/>
  <c r="C56" i="16" s="1"/>
  <c r="C163" i="16" s="1"/>
  <c r="AC157" i="3"/>
  <c r="C52" i="16" s="1"/>
  <c r="C159" i="16" s="1"/>
  <c r="AC150" i="3"/>
  <c r="C45" i="16" s="1"/>
  <c r="C152" i="16" s="1"/>
  <c r="AC145" i="3"/>
  <c r="C40" i="16" s="1"/>
  <c r="C147" i="16" s="1"/>
  <c r="AC141" i="3"/>
  <c r="C36" i="16" s="1"/>
  <c r="C143" i="16" s="1"/>
  <c r="AC136" i="3"/>
  <c r="C31" i="16" s="1"/>
  <c r="C134" i="16" s="1"/>
  <c r="AC132" i="3"/>
  <c r="C27" i="16" s="1"/>
  <c r="C122" i="16" s="1"/>
  <c r="AC128" i="3"/>
  <c r="C23" i="16" s="1"/>
  <c r="C112" i="16" s="1"/>
  <c r="AC124" i="3"/>
  <c r="C19" i="16" s="1"/>
  <c r="C109" i="16" s="1"/>
  <c r="AC115" i="3"/>
  <c r="C10" i="16" s="1"/>
  <c r="C100" i="16" s="1"/>
  <c r="AC168" i="3"/>
  <c r="C63" i="16" s="1"/>
  <c r="C170" i="16" s="1"/>
  <c r="AC164" i="3"/>
  <c r="C59" i="16" s="1"/>
  <c r="C166" i="16" s="1"/>
  <c r="AC160" i="3"/>
  <c r="C55" i="16" s="1"/>
  <c r="C162" i="16" s="1"/>
  <c r="AC155" i="3"/>
  <c r="C50" i="16" s="1"/>
  <c r="C157" i="16" s="1"/>
  <c r="AC148" i="3"/>
  <c r="C43" i="16" s="1"/>
  <c r="C150" i="16" s="1"/>
  <c r="AC144" i="3"/>
  <c r="C39" i="16" s="1"/>
  <c r="C146" i="16" s="1"/>
  <c r="AC140" i="3"/>
  <c r="C35" i="16" s="1"/>
  <c r="C142" i="16" s="1"/>
  <c r="AC135" i="3"/>
  <c r="C30" i="16" s="1"/>
  <c r="C124" i="16" s="1"/>
  <c r="AC131" i="3"/>
  <c r="C26" i="16" s="1"/>
  <c r="C121" i="16" s="1"/>
  <c r="AC127" i="3"/>
  <c r="C22" i="16" s="1"/>
  <c r="C111" i="16" s="1"/>
  <c r="AC123" i="3"/>
  <c r="C18" i="16" s="1"/>
  <c r="C108" i="16" s="1"/>
  <c r="AC114" i="3"/>
  <c r="C9" i="16" s="1"/>
  <c r="C99" i="16" s="1"/>
  <c r="AC167" i="3"/>
  <c r="C62" i="16" s="1"/>
  <c r="C169" i="16" s="1"/>
  <c r="AC159" i="3"/>
  <c r="C54" i="16" s="1"/>
  <c r="C161" i="16" s="1"/>
  <c r="AC143" i="3"/>
  <c r="C38" i="16" s="1"/>
  <c r="C145" i="16" s="1"/>
  <c r="AC130" i="3"/>
  <c r="C25" i="16" s="1"/>
  <c r="C114" i="16" s="1"/>
  <c r="AC126" i="3"/>
  <c r="C21" i="16" s="1"/>
  <c r="C110" i="16" s="1"/>
  <c r="AC122" i="3"/>
  <c r="C17" i="16" s="1"/>
  <c r="C107" i="16" s="1"/>
  <c r="AC113" i="3"/>
  <c r="C8" i="16" s="1"/>
  <c r="C98" i="16" s="1"/>
  <c r="AC120" i="3"/>
  <c r="C15" i="16" s="1"/>
  <c r="C105" i="16" s="1"/>
  <c r="AC108" i="3"/>
  <c r="C3" i="16" s="1"/>
  <c r="C93" i="16" s="1"/>
  <c r="AC139" i="3"/>
  <c r="C34" i="16" s="1"/>
  <c r="C141" i="16" s="1"/>
  <c r="AH151" i="3"/>
  <c r="D46" i="16" s="1"/>
  <c r="E153" i="16" s="1"/>
  <c r="G153" i="16" s="1"/>
  <c r="AC151" i="3"/>
  <c r="C46" i="16" s="1"/>
  <c r="C153" i="16" s="1"/>
  <c r="AC112" i="3"/>
  <c r="C7" i="16" s="1"/>
  <c r="C97" i="16" s="1"/>
  <c r="AC118" i="3"/>
  <c r="C13" i="16" s="1"/>
  <c r="C103" i="16" s="1"/>
  <c r="AC156" i="3"/>
  <c r="C51" i="16" s="1"/>
  <c r="C158" i="16" s="1"/>
  <c r="AC152" i="3"/>
  <c r="C47" i="16" s="1"/>
  <c r="C154" i="16" s="1"/>
  <c r="AC149" i="3"/>
  <c r="C44" i="16" s="1"/>
  <c r="C151" i="16" s="1"/>
  <c r="AC119" i="3"/>
  <c r="C14" i="16" s="1"/>
  <c r="C104" i="16" s="1"/>
  <c r="AC117" i="3"/>
  <c r="C12" i="16" s="1"/>
  <c r="C102" i="16" s="1"/>
  <c r="AC110" i="3"/>
  <c r="C5" i="16" s="1"/>
  <c r="C95" i="16" s="1"/>
  <c r="AC109" i="3"/>
  <c r="C4" i="16" s="1"/>
  <c r="C94" i="16" s="1"/>
  <c r="AC121" i="3"/>
  <c r="C16" i="16" s="1"/>
  <c r="C106" i="16" s="1"/>
  <c r="MF18" i="3"/>
  <c r="AH118" i="3" s="1"/>
  <c r="D13" i="16" s="1"/>
  <c r="E103" i="16" s="1"/>
  <c r="G103" i="16" s="1"/>
  <c r="MF102" i="3"/>
  <c r="AC202" i="3" s="1"/>
  <c r="P96" i="8"/>
  <c r="MF90" i="3"/>
  <c r="AH190" i="3" s="1"/>
  <c r="D85" i="16" s="1"/>
  <c r="E197" i="16" s="1"/>
  <c r="G197" i="16" s="1"/>
  <c r="MF14" i="3"/>
  <c r="AH114" i="3" s="1"/>
  <c r="D9" i="16" s="1"/>
  <c r="E99" i="16" s="1"/>
  <c r="G99" i="16" s="1"/>
  <c r="Y202" i="3"/>
  <c r="MF56" i="3"/>
  <c r="AH156" i="3" s="1"/>
  <c r="D51" i="16" s="1"/>
  <c r="E158" i="16" s="1"/>
  <c r="G158" i="16" s="1"/>
  <c r="MF64" i="3"/>
  <c r="AH164" i="3" s="1"/>
  <c r="D59" i="16" s="1"/>
  <c r="E166" i="16" s="1"/>
  <c r="G166" i="16" s="1"/>
  <c r="MF88" i="3"/>
  <c r="AH188" i="3" s="1"/>
  <c r="D83" i="16" s="1"/>
  <c r="E195" i="16" s="1"/>
  <c r="G195" i="16" s="1"/>
  <c r="MF55" i="3"/>
  <c r="AH155" i="3" s="1"/>
  <c r="D50" i="16" s="1"/>
  <c r="E157" i="16" s="1"/>
  <c r="G157" i="16" s="1"/>
  <c r="MF69" i="3"/>
  <c r="AH169" i="3" s="1"/>
  <c r="D64" i="16" s="1"/>
  <c r="E171" i="16" s="1"/>
  <c r="G171" i="16" s="1"/>
  <c r="MF83" i="3"/>
  <c r="AH183" i="3" s="1"/>
  <c r="D78" i="16" s="1"/>
  <c r="E190" i="16" s="1"/>
  <c r="G190" i="16" s="1"/>
  <c r="MF53" i="3"/>
  <c r="AH153" i="3" s="1"/>
  <c r="D48" i="16" s="1"/>
  <c r="E155" i="16" s="1"/>
  <c r="G155" i="16" s="1"/>
  <c r="B162" i="13"/>
  <c r="B138" i="13"/>
  <c r="B146" i="13"/>
  <c r="B154" i="13"/>
  <c r="B161" i="13"/>
  <c r="B168" i="13"/>
  <c r="B160" i="13"/>
  <c r="B152" i="13"/>
  <c r="B166" i="13"/>
  <c r="B150" i="13"/>
  <c r="B142" i="13"/>
  <c r="B169" i="13"/>
  <c r="B145" i="13"/>
  <c r="D211" i="13"/>
  <c r="D213" i="1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N81" i="8"/>
  <c r="J81" i="8"/>
  <c r="H81" i="8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20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73" i="10"/>
  <c r="C80" i="8"/>
  <c r="J80" i="8"/>
  <c r="K80" i="8"/>
  <c r="M80" i="8"/>
  <c r="N80" i="8"/>
  <c r="I80" i="8"/>
  <c r="KP101" i="3"/>
  <c r="KQ101" i="3"/>
  <c r="KR101" i="3"/>
  <c r="KO101" i="3"/>
  <c r="G77" i="8"/>
  <c r="M78" i="8"/>
  <c r="K78" i="8"/>
  <c r="J78" i="8"/>
  <c r="N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M77" i="8"/>
  <c r="J77" i="8"/>
  <c r="K77" i="8"/>
  <c r="N77" i="8"/>
  <c r="C77" i="8"/>
  <c r="KC101" i="3"/>
  <c r="K76" i="8"/>
  <c r="J76" i="8"/>
  <c r="N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H174" i="16" s="1"/>
  <c r="AP196" i="3"/>
  <c r="AP197" i="3"/>
  <c r="AN191" i="3"/>
  <c r="M324" i="3" s="1"/>
  <c r="N324" i="3" s="1"/>
  <c r="O324" i="3" s="1"/>
  <c r="H210" i="16" s="1"/>
  <c r="OD101" i="3"/>
  <c r="AN192" i="3"/>
  <c r="M325" i="3" s="1"/>
  <c r="AJ201" i="3"/>
  <c r="C187" i="16"/>
  <c r="E187" i="16"/>
  <c r="G187" i="16" s="1"/>
  <c r="E123" i="16"/>
  <c r="G123" i="16" s="1"/>
  <c r="E126" i="16"/>
  <c r="G126" i="16" s="1"/>
  <c r="E122" i="16"/>
  <c r="G122" i="16" s="1"/>
  <c r="E125" i="16"/>
  <c r="G125" i="16" s="1"/>
  <c r="E109" i="16"/>
  <c r="G109" i="16" s="1"/>
  <c r="E124" i="16"/>
  <c r="G124" i="16" s="1"/>
  <c r="D86" i="16"/>
  <c r="E210" i="16" s="1"/>
  <c r="C212" i="13"/>
  <c r="C226" i="16"/>
  <c r="G181" i="16"/>
  <c r="C86" i="16"/>
  <c r="C210" i="16" s="1"/>
  <c r="C88" i="16"/>
  <c r="C174" i="16" s="1"/>
  <c r="G203" i="16"/>
  <c r="G204" i="16" s="1"/>
  <c r="E204" i="16"/>
  <c r="C223" i="16" s="1"/>
  <c r="D87" i="16"/>
  <c r="E211" i="16" s="1"/>
  <c r="G211" i="16" s="1"/>
  <c r="G141" i="16"/>
  <c r="G121" i="16"/>
  <c r="D88" i="16"/>
  <c r="E174" i="16" s="1"/>
  <c r="G174" i="16" s="1"/>
  <c r="G133" i="16"/>
  <c r="G135" i="16" s="1"/>
  <c r="E135" i="16"/>
  <c r="C220" i="16" s="1"/>
  <c r="D3" i="16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L95" i="10"/>
  <c r="KT11" i="3"/>
  <c r="KT15" i="3"/>
  <c r="KT19" i="3"/>
  <c r="N75" i="8"/>
  <c r="M75" i="8"/>
  <c r="K75" i="8"/>
  <c r="KA101" i="3"/>
  <c r="J75" i="8"/>
  <c r="C75" i="8"/>
  <c r="J68" i="8"/>
  <c r="G175" i="16" l="1"/>
  <c r="E198" i="16"/>
  <c r="C222" i="16" s="1"/>
  <c r="G198" i="16"/>
  <c r="E222" i="16" s="1"/>
  <c r="C73" i="1"/>
  <c r="E175" i="16"/>
  <c r="C221" i="16" s="1"/>
  <c r="E212" i="16"/>
  <c r="C224" i="16" s="1"/>
  <c r="G210" i="16"/>
  <c r="G212" i="16" s="1"/>
  <c r="G127" i="16"/>
  <c r="G128" i="16" s="1"/>
  <c r="F219" i="16" s="1"/>
  <c r="E127" i="16"/>
  <c r="C219" i="16" s="1"/>
  <c r="E220" i="16"/>
  <c r="G136" i="16"/>
  <c r="F220" i="16" s="1"/>
  <c r="G176" i="16"/>
  <c r="F221" i="16" s="1"/>
  <c r="E221" i="16"/>
  <c r="C25" i="1"/>
  <c r="G199" i="16"/>
  <c r="F222" i="16" s="1"/>
  <c r="G205" i="16"/>
  <c r="F223" i="16" s="1"/>
  <c r="E223" i="16"/>
  <c r="E93" i="16"/>
  <c r="D89" i="16"/>
  <c r="P313" i="3"/>
  <c r="C85" i="14"/>
  <c r="P308" i="3"/>
  <c r="Q308" i="3" s="1"/>
  <c r="C80" i="14"/>
  <c r="P310" i="3"/>
  <c r="Q310" i="3" s="1"/>
  <c r="C82" i="14"/>
  <c r="P312" i="3"/>
  <c r="C84" i="14"/>
  <c r="P306" i="3"/>
  <c r="Q306" i="3" s="1"/>
  <c r="C78" i="14"/>
  <c r="P301" i="3"/>
  <c r="Q301" i="3" s="1"/>
  <c r="C73" i="14"/>
  <c r="P303" i="3"/>
  <c r="Q303" i="3" s="1"/>
  <c r="C75" i="14"/>
  <c r="C70" i="13"/>
  <c r="C179" i="13" s="1"/>
  <c r="C70" i="14"/>
  <c r="C69" i="13"/>
  <c r="C69" i="14"/>
  <c r="P307" i="3"/>
  <c r="Q307" i="3" s="1"/>
  <c r="C79" i="14"/>
  <c r="P309" i="3"/>
  <c r="Q309" i="3" s="1"/>
  <c r="C81" i="14"/>
  <c r="P311" i="3"/>
  <c r="C83" i="14"/>
  <c r="AB291" i="3"/>
  <c r="AC291" i="3" s="1"/>
  <c r="C71" i="14"/>
  <c r="P305" i="3"/>
  <c r="Q305" i="3" s="1"/>
  <c r="C77" i="14"/>
  <c r="P300" i="3"/>
  <c r="C72" i="14"/>
  <c r="C74" i="14"/>
  <c r="P304" i="3"/>
  <c r="Q304" i="3" s="1"/>
  <c r="C76" i="14"/>
  <c r="LG101" i="3"/>
  <c r="C85" i="13"/>
  <c r="C193" i="13" s="1"/>
  <c r="D85" i="13"/>
  <c r="E193" i="13" s="1"/>
  <c r="G193" i="13" s="1"/>
  <c r="KT101" i="3"/>
  <c r="C72" i="13"/>
  <c r="C180" i="13" s="1"/>
  <c r="D81" i="13"/>
  <c r="E189" i="13" s="1"/>
  <c r="G189" i="13" s="1"/>
  <c r="D75" i="13"/>
  <c r="E183" i="13" s="1"/>
  <c r="G183" i="13" s="1"/>
  <c r="C78" i="13"/>
  <c r="C186" i="13" s="1"/>
  <c r="D72" i="13"/>
  <c r="E180" i="13" s="1"/>
  <c r="G180" i="13" s="1"/>
  <c r="C83" i="13"/>
  <c r="C191" i="13" s="1"/>
  <c r="D78" i="13"/>
  <c r="E186" i="13" s="1"/>
  <c r="G186" i="13" s="1"/>
  <c r="C80" i="13"/>
  <c r="C188" i="13" s="1"/>
  <c r="C74" i="13"/>
  <c r="C182" i="13" s="1"/>
  <c r="D83" i="13"/>
  <c r="E191" i="13" s="1"/>
  <c r="G191" i="13" s="1"/>
  <c r="C77" i="13"/>
  <c r="C185" i="13" s="1"/>
  <c r="D80" i="13"/>
  <c r="E188" i="13" s="1"/>
  <c r="G188" i="13" s="1"/>
  <c r="D74" i="13"/>
  <c r="E182" i="13" s="1"/>
  <c r="G182" i="13" s="1"/>
  <c r="C76" i="13"/>
  <c r="C184" i="13" s="1"/>
  <c r="D77" i="13"/>
  <c r="E185" i="13" s="1"/>
  <c r="G185" i="13" s="1"/>
  <c r="C82" i="13"/>
  <c r="C190" i="13" s="1"/>
  <c r="D76" i="13"/>
  <c r="E184" i="13" s="1"/>
  <c r="G184" i="13" s="1"/>
  <c r="C79" i="13"/>
  <c r="C187" i="13" s="1"/>
  <c r="C73" i="13"/>
  <c r="C181" i="13" s="1"/>
  <c r="D82" i="13"/>
  <c r="E190" i="13" s="1"/>
  <c r="G190" i="13" s="1"/>
  <c r="C84" i="13"/>
  <c r="C192" i="13" s="1"/>
  <c r="C71" i="13"/>
  <c r="C170" i="13" s="1"/>
  <c r="D79" i="13"/>
  <c r="E187" i="13" s="1"/>
  <c r="G187" i="13" s="1"/>
  <c r="D73" i="13"/>
  <c r="E181" i="13" s="1"/>
  <c r="G181" i="13" s="1"/>
  <c r="D84" i="13"/>
  <c r="E192" i="13" s="1"/>
  <c r="G192" i="13" s="1"/>
  <c r="D71" i="13"/>
  <c r="E170" i="13" s="1"/>
  <c r="G170" i="13" s="1"/>
  <c r="C81" i="13"/>
  <c r="C189" i="13" s="1"/>
  <c r="C75" i="13"/>
  <c r="C183" i="13" s="1"/>
  <c r="J74" i="8"/>
  <c r="H74" i="8"/>
  <c r="P74" i="8" s="1"/>
  <c r="N74" i="8"/>
  <c r="M74" i="8"/>
  <c r="C74" i="8"/>
  <c r="E219" i="16" l="1"/>
  <c r="E224" i="16"/>
  <c r="G213" i="16"/>
  <c r="F224" i="16" s="1"/>
  <c r="C125" i="14"/>
  <c r="D189" i="16"/>
  <c r="C121" i="14"/>
  <c r="D185" i="16"/>
  <c r="C124" i="14"/>
  <c r="D188" i="16"/>
  <c r="AE291" i="3"/>
  <c r="H173" i="16" s="1"/>
  <c r="D173" i="16"/>
  <c r="C126" i="14"/>
  <c r="D190" i="16"/>
  <c r="E116" i="16"/>
  <c r="C218" i="16" s="1"/>
  <c r="G93" i="16"/>
  <c r="G116" i="16" s="1"/>
  <c r="G117" i="16" s="1"/>
  <c r="C127" i="14"/>
  <c r="D191" i="16"/>
  <c r="C128" i="14"/>
  <c r="D192" i="16"/>
  <c r="C129" i="14"/>
  <c r="D193" i="16"/>
  <c r="C123" i="14"/>
  <c r="D187" i="16"/>
  <c r="C130" i="14"/>
  <c r="D194" i="16"/>
  <c r="P302" i="3"/>
  <c r="Q302" i="3" s="1"/>
  <c r="N325" i="3"/>
  <c r="D170" i="13"/>
  <c r="G139" i="14"/>
  <c r="D183" i="13"/>
  <c r="R303" i="3"/>
  <c r="H187" i="16" s="1"/>
  <c r="D188" i="13"/>
  <c r="R308" i="3"/>
  <c r="H192" i="16" s="1"/>
  <c r="D186" i="13"/>
  <c r="R306" i="3"/>
  <c r="H190" i="16" s="1"/>
  <c r="D184" i="13"/>
  <c r="R304" i="3"/>
  <c r="H188" i="16" s="1"/>
  <c r="D187" i="13"/>
  <c r="R307" i="3"/>
  <c r="H191" i="16" s="1"/>
  <c r="D190" i="13"/>
  <c r="R310" i="3"/>
  <c r="H194" i="16" s="1"/>
  <c r="D189" i="13"/>
  <c r="R309" i="3"/>
  <c r="H193" i="16" s="1"/>
  <c r="D185" i="13"/>
  <c r="R305" i="3"/>
  <c r="H189" i="16" s="1"/>
  <c r="D181" i="13"/>
  <c r="R301" i="3"/>
  <c r="H185" i="16" s="1"/>
  <c r="C68" i="1"/>
  <c r="C84" i="1"/>
  <c r="C6" i="1"/>
  <c r="C7" i="1"/>
  <c r="C83" i="1"/>
  <c r="C69" i="1"/>
  <c r="C87" i="1"/>
  <c r="C32" i="1"/>
  <c r="C40" i="1"/>
  <c r="C8" i="1"/>
  <c r="C73" i="8"/>
  <c r="K73" i="8"/>
  <c r="N73" i="8"/>
  <c r="M73" i="8"/>
  <c r="J73" i="8"/>
  <c r="H73" i="8"/>
  <c r="JY101" i="3"/>
  <c r="J71" i="8"/>
  <c r="M71" i="8"/>
  <c r="N71" i="8"/>
  <c r="N70" i="8"/>
  <c r="C71" i="8"/>
  <c r="H70" i="8"/>
  <c r="C225" i="16" l="1"/>
  <c r="C227" i="16" s="1"/>
  <c r="C122" i="14"/>
  <c r="D186" i="16"/>
  <c r="R302" i="3"/>
  <c r="H182" i="13" s="1"/>
  <c r="E218" i="16"/>
  <c r="E225" i="16" s="1"/>
  <c r="F225" i="16" s="1"/>
  <c r="F218" i="16"/>
  <c r="D182" i="13"/>
  <c r="C85" i="1"/>
  <c r="O325" i="3"/>
  <c r="H211" i="16" s="1"/>
  <c r="H212" i="16" s="1"/>
  <c r="G224" i="16" s="1"/>
  <c r="C26" i="1"/>
  <c r="H188" i="13"/>
  <c r="D128" i="14"/>
  <c r="H187" i="13"/>
  <c r="D127" i="14"/>
  <c r="H170" i="13"/>
  <c r="H139" i="14"/>
  <c r="H181" i="13"/>
  <c r="D121" i="14"/>
  <c r="H185" i="13"/>
  <c r="D125" i="14"/>
  <c r="H190" i="13"/>
  <c r="D130" i="14"/>
  <c r="H183" i="13"/>
  <c r="D123" i="14"/>
  <c r="H189" i="13"/>
  <c r="D129" i="14"/>
  <c r="H186" i="13"/>
  <c r="D126" i="14"/>
  <c r="H184" i="13"/>
  <c r="D124" i="14"/>
  <c r="N69" i="8"/>
  <c r="C69" i="8"/>
  <c r="G69" i="8"/>
  <c r="N68" i="8"/>
  <c r="M68" i="8"/>
  <c r="I175" i="3"/>
  <c r="K175" i="3"/>
  <c r="M175" i="3"/>
  <c r="O175" i="3"/>
  <c r="Q175" i="3"/>
  <c r="S175" i="3"/>
  <c r="U175" i="3"/>
  <c r="W175" i="3"/>
  <c r="KF75" i="3"/>
  <c r="AA175" i="3" s="1"/>
  <c r="D70" i="13" s="1"/>
  <c r="E179" i="13" s="1"/>
  <c r="G179" i="13" s="1"/>
  <c r="O299" i="3"/>
  <c r="N67" i="8"/>
  <c r="M67" i="8"/>
  <c r="J67" i="8"/>
  <c r="I67" i="8"/>
  <c r="C67" i="8"/>
  <c r="I174" i="3"/>
  <c r="K174" i="3"/>
  <c r="M174" i="3"/>
  <c r="O174" i="3"/>
  <c r="Q174" i="3"/>
  <c r="S174" i="3"/>
  <c r="U174" i="3"/>
  <c r="W174" i="3"/>
  <c r="KF74" i="3"/>
  <c r="AA174" i="3" s="1"/>
  <c r="D69" i="13" s="1"/>
  <c r="E112" i="13" s="1"/>
  <c r="G112" i="13" s="1"/>
  <c r="P64" i="8"/>
  <c r="N62" i="8"/>
  <c r="AN175" i="3" l="1"/>
  <c r="P299" i="3" s="1"/>
  <c r="AP174" i="3"/>
  <c r="AN174" i="3"/>
  <c r="AP175" i="3"/>
  <c r="O326" i="3"/>
  <c r="D122" i="14"/>
  <c r="H186" i="16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J63" i="8"/>
  <c r="N63" i="8"/>
  <c r="C63" i="8"/>
  <c r="KF42" i="3"/>
  <c r="KF69" i="3"/>
  <c r="JN101" i="3"/>
  <c r="J62" i="8"/>
  <c r="P62" i="8" s="1"/>
  <c r="C62" i="8"/>
  <c r="I61" i="8"/>
  <c r="J61" i="8"/>
  <c r="N61" i="8"/>
  <c r="M61" i="8"/>
  <c r="K61" i="8"/>
  <c r="C61" i="8"/>
  <c r="C60" i="8"/>
  <c r="J60" i="8"/>
  <c r="N60" i="8"/>
  <c r="JK101" i="3"/>
  <c r="JJ101" i="3"/>
  <c r="JL101" i="3"/>
  <c r="JM101" i="3"/>
  <c r="J59" i="8"/>
  <c r="C59" i="8"/>
  <c r="K59" i="8"/>
  <c r="N59" i="8"/>
  <c r="K57" i="8"/>
  <c r="J57" i="8"/>
  <c r="N57" i="8"/>
  <c r="JI101" i="3"/>
  <c r="IY8" i="3"/>
  <c r="Y108" i="3" s="1"/>
  <c r="IM8" i="3"/>
  <c r="N56" i="8"/>
  <c r="C56" i="8"/>
  <c r="K55" i="8"/>
  <c r="N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P59" i="8" l="1"/>
  <c r="P63" i="8"/>
  <c r="P61" i="8"/>
  <c r="C5" i="13"/>
  <c r="C92" i="13" s="1"/>
  <c r="C5" i="14"/>
  <c r="C37" i="13"/>
  <c r="C141" i="13" s="1"/>
  <c r="C37" i="14"/>
  <c r="C6" i="13"/>
  <c r="C93" i="13" s="1"/>
  <c r="C6" i="14"/>
  <c r="C30" i="13"/>
  <c r="C121" i="13" s="1"/>
  <c r="C30" i="14"/>
  <c r="C62" i="13"/>
  <c r="C166" i="13" s="1"/>
  <c r="C62" i="14"/>
  <c r="C15" i="13"/>
  <c r="C102" i="13" s="1"/>
  <c r="C15" i="14"/>
  <c r="C31" i="13"/>
  <c r="C131" i="13" s="1"/>
  <c r="C31" i="14"/>
  <c r="C55" i="13"/>
  <c r="C159" i="13" s="1"/>
  <c r="C55" i="14"/>
  <c r="C16" i="13"/>
  <c r="C103" i="13" s="1"/>
  <c r="C16" i="14"/>
  <c r="C40" i="13"/>
  <c r="C144" i="13" s="1"/>
  <c r="C40" i="14"/>
  <c r="C56" i="13"/>
  <c r="C160" i="13" s="1"/>
  <c r="C56" i="14"/>
  <c r="C17" i="13"/>
  <c r="C104" i="13" s="1"/>
  <c r="C17" i="14"/>
  <c r="C33" i="13"/>
  <c r="C123" i="13" s="1"/>
  <c r="C33" i="14"/>
  <c r="C49" i="13"/>
  <c r="C153" i="13" s="1"/>
  <c r="C49" i="14"/>
  <c r="C65" i="13"/>
  <c r="C169" i="13" s="1"/>
  <c r="C65" i="14"/>
  <c r="C4" i="13"/>
  <c r="C91" i="13" s="1"/>
  <c r="C4" i="14"/>
  <c r="C14" i="13"/>
  <c r="C101" i="13" s="1"/>
  <c r="C14" i="14"/>
  <c r="C22" i="13"/>
  <c r="C109" i="13" s="1"/>
  <c r="C22" i="14"/>
  <c r="C46" i="13"/>
  <c r="C150" i="13" s="1"/>
  <c r="C46" i="14"/>
  <c r="C7" i="13"/>
  <c r="C94" i="13" s="1"/>
  <c r="C7" i="14"/>
  <c r="C47" i="13"/>
  <c r="C151" i="13" s="1"/>
  <c r="C47" i="14"/>
  <c r="C8" i="13"/>
  <c r="C95" i="13" s="1"/>
  <c r="C8" i="14"/>
  <c r="C24" i="13"/>
  <c r="C111" i="13" s="1"/>
  <c r="C24" i="14"/>
  <c r="C32" i="13"/>
  <c r="C122" i="13" s="1"/>
  <c r="C32" i="14"/>
  <c r="C48" i="13"/>
  <c r="C152" i="13" s="1"/>
  <c r="C48" i="14"/>
  <c r="C64" i="13"/>
  <c r="C168" i="13" s="1"/>
  <c r="C64" i="14"/>
  <c r="C9" i="13"/>
  <c r="C96" i="13" s="1"/>
  <c r="C9" i="14"/>
  <c r="C25" i="13"/>
  <c r="C112" i="13" s="1"/>
  <c r="C25" i="14"/>
  <c r="C41" i="13"/>
  <c r="C145" i="13" s="1"/>
  <c r="C41" i="14"/>
  <c r="C57" i="13"/>
  <c r="C161" i="13" s="1"/>
  <c r="C57" i="14"/>
  <c r="C10" i="13"/>
  <c r="C97" i="13" s="1"/>
  <c r="C10" i="14"/>
  <c r="C18" i="13"/>
  <c r="C105" i="13" s="1"/>
  <c r="C18" i="14"/>
  <c r="C26" i="13"/>
  <c r="C118" i="13" s="1"/>
  <c r="C26" i="14"/>
  <c r="C34" i="13"/>
  <c r="C138" i="13" s="1"/>
  <c r="C34" i="14"/>
  <c r="C42" i="13"/>
  <c r="C146" i="13" s="1"/>
  <c r="C42" i="14"/>
  <c r="C50" i="13"/>
  <c r="C154" i="13" s="1"/>
  <c r="C50" i="14"/>
  <c r="C58" i="13"/>
  <c r="C162" i="13" s="1"/>
  <c r="C58" i="14"/>
  <c r="C66" i="13"/>
  <c r="C177" i="13" s="1"/>
  <c r="C66" i="14"/>
  <c r="C38" i="13"/>
  <c r="C142" i="13" s="1"/>
  <c r="C38" i="14"/>
  <c r="C54" i="13"/>
  <c r="C158" i="13" s="1"/>
  <c r="C54" i="14"/>
  <c r="C23" i="13"/>
  <c r="C110" i="13" s="1"/>
  <c r="C23" i="14"/>
  <c r="C39" i="13"/>
  <c r="C143" i="13" s="1"/>
  <c r="C39" i="14"/>
  <c r="C63" i="13"/>
  <c r="C167" i="13" s="1"/>
  <c r="C63" i="14"/>
  <c r="C19" i="13"/>
  <c r="C106" i="13" s="1"/>
  <c r="C19" i="14"/>
  <c r="C35" i="13"/>
  <c r="C139" i="13" s="1"/>
  <c r="C35" i="14"/>
  <c r="C51" i="13"/>
  <c r="C155" i="13" s="1"/>
  <c r="C51" i="14"/>
  <c r="C67" i="13"/>
  <c r="C178" i="13" s="1"/>
  <c r="C67" i="14"/>
  <c r="C13" i="13"/>
  <c r="C100" i="13" s="1"/>
  <c r="C13" i="14"/>
  <c r="C21" i="13"/>
  <c r="C108" i="13" s="1"/>
  <c r="C21" i="14"/>
  <c r="C29" i="13"/>
  <c r="C130" i="13" s="1"/>
  <c r="C29" i="14"/>
  <c r="C45" i="13"/>
  <c r="C149" i="13" s="1"/>
  <c r="C45" i="14"/>
  <c r="C53" i="13"/>
  <c r="C157" i="13" s="1"/>
  <c r="C53" i="14"/>
  <c r="C61" i="13"/>
  <c r="C165" i="13" s="1"/>
  <c r="C61" i="14"/>
  <c r="C11" i="13"/>
  <c r="C98" i="13" s="1"/>
  <c r="C11" i="14"/>
  <c r="C27" i="13"/>
  <c r="C119" i="13" s="1"/>
  <c r="C27" i="14"/>
  <c r="C43" i="13"/>
  <c r="C147" i="13" s="1"/>
  <c r="C43" i="14"/>
  <c r="C59" i="13"/>
  <c r="C163" i="13" s="1"/>
  <c r="C59" i="14"/>
  <c r="C12" i="13"/>
  <c r="C99" i="13" s="1"/>
  <c r="C12" i="14"/>
  <c r="C20" i="13"/>
  <c r="C107" i="13" s="1"/>
  <c r="C20" i="14"/>
  <c r="C28" i="13"/>
  <c r="C120" i="13" s="1"/>
  <c r="C28" i="14"/>
  <c r="C36" i="13"/>
  <c r="C140" i="13" s="1"/>
  <c r="C36" i="14"/>
  <c r="C44" i="13"/>
  <c r="C148" i="13" s="1"/>
  <c r="C44" i="14"/>
  <c r="C52" i="13"/>
  <c r="C156" i="13" s="1"/>
  <c r="C52" i="14"/>
  <c r="C60" i="13"/>
  <c r="C164" i="13" s="1"/>
  <c r="C60" i="14"/>
  <c r="C68" i="13"/>
  <c r="C199" i="13" s="1"/>
  <c r="C68" i="14"/>
  <c r="C3" i="13"/>
  <c r="C90" i="13" s="1"/>
  <c r="C3" i="14"/>
  <c r="IZ33" i="3"/>
  <c r="AA133" i="3" s="1"/>
  <c r="D28" i="13" s="1"/>
  <c r="E120" i="13" s="1"/>
  <c r="G120" i="13" s="1"/>
  <c r="IZ57" i="3"/>
  <c r="AA157" i="3" s="1"/>
  <c r="D52" i="13" s="1"/>
  <c r="E156" i="13" s="1"/>
  <c r="G156" i="13" s="1"/>
  <c r="IZ8" i="3"/>
  <c r="AA108" i="3" s="1"/>
  <c r="IZ9" i="3"/>
  <c r="AA109" i="3" s="1"/>
  <c r="D4" i="13" s="1"/>
  <c r="E91" i="13" s="1"/>
  <c r="G91" i="13" s="1"/>
  <c r="IZ34" i="3"/>
  <c r="AA134" i="3" s="1"/>
  <c r="D29" i="13" s="1"/>
  <c r="E130" i="13" s="1"/>
  <c r="IZ58" i="3"/>
  <c r="AA158" i="3" s="1"/>
  <c r="D53" i="13" s="1"/>
  <c r="E157" i="13" s="1"/>
  <c r="G157" i="13" s="1"/>
  <c r="IZ26" i="3"/>
  <c r="AA126" i="3" s="1"/>
  <c r="D21" i="13" s="1"/>
  <c r="E107" i="13" s="1"/>
  <c r="G107" i="13" s="1"/>
  <c r="IZ50" i="3"/>
  <c r="AA150" i="3" s="1"/>
  <c r="D45" i="13" s="1"/>
  <c r="E149" i="13" s="1"/>
  <c r="G149" i="13" s="1"/>
  <c r="IZ11" i="3"/>
  <c r="AA111" i="3" s="1"/>
  <c r="D6" i="13" s="1"/>
  <c r="E93" i="13" s="1"/>
  <c r="G93" i="13" s="1"/>
  <c r="IZ27" i="3"/>
  <c r="IZ59" i="3"/>
  <c r="AA159" i="3" s="1"/>
  <c r="D54" i="13" s="1"/>
  <c r="E158" i="13" s="1"/>
  <c r="G158" i="13" s="1"/>
  <c r="IZ36" i="3"/>
  <c r="AA136" i="3" s="1"/>
  <c r="D31" i="13" s="1"/>
  <c r="IZ60" i="3"/>
  <c r="AA160" i="3" s="1"/>
  <c r="D55" i="13" s="1"/>
  <c r="E159" i="13" s="1"/>
  <c r="G159" i="13" s="1"/>
  <c r="IZ49" i="3"/>
  <c r="AA149" i="3" s="1"/>
  <c r="D44" i="13" s="1"/>
  <c r="E148" i="13" s="1"/>
  <c r="G148" i="13" s="1"/>
  <c r="IZ18" i="3"/>
  <c r="AA118" i="3" s="1"/>
  <c r="D13" i="13" s="1"/>
  <c r="E100" i="13" s="1"/>
  <c r="G100" i="13" s="1"/>
  <c r="IZ42" i="3"/>
  <c r="AA142" i="3" s="1"/>
  <c r="D37" i="13" s="1"/>
  <c r="E141" i="13" s="1"/>
  <c r="G141" i="13" s="1"/>
  <c r="IZ12" i="3"/>
  <c r="AA112" i="3" s="1"/>
  <c r="D7" i="13" s="1"/>
  <c r="E94" i="13" s="1"/>
  <c r="G94" i="13" s="1"/>
  <c r="IZ28" i="3"/>
  <c r="AA128" i="3" s="1"/>
  <c r="D23" i="13" s="1"/>
  <c r="E109" i="13" s="1"/>
  <c r="G109" i="13" s="1"/>
  <c r="IZ52" i="3"/>
  <c r="AA152" i="3" s="1"/>
  <c r="D47" i="13" s="1"/>
  <c r="E151" i="13" s="1"/>
  <c r="G151" i="13" s="1"/>
  <c r="IZ25" i="3"/>
  <c r="AA125" i="3" s="1"/>
  <c r="D20" i="13" s="1"/>
  <c r="IZ73" i="3"/>
  <c r="AA173" i="3" s="1"/>
  <c r="D68" i="13" s="1"/>
  <c r="E199" i="13" s="1"/>
  <c r="IZ13" i="3"/>
  <c r="AA113" i="3" s="1"/>
  <c r="D8" i="13" s="1"/>
  <c r="E95" i="13" s="1"/>
  <c r="G95" i="13" s="1"/>
  <c r="IZ29" i="3"/>
  <c r="AA129" i="3" s="1"/>
  <c r="D24" i="13" s="1"/>
  <c r="E110" i="13" s="1"/>
  <c r="G110" i="13" s="1"/>
  <c r="IZ45" i="3"/>
  <c r="AA145" i="3" s="1"/>
  <c r="D40" i="13" s="1"/>
  <c r="E144" i="13" s="1"/>
  <c r="G144" i="13" s="1"/>
  <c r="IZ69" i="3"/>
  <c r="AA169" i="3" s="1"/>
  <c r="D64" i="13" s="1"/>
  <c r="E168" i="13" s="1"/>
  <c r="G168" i="13" s="1"/>
  <c r="IZ30" i="3"/>
  <c r="AA130" i="3" s="1"/>
  <c r="D25" i="13" s="1"/>
  <c r="E111" i="13" s="1"/>
  <c r="G111" i="13" s="1"/>
  <c r="IZ38" i="3"/>
  <c r="AA138" i="3" s="1"/>
  <c r="D33" i="13" s="1"/>
  <c r="E123" i="13" s="1"/>
  <c r="G123" i="13" s="1"/>
  <c r="IZ46" i="3"/>
  <c r="AA146" i="3" s="1"/>
  <c r="D41" i="13" s="1"/>
  <c r="E145" i="13" s="1"/>
  <c r="G145" i="13" s="1"/>
  <c r="IZ62" i="3"/>
  <c r="AA162" i="3" s="1"/>
  <c r="D57" i="13" s="1"/>
  <c r="E161" i="13" s="1"/>
  <c r="G161" i="13" s="1"/>
  <c r="IZ70" i="3"/>
  <c r="AA170" i="3" s="1"/>
  <c r="D65" i="13" s="1"/>
  <c r="E169" i="13" s="1"/>
  <c r="G169" i="13" s="1"/>
  <c r="IZ17" i="3"/>
  <c r="AA117" i="3" s="1"/>
  <c r="D12" i="13" s="1"/>
  <c r="E99" i="13" s="1"/>
  <c r="G99" i="13" s="1"/>
  <c r="IZ65" i="3"/>
  <c r="AA165" i="3" s="1"/>
  <c r="D60" i="13" s="1"/>
  <c r="E164" i="13" s="1"/>
  <c r="G164" i="13" s="1"/>
  <c r="IZ19" i="3"/>
  <c r="AA119" i="3" s="1"/>
  <c r="D14" i="13" s="1"/>
  <c r="E101" i="13" s="1"/>
  <c r="G101" i="13" s="1"/>
  <c r="IZ35" i="3"/>
  <c r="AA135" i="3" s="1"/>
  <c r="D30" i="13" s="1"/>
  <c r="E121" i="13" s="1"/>
  <c r="G121" i="13" s="1"/>
  <c r="IZ51" i="3"/>
  <c r="AA151" i="3" s="1"/>
  <c r="D46" i="13" s="1"/>
  <c r="E150" i="13" s="1"/>
  <c r="G150" i="13" s="1"/>
  <c r="IZ67" i="3"/>
  <c r="AA167" i="3" s="1"/>
  <c r="D62" i="13" s="1"/>
  <c r="E166" i="13" s="1"/>
  <c r="G166" i="13" s="1"/>
  <c r="IZ20" i="3"/>
  <c r="AA120" i="3" s="1"/>
  <c r="D15" i="13" s="1"/>
  <c r="E102" i="13" s="1"/>
  <c r="G102" i="13" s="1"/>
  <c r="IZ44" i="3"/>
  <c r="AA144" i="3" s="1"/>
  <c r="D39" i="13" s="1"/>
  <c r="E143" i="13" s="1"/>
  <c r="G143" i="13" s="1"/>
  <c r="IZ68" i="3"/>
  <c r="AA168" i="3" s="1"/>
  <c r="D63" i="13" s="1"/>
  <c r="E167" i="13" s="1"/>
  <c r="G167" i="13" s="1"/>
  <c r="IZ21" i="3"/>
  <c r="AA121" i="3" s="1"/>
  <c r="D16" i="13" s="1"/>
  <c r="E103" i="13" s="1"/>
  <c r="G103" i="13" s="1"/>
  <c r="IZ37" i="3"/>
  <c r="AA137" i="3" s="1"/>
  <c r="D32" i="13" s="1"/>
  <c r="E122" i="13" s="1"/>
  <c r="G122" i="13" s="1"/>
  <c r="IZ53" i="3"/>
  <c r="AA153" i="3" s="1"/>
  <c r="D48" i="13" s="1"/>
  <c r="E152" i="13" s="1"/>
  <c r="G152" i="13" s="1"/>
  <c r="IZ61" i="3"/>
  <c r="AA161" i="3" s="1"/>
  <c r="D56" i="13" s="1"/>
  <c r="E160" i="13" s="1"/>
  <c r="G160" i="13" s="1"/>
  <c r="IZ14" i="3"/>
  <c r="AA114" i="3" s="1"/>
  <c r="D9" i="13" s="1"/>
  <c r="E96" i="13" s="1"/>
  <c r="G96" i="13" s="1"/>
  <c r="IZ15" i="3"/>
  <c r="AA115" i="3" s="1"/>
  <c r="D10" i="13" s="1"/>
  <c r="E97" i="13" s="1"/>
  <c r="G97" i="13" s="1"/>
  <c r="IZ23" i="3"/>
  <c r="AA123" i="3" s="1"/>
  <c r="D18" i="13" s="1"/>
  <c r="E105" i="13" s="1"/>
  <c r="G105" i="13" s="1"/>
  <c r="IZ31" i="3"/>
  <c r="AA131" i="3" s="1"/>
  <c r="D26" i="13" s="1"/>
  <c r="E118" i="13" s="1"/>
  <c r="IZ39" i="3"/>
  <c r="AA139" i="3" s="1"/>
  <c r="D34" i="13" s="1"/>
  <c r="E138" i="13" s="1"/>
  <c r="IZ47" i="3"/>
  <c r="AA147" i="3" s="1"/>
  <c r="D42" i="13" s="1"/>
  <c r="E146" i="13" s="1"/>
  <c r="G146" i="13" s="1"/>
  <c r="IZ55" i="3"/>
  <c r="AA155" i="3" s="1"/>
  <c r="D50" i="13" s="1"/>
  <c r="E154" i="13" s="1"/>
  <c r="G154" i="13" s="1"/>
  <c r="IZ63" i="3"/>
  <c r="AA163" i="3" s="1"/>
  <c r="D58" i="13" s="1"/>
  <c r="E162" i="13" s="1"/>
  <c r="G162" i="13" s="1"/>
  <c r="IZ71" i="3"/>
  <c r="AA171" i="3" s="1"/>
  <c r="D66" i="13" s="1"/>
  <c r="E177" i="13" s="1"/>
  <c r="IZ41" i="3"/>
  <c r="AA141" i="3" s="1"/>
  <c r="D36" i="13" s="1"/>
  <c r="E140" i="13" s="1"/>
  <c r="G140" i="13" s="1"/>
  <c r="IZ16" i="3"/>
  <c r="AA116" i="3" s="1"/>
  <c r="D11" i="13" s="1"/>
  <c r="E98" i="13" s="1"/>
  <c r="G98" i="13" s="1"/>
  <c r="IZ24" i="3"/>
  <c r="AA124" i="3" s="1"/>
  <c r="D19" i="13" s="1"/>
  <c r="IZ32" i="3"/>
  <c r="AA132" i="3" s="1"/>
  <c r="D27" i="13" s="1"/>
  <c r="E119" i="13" s="1"/>
  <c r="G119" i="13" s="1"/>
  <c r="IZ40" i="3"/>
  <c r="AA140" i="3" s="1"/>
  <c r="D35" i="13" s="1"/>
  <c r="E139" i="13" s="1"/>
  <c r="G139" i="13" s="1"/>
  <c r="IZ48" i="3"/>
  <c r="AA148" i="3" s="1"/>
  <c r="D43" i="13" s="1"/>
  <c r="E147" i="13" s="1"/>
  <c r="G147" i="13" s="1"/>
  <c r="IZ56" i="3"/>
  <c r="AA156" i="3" s="1"/>
  <c r="D51" i="13" s="1"/>
  <c r="E155" i="13" s="1"/>
  <c r="G155" i="13" s="1"/>
  <c r="IZ64" i="3"/>
  <c r="AA164" i="3" s="1"/>
  <c r="D59" i="13" s="1"/>
  <c r="E163" i="13" s="1"/>
  <c r="G163" i="13" s="1"/>
  <c r="IZ72" i="3"/>
  <c r="AA172" i="3" s="1"/>
  <c r="D67" i="13" s="1"/>
  <c r="E178" i="13" s="1"/>
  <c r="G178" i="13" s="1"/>
  <c r="AM234" i="3"/>
  <c r="AN234" i="3" s="1"/>
  <c r="Q299" i="3"/>
  <c r="D183" i="16" s="1"/>
  <c r="IZ10" i="3"/>
  <c r="AA110" i="3" s="1"/>
  <c r="D5" i="13" s="1"/>
  <c r="E92" i="13" s="1"/>
  <c r="G92" i="13" s="1"/>
  <c r="IZ54" i="3"/>
  <c r="AA154" i="3" s="1"/>
  <c r="D49" i="13" s="1"/>
  <c r="E153" i="13" s="1"/>
  <c r="G153" i="13" s="1"/>
  <c r="KF27" i="3"/>
  <c r="KF101" i="3" s="1"/>
  <c r="IZ43" i="3"/>
  <c r="AA143" i="3" s="1"/>
  <c r="D38" i="13" s="1"/>
  <c r="E142" i="13" s="1"/>
  <c r="G142" i="13" s="1"/>
  <c r="IZ22" i="3"/>
  <c r="AA122" i="3" s="1"/>
  <c r="D17" i="13" s="1"/>
  <c r="E104" i="13" s="1"/>
  <c r="G104" i="13" s="1"/>
  <c r="IZ66" i="3"/>
  <c r="AA166" i="3" s="1"/>
  <c r="D61" i="13" s="1"/>
  <c r="E165" i="13" s="1"/>
  <c r="G165" i="13" s="1"/>
  <c r="C52" i="8"/>
  <c r="E105" i="10"/>
  <c r="E104" i="10"/>
  <c r="E103" i="10"/>
  <c r="E101" i="10"/>
  <c r="E102" i="10"/>
  <c r="E100" i="10"/>
  <c r="E165" i="10"/>
  <c r="E166" i="10" s="1"/>
  <c r="C176" i="10" s="1"/>
  <c r="C165" i="10"/>
  <c r="B165" i="10"/>
  <c r="H166" i="10"/>
  <c r="G176" i="10" s="1"/>
  <c r="F166" i="10"/>
  <c r="D176" i="10" s="1"/>
  <c r="H160" i="10"/>
  <c r="H152" i="10"/>
  <c r="C100" i="10"/>
  <c r="H95" i="10"/>
  <c r="E73" i="10"/>
  <c r="C94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D69" i="10"/>
  <c r="J54" i="8"/>
  <c r="N54" i="8"/>
  <c r="K54" i="8"/>
  <c r="H54" i="8"/>
  <c r="C54" i="8"/>
  <c r="N53" i="8"/>
  <c r="M53" i="8"/>
  <c r="C53" i="8"/>
  <c r="M52" i="8"/>
  <c r="N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G52" i="8"/>
  <c r="P52" i="8" s="1"/>
  <c r="AO234" i="3" l="1"/>
  <c r="H115" i="16" s="1"/>
  <c r="D115" i="16"/>
  <c r="E106" i="13"/>
  <c r="G106" i="13" s="1"/>
  <c r="R299" i="3"/>
  <c r="H183" i="16" s="1"/>
  <c r="C119" i="14"/>
  <c r="D112" i="13"/>
  <c r="C112" i="14"/>
  <c r="E171" i="13"/>
  <c r="C208" i="13" s="1"/>
  <c r="D3" i="13"/>
  <c r="E90" i="13" s="1"/>
  <c r="E194" i="13"/>
  <c r="C209" i="13" s="1"/>
  <c r="C39" i="1"/>
  <c r="D179" i="13"/>
  <c r="E131" i="13"/>
  <c r="G131" i="13" s="1"/>
  <c r="E124" i="13"/>
  <c r="C206" i="13" s="1"/>
  <c r="G118" i="13"/>
  <c r="G124" i="13" s="1"/>
  <c r="E200" i="13"/>
  <c r="C210" i="13" s="1"/>
  <c r="G199" i="13"/>
  <c r="G200" i="13" s="1"/>
  <c r="G130" i="13"/>
  <c r="G177" i="13"/>
  <c r="G194" i="13" s="1"/>
  <c r="AA127" i="3"/>
  <c r="D22" i="13" s="1"/>
  <c r="E108" i="13" s="1"/>
  <c r="G108" i="13" s="1"/>
  <c r="G138" i="13"/>
  <c r="G171" i="13" s="1"/>
  <c r="C20" i="1"/>
  <c r="IZ101" i="3"/>
  <c r="G165" i="10"/>
  <c r="G166" i="10" s="1"/>
  <c r="M50" i="8"/>
  <c r="N50" i="8"/>
  <c r="K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N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H112" i="13"/>
  <c r="D112" i="14"/>
  <c r="H179" i="13"/>
  <c r="D119" i="14"/>
  <c r="E132" i="13"/>
  <c r="C207" i="13" s="1"/>
  <c r="D86" i="13"/>
  <c r="G132" i="13"/>
  <c r="E207" i="13" s="1"/>
  <c r="E209" i="13"/>
  <c r="G195" i="13"/>
  <c r="F209" i="13" s="1"/>
  <c r="E208" i="13"/>
  <c r="G172" i="13"/>
  <c r="F208" i="13" s="1"/>
  <c r="G201" i="13"/>
  <c r="F210" i="13" s="1"/>
  <c r="E210" i="13"/>
  <c r="G125" i="13"/>
  <c r="F206" i="13" s="1"/>
  <c r="E206" i="13"/>
  <c r="G90" i="13"/>
  <c r="G113" i="13" s="1"/>
  <c r="E113" i="13"/>
  <c r="C205" i="13" s="1"/>
  <c r="G167" i="10"/>
  <c r="F176" i="10" s="1"/>
  <c r="E176" i="10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G49" i="8"/>
  <c r="K48" i="8"/>
  <c r="N48" i="8"/>
  <c r="C48" i="8"/>
  <c r="HV101" i="3"/>
  <c r="G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J5" i="1"/>
  <c r="J47" i="8"/>
  <c r="M47" i="8"/>
  <c r="K47" i="8"/>
  <c r="N47" i="8"/>
  <c r="C47" i="8"/>
  <c r="M46" i="8"/>
  <c r="J46" i="8"/>
  <c r="C46" i="8"/>
  <c r="N46" i="8"/>
  <c r="N45" i="8"/>
  <c r="K45" i="8"/>
  <c r="M45" i="8"/>
  <c r="N43" i="8"/>
  <c r="J43" i="8"/>
  <c r="P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N42" i="8"/>
  <c r="M42" i="8"/>
  <c r="K42" i="8"/>
  <c r="J42" i="8"/>
  <c r="C42" i="8"/>
  <c r="J41" i="8"/>
  <c r="P41" i="8" s="1"/>
  <c r="N41" i="8"/>
  <c r="M41" i="8"/>
  <c r="K41" i="8"/>
  <c r="P44" i="8"/>
  <c r="P45" i="8"/>
  <c r="P49" i="8"/>
  <c r="P50" i="8"/>
  <c r="P51" i="8"/>
  <c r="P53" i="8"/>
  <c r="P54" i="8"/>
  <c r="P55" i="8"/>
  <c r="P56" i="8"/>
  <c r="P57" i="8"/>
  <c r="P58" i="8"/>
  <c r="P60" i="8"/>
  <c r="P66" i="8"/>
  <c r="P67" i="8"/>
  <c r="P68" i="8"/>
  <c r="P69" i="8"/>
  <c r="P70" i="8"/>
  <c r="P71" i="8"/>
  <c r="P72" i="8"/>
  <c r="P73" i="8"/>
  <c r="P75" i="8"/>
  <c r="P76" i="8"/>
  <c r="P77" i="8"/>
  <c r="P78" i="8"/>
  <c r="P79" i="8"/>
  <c r="P80" i="8"/>
  <c r="P81" i="8"/>
  <c r="P82" i="8"/>
  <c r="P84" i="8"/>
  <c r="P85" i="8"/>
  <c r="P86" i="8"/>
  <c r="P87" i="8"/>
  <c r="P88" i="8"/>
  <c r="P89" i="8"/>
  <c r="P90" i="8"/>
  <c r="P91" i="8"/>
  <c r="P93" i="8"/>
  <c r="P95" i="8"/>
  <c r="P97" i="8"/>
  <c r="P98" i="8"/>
  <c r="P99" i="8"/>
  <c r="P100" i="8"/>
  <c r="P102" i="8"/>
  <c r="J40" i="8"/>
  <c r="P40" i="8" s="1"/>
  <c r="K40" i="8"/>
  <c r="N40" i="8"/>
  <c r="L318" i="3"/>
  <c r="I173" i="3"/>
  <c r="K173" i="3"/>
  <c r="M173" i="3"/>
  <c r="O173" i="3"/>
  <c r="Q173" i="3"/>
  <c r="S173" i="3"/>
  <c r="HL73" i="3"/>
  <c r="N39" i="8"/>
  <c r="I39" i="8"/>
  <c r="M39" i="8"/>
  <c r="P39" i="8" s="1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N38" i="8"/>
  <c r="P38" i="8" s="1"/>
  <c r="J38" i="8"/>
  <c r="K38" i="8"/>
  <c r="N36" i="8"/>
  <c r="J36" i="8"/>
  <c r="P36" i="8" s="1"/>
  <c r="N35" i="8"/>
  <c r="K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J35" i="8"/>
  <c r="C35" i="8"/>
  <c r="P26" i="8"/>
  <c r="P30" i="8"/>
  <c r="N34" i="8"/>
  <c r="P34" i="8" s="1"/>
  <c r="C34" i="8"/>
  <c r="J33" i="8"/>
  <c r="N33" i="8"/>
  <c r="K33" i="8"/>
  <c r="C33" i="8"/>
  <c r="H32" i="8"/>
  <c r="K32" i="8"/>
  <c r="J32" i="8"/>
  <c r="N32" i="8"/>
  <c r="C32" i="8"/>
  <c r="N31" i="8"/>
  <c r="J31" i="8"/>
  <c r="C31" i="8"/>
  <c r="K29" i="8"/>
  <c r="C29" i="8"/>
  <c r="J29" i="8"/>
  <c r="M29" i="8"/>
  <c r="N29" i="8"/>
  <c r="N28" i="8"/>
  <c r="H28" i="8"/>
  <c r="P28" i="8" s="1"/>
  <c r="K27" i="8"/>
  <c r="P27" i="8" s="1"/>
  <c r="J26" i="8"/>
  <c r="C26" i="8"/>
  <c r="N25" i="8"/>
  <c r="J25" i="8"/>
  <c r="C25" i="8"/>
  <c r="K24" i="8"/>
  <c r="P24" i="8" s="1"/>
  <c r="J24" i="8"/>
  <c r="C24" i="8"/>
  <c r="E89" i="10"/>
  <c r="G89" i="10" s="1"/>
  <c r="G175" i="10"/>
  <c r="G174" i="10"/>
  <c r="G172" i="10"/>
  <c r="F160" i="10"/>
  <c r="D175" i="10" s="1"/>
  <c r="E159" i="10"/>
  <c r="G159" i="10" s="1"/>
  <c r="E158" i="10"/>
  <c r="C159" i="10"/>
  <c r="C158" i="10"/>
  <c r="B159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20" i="10"/>
  <c r="E121" i="10"/>
  <c r="G121" i="10" s="1"/>
  <c r="E122" i="10"/>
  <c r="G122" i="10" s="1"/>
  <c r="E123" i="10"/>
  <c r="G123" i="10" s="1"/>
  <c r="E124" i="10"/>
  <c r="G124" i="10" s="1"/>
  <c r="E125" i="10"/>
  <c r="G125" i="10" s="1"/>
  <c r="E126" i="10"/>
  <c r="E127" i="10"/>
  <c r="G127" i="10" s="1"/>
  <c r="E128" i="10"/>
  <c r="G128" i="10" s="1"/>
  <c r="E129" i="10"/>
  <c r="G129" i="10" s="1"/>
  <c r="E130" i="10"/>
  <c r="G130" i="10" s="1"/>
  <c r="E131" i="10"/>
  <c r="G131" i="10" s="1"/>
  <c r="E132" i="10"/>
  <c r="G132" i="10" s="1"/>
  <c r="E133" i="10"/>
  <c r="G133" i="10" s="1"/>
  <c r="E134" i="10"/>
  <c r="G134" i="10" s="1"/>
  <c r="E135" i="10"/>
  <c r="G135" i="10" s="1"/>
  <c r="E136" i="10"/>
  <c r="G136" i="10" s="1"/>
  <c r="E137" i="10"/>
  <c r="G137" i="10" s="1"/>
  <c r="E138" i="10"/>
  <c r="G138" i="10" s="1"/>
  <c r="E139" i="10"/>
  <c r="G139" i="10" s="1"/>
  <c r="E140" i="10"/>
  <c r="G140" i="10" s="1"/>
  <c r="E141" i="10"/>
  <c r="G141" i="10" s="1"/>
  <c r="E142" i="10"/>
  <c r="G142" i="10" s="1"/>
  <c r="E143" i="10"/>
  <c r="G143" i="10" s="1"/>
  <c r="E144" i="10"/>
  <c r="G144" i="10" s="1"/>
  <c r="E145" i="10"/>
  <c r="G145" i="10" s="1"/>
  <c r="E146" i="10"/>
  <c r="G146" i="10" s="1"/>
  <c r="E147" i="10"/>
  <c r="G147" i="10" s="1"/>
  <c r="E148" i="10"/>
  <c r="G148" i="10" s="1"/>
  <c r="E149" i="10"/>
  <c r="G149" i="10" s="1"/>
  <c r="E150" i="10"/>
  <c r="G150" i="10" s="1"/>
  <c r="E151" i="10"/>
  <c r="G151" i="10" s="1"/>
  <c r="E120" i="10"/>
  <c r="G120" i="10" s="1"/>
  <c r="F152" i="10"/>
  <c r="D174" i="10" s="1"/>
  <c r="B149" i="10"/>
  <c r="B150" i="10"/>
  <c r="B151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20" i="10"/>
  <c r="F106" i="10"/>
  <c r="D172" i="10" s="1"/>
  <c r="E106" i="10"/>
  <c r="C172" i="10" s="1"/>
  <c r="H114" i="10"/>
  <c r="G173" i="10" s="1"/>
  <c r="E113" i="10"/>
  <c r="G113" i="10" s="1"/>
  <c r="E112" i="10"/>
  <c r="G112" i="10" s="1"/>
  <c r="C113" i="10"/>
  <c r="C112" i="10"/>
  <c r="G101" i="10"/>
  <c r="G102" i="10"/>
  <c r="G103" i="10"/>
  <c r="G104" i="10"/>
  <c r="G105" i="10"/>
  <c r="G100" i="10"/>
  <c r="C101" i="10"/>
  <c r="C102" i="10"/>
  <c r="C103" i="10"/>
  <c r="C104" i="10"/>
  <c r="C105" i="10"/>
  <c r="E90" i="10"/>
  <c r="G90" i="10" s="1"/>
  <c r="E91" i="10"/>
  <c r="G91" i="10" s="1"/>
  <c r="E92" i="10"/>
  <c r="G92" i="10" s="1"/>
  <c r="E93" i="10"/>
  <c r="G93" i="10" s="1"/>
  <c r="E94" i="10"/>
  <c r="G94" i="10" s="1"/>
  <c r="F95" i="10"/>
  <c r="D171" i="10" s="1"/>
  <c r="G171" i="10"/>
  <c r="E74" i="10"/>
  <c r="G74" i="10" s="1"/>
  <c r="E75" i="10"/>
  <c r="G75" i="10" s="1"/>
  <c r="E76" i="10"/>
  <c r="G76" i="10" s="1"/>
  <c r="E77" i="10"/>
  <c r="G77" i="10" s="1"/>
  <c r="E78" i="10"/>
  <c r="G78" i="10" s="1"/>
  <c r="E79" i="10"/>
  <c r="G79" i="10" s="1"/>
  <c r="E80" i="10"/>
  <c r="G80" i="10" s="1"/>
  <c r="E81" i="10"/>
  <c r="G81" i="10" s="1"/>
  <c r="E82" i="10"/>
  <c r="G82" i="10" s="1"/>
  <c r="E83" i="10"/>
  <c r="G83" i="10" s="1"/>
  <c r="E84" i="10"/>
  <c r="G84" i="10" s="1"/>
  <c r="E85" i="10"/>
  <c r="G85" i="10" s="1"/>
  <c r="E86" i="10"/>
  <c r="G86" i="10" s="1"/>
  <c r="E87" i="10"/>
  <c r="G87" i="10" s="1"/>
  <c r="E88" i="10"/>
  <c r="G88" i="10" s="1"/>
  <c r="G73" i="10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C91" i="10"/>
  <c r="C92" i="10"/>
  <c r="C93" i="10"/>
  <c r="C90" i="10"/>
  <c r="F114" i="10"/>
  <c r="D173" i="10" s="1"/>
  <c r="N22" i="8"/>
  <c r="C22" i="8"/>
  <c r="M21" i="8"/>
  <c r="K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J20" i="8"/>
  <c r="I15" i="7"/>
  <c r="I12" i="7"/>
  <c r="I13" i="7"/>
  <c r="I14" i="7"/>
  <c r="I11" i="7"/>
  <c r="I10" i="7"/>
  <c r="I9" i="7"/>
  <c r="I8" i="7"/>
  <c r="I7" i="7"/>
  <c r="I6" i="7"/>
  <c r="I5" i="7"/>
  <c r="L240" i="3"/>
  <c r="L241" i="3"/>
  <c r="L242" i="3"/>
  <c r="L243" i="3"/>
  <c r="L244" i="3"/>
  <c r="L239" i="3"/>
  <c r="N19" i="8"/>
  <c r="C19" i="8"/>
  <c r="J18" i="8"/>
  <c r="M18" i="8"/>
  <c r="K18" i="8"/>
  <c r="N18" i="8"/>
  <c r="K17" i="8"/>
  <c r="C17" i="8"/>
  <c r="N17" i="8"/>
  <c r="M15" i="8"/>
  <c r="J15" i="8"/>
  <c r="K15" i="8"/>
  <c r="N15" i="8"/>
  <c r="J13" i="8"/>
  <c r="K13" i="8"/>
  <c r="C13" i="8"/>
  <c r="P13" i="8" s="1"/>
  <c r="N13" i="8"/>
  <c r="O298" i="3"/>
  <c r="O297" i="3"/>
  <c r="I172" i="3"/>
  <c r="K172" i="3"/>
  <c r="M172" i="3"/>
  <c r="O172" i="3"/>
  <c r="N12" i="8"/>
  <c r="K12" i="8"/>
  <c r="K11" i="8"/>
  <c r="C11" i="8"/>
  <c r="J11" i="8"/>
  <c r="N10" i="8"/>
  <c r="P10" i="8" s="1"/>
  <c r="P9" i="8"/>
  <c r="P14" i="8"/>
  <c r="P16" i="8"/>
  <c r="P20" i="8"/>
  <c r="P22" i="8"/>
  <c r="P23" i="8"/>
  <c r="P37" i="8"/>
  <c r="N8" i="8"/>
  <c r="N7" i="8"/>
  <c r="H5" i="8"/>
  <c r="P5" i="8" s="1"/>
  <c r="N5" i="8"/>
  <c r="N6" i="8"/>
  <c r="K6" i="8"/>
  <c r="J6" i="8"/>
  <c r="I6" i="8"/>
  <c r="P12" i="8" l="1"/>
  <c r="P19" i="8"/>
  <c r="P25" i="8"/>
  <c r="P29" i="8"/>
  <c r="P32" i="8"/>
  <c r="P33" i="8"/>
  <c r="P42" i="8"/>
  <c r="P46" i="8"/>
  <c r="P47" i="8"/>
  <c r="P21" i="8"/>
  <c r="P11" i="8"/>
  <c r="P15" i="8"/>
  <c r="P18" i="8"/>
  <c r="P31" i="8"/>
  <c r="C98" i="1"/>
  <c r="K4" i="1" s="1"/>
  <c r="J10" i="1"/>
  <c r="J18" i="1"/>
  <c r="J26" i="1"/>
  <c r="J34" i="1"/>
  <c r="J42" i="1"/>
  <c r="J50" i="1"/>
  <c r="J58" i="1"/>
  <c r="J66" i="1"/>
  <c r="J73" i="1"/>
  <c r="J81" i="1"/>
  <c r="J13" i="1"/>
  <c r="J21" i="1"/>
  <c r="J29" i="1"/>
  <c r="J37" i="1"/>
  <c r="J45" i="1"/>
  <c r="J53" i="1"/>
  <c r="J61" i="1"/>
  <c r="J68" i="1"/>
  <c r="J84" i="1"/>
  <c r="J11" i="1"/>
  <c r="J19" i="1"/>
  <c r="J27" i="1"/>
  <c r="J35" i="1"/>
  <c r="J43" i="1"/>
  <c r="J51" i="1"/>
  <c r="J59" i="1"/>
  <c r="J74" i="1"/>
  <c r="J82" i="1"/>
  <c r="J8" i="1"/>
  <c r="J32" i="1"/>
  <c r="J48" i="1"/>
  <c r="J71" i="1"/>
  <c r="J87" i="1"/>
  <c r="J9" i="1"/>
  <c r="J17" i="1"/>
  <c r="J25" i="1"/>
  <c r="J41" i="1"/>
  <c r="J49" i="1"/>
  <c r="J57" i="1"/>
  <c r="J65" i="1"/>
  <c r="J80" i="1"/>
  <c r="J88" i="1"/>
  <c r="J12" i="1"/>
  <c r="J20" i="1"/>
  <c r="J28" i="1"/>
  <c r="J36" i="1"/>
  <c r="J44" i="1"/>
  <c r="J52" i="1"/>
  <c r="J60" i="1"/>
  <c r="J67" i="1"/>
  <c r="J75" i="1"/>
  <c r="J83" i="1"/>
  <c r="J76" i="1"/>
  <c r="J33" i="1"/>
  <c r="J72" i="1"/>
  <c r="J6" i="1"/>
  <c r="J14" i="1"/>
  <c r="J22" i="1"/>
  <c r="J30" i="1"/>
  <c r="J38" i="1"/>
  <c r="J46" i="1"/>
  <c r="J54" i="1"/>
  <c r="J62" i="1"/>
  <c r="J69" i="1"/>
  <c r="J77" i="1"/>
  <c r="J85" i="1"/>
  <c r="J16" i="1"/>
  <c r="J40" i="1"/>
  <c r="J56" i="1"/>
  <c r="J64" i="1"/>
  <c r="J79" i="1"/>
  <c r="J7" i="1"/>
  <c r="J15" i="1"/>
  <c r="J23" i="1"/>
  <c r="J31" i="1"/>
  <c r="J39" i="1"/>
  <c r="J47" i="1"/>
  <c r="J55" i="1"/>
  <c r="J63" i="1"/>
  <c r="J70" i="1"/>
  <c r="J78" i="1"/>
  <c r="J86" i="1"/>
  <c r="J24" i="1"/>
  <c r="X164" i="12"/>
  <c r="L237" i="12" s="1"/>
  <c r="M237" i="12" s="1"/>
  <c r="N237" i="12" s="1"/>
  <c r="P6" i="8"/>
  <c r="C211" i="13"/>
  <c r="C213" i="13" s="1"/>
  <c r="E213" i="13" s="1"/>
  <c r="F213" i="13" s="1"/>
  <c r="G133" i="13"/>
  <c r="F207" i="13" s="1"/>
  <c r="G114" i="13"/>
  <c r="F205" i="13" s="1"/>
  <c r="E205" i="13"/>
  <c r="E211" i="13" s="1"/>
  <c r="F211" i="13" s="1"/>
  <c r="G177" i="10"/>
  <c r="D177" i="10"/>
  <c r="U173" i="3"/>
  <c r="AN173" i="3" s="1"/>
  <c r="U109" i="3"/>
  <c r="G114" i="10"/>
  <c r="E173" i="10" s="1"/>
  <c r="E160" i="10"/>
  <c r="C175" i="10" s="1"/>
  <c r="G158" i="10"/>
  <c r="G160" i="10" s="1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P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P35" i="8"/>
  <c r="E152" i="10"/>
  <c r="C174" i="10" s="1"/>
  <c r="G126" i="10"/>
  <c r="G152" i="10" s="1"/>
  <c r="E114" i="10"/>
  <c r="C173" i="10" s="1"/>
  <c r="G106" i="10"/>
  <c r="E95" i="10"/>
  <c r="C171" i="10" s="1"/>
  <c r="G95" i="10"/>
  <c r="G96" i="10" s="1"/>
  <c r="G115" i="10"/>
  <c r="F173" i="10" s="1"/>
  <c r="P17" i="8"/>
  <c r="S172" i="3"/>
  <c r="Q172" i="3"/>
  <c r="AN172" i="3" s="1"/>
  <c r="N3" i="8"/>
  <c r="C3" i="8"/>
  <c r="P4" i="8"/>
  <c r="P7" i="8"/>
  <c r="P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J15" i="7"/>
  <c r="J14" i="7"/>
  <c r="I165" i="3"/>
  <c r="K165" i="3"/>
  <c r="M165" i="3"/>
  <c r="O165" i="3"/>
  <c r="I149" i="3"/>
  <c r="K149" i="3"/>
  <c r="M149" i="3"/>
  <c r="O149" i="3"/>
  <c r="K169" i="3"/>
  <c r="M169" i="3"/>
  <c r="O169" i="3"/>
  <c r="I169" i="3"/>
  <c r="P2" i="8"/>
  <c r="J6" i="7"/>
  <c r="J7" i="7"/>
  <c r="J8" i="7"/>
  <c r="J9" i="7"/>
  <c r="J10" i="7"/>
  <c r="J11" i="7"/>
  <c r="J12" i="7"/>
  <c r="J13" i="7"/>
  <c r="J5" i="7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C177" i="10"/>
  <c r="AN129" i="3"/>
  <c r="AM232" i="3" s="1"/>
  <c r="AN232" i="3" s="1"/>
  <c r="D113" i="16" s="1"/>
  <c r="AP149" i="3"/>
  <c r="AP165" i="3"/>
  <c r="AP169" i="3"/>
  <c r="AP126" i="3"/>
  <c r="P298" i="3"/>
  <c r="Q298" i="3" s="1"/>
  <c r="D182" i="16" s="1"/>
  <c r="AM231" i="3"/>
  <c r="AN231" i="3" s="1"/>
  <c r="M318" i="3"/>
  <c r="N318" i="3" s="1"/>
  <c r="C43" i="1" s="1"/>
  <c r="W135" i="3"/>
  <c r="G107" i="10"/>
  <c r="F172" i="10" s="1"/>
  <c r="E172" i="10"/>
  <c r="G153" i="10"/>
  <c r="F174" i="10" s="1"/>
  <c r="E174" i="10"/>
  <c r="E175" i="10"/>
  <c r="G161" i="10"/>
  <c r="F175" i="10" s="1"/>
  <c r="W110" i="3"/>
  <c r="W118" i="3"/>
  <c r="N275" i="12"/>
  <c r="X202" i="12"/>
  <c r="HX101" i="3"/>
  <c r="GR101" i="3"/>
  <c r="Q108" i="3"/>
  <c r="EP8" i="3"/>
  <c r="S108" i="3" s="1"/>
  <c r="F171" i="10"/>
  <c r="E171" i="10"/>
  <c r="Q161" i="3"/>
  <c r="J16" i="7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P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Q215" i="6"/>
  <c r="E224" i="6" s="1"/>
  <c r="P215" i="6"/>
  <c r="R215" i="6" s="1"/>
  <c r="R216" i="6" s="1"/>
  <c r="M215" i="6"/>
  <c r="U210" i="6"/>
  <c r="Q210" i="6"/>
  <c r="U209" i="6"/>
  <c r="Q209" i="6"/>
  <c r="U208" i="6"/>
  <c r="Q208" i="6"/>
  <c r="U207" i="6"/>
  <c r="Q207" i="6"/>
  <c r="U206" i="6"/>
  <c r="Q206" i="6"/>
  <c r="U205" i="6"/>
  <c r="Q205" i="6"/>
  <c r="U204" i="6"/>
  <c r="Q204" i="6"/>
  <c r="U203" i="6"/>
  <c r="Q203" i="6"/>
  <c r="U202" i="6"/>
  <c r="Q202" i="6"/>
  <c r="U201" i="6"/>
  <c r="Q201" i="6"/>
  <c r="U200" i="6"/>
  <c r="Q200" i="6"/>
  <c r="U199" i="6"/>
  <c r="Q199" i="6"/>
  <c r="U198" i="6"/>
  <c r="Q198" i="6"/>
  <c r="U197" i="6"/>
  <c r="Q197" i="6"/>
  <c r="U196" i="6"/>
  <c r="Q196" i="6"/>
  <c r="U195" i="6"/>
  <c r="Q195" i="6"/>
  <c r="U194" i="6"/>
  <c r="Q194" i="6"/>
  <c r="U193" i="6"/>
  <c r="Q193" i="6"/>
  <c r="U192" i="6"/>
  <c r="Q192" i="6"/>
  <c r="U191" i="6"/>
  <c r="Q191" i="6"/>
  <c r="U190" i="6"/>
  <c r="Q190" i="6"/>
  <c r="U189" i="6"/>
  <c r="Q189" i="6"/>
  <c r="U188" i="6"/>
  <c r="Q188" i="6"/>
  <c r="U187" i="6"/>
  <c r="Q187" i="6"/>
  <c r="U186" i="6"/>
  <c r="Q186" i="6"/>
  <c r="U185" i="6"/>
  <c r="Q185" i="6"/>
  <c r="U184" i="6"/>
  <c r="Q184" i="6"/>
  <c r="U183" i="6"/>
  <c r="Q183" i="6"/>
  <c r="U182" i="6"/>
  <c r="Q182" i="6"/>
  <c r="U175" i="6"/>
  <c r="T175" i="6"/>
  <c r="V175" i="6" s="1"/>
  <c r="Q175" i="6"/>
  <c r="U174" i="6"/>
  <c r="T174" i="6"/>
  <c r="Q174" i="6"/>
  <c r="U167" i="6"/>
  <c r="T167" i="6"/>
  <c r="V167" i="6" s="1"/>
  <c r="Q167" i="6"/>
  <c r="U166" i="6"/>
  <c r="T166" i="6"/>
  <c r="V166" i="6" s="1"/>
  <c r="Q166" i="6"/>
  <c r="U165" i="6"/>
  <c r="V165" i="6" s="1"/>
  <c r="T165" i="6"/>
  <c r="Q165" i="6"/>
  <c r="U164" i="6"/>
  <c r="T164" i="6"/>
  <c r="V164" i="6" s="1"/>
  <c r="Q164" i="6"/>
  <c r="U163" i="6"/>
  <c r="T163" i="6"/>
  <c r="Q163" i="6"/>
  <c r="U162" i="6"/>
  <c r="T162" i="6"/>
  <c r="V162" i="6" s="1"/>
  <c r="Q162" i="6"/>
  <c r="AC157" i="6"/>
  <c r="AB157" i="6"/>
  <c r="Y157" i="6"/>
  <c r="AC156" i="6"/>
  <c r="AD156" i="6" s="1"/>
  <c r="AB156" i="6"/>
  <c r="Y156" i="6"/>
  <c r="AC155" i="6"/>
  <c r="AB155" i="6"/>
  <c r="AD155" i="6" s="1"/>
  <c r="Y155" i="6"/>
  <c r="AC154" i="6"/>
  <c r="AB154" i="6"/>
  <c r="Y154" i="6"/>
  <c r="AC153" i="6"/>
  <c r="AB153" i="6"/>
  <c r="Y153" i="6"/>
  <c r="AC152" i="6"/>
  <c r="AB152" i="6"/>
  <c r="Y152" i="6"/>
  <c r="AC151" i="6"/>
  <c r="AB151" i="6"/>
  <c r="Y151" i="6"/>
  <c r="AC150" i="6"/>
  <c r="AB150" i="6"/>
  <c r="Y150" i="6"/>
  <c r="AC149" i="6"/>
  <c r="AB149" i="6"/>
  <c r="Y149" i="6"/>
  <c r="AC148" i="6"/>
  <c r="AB148" i="6"/>
  <c r="AD148" i="6" s="1"/>
  <c r="Y148" i="6"/>
  <c r="AC147" i="6"/>
  <c r="AD147" i="6" s="1"/>
  <c r="AB147" i="6"/>
  <c r="Y147" i="6"/>
  <c r="AC146" i="6"/>
  <c r="AB146" i="6"/>
  <c r="Y146" i="6"/>
  <c r="AC145" i="6"/>
  <c r="AB145" i="6"/>
  <c r="AD145" i="6" s="1"/>
  <c r="Y145" i="6"/>
  <c r="AC144" i="6"/>
  <c r="AB144" i="6"/>
  <c r="Y144" i="6"/>
  <c r="AC143" i="6"/>
  <c r="AB143" i="6"/>
  <c r="Y143" i="6"/>
  <c r="AC142" i="6"/>
  <c r="AB142" i="6"/>
  <c r="AD142" i="6" s="1"/>
  <c r="Y142" i="6"/>
  <c r="AC141" i="6"/>
  <c r="AB141" i="6"/>
  <c r="Y141" i="6"/>
  <c r="AC140" i="6"/>
  <c r="AB140" i="6"/>
  <c r="AD140" i="6" s="1"/>
  <c r="Y140" i="6"/>
  <c r="I89" i="6"/>
  <c r="DO64" i="6"/>
  <c r="DP64" i="6" s="1"/>
  <c r="CU64" i="6"/>
  <c r="CV64" i="6" s="1"/>
  <c r="CC64" i="6"/>
  <c r="CD64" i="6" s="1"/>
  <c r="BJ64" i="6"/>
  <c r="BK64" i="6" s="1"/>
  <c r="AX64" i="6"/>
  <c r="AY64" i="6" s="1"/>
  <c r="AJ64" i="6"/>
  <c r="AK64" i="6" s="1"/>
  <c r="Y64" i="6"/>
  <c r="Z64" i="6" s="1"/>
  <c r="M64" i="6"/>
  <c r="N64" i="6" s="1"/>
  <c r="DO63" i="6"/>
  <c r="DP63" i="6" s="1"/>
  <c r="CU63" i="6"/>
  <c r="CV63" i="6" s="1"/>
  <c r="CC63" i="6"/>
  <c r="CD63" i="6" s="1"/>
  <c r="BJ63" i="6"/>
  <c r="M127" i="6" s="1"/>
  <c r="AX63" i="6"/>
  <c r="AY63" i="6" s="1"/>
  <c r="AJ63" i="6"/>
  <c r="AK63" i="6" s="1"/>
  <c r="Y63" i="6"/>
  <c r="Z63" i="6" s="1"/>
  <c r="M63" i="6"/>
  <c r="N63" i="6" s="1"/>
  <c r="DO62" i="6"/>
  <c r="DP62" i="6" s="1"/>
  <c r="CU62" i="6"/>
  <c r="CV62" i="6" s="1"/>
  <c r="CC62" i="6"/>
  <c r="CD62" i="6" s="1"/>
  <c r="BJ62" i="6"/>
  <c r="BK62" i="6" s="1"/>
  <c r="AX62" i="6"/>
  <c r="AY62" i="6" s="1"/>
  <c r="AJ62" i="6"/>
  <c r="AK62" i="6" s="1"/>
  <c r="Y62" i="6"/>
  <c r="Z62" i="6" s="1"/>
  <c r="M62" i="6"/>
  <c r="N62" i="6" s="1"/>
  <c r="DO61" i="6"/>
  <c r="DP61" i="6" s="1"/>
  <c r="CU61" i="6"/>
  <c r="CV61" i="6" s="1"/>
  <c r="CC61" i="6"/>
  <c r="CD61" i="6" s="1"/>
  <c r="BJ61" i="6"/>
  <c r="BK61" i="6" s="1"/>
  <c r="AX61" i="6"/>
  <c r="AY61" i="6" s="1"/>
  <c r="AJ61" i="6"/>
  <c r="AK61" i="6" s="1"/>
  <c r="Y61" i="6"/>
  <c r="Z61" i="6" s="1"/>
  <c r="M61" i="6"/>
  <c r="N61" i="6" s="1"/>
  <c r="K125" i="6" s="1"/>
  <c r="DO60" i="6"/>
  <c r="DP60" i="6" s="1"/>
  <c r="CU60" i="6"/>
  <c r="CV60" i="6" s="1"/>
  <c r="CC60" i="6"/>
  <c r="CD60" i="6" s="1"/>
  <c r="BJ60" i="6"/>
  <c r="BK60" i="6" s="1"/>
  <c r="AX60" i="6"/>
  <c r="AY60" i="6" s="1"/>
  <c r="AJ60" i="6"/>
  <c r="AK60" i="6" s="1"/>
  <c r="Y60" i="6"/>
  <c r="Z60" i="6" s="1"/>
  <c r="M60" i="6"/>
  <c r="N60" i="6" s="1"/>
  <c r="DO59" i="6"/>
  <c r="DP59" i="6" s="1"/>
  <c r="CU59" i="6"/>
  <c r="CV59" i="6" s="1"/>
  <c r="CC59" i="6"/>
  <c r="CD59" i="6" s="1"/>
  <c r="BJ59" i="6"/>
  <c r="BK59" i="6" s="1"/>
  <c r="AX59" i="6"/>
  <c r="AY59" i="6" s="1"/>
  <c r="AJ59" i="6"/>
  <c r="AK59" i="6" s="1"/>
  <c r="Y59" i="6"/>
  <c r="Z59" i="6" s="1"/>
  <c r="M59" i="6"/>
  <c r="N59" i="6" s="1"/>
  <c r="DO58" i="6"/>
  <c r="DP58" i="6" s="1"/>
  <c r="CU58" i="6"/>
  <c r="CV58" i="6" s="1"/>
  <c r="CC58" i="6"/>
  <c r="CD58" i="6" s="1"/>
  <c r="BK58" i="6"/>
  <c r="BJ58" i="6"/>
  <c r="AX58" i="6"/>
  <c r="AY58" i="6" s="1"/>
  <c r="AJ58" i="6"/>
  <c r="AK58" i="6" s="1"/>
  <c r="Y58" i="6"/>
  <c r="Z58" i="6" s="1"/>
  <c r="M58" i="6"/>
  <c r="N58" i="6" s="1"/>
  <c r="DO57" i="6"/>
  <c r="DP57" i="6" s="1"/>
  <c r="CU57" i="6"/>
  <c r="CV57" i="6" s="1"/>
  <c r="CC57" i="6"/>
  <c r="CD57" i="6" s="1"/>
  <c r="BJ57" i="6"/>
  <c r="BK57" i="6" s="1"/>
  <c r="AX57" i="6"/>
  <c r="AY57" i="6" s="1"/>
  <c r="AJ57" i="6"/>
  <c r="AK57" i="6" s="1"/>
  <c r="Y57" i="6"/>
  <c r="Z57" i="6" s="1"/>
  <c r="N57" i="6"/>
  <c r="M57" i="6"/>
  <c r="DO56" i="6"/>
  <c r="DP56" i="6" s="1"/>
  <c r="CU56" i="6"/>
  <c r="CV56" i="6" s="1"/>
  <c r="CC56" i="6"/>
  <c r="CD56" i="6" s="1"/>
  <c r="BJ56" i="6"/>
  <c r="BK56" i="6" s="1"/>
  <c r="O120" i="6" s="1"/>
  <c r="AX56" i="6"/>
  <c r="AY56" i="6" s="1"/>
  <c r="AJ56" i="6"/>
  <c r="AK56" i="6" s="1"/>
  <c r="Y56" i="6"/>
  <c r="Z56" i="6" s="1"/>
  <c r="N56" i="6"/>
  <c r="M56" i="6"/>
  <c r="DO55" i="6"/>
  <c r="DP55" i="6" s="1"/>
  <c r="CU55" i="6"/>
  <c r="CV55" i="6" s="1"/>
  <c r="CC55" i="6"/>
  <c r="CD55" i="6" s="1"/>
  <c r="BJ55" i="6"/>
  <c r="BK55" i="6" s="1"/>
  <c r="AX55" i="6"/>
  <c r="AY55" i="6" s="1"/>
  <c r="AJ55" i="6"/>
  <c r="AK55" i="6" s="1"/>
  <c r="Y55" i="6"/>
  <c r="Z55" i="6" s="1"/>
  <c r="N55" i="6"/>
  <c r="M55" i="6"/>
  <c r="DO54" i="6"/>
  <c r="DP54" i="6" s="1"/>
  <c r="CU54" i="6"/>
  <c r="CV54" i="6" s="1"/>
  <c r="CC54" i="6"/>
  <c r="CD54" i="6" s="1"/>
  <c r="BJ54" i="6"/>
  <c r="BK54" i="6" s="1"/>
  <c r="AX54" i="6"/>
  <c r="AY54" i="6" s="1"/>
  <c r="AJ54" i="6"/>
  <c r="AK54" i="6" s="1"/>
  <c r="Y54" i="6"/>
  <c r="Z54" i="6" s="1"/>
  <c r="M54" i="6"/>
  <c r="N54" i="6" s="1"/>
  <c r="DO53" i="6"/>
  <c r="DP53" i="6" s="1"/>
  <c r="CU53" i="6"/>
  <c r="CV53" i="6" s="1"/>
  <c r="CD53" i="6"/>
  <c r="CC53" i="6"/>
  <c r="BK53" i="6"/>
  <c r="BJ53" i="6"/>
  <c r="AX53" i="6"/>
  <c r="AY53" i="6" s="1"/>
  <c r="AJ53" i="6"/>
  <c r="AK53" i="6" s="1"/>
  <c r="Y53" i="6"/>
  <c r="Z53" i="6" s="1"/>
  <c r="M53" i="6"/>
  <c r="N53" i="6" s="1"/>
  <c r="DO52" i="6"/>
  <c r="DP52" i="6" s="1"/>
  <c r="CU52" i="6"/>
  <c r="CV52" i="6" s="1"/>
  <c r="CC52" i="6"/>
  <c r="CD52" i="6" s="1"/>
  <c r="BJ52" i="6"/>
  <c r="AX52" i="6"/>
  <c r="AY52" i="6" s="1"/>
  <c r="AJ52" i="6"/>
  <c r="AK52" i="6" s="1"/>
  <c r="Y52" i="6"/>
  <c r="Z52" i="6" s="1"/>
  <c r="M52" i="6"/>
  <c r="DO51" i="6"/>
  <c r="DP51" i="6" s="1"/>
  <c r="CU51" i="6"/>
  <c r="CV51" i="6" s="1"/>
  <c r="CC51" i="6"/>
  <c r="CD51" i="6" s="1"/>
  <c r="BJ51" i="6"/>
  <c r="AX51" i="6"/>
  <c r="AY51" i="6" s="1"/>
  <c r="AJ51" i="6"/>
  <c r="AK51" i="6" s="1"/>
  <c r="Y51" i="6"/>
  <c r="Z51" i="6" s="1"/>
  <c r="M51" i="6"/>
  <c r="N51" i="6" s="1"/>
  <c r="DO50" i="6"/>
  <c r="DP50" i="6" s="1"/>
  <c r="CU50" i="6"/>
  <c r="CV50" i="6" s="1"/>
  <c r="CC50" i="6"/>
  <c r="CD50" i="6" s="1"/>
  <c r="BJ50" i="6"/>
  <c r="AX50" i="6"/>
  <c r="AY50" i="6" s="1"/>
  <c r="AJ50" i="6"/>
  <c r="AK50" i="6" s="1"/>
  <c r="Y50" i="6"/>
  <c r="Z50" i="6" s="1"/>
  <c r="M50" i="6"/>
  <c r="DO49" i="6"/>
  <c r="DP49" i="6" s="1"/>
  <c r="CU49" i="6"/>
  <c r="CV49" i="6" s="1"/>
  <c r="CD49" i="6"/>
  <c r="CC49" i="6"/>
  <c r="BJ49" i="6"/>
  <c r="AX49" i="6"/>
  <c r="AY49" i="6" s="1"/>
  <c r="AJ49" i="6"/>
  <c r="AK49" i="6" s="1"/>
  <c r="Y49" i="6"/>
  <c r="Z49" i="6" s="1"/>
  <c r="M49" i="6"/>
  <c r="N49" i="6" s="1"/>
  <c r="DO48" i="6"/>
  <c r="DP48" i="6" s="1"/>
  <c r="CU48" i="6"/>
  <c r="CV48" i="6" s="1"/>
  <c r="CC48" i="6"/>
  <c r="CD48" i="6" s="1"/>
  <c r="BJ48" i="6"/>
  <c r="AX48" i="6"/>
  <c r="AY48" i="6" s="1"/>
  <c r="AJ48" i="6"/>
  <c r="AK48" i="6" s="1"/>
  <c r="Y48" i="6"/>
  <c r="Z48" i="6" s="1"/>
  <c r="M48" i="6"/>
  <c r="DO47" i="6"/>
  <c r="DP47" i="6" s="1"/>
  <c r="CU47" i="6"/>
  <c r="CV47" i="6" s="1"/>
  <c r="CC47" i="6"/>
  <c r="CD47" i="6" s="1"/>
  <c r="BJ47" i="6"/>
  <c r="AX47" i="6"/>
  <c r="AY47" i="6" s="1"/>
  <c r="AJ47" i="6"/>
  <c r="AK47" i="6" s="1"/>
  <c r="Y47" i="6"/>
  <c r="Z47" i="6" s="1"/>
  <c r="N47" i="6"/>
  <c r="M47" i="6"/>
  <c r="DO46" i="6"/>
  <c r="DP46" i="6" s="1"/>
  <c r="CU46" i="6"/>
  <c r="CV46" i="6" s="1"/>
  <c r="CC46" i="6"/>
  <c r="CD46" i="6" s="1"/>
  <c r="BJ46" i="6"/>
  <c r="AX46" i="6"/>
  <c r="AY46" i="6" s="1"/>
  <c r="AJ46" i="6"/>
  <c r="AK46" i="6" s="1"/>
  <c r="Y46" i="6"/>
  <c r="Z46" i="6" s="1"/>
  <c r="M46" i="6"/>
  <c r="DO45" i="6"/>
  <c r="DP45" i="6" s="1"/>
  <c r="CU45" i="6"/>
  <c r="CV45" i="6" s="1"/>
  <c r="CC45" i="6"/>
  <c r="CD45" i="6" s="1"/>
  <c r="BJ45" i="6"/>
  <c r="AX45" i="6"/>
  <c r="AY45" i="6" s="1"/>
  <c r="AJ45" i="6"/>
  <c r="AK45" i="6" s="1"/>
  <c r="Y45" i="6"/>
  <c r="Z45" i="6" s="1"/>
  <c r="M45" i="6"/>
  <c r="N45" i="6" s="1"/>
  <c r="DO44" i="6"/>
  <c r="DP44" i="6" s="1"/>
  <c r="CU44" i="6"/>
  <c r="CV44" i="6" s="1"/>
  <c r="CC44" i="6"/>
  <c r="CD44" i="6" s="1"/>
  <c r="BJ44" i="6"/>
  <c r="AX44" i="6"/>
  <c r="AY44" i="6" s="1"/>
  <c r="AJ44" i="6"/>
  <c r="AK44" i="6" s="1"/>
  <c r="Y44" i="6"/>
  <c r="Z44" i="6" s="1"/>
  <c r="M44" i="6"/>
  <c r="DO43" i="6"/>
  <c r="DP43" i="6" s="1"/>
  <c r="CU43" i="6"/>
  <c r="CV43" i="6" s="1"/>
  <c r="CC43" i="6"/>
  <c r="CD43" i="6" s="1"/>
  <c r="BJ43" i="6"/>
  <c r="AX43" i="6"/>
  <c r="AY43" i="6" s="1"/>
  <c r="AJ43" i="6"/>
  <c r="AK43" i="6" s="1"/>
  <c r="Y43" i="6"/>
  <c r="Z43" i="6" s="1"/>
  <c r="M43" i="6"/>
  <c r="N43" i="6" s="1"/>
  <c r="DO42" i="6"/>
  <c r="DP42" i="6" s="1"/>
  <c r="CU42" i="6"/>
  <c r="CV42" i="6" s="1"/>
  <c r="CD42" i="6"/>
  <c r="CC42" i="6"/>
  <c r="BJ42" i="6"/>
  <c r="AX42" i="6"/>
  <c r="AY42" i="6" s="1"/>
  <c r="AJ42" i="6"/>
  <c r="AK42" i="6" s="1"/>
  <c r="Y42" i="6"/>
  <c r="Z42" i="6" s="1"/>
  <c r="M42" i="6"/>
  <c r="DO41" i="6"/>
  <c r="DP41" i="6" s="1"/>
  <c r="CU41" i="6"/>
  <c r="CV41" i="6" s="1"/>
  <c r="CC41" i="6"/>
  <c r="CD41" i="6" s="1"/>
  <c r="BJ41" i="6"/>
  <c r="AX41" i="6"/>
  <c r="AY41" i="6" s="1"/>
  <c r="AJ41" i="6"/>
  <c r="AK41" i="6" s="1"/>
  <c r="Y41" i="6"/>
  <c r="Z41" i="6" s="1"/>
  <c r="M41" i="6"/>
  <c r="DO40" i="6"/>
  <c r="DP40" i="6" s="1"/>
  <c r="CU40" i="6"/>
  <c r="CV40" i="6" s="1"/>
  <c r="CC40" i="6"/>
  <c r="CD40" i="6" s="1"/>
  <c r="BJ40" i="6"/>
  <c r="BK40" i="6" s="1"/>
  <c r="AX40" i="6"/>
  <c r="AY40" i="6" s="1"/>
  <c r="AJ40" i="6"/>
  <c r="AK40" i="6" s="1"/>
  <c r="Y40" i="6"/>
  <c r="Z40" i="6" s="1"/>
  <c r="M40" i="6"/>
  <c r="DO39" i="6"/>
  <c r="DP39" i="6" s="1"/>
  <c r="CU39" i="6"/>
  <c r="CV39" i="6" s="1"/>
  <c r="CC39" i="6"/>
  <c r="CD39" i="6" s="1"/>
  <c r="BJ39" i="6"/>
  <c r="AY39" i="6"/>
  <c r="AX39" i="6"/>
  <c r="AJ39" i="6"/>
  <c r="AK39" i="6" s="1"/>
  <c r="Y39" i="6"/>
  <c r="Z39" i="6" s="1"/>
  <c r="M39" i="6"/>
  <c r="N39" i="6" s="1"/>
  <c r="DO38" i="6"/>
  <c r="DP38" i="6" s="1"/>
  <c r="CU38" i="6"/>
  <c r="CV38" i="6" s="1"/>
  <c r="CD38" i="6"/>
  <c r="CC38" i="6"/>
  <c r="BJ38" i="6"/>
  <c r="AX38" i="6"/>
  <c r="AY38" i="6" s="1"/>
  <c r="AJ38" i="6"/>
  <c r="AK38" i="6" s="1"/>
  <c r="Y38" i="6"/>
  <c r="Z38" i="6" s="1"/>
  <c r="M38" i="6"/>
  <c r="DO37" i="6"/>
  <c r="DP37" i="6" s="1"/>
  <c r="CU37" i="6"/>
  <c r="CV37" i="6" s="1"/>
  <c r="CD37" i="6"/>
  <c r="CC37" i="6"/>
  <c r="BJ37" i="6"/>
  <c r="BK37" i="6" s="1"/>
  <c r="AX37" i="6"/>
  <c r="AY37" i="6" s="1"/>
  <c r="AJ37" i="6"/>
  <c r="AK37" i="6" s="1"/>
  <c r="Y37" i="6"/>
  <c r="Z37" i="6" s="1"/>
  <c r="M37" i="6"/>
  <c r="DO36" i="6"/>
  <c r="DP36" i="6" s="1"/>
  <c r="CU36" i="6"/>
  <c r="CV36" i="6" s="1"/>
  <c r="CC36" i="6"/>
  <c r="CD36" i="6" s="1"/>
  <c r="BJ36" i="6"/>
  <c r="BK36" i="6" s="1"/>
  <c r="AX36" i="6"/>
  <c r="AY36" i="6" s="1"/>
  <c r="AJ36" i="6"/>
  <c r="AK36" i="6" s="1"/>
  <c r="Y36" i="6"/>
  <c r="Z36" i="6" s="1"/>
  <c r="M36" i="6"/>
  <c r="DO35" i="6"/>
  <c r="DP35" i="6" s="1"/>
  <c r="CU35" i="6"/>
  <c r="CV35" i="6" s="1"/>
  <c r="CC35" i="6"/>
  <c r="CD35" i="6" s="1"/>
  <c r="BJ35" i="6"/>
  <c r="AX35" i="6"/>
  <c r="AY35" i="6" s="1"/>
  <c r="AJ35" i="6"/>
  <c r="AK35" i="6" s="1"/>
  <c r="Y35" i="6"/>
  <c r="Z35" i="6" s="1"/>
  <c r="M35" i="6"/>
  <c r="DO34" i="6"/>
  <c r="DP34" i="6" s="1"/>
  <c r="CU34" i="6"/>
  <c r="CV34" i="6" s="1"/>
  <c r="CC34" i="6"/>
  <c r="CD34" i="6" s="1"/>
  <c r="BJ34" i="6"/>
  <c r="AX34" i="6"/>
  <c r="AY34" i="6" s="1"/>
  <c r="AJ34" i="6"/>
  <c r="AK34" i="6" s="1"/>
  <c r="Y34" i="6"/>
  <c r="Z34" i="6" s="1"/>
  <c r="M34" i="6"/>
  <c r="DO33" i="6"/>
  <c r="DP33" i="6" s="1"/>
  <c r="CU33" i="6"/>
  <c r="CV33" i="6" s="1"/>
  <c r="CC33" i="6"/>
  <c r="CD33" i="6" s="1"/>
  <c r="BJ33" i="6"/>
  <c r="AX33" i="6"/>
  <c r="AY33" i="6" s="1"/>
  <c r="AJ33" i="6"/>
  <c r="AK33" i="6" s="1"/>
  <c r="Y33" i="6"/>
  <c r="Z33" i="6" s="1"/>
  <c r="M33" i="6"/>
  <c r="DO32" i="6"/>
  <c r="DP32" i="6" s="1"/>
  <c r="CU32" i="6"/>
  <c r="CV32" i="6" s="1"/>
  <c r="CC32" i="6"/>
  <c r="CD32" i="6" s="1"/>
  <c r="BJ32" i="6"/>
  <c r="BK32" i="6" s="1"/>
  <c r="AX32" i="6"/>
  <c r="AY32" i="6" s="1"/>
  <c r="AJ32" i="6"/>
  <c r="AK32" i="6" s="1"/>
  <c r="Y32" i="6"/>
  <c r="Z32" i="6" s="1"/>
  <c r="M32" i="6"/>
  <c r="DO31" i="6"/>
  <c r="DP31" i="6" s="1"/>
  <c r="CU31" i="6"/>
  <c r="CV31" i="6" s="1"/>
  <c r="CC31" i="6"/>
  <c r="BJ31" i="6"/>
  <c r="BK31" i="6" s="1"/>
  <c r="AX31" i="6"/>
  <c r="AY31" i="6" s="1"/>
  <c r="AJ31" i="6"/>
  <c r="AK31" i="6" s="1"/>
  <c r="Y31" i="6"/>
  <c r="Z31" i="6" s="1"/>
  <c r="M31" i="6"/>
  <c r="N31" i="6" s="1"/>
  <c r="DO30" i="6"/>
  <c r="DP30" i="6" s="1"/>
  <c r="CU30" i="6"/>
  <c r="CV30" i="6" s="1"/>
  <c r="CC30" i="6"/>
  <c r="CD30" i="6" s="1"/>
  <c r="BJ30" i="6"/>
  <c r="AX30" i="6"/>
  <c r="AY30" i="6" s="1"/>
  <c r="AJ30" i="6"/>
  <c r="AK30" i="6" s="1"/>
  <c r="Y30" i="6"/>
  <c r="Z30" i="6" s="1"/>
  <c r="M30" i="6"/>
  <c r="DP29" i="6"/>
  <c r="DO29" i="6"/>
  <c r="CU29" i="6"/>
  <c r="CV29" i="6" s="1"/>
  <c r="CC29" i="6"/>
  <c r="CD29" i="6" s="1"/>
  <c r="BJ29" i="6"/>
  <c r="M93" i="6" s="1"/>
  <c r="AX29" i="6"/>
  <c r="AY29" i="6" s="1"/>
  <c r="AJ29" i="6"/>
  <c r="AK29" i="6" s="1"/>
  <c r="Y29" i="6"/>
  <c r="Z29" i="6" s="1"/>
  <c r="M29" i="6"/>
  <c r="DO28" i="6"/>
  <c r="DP28" i="6" s="1"/>
  <c r="CU28" i="6"/>
  <c r="CV28" i="6" s="1"/>
  <c r="CC28" i="6"/>
  <c r="CD28" i="6" s="1"/>
  <c r="BJ28" i="6"/>
  <c r="BK28" i="6" s="1"/>
  <c r="AX28" i="6"/>
  <c r="AY28" i="6" s="1"/>
  <c r="AJ28" i="6"/>
  <c r="AK28" i="6" s="1"/>
  <c r="Z28" i="6"/>
  <c r="Y28" i="6"/>
  <c r="M28" i="6"/>
  <c r="N28" i="6" s="1"/>
  <c r="DO27" i="6"/>
  <c r="DP27" i="6" s="1"/>
  <c r="CU27" i="6"/>
  <c r="CV27" i="6" s="1"/>
  <c r="CC27" i="6"/>
  <c r="CD27" i="6" s="1"/>
  <c r="BJ27" i="6"/>
  <c r="AX27" i="6"/>
  <c r="AY27" i="6" s="1"/>
  <c r="AJ27" i="6"/>
  <c r="AK27" i="6" s="1"/>
  <c r="Y27" i="6"/>
  <c r="Z27" i="6" s="1"/>
  <c r="M27" i="6"/>
  <c r="N27" i="6" s="1"/>
  <c r="DO26" i="6"/>
  <c r="DP26" i="6" s="1"/>
  <c r="CU26" i="6"/>
  <c r="CV26" i="6" s="1"/>
  <c r="CC26" i="6"/>
  <c r="CD26" i="6" s="1"/>
  <c r="BJ26" i="6"/>
  <c r="AX26" i="6"/>
  <c r="AY26" i="6" s="1"/>
  <c r="AJ26" i="6"/>
  <c r="AK26" i="6" s="1"/>
  <c r="Y26" i="6"/>
  <c r="Z26" i="6" s="1"/>
  <c r="M26" i="6"/>
  <c r="DO25" i="6"/>
  <c r="DP25" i="6" s="1"/>
  <c r="CU25" i="6"/>
  <c r="CD25" i="6"/>
  <c r="BK25" i="6"/>
  <c r="AY25" i="6"/>
  <c r="AK25" i="6"/>
  <c r="Z25" i="6"/>
  <c r="N25" i="6"/>
  <c r="DO24" i="6"/>
  <c r="DP24" i="6" s="1"/>
  <c r="CU24" i="6"/>
  <c r="CV24" i="6" s="1"/>
  <c r="CC24" i="6"/>
  <c r="CD24" i="6" s="1"/>
  <c r="BJ24" i="6"/>
  <c r="AX24" i="6"/>
  <c r="AY24" i="6" s="1"/>
  <c r="AJ24" i="6"/>
  <c r="AK24" i="6" s="1"/>
  <c r="Y24" i="6"/>
  <c r="Z24" i="6" s="1"/>
  <c r="M24" i="6"/>
  <c r="DP23" i="6"/>
  <c r="DO23" i="6"/>
  <c r="CU23" i="6"/>
  <c r="CV23" i="6" s="1"/>
  <c r="CC23" i="6"/>
  <c r="CD23" i="6" s="1"/>
  <c r="BJ23" i="6"/>
  <c r="AX23" i="6"/>
  <c r="AY23" i="6" s="1"/>
  <c r="AJ23" i="6"/>
  <c r="AK23" i="6" s="1"/>
  <c r="Y23" i="6"/>
  <c r="Z23" i="6" s="1"/>
  <c r="M23" i="6"/>
  <c r="DO22" i="6"/>
  <c r="DP22" i="6" s="1"/>
  <c r="CU22" i="6"/>
  <c r="CV22" i="6" s="1"/>
  <c r="CC22" i="6"/>
  <c r="CD22" i="6" s="1"/>
  <c r="BJ22" i="6"/>
  <c r="AX22" i="6"/>
  <c r="AY22" i="6" s="1"/>
  <c r="AJ22" i="6"/>
  <c r="AK22" i="6" s="1"/>
  <c r="Y22" i="6"/>
  <c r="Z22" i="6" s="1"/>
  <c r="M22" i="6"/>
  <c r="DO21" i="6"/>
  <c r="DP21" i="6" s="1"/>
  <c r="CU21" i="6"/>
  <c r="CV21" i="6" s="1"/>
  <c r="CC21" i="6"/>
  <c r="CD21" i="6" s="1"/>
  <c r="BJ21" i="6"/>
  <c r="M85" i="6" s="1"/>
  <c r="AX21" i="6"/>
  <c r="AY21" i="6" s="1"/>
  <c r="AJ21" i="6"/>
  <c r="AK21" i="6" s="1"/>
  <c r="Y21" i="6"/>
  <c r="Z21" i="6" s="1"/>
  <c r="M21" i="6"/>
  <c r="DO20" i="6"/>
  <c r="DP20" i="6" s="1"/>
  <c r="CU20" i="6"/>
  <c r="CV20" i="6" s="1"/>
  <c r="CC20" i="6"/>
  <c r="CD20" i="6" s="1"/>
  <c r="BJ20" i="6"/>
  <c r="AY20" i="6"/>
  <c r="AX20" i="6"/>
  <c r="AJ20" i="6"/>
  <c r="AK20" i="6" s="1"/>
  <c r="Y20" i="6"/>
  <c r="Z20" i="6" s="1"/>
  <c r="M20" i="6"/>
  <c r="DO19" i="6"/>
  <c r="DP19" i="6" s="1"/>
  <c r="CU19" i="6"/>
  <c r="CV19" i="6" s="1"/>
  <c r="CC19" i="6"/>
  <c r="CD19" i="6" s="1"/>
  <c r="BJ19" i="6"/>
  <c r="AX19" i="6"/>
  <c r="AY19" i="6" s="1"/>
  <c r="AJ19" i="6"/>
  <c r="AK19" i="6" s="1"/>
  <c r="Y19" i="6"/>
  <c r="Z19" i="6" s="1"/>
  <c r="M19" i="6"/>
  <c r="DO18" i="6"/>
  <c r="DP18" i="6" s="1"/>
  <c r="CU18" i="6"/>
  <c r="CV18" i="6" s="1"/>
  <c r="CC18" i="6"/>
  <c r="CD18" i="6" s="1"/>
  <c r="BJ18" i="6"/>
  <c r="AX18" i="6"/>
  <c r="AY18" i="6" s="1"/>
  <c r="AJ18" i="6"/>
  <c r="AK18" i="6" s="1"/>
  <c r="Y18" i="6"/>
  <c r="Z18" i="6" s="1"/>
  <c r="M18" i="6"/>
  <c r="I82" i="6" s="1"/>
  <c r="DO17" i="6"/>
  <c r="DP17" i="6" s="1"/>
  <c r="CU17" i="6"/>
  <c r="CV17" i="6" s="1"/>
  <c r="CC17" i="6"/>
  <c r="CD17" i="6" s="1"/>
  <c r="BJ17" i="6"/>
  <c r="AX17" i="6"/>
  <c r="AY17" i="6" s="1"/>
  <c r="AJ17" i="6"/>
  <c r="AK17" i="6" s="1"/>
  <c r="Y17" i="6"/>
  <c r="Z17" i="6" s="1"/>
  <c r="M17" i="6"/>
  <c r="DP16" i="6"/>
  <c r="DO16" i="6"/>
  <c r="CU16" i="6"/>
  <c r="CV16" i="6" s="1"/>
  <c r="CC16" i="6"/>
  <c r="CD16" i="6" s="1"/>
  <c r="BJ16" i="6"/>
  <c r="BK16" i="6" s="1"/>
  <c r="AX16" i="6"/>
  <c r="AY16" i="6" s="1"/>
  <c r="AJ16" i="6"/>
  <c r="AK16" i="6" s="1"/>
  <c r="Y16" i="6"/>
  <c r="Z16" i="6" s="1"/>
  <c r="M16" i="6"/>
  <c r="DO15" i="6"/>
  <c r="DP15" i="6" s="1"/>
  <c r="CU15" i="6"/>
  <c r="CV15" i="6" s="1"/>
  <c r="CC15" i="6"/>
  <c r="CD15" i="6" s="1"/>
  <c r="BJ15" i="6"/>
  <c r="AX15" i="6"/>
  <c r="AY15" i="6" s="1"/>
  <c r="AJ15" i="6"/>
  <c r="AK15" i="6" s="1"/>
  <c r="Y15" i="6"/>
  <c r="Z15" i="6" s="1"/>
  <c r="M15" i="6"/>
  <c r="DO14" i="6"/>
  <c r="DP14" i="6" s="1"/>
  <c r="CU14" i="6"/>
  <c r="CV14" i="6" s="1"/>
  <c r="CC14" i="6"/>
  <c r="CD14" i="6" s="1"/>
  <c r="BJ14" i="6"/>
  <c r="AX14" i="6"/>
  <c r="AY14" i="6" s="1"/>
  <c r="AJ14" i="6"/>
  <c r="AK14" i="6" s="1"/>
  <c r="Y14" i="6"/>
  <c r="Z14" i="6" s="1"/>
  <c r="M14" i="6"/>
  <c r="DO13" i="6"/>
  <c r="DP13" i="6" s="1"/>
  <c r="CU13" i="6"/>
  <c r="CV13" i="6" s="1"/>
  <c r="CC13" i="6"/>
  <c r="CD13" i="6" s="1"/>
  <c r="BJ13" i="6"/>
  <c r="M77" i="6" s="1"/>
  <c r="AX13" i="6"/>
  <c r="AY13" i="6" s="1"/>
  <c r="AJ13" i="6"/>
  <c r="AK13" i="6" s="1"/>
  <c r="Y13" i="6"/>
  <c r="Z13" i="6" s="1"/>
  <c r="M13" i="6"/>
  <c r="DO12" i="6"/>
  <c r="DP12" i="6" s="1"/>
  <c r="CU12" i="6"/>
  <c r="CV12" i="6" s="1"/>
  <c r="CC12" i="6"/>
  <c r="CD12" i="6" s="1"/>
  <c r="BJ12" i="6"/>
  <c r="AX12" i="6"/>
  <c r="AY12" i="6" s="1"/>
  <c r="AJ12" i="6"/>
  <c r="AK12" i="6" s="1"/>
  <c r="Y12" i="6"/>
  <c r="Z12" i="6" s="1"/>
  <c r="M12" i="6"/>
  <c r="DO11" i="6"/>
  <c r="DP11" i="6" s="1"/>
  <c r="CU11" i="6"/>
  <c r="CV11" i="6" s="1"/>
  <c r="CC11" i="6"/>
  <c r="CD11" i="6" s="1"/>
  <c r="BJ11" i="6"/>
  <c r="AX11" i="6"/>
  <c r="AY11" i="6" s="1"/>
  <c r="AJ11" i="6"/>
  <c r="AK11" i="6" s="1"/>
  <c r="Y11" i="6"/>
  <c r="Z11" i="6" s="1"/>
  <c r="M11" i="6"/>
  <c r="DO10" i="6"/>
  <c r="DP10" i="6" s="1"/>
  <c r="CU10" i="6"/>
  <c r="CV10" i="6" s="1"/>
  <c r="CC10" i="6"/>
  <c r="CD10" i="6" s="1"/>
  <c r="BJ10" i="6"/>
  <c r="AX10" i="6"/>
  <c r="AY10" i="6" s="1"/>
  <c r="AJ10" i="6"/>
  <c r="AK10" i="6" s="1"/>
  <c r="Y10" i="6"/>
  <c r="Z10" i="6" s="1"/>
  <c r="M10" i="6"/>
  <c r="I74" i="6" s="1"/>
  <c r="DO9" i="6"/>
  <c r="DP9" i="6" s="1"/>
  <c r="CU9" i="6"/>
  <c r="CV9" i="6" s="1"/>
  <c r="CC9" i="6"/>
  <c r="CD9" i="6" s="1"/>
  <c r="BJ9" i="6"/>
  <c r="AX9" i="6"/>
  <c r="AY9" i="6" s="1"/>
  <c r="AJ9" i="6"/>
  <c r="AK9" i="6" s="1"/>
  <c r="Y9" i="6"/>
  <c r="Z9" i="6" s="1"/>
  <c r="M9" i="6"/>
  <c r="DP8" i="6"/>
  <c r="DO8" i="6"/>
  <c r="CU8" i="6"/>
  <c r="CV8" i="6" s="1"/>
  <c r="CC8" i="6"/>
  <c r="CD8" i="6" s="1"/>
  <c r="BJ8" i="6"/>
  <c r="AX8" i="6"/>
  <c r="AY8" i="6" s="1"/>
  <c r="AJ8" i="6"/>
  <c r="AK8" i="6" s="1"/>
  <c r="Y8" i="6"/>
  <c r="Z8" i="6" s="1"/>
  <c r="M8" i="6"/>
  <c r="F153" i="5"/>
  <c r="H143" i="5"/>
  <c r="G101" i="5"/>
  <c r="G93" i="5"/>
  <c r="G82" i="5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D152" i="6" l="1"/>
  <c r="I78" i="6"/>
  <c r="O123" i="6"/>
  <c r="U211" i="6"/>
  <c r="E223" i="6" s="1"/>
  <c r="I86" i="6"/>
  <c r="AD144" i="6"/>
  <c r="AD149" i="6"/>
  <c r="AD157" i="6"/>
  <c r="U168" i="6"/>
  <c r="E221" i="6" s="1"/>
  <c r="V174" i="6"/>
  <c r="M110" i="6"/>
  <c r="M73" i="6"/>
  <c r="M81" i="6"/>
  <c r="Q81" i="6" s="1"/>
  <c r="Z149" i="6" s="1"/>
  <c r="AA149" i="6" s="1"/>
  <c r="AE149" i="6" s="1"/>
  <c r="M94" i="6"/>
  <c r="Q94" i="6" s="1"/>
  <c r="R174" i="6" s="1"/>
  <c r="S174" i="6" s="1"/>
  <c r="W174" i="6" s="1"/>
  <c r="I98" i="6"/>
  <c r="K126" i="6"/>
  <c r="M72" i="6"/>
  <c r="M76" i="6"/>
  <c r="O80" i="6"/>
  <c r="M84" i="6"/>
  <c r="M88" i="6"/>
  <c r="Q88" i="6" s="1"/>
  <c r="K92" i="6"/>
  <c r="BK29" i="6"/>
  <c r="M97" i="6"/>
  <c r="I99" i="6"/>
  <c r="I102" i="6"/>
  <c r="M108" i="6"/>
  <c r="M116" i="6"/>
  <c r="BK63" i="6"/>
  <c r="O127" i="6" s="1"/>
  <c r="T176" i="6"/>
  <c r="D222" i="6" s="1"/>
  <c r="AO232" i="3"/>
  <c r="H113" i="16" s="1"/>
  <c r="I75" i="6"/>
  <c r="I79" i="6"/>
  <c r="I83" i="6"/>
  <c r="I87" i="6"/>
  <c r="M90" i="6"/>
  <c r="BK33" i="6"/>
  <c r="O97" i="6" s="1"/>
  <c r="N35" i="6"/>
  <c r="K99" i="6" s="1"/>
  <c r="S99" i="6" s="1"/>
  <c r="M101" i="6"/>
  <c r="I106" i="6"/>
  <c r="V163" i="6"/>
  <c r="M105" i="6"/>
  <c r="AC158" i="6"/>
  <c r="E220" i="6" s="1"/>
  <c r="V176" i="6"/>
  <c r="F222" i="6" s="1"/>
  <c r="AO231" i="3"/>
  <c r="H112" i="16" s="1"/>
  <c r="D112" i="16"/>
  <c r="I72" i="6"/>
  <c r="I76" i="6"/>
  <c r="Q76" i="6" s="1"/>
  <c r="Z144" i="6" s="1"/>
  <c r="AA144" i="6" s="1"/>
  <c r="AE144" i="6" s="1"/>
  <c r="I80" i="6"/>
  <c r="I84" i="6"/>
  <c r="I88" i="6"/>
  <c r="M98" i="6"/>
  <c r="BK41" i="6"/>
  <c r="M111" i="6"/>
  <c r="AD150" i="6"/>
  <c r="U176" i="6"/>
  <c r="E222" i="6" s="1"/>
  <c r="V168" i="6"/>
  <c r="M74" i="6"/>
  <c r="Q74" i="6" s="1"/>
  <c r="Z142" i="6" s="1"/>
  <c r="AA142" i="6" s="1"/>
  <c r="AE142" i="6" s="1"/>
  <c r="M78" i="6"/>
  <c r="Q78" i="6" s="1"/>
  <c r="Z146" i="6" s="1"/>
  <c r="AA146" i="6" s="1"/>
  <c r="AE146" i="6" s="1"/>
  <c r="M82" i="6"/>
  <c r="Q82" i="6" s="1"/>
  <c r="Z150" i="6" s="1"/>
  <c r="AA150" i="6" s="1"/>
  <c r="AE150" i="6" s="1"/>
  <c r="M86" i="6"/>
  <c r="Q86" i="6" s="1"/>
  <c r="Z154" i="6" s="1"/>
  <c r="AA154" i="6" s="1"/>
  <c r="AE154" i="6" s="1"/>
  <c r="K89" i="6"/>
  <c r="M102" i="6"/>
  <c r="M112" i="6"/>
  <c r="AD153" i="6"/>
  <c r="I73" i="6"/>
  <c r="I77" i="6"/>
  <c r="Q77" i="6" s="1"/>
  <c r="Z145" i="6" s="1"/>
  <c r="AA145" i="6" s="1"/>
  <c r="AE145" i="6" s="1"/>
  <c r="I81" i="6"/>
  <c r="I85" i="6"/>
  <c r="Q85" i="6" s="1"/>
  <c r="Z153" i="6" s="1"/>
  <c r="AA153" i="6" s="1"/>
  <c r="AE153" i="6" s="1"/>
  <c r="I90" i="6"/>
  <c r="Q90" i="6" s="1"/>
  <c r="Z157" i="6" s="1"/>
  <c r="AA157" i="6" s="1"/>
  <c r="AE157" i="6" s="1"/>
  <c r="M106" i="6"/>
  <c r="AD141" i="6"/>
  <c r="AD146" i="6"/>
  <c r="T168" i="6"/>
  <c r="D221" i="6" s="1"/>
  <c r="M75" i="6"/>
  <c r="M79" i="6"/>
  <c r="M83" i="6"/>
  <c r="M87" i="6"/>
  <c r="I94" i="6"/>
  <c r="M95" i="6"/>
  <c r="I111" i="6"/>
  <c r="M114" i="6"/>
  <c r="K120" i="6"/>
  <c r="S120" i="6" s="1"/>
  <c r="L203" i="6" s="1"/>
  <c r="T203" i="6" s="1"/>
  <c r="V203" i="6" s="1"/>
  <c r="O122" i="6"/>
  <c r="O126" i="6"/>
  <c r="AD151" i="6"/>
  <c r="I170" i="3"/>
  <c r="I142" i="3"/>
  <c r="I135" i="3"/>
  <c r="U201" i="3"/>
  <c r="I140" i="3"/>
  <c r="D110" i="13"/>
  <c r="C110" i="14"/>
  <c r="D109" i="13"/>
  <c r="C109" i="14"/>
  <c r="R298" i="3"/>
  <c r="H182" i="16" s="1"/>
  <c r="C118" i="14"/>
  <c r="O318" i="3"/>
  <c r="H203" i="16" s="1"/>
  <c r="H204" i="16" s="1"/>
  <c r="G223" i="16" s="1"/>
  <c r="D178" i="13"/>
  <c r="I123" i="3"/>
  <c r="I159" i="3"/>
  <c r="K92" i="10"/>
  <c r="M92" i="10" s="1"/>
  <c r="K93" i="10"/>
  <c r="M93" i="10" s="1"/>
  <c r="E177" i="10"/>
  <c r="F177" i="10" s="1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Z65" i="6"/>
  <c r="AK65" i="6"/>
  <c r="K119" i="6"/>
  <c r="BK26" i="6"/>
  <c r="O90" i="6" s="1"/>
  <c r="CD31" i="6"/>
  <c r="O95" i="6" s="1"/>
  <c r="Q98" i="6"/>
  <c r="R167" i="6" s="1"/>
  <c r="S167" i="6" s="1"/>
  <c r="W167" i="6" s="1"/>
  <c r="BK34" i="6"/>
  <c r="O98" i="6" s="1"/>
  <c r="BK38" i="6"/>
  <c r="O102" i="6" s="1"/>
  <c r="Q106" i="6"/>
  <c r="R189" i="6" s="1"/>
  <c r="S189" i="6" s="1"/>
  <c r="W189" i="6" s="1"/>
  <c r="BK42" i="6"/>
  <c r="O106" i="6" s="1"/>
  <c r="M80" i="6"/>
  <c r="Q80" i="6" s="1"/>
  <c r="Z148" i="6" s="1"/>
  <c r="AA148" i="6" s="1"/>
  <c r="AE148" i="6" s="1"/>
  <c r="AD143" i="6"/>
  <c r="AB158" i="6"/>
  <c r="D220" i="6" s="1"/>
  <c r="K109" i="6"/>
  <c r="K115" i="6"/>
  <c r="BK30" i="6"/>
  <c r="O94" i="6" s="1"/>
  <c r="Q102" i="6"/>
  <c r="R185" i="6" s="1"/>
  <c r="S185" i="6" s="1"/>
  <c r="W185" i="6" s="1"/>
  <c r="N8" i="6"/>
  <c r="BK8" i="6"/>
  <c r="N9" i="6"/>
  <c r="K73" i="6" s="1"/>
  <c r="BK9" i="6"/>
  <c r="O73" i="6" s="1"/>
  <c r="N10" i="6"/>
  <c r="K74" i="6" s="1"/>
  <c r="BK10" i="6"/>
  <c r="O74" i="6" s="1"/>
  <c r="N11" i="6"/>
  <c r="K75" i="6" s="1"/>
  <c r="BK11" i="6"/>
  <c r="O75" i="6" s="1"/>
  <c r="N12" i="6"/>
  <c r="K76" i="6" s="1"/>
  <c r="BK12" i="6"/>
  <c r="O76" i="6" s="1"/>
  <c r="N13" i="6"/>
  <c r="K77" i="6" s="1"/>
  <c r="BK13" i="6"/>
  <c r="O77" i="6" s="1"/>
  <c r="N14" i="6"/>
  <c r="K78" i="6" s="1"/>
  <c r="BK14" i="6"/>
  <c r="O78" i="6" s="1"/>
  <c r="N15" i="6"/>
  <c r="K79" i="6" s="1"/>
  <c r="BK15" i="6"/>
  <c r="O79" i="6" s="1"/>
  <c r="N16" i="6"/>
  <c r="K80" i="6" s="1"/>
  <c r="S80" i="6" s="1"/>
  <c r="V80" i="6" s="1"/>
  <c r="N17" i="6"/>
  <c r="K81" i="6" s="1"/>
  <c r="BK17" i="6"/>
  <c r="O81" i="6" s="1"/>
  <c r="N18" i="6"/>
  <c r="K82" i="6" s="1"/>
  <c r="BK18" i="6"/>
  <c r="O82" i="6" s="1"/>
  <c r="N19" i="6"/>
  <c r="K83" i="6" s="1"/>
  <c r="BK19" i="6"/>
  <c r="O83" i="6" s="1"/>
  <c r="N20" i="6"/>
  <c r="K84" i="6" s="1"/>
  <c r="BK20" i="6"/>
  <c r="O84" i="6" s="1"/>
  <c r="N21" i="6"/>
  <c r="K85" i="6" s="1"/>
  <c r="BK21" i="6"/>
  <c r="O85" i="6" s="1"/>
  <c r="N22" i="6"/>
  <c r="K86" i="6" s="1"/>
  <c r="BK22" i="6"/>
  <c r="O86" i="6" s="1"/>
  <c r="N23" i="6"/>
  <c r="K87" i="6" s="1"/>
  <c r="BK23" i="6"/>
  <c r="O87" i="6" s="1"/>
  <c r="N24" i="6"/>
  <c r="K88" i="6" s="1"/>
  <c r="BK24" i="6"/>
  <c r="O88" i="6" s="1"/>
  <c r="N26" i="6"/>
  <c r="K90" i="6" s="1"/>
  <c r="N30" i="6"/>
  <c r="K94" i="6" s="1"/>
  <c r="S94" i="6" s="1"/>
  <c r="V94" i="6" s="1"/>
  <c r="N34" i="6"/>
  <c r="K98" i="6" s="1"/>
  <c r="N38" i="6"/>
  <c r="K102" i="6" s="1"/>
  <c r="S102" i="6" s="1"/>
  <c r="N42" i="6"/>
  <c r="K106" i="6" s="1"/>
  <c r="S106" i="6" s="1"/>
  <c r="BK44" i="6"/>
  <c r="O108" i="6" s="1"/>
  <c r="BK46" i="6"/>
  <c r="O110" i="6" s="1"/>
  <c r="BK48" i="6"/>
  <c r="O112" i="6" s="1"/>
  <c r="BK50" i="6"/>
  <c r="O114" i="6" s="1"/>
  <c r="BK52" i="6"/>
  <c r="O116" i="6" s="1"/>
  <c r="O118" i="6"/>
  <c r="O93" i="6"/>
  <c r="I97" i="6"/>
  <c r="Q97" i="6" s="1"/>
  <c r="R166" i="6" s="1"/>
  <c r="S166" i="6" s="1"/>
  <c r="W166" i="6" s="1"/>
  <c r="I101" i="6"/>
  <c r="Q101" i="6" s="1"/>
  <c r="R184" i="6" s="1"/>
  <c r="S184" i="6" s="1"/>
  <c r="W184" i="6" s="1"/>
  <c r="O101" i="6"/>
  <c r="I105" i="6"/>
  <c r="Q105" i="6" s="1"/>
  <c r="R188" i="6" s="1"/>
  <c r="S188" i="6" s="1"/>
  <c r="W188" i="6" s="1"/>
  <c r="O105" i="6"/>
  <c r="I108" i="6"/>
  <c r="Q108" i="6" s="1"/>
  <c r="R191" i="6" s="1"/>
  <c r="S191" i="6" s="1"/>
  <c r="W191" i="6" s="1"/>
  <c r="I110" i="6"/>
  <c r="Q110" i="6" s="1"/>
  <c r="R193" i="6" s="1"/>
  <c r="S193" i="6" s="1"/>
  <c r="W193" i="6" s="1"/>
  <c r="I112" i="6"/>
  <c r="Q112" i="6" s="1"/>
  <c r="R195" i="6" s="1"/>
  <c r="S195" i="6" s="1"/>
  <c r="W195" i="6" s="1"/>
  <c r="I114" i="6"/>
  <c r="Q114" i="6" s="1"/>
  <c r="R197" i="6" s="1"/>
  <c r="S197" i="6" s="1"/>
  <c r="W197" i="6" s="1"/>
  <c r="I116" i="6"/>
  <c r="Q116" i="6" s="1"/>
  <c r="R199" i="6" s="1"/>
  <c r="S199" i="6" s="1"/>
  <c r="W199" i="6" s="1"/>
  <c r="K122" i="6"/>
  <c r="S122" i="6" s="1"/>
  <c r="S126" i="6"/>
  <c r="K95" i="6"/>
  <c r="K113" i="6"/>
  <c r="F221" i="6"/>
  <c r="G221" i="6" s="1"/>
  <c r="V169" i="6"/>
  <c r="Q72" i="6"/>
  <c r="Z140" i="6" s="1"/>
  <c r="AA140" i="6" s="1"/>
  <c r="AE140" i="6" s="1"/>
  <c r="I93" i="6"/>
  <c r="Q93" i="6" s="1"/>
  <c r="R164" i="6" s="1"/>
  <c r="M92" i="6"/>
  <c r="N29" i="6"/>
  <c r="K93" i="6" s="1"/>
  <c r="S93" i="6" s="1"/>
  <c r="V93" i="6" s="1"/>
  <c r="M96" i="6"/>
  <c r="N33" i="6"/>
  <c r="K97" i="6" s="1"/>
  <c r="M100" i="6"/>
  <c r="N37" i="6"/>
  <c r="K101" i="6" s="1"/>
  <c r="M104" i="6"/>
  <c r="N41" i="6"/>
  <c r="K105" i="6" s="1"/>
  <c r="N44" i="6"/>
  <c r="K108" i="6" s="1"/>
  <c r="N46" i="6"/>
  <c r="K110" i="6" s="1"/>
  <c r="S110" i="6" s="1"/>
  <c r="N48" i="6"/>
  <c r="K112" i="6" s="1"/>
  <c r="N50" i="6"/>
  <c r="K114" i="6" s="1"/>
  <c r="N52" i="6"/>
  <c r="K116" i="6" s="1"/>
  <c r="K118" i="6"/>
  <c r="O124" i="6"/>
  <c r="I127" i="6"/>
  <c r="Q127" i="6" s="1"/>
  <c r="R210" i="6" s="1"/>
  <c r="S210" i="6" s="1"/>
  <c r="W210" i="6" s="1"/>
  <c r="O128" i="6"/>
  <c r="I125" i="6"/>
  <c r="AY65" i="6"/>
  <c r="Q73" i="6"/>
  <c r="Z141" i="6" s="1"/>
  <c r="AA141" i="6" s="1"/>
  <c r="AE141" i="6" s="1"/>
  <c r="O92" i="6"/>
  <c r="I96" i="6"/>
  <c r="O96" i="6"/>
  <c r="I100" i="6"/>
  <c r="O100" i="6"/>
  <c r="I104" i="6"/>
  <c r="O104" i="6"/>
  <c r="M107" i="6"/>
  <c r="M109" i="6"/>
  <c r="M113" i="6"/>
  <c r="M115" i="6"/>
  <c r="M119" i="6"/>
  <c r="M121" i="6"/>
  <c r="K123" i="6"/>
  <c r="S123" i="6" s="1"/>
  <c r="K127" i="6"/>
  <c r="I92" i="6"/>
  <c r="K107" i="6"/>
  <c r="K121" i="6"/>
  <c r="M89" i="6"/>
  <c r="Q89" i="6" s="1"/>
  <c r="CV25" i="6"/>
  <c r="O89" i="6" s="1"/>
  <c r="S89" i="6" s="1"/>
  <c r="V89" i="6" s="1"/>
  <c r="M91" i="6"/>
  <c r="N32" i="6"/>
  <c r="K96" i="6" s="1"/>
  <c r="M99" i="6"/>
  <c r="Q99" i="6" s="1"/>
  <c r="R182" i="6" s="1"/>
  <c r="S182" i="6" s="1"/>
  <c r="W182" i="6" s="1"/>
  <c r="N36" i="6"/>
  <c r="K100" i="6" s="1"/>
  <c r="M103" i="6"/>
  <c r="N40" i="6"/>
  <c r="K104" i="6" s="1"/>
  <c r="BK43" i="6"/>
  <c r="O107" i="6" s="1"/>
  <c r="BK45" i="6"/>
  <c r="O109" i="6" s="1"/>
  <c r="BK47" i="6"/>
  <c r="O111" i="6" s="1"/>
  <c r="BK49" i="6"/>
  <c r="O113" i="6" s="1"/>
  <c r="BK51" i="6"/>
  <c r="O115" i="6" s="1"/>
  <c r="O117" i="6"/>
  <c r="O119" i="6"/>
  <c r="O121" i="6"/>
  <c r="O125" i="6"/>
  <c r="S125" i="6" s="1"/>
  <c r="DP65" i="6"/>
  <c r="K91" i="6"/>
  <c r="K103" i="6"/>
  <c r="K111" i="6"/>
  <c r="K117" i="6"/>
  <c r="S117" i="6" s="1"/>
  <c r="I91" i="6"/>
  <c r="Q91" i="6" s="1"/>
  <c r="R162" i="6" s="1"/>
  <c r="S162" i="6" s="1"/>
  <c r="W162" i="6" s="1"/>
  <c r="BK27" i="6"/>
  <c r="O91" i="6" s="1"/>
  <c r="I95" i="6"/>
  <c r="Q95" i="6" s="1"/>
  <c r="R165" i="6" s="1"/>
  <c r="S165" i="6" s="1"/>
  <c r="W165" i="6" s="1"/>
  <c r="BK35" i="6"/>
  <c r="O99" i="6" s="1"/>
  <c r="I103" i="6"/>
  <c r="BK39" i="6"/>
  <c r="O103" i="6" s="1"/>
  <c r="I107" i="6"/>
  <c r="Q107" i="6" s="1"/>
  <c r="R190" i="6" s="1"/>
  <c r="S190" i="6" s="1"/>
  <c r="W190" i="6" s="1"/>
  <c r="I109" i="6"/>
  <c r="Q109" i="6" s="1"/>
  <c r="R192" i="6" s="1"/>
  <c r="S192" i="6" s="1"/>
  <c r="W192" i="6" s="1"/>
  <c r="I113" i="6"/>
  <c r="I115" i="6"/>
  <c r="I117" i="6"/>
  <c r="I119" i="6"/>
  <c r="K124" i="6"/>
  <c r="S124" i="6" s="1"/>
  <c r="K128" i="6"/>
  <c r="E225" i="6"/>
  <c r="AD154" i="6"/>
  <c r="S164" i="6"/>
  <c r="W164" i="6" s="1"/>
  <c r="M117" i="6"/>
  <c r="I118" i="6"/>
  <c r="M118" i="6"/>
  <c r="I120" i="6"/>
  <c r="M120" i="6"/>
  <c r="I121" i="6"/>
  <c r="I122" i="6"/>
  <c r="M122" i="6"/>
  <c r="I123" i="6"/>
  <c r="M123" i="6"/>
  <c r="I124" i="6"/>
  <c r="M124" i="6"/>
  <c r="M125" i="6"/>
  <c r="I126" i="6"/>
  <c r="M126" i="6"/>
  <c r="I128" i="6"/>
  <c r="Q128" i="6" s="1"/>
  <c r="N215" i="6" s="1"/>
  <c r="O215" i="6" s="1"/>
  <c r="S215" i="6" s="1"/>
  <c r="I224" i="6" s="1"/>
  <c r="M128" i="6"/>
  <c r="F224" i="6"/>
  <c r="G224" i="6" s="1"/>
  <c r="D224" i="6"/>
  <c r="G136" i="5"/>
  <c r="H101" i="5"/>
  <c r="H102" i="5" s="1"/>
  <c r="H136" i="5"/>
  <c r="F136" i="5"/>
  <c r="H93" i="5"/>
  <c r="H94" i="5" s="1"/>
  <c r="F93" i="5"/>
  <c r="F101" i="5"/>
  <c r="H82" i="5"/>
  <c r="H83" i="5" s="1"/>
  <c r="F82" i="5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S105" i="6"/>
  <c r="Q103" i="6"/>
  <c r="R186" i="6" s="1"/>
  <c r="S186" i="6" s="1"/>
  <c r="W186" i="6" s="1"/>
  <c r="S103" i="6"/>
  <c r="S127" i="6"/>
  <c r="S112" i="6"/>
  <c r="L195" i="6" s="1"/>
  <c r="T195" i="6" s="1"/>
  <c r="V195" i="6" s="1"/>
  <c r="AP150" i="3"/>
  <c r="AP151" i="3"/>
  <c r="S73" i="6"/>
  <c r="V73" i="6" s="1"/>
  <c r="AP124" i="3"/>
  <c r="AP119" i="3"/>
  <c r="AN139" i="3"/>
  <c r="AB259" i="3" s="1"/>
  <c r="AC259" i="3" s="1"/>
  <c r="AN121" i="3"/>
  <c r="AM225" i="3" s="1"/>
  <c r="AN225" i="3" s="1"/>
  <c r="Q121" i="6"/>
  <c r="R204" i="6" s="1"/>
  <c r="S204" i="6" s="1"/>
  <c r="W204" i="6" s="1"/>
  <c r="AD158" i="6"/>
  <c r="AD159" i="6" s="1"/>
  <c r="Q113" i="6"/>
  <c r="R196" i="6" s="1"/>
  <c r="S196" i="6" s="1"/>
  <c r="W196" i="6" s="1"/>
  <c r="S90" i="6"/>
  <c r="V90" i="6" s="1"/>
  <c r="G222" i="6"/>
  <c r="S118" i="6"/>
  <c r="AN162" i="3"/>
  <c r="AN153" i="3"/>
  <c r="AN138" i="3"/>
  <c r="M244" i="3" s="1"/>
  <c r="N244" i="3" s="1"/>
  <c r="AN118" i="3"/>
  <c r="AM222" i="3" s="1"/>
  <c r="AN222" i="3" s="1"/>
  <c r="Q87" i="6"/>
  <c r="Z155" i="6" s="1"/>
  <c r="AA155" i="6" s="1"/>
  <c r="AE155" i="6" s="1"/>
  <c r="S77" i="6"/>
  <c r="V77" i="6" s="1"/>
  <c r="AP135" i="3"/>
  <c r="AP153" i="3"/>
  <c r="AN111" i="3"/>
  <c r="AM215" i="3" s="1"/>
  <c r="AN215" i="3" s="1"/>
  <c r="AN120" i="3"/>
  <c r="Q84" i="6"/>
  <c r="Z152" i="6" s="1"/>
  <c r="AA152" i="6" s="1"/>
  <c r="AE152" i="6" s="1"/>
  <c r="Q83" i="6"/>
  <c r="Z151" i="6" s="1"/>
  <c r="AA151" i="6" s="1"/>
  <c r="AE151" i="6" s="1"/>
  <c r="AN108" i="3"/>
  <c r="AM212" i="3" s="1"/>
  <c r="AN212" i="3" s="1"/>
  <c r="D93" i="16" s="1"/>
  <c r="AP170" i="3"/>
  <c r="S97" i="6"/>
  <c r="V97" i="6" s="1"/>
  <c r="S113" i="6"/>
  <c r="AN150" i="3"/>
  <c r="AP112" i="3"/>
  <c r="AN131" i="3"/>
  <c r="M239" i="3" s="1"/>
  <c r="Q111" i="6"/>
  <c r="R194" i="6" s="1"/>
  <c r="S194" i="6" s="1"/>
  <c r="W194" i="6" s="1"/>
  <c r="Q79" i="6"/>
  <c r="Z147" i="6" s="1"/>
  <c r="AA147" i="6" s="1"/>
  <c r="AE147" i="6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D95" i="16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D133" i="16" s="1"/>
  <c r="S78" i="6"/>
  <c r="V78" i="6" s="1"/>
  <c r="S74" i="6"/>
  <c r="V74" i="6" s="1"/>
  <c r="S128" i="6"/>
  <c r="V128" i="6" s="1"/>
  <c r="Q96" i="6"/>
  <c r="R175" i="6" s="1"/>
  <c r="S175" i="6" s="1"/>
  <c r="W175" i="6" s="1"/>
  <c r="V120" i="6"/>
  <c r="AO230" i="3"/>
  <c r="H111" i="16" s="1"/>
  <c r="D111" i="16"/>
  <c r="S92" i="6"/>
  <c r="V92" i="6" s="1"/>
  <c r="Q124" i="6"/>
  <c r="R207" i="6" s="1"/>
  <c r="S207" i="6" s="1"/>
  <c r="W207" i="6" s="1"/>
  <c r="S96" i="6"/>
  <c r="V96" i="6" s="1"/>
  <c r="Q92" i="6"/>
  <c r="R163" i="6" s="1"/>
  <c r="S163" i="6" s="1"/>
  <c r="W163" i="6" s="1"/>
  <c r="S85" i="6"/>
  <c r="V85" i="6" s="1"/>
  <c r="S81" i="6"/>
  <c r="V81" i="6" s="1"/>
  <c r="AE289" i="3"/>
  <c r="H171" i="16" s="1"/>
  <c r="D171" i="16"/>
  <c r="Q75" i="6"/>
  <c r="Z143" i="6" s="1"/>
  <c r="AA143" i="6" s="1"/>
  <c r="AE143" i="6" s="1"/>
  <c r="S116" i="6"/>
  <c r="AO229" i="3"/>
  <c r="H110" i="16" s="1"/>
  <c r="D110" i="16"/>
  <c r="Q123" i="6"/>
  <c r="R206" i="6" s="1"/>
  <c r="S206" i="6" s="1"/>
  <c r="W206" i="6" s="1"/>
  <c r="Q115" i="6"/>
  <c r="R198" i="6" s="1"/>
  <c r="S198" i="6" s="1"/>
  <c r="W198" i="6" s="1"/>
  <c r="Q104" i="6"/>
  <c r="R187" i="6" s="1"/>
  <c r="S187" i="6" s="1"/>
  <c r="W187" i="6" s="1"/>
  <c r="V177" i="6"/>
  <c r="AE269" i="3"/>
  <c r="H151" i="16" s="1"/>
  <c r="D151" i="16"/>
  <c r="AE285" i="3"/>
  <c r="H167" i="16" s="1"/>
  <c r="D167" i="16"/>
  <c r="AM223" i="3"/>
  <c r="AN223" i="3" s="1"/>
  <c r="D148" i="13"/>
  <c r="G117" i="14"/>
  <c r="O319" i="3"/>
  <c r="D138" i="14"/>
  <c r="D139" i="14" s="1"/>
  <c r="C150" i="14" s="1"/>
  <c r="H110" i="13"/>
  <c r="D110" i="14"/>
  <c r="H178" i="13"/>
  <c r="D118" i="14"/>
  <c r="D108" i="13"/>
  <c r="C108" i="14"/>
  <c r="H109" i="13"/>
  <c r="D109" i="14"/>
  <c r="D168" i="13"/>
  <c r="G137" i="14"/>
  <c r="AB278" i="3"/>
  <c r="AC278" i="3" s="1"/>
  <c r="D107" i="13"/>
  <c r="C107" i="14"/>
  <c r="D164" i="13"/>
  <c r="G133" i="14"/>
  <c r="H199" i="13"/>
  <c r="H200" i="13" s="1"/>
  <c r="G210" i="1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K90" i="10"/>
  <c r="M90" i="10" s="1"/>
  <c r="K130" i="10"/>
  <c r="M130" i="10" s="1"/>
  <c r="C33" i="1"/>
  <c r="K150" i="10"/>
  <c r="M150" i="10" s="1"/>
  <c r="K146" i="10"/>
  <c r="M146" i="10" s="1"/>
  <c r="K91" i="10"/>
  <c r="M91" i="10" s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L208" i="6"/>
  <c r="T208" i="6" s="1"/>
  <c r="V208" i="6" s="1"/>
  <c r="V125" i="6"/>
  <c r="L206" i="6"/>
  <c r="T206" i="6" s="1"/>
  <c r="V206" i="6" s="1"/>
  <c r="V123" i="6"/>
  <c r="S114" i="6"/>
  <c r="S76" i="6"/>
  <c r="V76" i="6" s="1"/>
  <c r="N65" i="6"/>
  <c r="K72" i="6"/>
  <c r="CV65" i="6"/>
  <c r="W168" i="6"/>
  <c r="I221" i="6" s="1"/>
  <c r="Z156" i="6"/>
  <c r="AA156" i="6" s="1"/>
  <c r="AE156" i="6" s="1"/>
  <c r="S104" i="6"/>
  <c r="V112" i="6"/>
  <c r="L196" i="6"/>
  <c r="T196" i="6" s="1"/>
  <c r="V196" i="6" s="1"/>
  <c r="V113" i="6"/>
  <c r="S88" i="6"/>
  <c r="V88" i="6" s="1"/>
  <c r="S84" i="6"/>
  <c r="V84" i="6" s="1"/>
  <c r="L200" i="6"/>
  <c r="T200" i="6" s="1"/>
  <c r="V200" i="6" s="1"/>
  <c r="V117" i="6"/>
  <c r="S121" i="6"/>
  <c r="Q100" i="6"/>
  <c r="R183" i="6" s="1"/>
  <c r="S183" i="6" s="1"/>
  <c r="W183" i="6" s="1"/>
  <c r="Q125" i="6"/>
  <c r="R208" i="6" s="1"/>
  <c r="S208" i="6" s="1"/>
  <c r="W208" i="6" s="1"/>
  <c r="L193" i="6"/>
  <c r="T193" i="6" s="1"/>
  <c r="V193" i="6" s="1"/>
  <c r="V110" i="6"/>
  <c r="L182" i="6"/>
  <c r="T182" i="6" s="1"/>
  <c r="V99" i="6"/>
  <c r="S79" i="6"/>
  <c r="V79" i="6" s="1"/>
  <c r="S75" i="6"/>
  <c r="V75" i="6" s="1"/>
  <c r="L210" i="6"/>
  <c r="T210" i="6" s="1"/>
  <c r="V210" i="6" s="1"/>
  <c r="V127" i="6"/>
  <c r="Q122" i="6"/>
  <c r="R205" i="6" s="1"/>
  <c r="S205" i="6" s="1"/>
  <c r="W205" i="6" s="1"/>
  <c r="Q126" i="6"/>
  <c r="R209" i="6" s="1"/>
  <c r="S209" i="6" s="1"/>
  <c r="W209" i="6" s="1"/>
  <c r="Q120" i="6"/>
  <c r="R203" i="6" s="1"/>
  <c r="S203" i="6" s="1"/>
  <c r="W203" i="6" s="1"/>
  <c r="S111" i="6"/>
  <c r="S100" i="6"/>
  <c r="S107" i="6"/>
  <c r="S108" i="6"/>
  <c r="S95" i="6"/>
  <c r="V95" i="6" s="1"/>
  <c r="L189" i="6"/>
  <c r="T189" i="6" s="1"/>
  <c r="V189" i="6" s="1"/>
  <c r="V106" i="6"/>
  <c r="S87" i="6"/>
  <c r="V87" i="6" s="1"/>
  <c r="S83" i="6"/>
  <c r="V83" i="6" s="1"/>
  <c r="L188" i="6"/>
  <c r="T188" i="6" s="1"/>
  <c r="V188" i="6" s="1"/>
  <c r="V105" i="6"/>
  <c r="W176" i="6"/>
  <c r="I222" i="6" s="1"/>
  <c r="L185" i="6"/>
  <c r="T185" i="6" s="1"/>
  <c r="V185" i="6" s="1"/>
  <c r="V102" i="6"/>
  <c r="S115" i="6"/>
  <c r="S119" i="6"/>
  <c r="CD65" i="6"/>
  <c r="L205" i="6"/>
  <c r="T205" i="6" s="1"/>
  <c r="V205" i="6" s="1"/>
  <c r="V122" i="6"/>
  <c r="V124" i="6"/>
  <c r="L207" i="6"/>
  <c r="T207" i="6" s="1"/>
  <c r="V207" i="6" s="1"/>
  <c r="L186" i="6"/>
  <c r="T186" i="6" s="1"/>
  <c r="V186" i="6" s="1"/>
  <c r="V103" i="6"/>
  <c r="Q118" i="6"/>
  <c r="R201" i="6" s="1"/>
  <c r="S201" i="6" s="1"/>
  <c r="W201" i="6" s="1"/>
  <c r="Q119" i="6"/>
  <c r="R202" i="6" s="1"/>
  <c r="S202" i="6" s="1"/>
  <c r="W202" i="6" s="1"/>
  <c r="S91" i="6"/>
  <c r="V91" i="6" s="1"/>
  <c r="S98" i="6"/>
  <c r="V98" i="6" s="1"/>
  <c r="S86" i="6"/>
  <c r="V86" i="6" s="1"/>
  <c r="S82" i="6"/>
  <c r="V82" i="6" s="1"/>
  <c r="S109" i="6"/>
  <c r="V116" i="6"/>
  <c r="L199" i="6"/>
  <c r="T199" i="6" s="1"/>
  <c r="V199" i="6" s="1"/>
  <c r="BK65" i="6"/>
  <c r="O72" i="6"/>
  <c r="M129" i="6" s="1"/>
  <c r="Q117" i="6"/>
  <c r="R200" i="6" s="1"/>
  <c r="S200" i="6" s="1"/>
  <c r="W200" i="6" s="1"/>
  <c r="L201" i="6"/>
  <c r="T201" i="6" s="1"/>
  <c r="V201" i="6" s="1"/>
  <c r="V118" i="6"/>
  <c r="S101" i="6"/>
  <c r="L209" i="6"/>
  <c r="T209" i="6" s="1"/>
  <c r="V209" i="6" s="1"/>
  <c r="V126" i="6"/>
  <c r="H137" i="5"/>
  <c r="N101" i="3"/>
  <c r="BQ101" i="3"/>
  <c r="F220" i="6" l="1"/>
  <c r="AN201" i="3"/>
  <c r="AE290" i="3"/>
  <c r="H172" i="16" s="1"/>
  <c r="D172" i="16"/>
  <c r="G95" i="14"/>
  <c r="D126" i="16"/>
  <c r="G91" i="14"/>
  <c r="D122" i="16"/>
  <c r="AE287" i="3"/>
  <c r="H169" i="16" s="1"/>
  <c r="D169" i="16"/>
  <c r="AO221" i="3"/>
  <c r="H102" i="16" s="1"/>
  <c r="D102" i="16"/>
  <c r="AE158" i="6"/>
  <c r="I220" i="6" s="1"/>
  <c r="AE280" i="3"/>
  <c r="H162" i="16" s="1"/>
  <c r="D162" i="16"/>
  <c r="AO226" i="3"/>
  <c r="H107" i="16" s="1"/>
  <c r="D107" i="16"/>
  <c r="AE266" i="3"/>
  <c r="H148" i="16" s="1"/>
  <c r="D148" i="16"/>
  <c r="AE261" i="3"/>
  <c r="H143" i="16" s="1"/>
  <c r="D143" i="16"/>
  <c r="AO222" i="3"/>
  <c r="H103" i="16" s="1"/>
  <c r="D103" i="16"/>
  <c r="AE275" i="3"/>
  <c r="H157" i="16" s="1"/>
  <c r="D157" i="16"/>
  <c r="AE273" i="3"/>
  <c r="H155" i="16" s="1"/>
  <c r="D155" i="16"/>
  <c r="AE271" i="3"/>
  <c r="H153" i="16" s="1"/>
  <c r="D153" i="16"/>
  <c r="AO233" i="3"/>
  <c r="H114" i="16" s="1"/>
  <c r="D114" i="16"/>
  <c r="AE284" i="3"/>
  <c r="H166" i="16" s="1"/>
  <c r="D166" i="16"/>
  <c r="AE282" i="3"/>
  <c r="H164" i="16" s="1"/>
  <c r="D164" i="16"/>
  <c r="AE274" i="3"/>
  <c r="H156" i="16" s="1"/>
  <c r="D156" i="16"/>
  <c r="AE272" i="3"/>
  <c r="H154" i="16" s="1"/>
  <c r="D154" i="16"/>
  <c r="AE283" i="3"/>
  <c r="H165" i="16" s="1"/>
  <c r="D165" i="16"/>
  <c r="AO215" i="3"/>
  <c r="H96" i="16" s="1"/>
  <c r="D96" i="16"/>
  <c r="G94" i="14"/>
  <c r="D125" i="16"/>
  <c r="AE286" i="3"/>
  <c r="H168" i="16" s="1"/>
  <c r="D168" i="16"/>
  <c r="AE260" i="3"/>
  <c r="H142" i="16" s="1"/>
  <c r="D142" i="16"/>
  <c r="AE268" i="3"/>
  <c r="H150" i="16" s="1"/>
  <c r="D150" i="16"/>
  <c r="AO223" i="3"/>
  <c r="H104" i="16" s="1"/>
  <c r="D104" i="16"/>
  <c r="AO219" i="3"/>
  <c r="H100" i="16" s="1"/>
  <c r="D100" i="16"/>
  <c r="G93" i="14"/>
  <c r="D124" i="16"/>
  <c r="AE279" i="3"/>
  <c r="H161" i="16" s="1"/>
  <c r="D161" i="16"/>
  <c r="AO220" i="3"/>
  <c r="H101" i="16" s="1"/>
  <c r="D101" i="16"/>
  <c r="G92" i="14"/>
  <c r="D123" i="16"/>
  <c r="AE263" i="3"/>
  <c r="H145" i="16" s="1"/>
  <c r="D145" i="16"/>
  <c r="AE276" i="3"/>
  <c r="H158" i="16" s="1"/>
  <c r="D158" i="16"/>
  <c r="AO228" i="3"/>
  <c r="H109" i="16" s="1"/>
  <c r="D109" i="16"/>
  <c r="AO225" i="3"/>
  <c r="H106" i="16" s="1"/>
  <c r="D106" i="16"/>
  <c r="AO218" i="3"/>
  <c r="H99" i="16" s="1"/>
  <c r="D99" i="16"/>
  <c r="AE288" i="3"/>
  <c r="H170" i="16" s="1"/>
  <c r="D170" i="16"/>
  <c r="AO216" i="3"/>
  <c r="H97" i="16" s="1"/>
  <c r="D97" i="16"/>
  <c r="AE265" i="3"/>
  <c r="H147" i="16" s="1"/>
  <c r="D147" i="16"/>
  <c r="AO227" i="3"/>
  <c r="H108" i="16" s="1"/>
  <c r="D108" i="16"/>
  <c r="W211" i="6"/>
  <c r="I223" i="6" s="1"/>
  <c r="I225" i="6" s="1"/>
  <c r="AE262" i="3"/>
  <c r="H144" i="16" s="1"/>
  <c r="D144" i="16"/>
  <c r="AE259" i="3"/>
  <c r="H141" i="16" s="1"/>
  <c r="D141" i="16"/>
  <c r="AO217" i="3"/>
  <c r="H98" i="16" s="1"/>
  <c r="D98" i="16"/>
  <c r="AO224" i="3"/>
  <c r="H105" i="16" s="1"/>
  <c r="D105" i="16"/>
  <c r="AE277" i="3"/>
  <c r="H159" i="16" s="1"/>
  <c r="D159" i="16"/>
  <c r="AE281" i="3"/>
  <c r="H163" i="16" s="1"/>
  <c r="D163" i="16"/>
  <c r="AE270" i="3"/>
  <c r="H152" i="16" s="1"/>
  <c r="D152" i="16"/>
  <c r="AE278" i="3"/>
  <c r="H160" i="16" s="1"/>
  <c r="D160" i="16"/>
  <c r="C90" i="14"/>
  <c r="AO212" i="3"/>
  <c r="H93" i="16" s="1"/>
  <c r="C92" i="14"/>
  <c r="AO214" i="3"/>
  <c r="H95" i="16" s="1"/>
  <c r="G107" i="14"/>
  <c r="D157" i="13"/>
  <c r="G126" i="14"/>
  <c r="D156" i="13"/>
  <c r="G125" i="14"/>
  <c r="D105" i="13"/>
  <c r="C105" i="14"/>
  <c r="D166" i="13"/>
  <c r="G135" i="14"/>
  <c r="D155" i="13"/>
  <c r="G124" i="14"/>
  <c r="D163" i="13"/>
  <c r="G132" i="14"/>
  <c r="D153" i="13"/>
  <c r="G122" i="14"/>
  <c r="H107" i="13"/>
  <c r="D107" i="14"/>
  <c r="D141" i="13"/>
  <c r="G110" i="14"/>
  <c r="D162" i="13"/>
  <c r="G131" i="14"/>
  <c r="D93" i="13"/>
  <c r="C93" i="14"/>
  <c r="D150" i="13"/>
  <c r="G119" i="14"/>
  <c r="D130" i="13"/>
  <c r="G100" i="14"/>
  <c r="D169" i="13"/>
  <c r="G138" i="14"/>
  <c r="H168" i="13"/>
  <c r="H137" i="14"/>
  <c r="D160" i="13"/>
  <c r="G129" i="14"/>
  <c r="D158" i="13"/>
  <c r="G127" i="14"/>
  <c r="H148" i="13"/>
  <c r="H117" i="14"/>
  <c r="D165" i="13"/>
  <c r="G134" i="14"/>
  <c r="D103" i="13"/>
  <c r="C103" i="14"/>
  <c r="D96" i="13"/>
  <c r="C96" i="14"/>
  <c r="D167" i="13"/>
  <c r="G136" i="14"/>
  <c r="D94" i="13"/>
  <c r="C94" i="14"/>
  <c r="D144" i="13"/>
  <c r="G113" i="14"/>
  <c r="D111" i="13"/>
  <c r="C111" i="14"/>
  <c r="H108" i="13"/>
  <c r="D108" i="14"/>
  <c r="D159" i="13"/>
  <c r="G128" i="14"/>
  <c r="D152" i="13"/>
  <c r="G121" i="14"/>
  <c r="D95" i="13"/>
  <c r="C95" i="14"/>
  <c r="D102" i="13"/>
  <c r="C102" i="14"/>
  <c r="D154" i="13"/>
  <c r="G123" i="14"/>
  <c r="D151" i="13"/>
  <c r="G120" i="14"/>
  <c r="H164" i="13"/>
  <c r="H133" i="14"/>
  <c r="D161" i="13"/>
  <c r="G130" i="14"/>
  <c r="D149" i="13"/>
  <c r="G118" i="14"/>
  <c r="D142" i="13"/>
  <c r="G111" i="14"/>
  <c r="D145" i="13"/>
  <c r="G114" i="14"/>
  <c r="D104" i="13"/>
  <c r="C104" i="14"/>
  <c r="D140" i="13"/>
  <c r="G109" i="14"/>
  <c r="D139" i="13"/>
  <c r="G108" i="14"/>
  <c r="D99" i="13"/>
  <c r="C99" i="14"/>
  <c r="D101" i="13"/>
  <c r="C101" i="14"/>
  <c r="D100" i="13"/>
  <c r="C100" i="14"/>
  <c r="D147" i="13"/>
  <c r="G116" i="14"/>
  <c r="D97" i="13"/>
  <c r="C97" i="14"/>
  <c r="D98" i="13"/>
  <c r="C98" i="14"/>
  <c r="D106" i="13"/>
  <c r="C106" i="14"/>
  <c r="D138" i="13"/>
  <c r="K123" i="10"/>
  <c r="M123" i="10" s="1"/>
  <c r="O242" i="3"/>
  <c r="H124" i="16" s="1"/>
  <c r="D121" i="13"/>
  <c r="K131" i="10"/>
  <c r="M131" i="10" s="1"/>
  <c r="O244" i="3"/>
  <c r="H126" i="16" s="1"/>
  <c r="D123" i="13"/>
  <c r="K144" i="10"/>
  <c r="M144" i="10" s="1"/>
  <c r="O241" i="3"/>
  <c r="H123" i="16" s="1"/>
  <c r="D120" i="13"/>
  <c r="K134" i="10"/>
  <c r="M134" i="10" s="1"/>
  <c r="O240" i="3"/>
  <c r="H122" i="16" s="1"/>
  <c r="D119" i="13"/>
  <c r="Q311" i="3"/>
  <c r="D90" i="13"/>
  <c r="K122" i="10"/>
  <c r="M122" i="10" s="1"/>
  <c r="K124" i="10"/>
  <c r="M124" i="10" s="1"/>
  <c r="K143" i="10"/>
  <c r="M143" i="10" s="1"/>
  <c r="O243" i="3"/>
  <c r="H125" i="16" s="1"/>
  <c r="D122" i="13"/>
  <c r="K141" i="10"/>
  <c r="M141" i="10" s="1"/>
  <c r="K126" i="10"/>
  <c r="M126" i="10" s="1"/>
  <c r="K145" i="10"/>
  <c r="M145" i="10" s="1"/>
  <c r="K121" i="10"/>
  <c r="M121" i="10" s="1"/>
  <c r="K132" i="10"/>
  <c r="M132" i="10" s="1"/>
  <c r="K139" i="10"/>
  <c r="M139" i="10" s="1"/>
  <c r="K138" i="10"/>
  <c r="M138" i="10" s="1"/>
  <c r="K133" i="10"/>
  <c r="M133" i="10" s="1"/>
  <c r="K129" i="10"/>
  <c r="M129" i="10" s="1"/>
  <c r="K135" i="10"/>
  <c r="M135" i="10" s="1"/>
  <c r="K136" i="10"/>
  <c r="M136" i="10" s="1"/>
  <c r="K127" i="10"/>
  <c r="M127" i="10" s="1"/>
  <c r="K140" i="10"/>
  <c r="M140" i="10" s="1"/>
  <c r="K137" i="10"/>
  <c r="M137" i="10" s="1"/>
  <c r="K142" i="10"/>
  <c r="M142" i="10" s="1"/>
  <c r="Q313" i="3"/>
  <c r="D92" i="13"/>
  <c r="AB267" i="3"/>
  <c r="AC267" i="3" s="1"/>
  <c r="K80" i="10"/>
  <c r="M80" i="10" s="1"/>
  <c r="K147" i="10"/>
  <c r="M147" i="10" s="1"/>
  <c r="K149" i="10"/>
  <c r="M149" i="10" s="1"/>
  <c r="K88" i="10"/>
  <c r="M88" i="10" s="1"/>
  <c r="K148" i="10"/>
  <c r="M148" i="10" s="1"/>
  <c r="K151" i="10"/>
  <c r="M151" i="10" s="1"/>
  <c r="K120" i="10"/>
  <c r="M120" i="10" s="1"/>
  <c r="K81" i="10"/>
  <c r="M81" i="10" s="1"/>
  <c r="K94" i="10"/>
  <c r="M94" i="10" s="1"/>
  <c r="K87" i="10"/>
  <c r="M87" i="10" s="1"/>
  <c r="K83" i="10"/>
  <c r="M83" i="10" s="1"/>
  <c r="K86" i="10"/>
  <c r="M86" i="10" s="1"/>
  <c r="K85" i="10"/>
  <c r="M85" i="10" s="1"/>
  <c r="K79" i="10"/>
  <c r="M79" i="10" s="1"/>
  <c r="K78" i="10"/>
  <c r="M78" i="10" s="1"/>
  <c r="K76" i="10"/>
  <c r="M76" i="10" s="1"/>
  <c r="K75" i="10"/>
  <c r="M75" i="10" s="1"/>
  <c r="K73" i="10"/>
  <c r="M73" i="10" s="1"/>
  <c r="K82" i="10"/>
  <c r="M82" i="10" s="1"/>
  <c r="K77" i="10"/>
  <c r="M77" i="10" s="1"/>
  <c r="K84" i="10"/>
  <c r="M84" i="10" s="1"/>
  <c r="K89" i="10"/>
  <c r="M89" i="10" s="1"/>
  <c r="Q300" i="3"/>
  <c r="AN213" i="3"/>
  <c r="D94" i="16" s="1"/>
  <c r="M201" i="3"/>
  <c r="C78" i="1"/>
  <c r="Q297" i="3"/>
  <c r="D181" i="16" s="1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L194" i="6"/>
  <c r="T194" i="6" s="1"/>
  <c r="V194" i="6" s="1"/>
  <c r="V111" i="6"/>
  <c r="V182" i="6"/>
  <c r="L198" i="6"/>
  <c r="T198" i="6" s="1"/>
  <c r="V198" i="6" s="1"/>
  <c r="V115" i="6"/>
  <c r="L202" i="6"/>
  <c r="T202" i="6" s="1"/>
  <c r="V202" i="6" s="1"/>
  <c r="V119" i="6"/>
  <c r="L184" i="6"/>
  <c r="T184" i="6" s="1"/>
  <c r="V184" i="6" s="1"/>
  <c r="V101" i="6"/>
  <c r="L192" i="6"/>
  <c r="T192" i="6" s="1"/>
  <c r="V192" i="6" s="1"/>
  <c r="V109" i="6"/>
  <c r="V100" i="6"/>
  <c r="L183" i="6"/>
  <c r="T183" i="6" s="1"/>
  <c r="V183" i="6" s="1"/>
  <c r="I129" i="6"/>
  <c r="S72" i="6"/>
  <c r="L187" i="6"/>
  <c r="T187" i="6" s="1"/>
  <c r="V187" i="6" s="1"/>
  <c r="V104" i="6"/>
  <c r="V108" i="6"/>
  <c r="L191" i="6"/>
  <c r="T191" i="6" s="1"/>
  <c r="V191" i="6" s="1"/>
  <c r="G220" i="6"/>
  <c r="L190" i="6"/>
  <c r="T190" i="6" s="1"/>
  <c r="V190" i="6" s="1"/>
  <c r="V107" i="6"/>
  <c r="L204" i="6"/>
  <c r="T204" i="6" s="1"/>
  <c r="V204" i="6" s="1"/>
  <c r="V121" i="6"/>
  <c r="L197" i="6"/>
  <c r="T197" i="6" s="1"/>
  <c r="V197" i="6" s="1"/>
  <c r="V114" i="6"/>
  <c r="AB264" i="3"/>
  <c r="AC264" i="3" s="1"/>
  <c r="Q252" i="3"/>
  <c r="N239" i="3"/>
  <c r="G90" i="14" l="1"/>
  <c r="D121" i="16"/>
  <c r="C133" i="14"/>
  <c r="D197" i="16"/>
  <c r="AE264" i="3"/>
  <c r="H146" i="16" s="1"/>
  <c r="D146" i="16"/>
  <c r="AE267" i="3"/>
  <c r="H149" i="16" s="1"/>
  <c r="D149" i="16"/>
  <c r="C131" i="14"/>
  <c r="D195" i="16"/>
  <c r="G101" i="14"/>
  <c r="D134" i="16"/>
  <c r="C120" i="14"/>
  <c r="D184" i="16"/>
  <c r="C91" i="14"/>
  <c r="AO213" i="3"/>
  <c r="H155" i="13"/>
  <c r="H124" i="14"/>
  <c r="H120" i="13"/>
  <c r="H92" i="14"/>
  <c r="H166" i="13"/>
  <c r="H135" i="14"/>
  <c r="H102" i="13"/>
  <c r="D102" i="14"/>
  <c r="H111" i="13"/>
  <c r="D111" i="14"/>
  <c r="D146" i="13"/>
  <c r="G115" i="14"/>
  <c r="H96" i="13"/>
  <c r="D96" i="14"/>
  <c r="R297" i="3"/>
  <c r="C117" i="14"/>
  <c r="H105" i="13"/>
  <c r="D105" i="14"/>
  <c r="H123" i="13"/>
  <c r="H95" i="14"/>
  <c r="H152" i="13"/>
  <c r="H121" i="14"/>
  <c r="H156" i="13"/>
  <c r="H125" i="14"/>
  <c r="H93" i="13"/>
  <c r="D93" i="14"/>
  <c r="H103" i="13"/>
  <c r="D103" i="14"/>
  <c r="H163" i="13"/>
  <c r="H132" i="14"/>
  <c r="H150" i="13"/>
  <c r="H119" i="14"/>
  <c r="H94" i="13"/>
  <c r="D94" i="14"/>
  <c r="H167" i="13"/>
  <c r="H136" i="14"/>
  <c r="H122" i="13"/>
  <c r="H94" i="14"/>
  <c r="H119" i="13"/>
  <c r="H91" i="14"/>
  <c r="H141" i="13"/>
  <c r="H110" i="14"/>
  <c r="H153" i="13"/>
  <c r="H122" i="14"/>
  <c r="D143" i="13"/>
  <c r="G112" i="14"/>
  <c r="H157" i="13"/>
  <c r="H126" i="14"/>
  <c r="H144" i="13"/>
  <c r="H113" i="14"/>
  <c r="H160" i="13"/>
  <c r="H129" i="14"/>
  <c r="H159" i="13"/>
  <c r="H128" i="14"/>
  <c r="H158" i="13"/>
  <c r="H127" i="14"/>
  <c r="H95" i="13"/>
  <c r="D95" i="14"/>
  <c r="H121" i="13"/>
  <c r="H93" i="14"/>
  <c r="H162" i="13"/>
  <c r="H131" i="14"/>
  <c r="H169" i="13"/>
  <c r="H138" i="14"/>
  <c r="H165" i="13"/>
  <c r="H134" i="14"/>
  <c r="H154" i="13"/>
  <c r="H123" i="14"/>
  <c r="H151" i="13"/>
  <c r="H120" i="14"/>
  <c r="H161" i="13"/>
  <c r="H130" i="14"/>
  <c r="H149" i="13"/>
  <c r="H118" i="14"/>
  <c r="H142" i="13"/>
  <c r="H111" i="14"/>
  <c r="H138" i="13"/>
  <c r="H107" i="14"/>
  <c r="H145" i="13"/>
  <c r="H114" i="14"/>
  <c r="H104" i="13"/>
  <c r="D104" i="14"/>
  <c r="H140" i="13"/>
  <c r="H109" i="14"/>
  <c r="H139" i="13"/>
  <c r="H108" i="14"/>
  <c r="H99" i="13"/>
  <c r="D99" i="14"/>
  <c r="H101" i="13"/>
  <c r="D101" i="14"/>
  <c r="H90" i="13"/>
  <c r="D90" i="14"/>
  <c r="H100" i="13"/>
  <c r="D100" i="14"/>
  <c r="H147" i="13"/>
  <c r="H116" i="14"/>
  <c r="H97" i="13"/>
  <c r="D97" i="14"/>
  <c r="H98" i="13"/>
  <c r="D98" i="14"/>
  <c r="H92" i="13"/>
  <c r="D92" i="14"/>
  <c r="H106" i="13"/>
  <c r="D106" i="14"/>
  <c r="D191" i="13"/>
  <c r="R311" i="3"/>
  <c r="H195" i="16" s="1"/>
  <c r="D193" i="13"/>
  <c r="R313" i="3"/>
  <c r="H197" i="16" s="1"/>
  <c r="D180" i="13"/>
  <c r="R300" i="3"/>
  <c r="H184" i="16" s="1"/>
  <c r="C12" i="1"/>
  <c r="D177" i="13"/>
  <c r="R252" i="3"/>
  <c r="D131" i="13"/>
  <c r="O239" i="3"/>
  <c r="H121" i="16" s="1"/>
  <c r="H127" i="16" s="1"/>
  <c r="G219" i="16" s="1"/>
  <c r="D118" i="13"/>
  <c r="K128" i="10"/>
  <c r="M128" i="10" s="1"/>
  <c r="K125" i="10"/>
  <c r="M125" i="10" s="1"/>
  <c r="C67" i="1"/>
  <c r="Q312" i="3"/>
  <c r="D91" i="13"/>
  <c r="C41" i="1"/>
  <c r="C66" i="1"/>
  <c r="D91" i="14"/>
  <c r="K74" i="10"/>
  <c r="M74" i="10" s="1"/>
  <c r="M95" i="10" s="1"/>
  <c r="C24" i="1"/>
  <c r="N6" i="1" s="1"/>
  <c r="N8" i="1"/>
  <c r="N7" i="1"/>
  <c r="C22" i="1"/>
  <c r="N5" i="1" s="1"/>
  <c r="C76" i="1"/>
  <c r="R251" i="3"/>
  <c r="H133" i="16" s="1"/>
  <c r="C38" i="1"/>
  <c r="C75" i="1"/>
  <c r="C82" i="1"/>
  <c r="C60" i="1"/>
  <c r="C80" i="1"/>
  <c r="C77" i="1"/>
  <c r="C81" i="1"/>
  <c r="V211" i="6"/>
  <c r="T211" i="6"/>
  <c r="D223" i="6" s="1"/>
  <c r="D225" i="6" s="1"/>
  <c r="V72" i="6"/>
  <c r="U129" i="6" s="1"/>
  <c r="Q129" i="6"/>
  <c r="H175" i="16" l="1"/>
  <c r="G221" i="16" s="1"/>
  <c r="H101" i="14"/>
  <c r="H134" i="16"/>
  <c r="H135" i="16"/>
  <c r="G220" i="16" s="1"/>
  <c r="C132" i="14"/>
  <c r="D196" i="16"/>
  <c r="AM235" i="3"/>
  <c r="H94" i="16"/>
  <c r="H116" i="16" s="1"/>
  <c r="G218" i="16" s="1"/>
  <c r="H112" i="14"/>
  <c r="D117" i="14"/>
  <c r="H181" i="16"/>
  <c r="D113" i="14"/>
  <c r="C145" i="14" s="1"/>
  <c r="H193" i="13"/>
  <c r="D133" i="14"/>
  <c r="H191" i="13"/>
  <c r="D131" i="14"/>
  <c r="H180" i="13"/>
  <c r="D120" i="14"/>
  <c r="H146" i="13"/>
  <c r="H115" i="14"/>
  <c r="H140" i="14" s="1"/>
  <c r="C148" i="14" s="1"/>
  <c r="H130" i="13"/>
  <c r="H132" i="13" s="1"/>
  <c r="G207" i="13" s="1"/>
  <c r="H100" i="14"/>
  <c r="H102" i="14" s="1"/>
  <c r="C147" i="14" s="1"/>
  <c r="H177" i="13"/>
  <c r="H118" i="13"/>
  <c r="H124" i="13" s="1"/>
  <c r="G206" i="13" s="1"/>
  <c r="H90" i="14"/>
  <c r="H96" i="14" s="1"/>
  <c r="C146" i="14" s="1"/>
  <c r="D192" i="13"/>
  <c r="R312" i="3"/>
  <c r="M152" i="10"/>
  <c r="AE293" i="3"/>
  <c r="H143" i="13"/>
  <c r="H91" i="13"/>
  <c r="H113" i="13" s="1"/>
  <c r="G205" i="13" s="1"/>
  <c r="R253" i="3"/>
  <c r="O245" i="3"/>
  <c r="F223" i="6"/>
  <c r="V212" i="6"/>
  <c r="R314" i="3" l="1"/>
  <c r="H196" i="16"/>
  <c r="H198" i="16"/>
  <c r="G222" i="16" s="1"/>
  <c r="H171" i="13"/>
  <c r="G208" i="13" s="1"/>
  <c r="H192" i="13"/>
  <c r="H194" i="13" s="1"/>
  <c r="G209" i="13" s="1"/>
  <c r="D132" i="14"/>
  <c r="D134" i="14" s="1"/>
  <c r="C149" i="14" s="1"/>
  <c r="C151" i="14" s="1"/>
  <c r="G223" i="6"/>
  <c r="F225" i="6"/>
  <c r="G225" i="6" s="1"/>
  <c r="HM101" i="3"/>
  <c r="G225" i="16" l="1"/>
  <c r="G227" i="16" s="1"/>
  <c r="G211" i="13"/>
  <c r="G213" i="13" s="1"/>
  <c r="AN202" i="3"/>
</calcChain>
</file>

<file path=xl/sharedStrings.xml><?xml version="1.0" encoding="utf-8"?>
<sst xmlns="http://schemas.openxmlformats.org/spreadsheetml/2006/main" count="4039" uniqueCount="536">
  <si>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</si>
  <si>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</si>
  <si>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</si>
  <si>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</si>
  <si>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</si>
  <si>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</si>
  <si>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</si>
  <si>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</si>
  <si>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</si>
  <si>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</si>
  <si>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</si>
  <si>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</si>
  <si>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</si>
  <si>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</si>
  <si>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</si>
  <si>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</si>
  <si>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</si>
  <si>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</si>
  <si>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</si>
  <si>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</si>
  <si>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</si>
  <si>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</si>
  <si>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</si>
  <si>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</si>
  <si>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</si>
  <si>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</si>
  <si>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</si>
  <si>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</si>
  <si>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</si>
  <si>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</si>
  <si>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</si>
  <si>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</si>
  <si>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</si>
  <si>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</si>
  <si>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</si>
  <si>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</si>
  <si>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</si>
  <si>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</si>
  <si>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</si>
  <si>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</si>
  <si>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</si>
  <si>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</si>
  <si>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</si>
  <si>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</si>
  <si>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</si>
  <si>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</si>
  <si>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</si>
  <si>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</si>
  <si>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</si>
  <si>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</si>
  <si>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</si>
  <si>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</si>
  <si>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</si>
  <si>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</si>
  <si>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</si>
  <si>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</si>
  <si>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</si>
  <si>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</si>
  <si>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</si>
  <si>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</si>
  <si>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</si>
  <si>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</si>
  <si>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</si>
  <si>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</si>
  <si>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</si>
  <si>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</si>
  <si>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</si>
  <si>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</si>
  <si>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</si>
  <si>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</si>
  <si>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</si>
  <si>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</si>
  <si>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</si>
  <si>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</si>
  <si>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</si>
  <si>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</si>
  <si>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</si>
  <si>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</si>
  <si>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</si>
  <si>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</si>
  <si>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</si>
  <si>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</si>
  <si>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</si>
  <si>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</si>
  <si>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SINOXSA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</si>
  <si>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</si>
  <si>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</si>
  <si>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01/07</t>
  </si>
  <si>
    <t>TOTAL VENDIDO</t>
  </si>
  <si>
    <t>CANTIDAD VENDIDA</t>
  </si>
  <si>
    <t>20/05 - 30/06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</si>
  <si>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</si>
  <si>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</si>
  <si>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</si>
  <si>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</si>
  <si>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</si>
  <si>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</si>
  <si>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</si>
  <si>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TUBENCA</t>
  </si>
  <si>
    <t>20/05 - 31/05</t>
  </si>
  <si>
    <t>$</t>
  </si>
  <si>
    <t>01/06 - 30/06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</si>
  <si>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</si>
  <si>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</si>
  <si>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</si>
  <si>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</si>
  <si>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</si>
  <si>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</si>
  <si>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</si>
  <si>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</si>
  <si>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PEDIDO SUGERIDO MAPEI</t>
  </si>
  <si>
    <t>ITEM</t>
  </si>
  <si>
    <t>PRODUCTO</t>
  </si>
  <si>
    <t>PRESENTACION</t>
  </si>
  <si>
    <t>RENDIMIENTO</t>
  </si>
  <si>
    <t>PEDIDO SUGERIDO</t>
  </si>
  <si>
    <t>USOS</t>
  </si>
  <si>
    <t>CONTRATIPO</t>
  </si>
  <si>
    <t>SIKA 1</t>
  </si>
  <si>
    <t>SIKA TOP 80</t>
  </si>
  <si>
    <t>NO TIENE</t>
  </si>
  <si>
    <t>SIKAFLEX</t>
  </si>
  <si>
    <t>SIKA BOOM</t>
  </si>
  <si>
    <t>MAPEI UNO</t>
  </si>
  <si>
    <t>GARRAFA 0,8KG</t>
  </si>
  <si>
    <t>MAPELATEX CO</t>
  </si>
  <si>
    <t>GARRAFA 0,8 KG</t>
  </si>
  <si>
    <t>MAPELATEX PVA</t>
  </si>
  <si>
    <t>GARRAFA 0,25 KG</t>
  </si>
  <si>
    <t>GARRAFA 1 KG</t>
  </si>
  <si>
    <t>CARTUCHO 300 ML</t>
  </si>
  <si>
    <t>MAPEFLEX AC4 BLANCO</t>
  </si>
  <si>
    <t>MAPEPUR UNIVERSAL</t>
  </si>
  <si>
    <t>LATA 500 ML</t>
  </si>
  <si>
    <t>BOLSA 2 KG</t>
  </si>
  <si>
    <t>AQUAFLEX TECHOS MAXI LA</t>
  </si>
  <si>
    <t>1 SACO CEMENTO</t>
  </si>
  <si>
    <t>e: 1cm = 1.40 a 2.00 M2</t>
  </si>
  <si>
    <t>Mejorador de morteros, pastas y estucos: 1 KG = 25 KG de material</t>
  </si>
  <si>
    <t>Sellador de superficie: 1 KG = 3L agua = 17 a 50 M2</t>
  </si>
  <si>
    <t>5X5 mm = 12M                       10X10 mm = 3M                 15X10 mm = 2M                  20X10 mm = 1,5M                   25X12,5 mm = 0,9M 30X15 mm = 0,6M</t>
  </si>
  <si>
    <t>30 LITROS</t>
  </si>
  <si>
    <t>ADITIVO LIQUIDO IMPERMEABILIZANTE PARA MORTEROS LIBRE DE CLORUROS</t>
  </si>
  <si>
    <t>LATEX DE GOMA SINTETICA PARA MEJORAR ADHERENCIA EN MEZCLAS CEMENTOSAS</t>
  </si>
  <si>
    <t>MEJORADOR DE ADHERENCIA Y RESISTENCIAS PARA PINTURAS, ESTUCOS Y ENCAMISADOS</t>
  </si>
  <si>
    <t>SELLADOR DE SILICONA PARA JUNTAS DE DILATACION DE HASTA 20% DE TRACCION</t>
  </si>
  <si>
    <t>ESPUMA POLIURETANICA EXPANSIVA</t>
  </si>
  <si>
    <t>MORTERO CEMENTOSO MODIFICADO CON POLIMEROS PARA EL SELLADO DE JUNTAS DE BALDOSAS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</si>
  <si>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</si>
  <si>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</si>
  <si>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</si>
  <si>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</si>
  <si>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</si>
  <si>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</si>
  <si>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</si>
  <si>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</si>
  <si>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</si>
  <si>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</si>
  <si>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</si>
  <si>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CREDITO PROINCA</t>
  </si>
  <si>
    <t>01/07 - 10-07</t>
  </si>
  <si>
    <t>AQUAFLEX TECHO MAXI GL GRIS</t>
  </si>
  <si>
    <t>KERACOLOR FF 132 BEIGE BOLSA 2KG</t>
  </si>
  <si>
    <t>KERACOLOR FF 112 GRIS MEDIO BOLSA 2KG</t>
  </si>
  <si>
    <t>KERACOLOR 113 GRIS CEMENTO</t>
  </si>
  <si>
    <t>KERACOLOR 132 BEIGE</t>
  </si>
  <si>
    <t>KERACOLOR 100 BLANCO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</si>
  <si>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</si>
  <si>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</si>
  <si>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</si>
  <si>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</si>
  <si>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</si>
  <si>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</si>
  <si>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</si>
  <si>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</si>
  <si>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</si>
  <si>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</si>
  <si>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</si>
  <si>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</si>
  <si>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</si>
  <si>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</si>
  <si>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</si>
  <si>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</si>
  <si>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</si>
  <si>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</si>
  <si>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</si>
  <si>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</si>
  <si>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</si>
  <si>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</si>
  <si>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</si>
  <si>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</si>
  <si>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</si>
  <si>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</si>
  <si>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</si>
  <si>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</si>
  <si>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</si>
  <si>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</si>
  <si>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</si>
  <si>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</si>
  <si>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</si>
  <si>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</si>
  <si>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</si>
  <si>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</si>
  <si>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</si>
  <si>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</si>
  <si>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</si>
  <si>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</si>
  <si>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</si>
  <si>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</si>
  <si>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</si>
  <si>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</si>
  <si>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</si>
  <si>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</si>
  <si>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</si>
  <si>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</si>
  <si>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</si>
  <si>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</si>
  <si>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</si>
  <si>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</si>
  <si>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</si>
  <si>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BENITO</t>
  </si>
  <si>
    <t>CODO 3X45 TUBRICA</t>
  </si>
  <si>
    <t>CODO 4X45 BETAPLAST</t>
  </si>
  <si>
    <t>CODO 4X90 BETAPLAST</t>
  </si>
  <si>
    <t>CODO 4X90 TUBRICA</t>
  </si>
  <si>
    <t>TEE 2 TUBRICA</t>
  </si>
  <si>
    <t>TEE 3 UNIPLAST</t>
  </si>
  <si>
    <t>TEE 4 UNITECA</t>
  </si>
  <si>
    <t>TEE 3X2 UNIPLAST</t>
  </si>
  <si>
    <t>TEE 4X3 PAVCO</t>
  </si>
  <si>
    <t>YEE 2 IMPLAVEN</t>
  </si>
  <si>
    <t>YEE 3 TUBRICA</t>
  </si>
  <si>
    <t>YEE 3 DERIVADOS</t>
  </si>
  <si>
    <t>SIFON COMPLETO 2" TUBOMAX</t>
  </si>
  <si>
    <t>SIFON COMPLETO 2" IMPLAVENCA</t>
  </si>
  <si>
    <t>SIFON CORTO 3" DERIVADO</t>
  </si>
  <si>
    <t>SIFON 4 CORTO DERIVADOS</t>
  </si>
  <si>
    <t>SIFON 4 COMPLETO BETAPLAST</t>
  </si>
  <si>
    <t>YEE 4 UNITECA</t>
  </si>
  <si>
    <t>EX</t>
  </si>
  <si>
    <t>TUBO RECT 2X1</t>
  </si>
  <si>
    <t>RONALD (ABRAHAM)</t>
  </si>
  <si>
    <t>PRECIO 10%</t>
  </si>
  <si>
    <t>01/07 - 31/07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</si>
  <si>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</si>
  <si>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</si>
  <si>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</si>
  <si>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</si>
  <si>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</si>
  <si>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</si>
  <si>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</si>
  <si>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</si>
  <si>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</si>
  <si>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</si>
  <si>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</si>
  <si>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</si>
  <si>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</si>
  <si>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</si>
  <si>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</si>
  <si>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CREDITO CALLE</t>
  </si>
  <si>
    <t>MANTO 2.2M ADHESIVO EDIL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</si>
  <si>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</si>
  <si>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</si>
  <si>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</si>
  <si>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</si>
  <si>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</si>
  <si>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</si>
  <si>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</si>
  <si>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</si>
  <si>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</si>
  <si>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</si>
  <si>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</si>
  <si>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</si>
  <si>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</si>
  <si>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</si>
  <si>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</si>
  <si>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</si>
  <si>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</si>
  <si>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</si>
  <si>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</si>
  <si>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</si>
  <si>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</si>
  <si>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</si>
  <si>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</si>
  <si>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</si>
  <si>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</si>
  <si>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</si>
  <si>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</si>
  <si>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</si>
  <si>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</si>
  <si>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</si>
  <si>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</si>
  <si>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</si>
  <si>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AGOSTO 2022</t>
  </si>
  <si>
    <t>JOSE FARIA ($EF)</t>
  </si>
  <si>
    <t>01/08 - 02/08</t>
  </si>
  <si>
    <t>ALBA (BS EF)</t>
  </si>
  <si>
    <t>TORRE EMPR($ZELLE)</t>
  </si>
  <si>
    <t>POS CAM</t>
  </si>
  <si>
    <t>1/4</t>
  </si>
  <si>
    <t>GAL</t>
  </si>
  <si>
    <t>CUN</t>
  </si>
  <si>
    <t>MANTO</t>
  </si>
  <si>
    <t>ALBA VAZQUEZ ($ EF)</t>
  </si>
  <si>
    <t>CAMBIO REPARAMANTO POR SELLADOR DE CAPA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</si>
  <si>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</si>
  <si>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</si>
  <si>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</si>
  <si>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</si>
  <si>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</si>
  <si>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</si>
  <si>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</si>
  <si>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UNITARIO</t>
  </si>
  <si>
    <t>PRECIO TOTAL</t>
  </si>
  <si>
    <t>ALBA VAZQUEZ (BS EF)</t>
  </si>
  <si>
    <t>Se recibieron 300 euros, se dieron $41 vueltos. El efectivo en $ es 618, y 300 euros</t>
  </si>
  <si>
    <t>ROGER RB DEL NORTE</t>
  </si>
  <si>
    <t>03/08 - 23/08</t>
  </si>
  <si>
    <t>24/08 -</t>
  </si>
  <si>
    <t>$135 POR PUNTO MILAGROS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</si>
  <si>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</si>
  <si>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</si>
  <si>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</si>
  <si>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</si>
  <si>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</si>
  <si>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</si>
  <si>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</si>
  <si>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</si>
  <si>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</si>
  <si>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</si>
  <si>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</si>
  <si>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</si>
  <si>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</si>
  <si>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</si>
  <si>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</si>
  <si>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</si>
  <si>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</si>
  <si>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</si>
  <si>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$41 por punto de milagros</t>
  </si>
  <si>
    <t>ARIANA PEÑA ($ EF)</t>
  </si>
  <si>
    <t>$9 VUELTO COMPRADO</t>
  </si>
  <si>
    <t>DESCUENTOS</t>
  </si>
  <si>
    <t>SUB-TOTAL</t>
  </si>
  <si>
    <t>SEPTIEMBRE 2022</t>
  </si>
  <si>
    <t>28/09 - 30/09</t>
  </si>
  <si>
    <t>$3 EN BS DE VUELTO Y $4 EN VUELTO COMPRADO POR TRANSF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</si>
  <si>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</si>
  <si>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</si>
  <si>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KERACOLOR FF 100 BLANCO BOLSA 5KG</t>
  </si>
  <si>
    <t>MANTO AUTOADHESIVO 2.2MM</t>
  </si>
  <si>
    <t>$4 vuelto comprado</t>
  </si>
  <si>
    <t>JAIME ($ EF)</t>
  </si>
  <si>
    <t>SOBRAN $100 EN EFECTIVO</t>
  </si>
  <si>
    <t>ELIZABETH CALDERA (RUBEN PAZ)</t>
  </si>
  <si>
    <t>KERACOLOR FF NEGRO BOLSA 2KG</t>
  </si>
  <si>
    <t xml:space="preserve">FUNDACION LA MANO DE DIOS, NO SE COMO PAGO </t>
  </si>
  <si>
    <t>SE ELIMINARON 4 MANTOS DE LA NOTA DE TORRE EMPRESARIAL 11-10-22</t>
  </si>
  <si>
    <t>CARLOS DEW(ZELLE)</t>
  </si>
  <si>
    <t>SOBRAN $16 EFECTIVO</t>
  </si>
  <si>
    <t>MARCA</t>
  </si>
  <si>
    <t>OMAR CASTILLO (ZELLE)</t>
  </si>
  <si>
    <t>HIERROS</t>
  </si>
  <si>
    <t>ROGER (ZELLE), JESUS VILL (PUNTO), JAIME ($EF)</t>
  </si>
  <si>
    <t>CAMBIO 1 REPARAMANTO X 3 ASFALTO LIQUIDO , 30 DE SEPTIEMBRE</t>
  </si>
  <si>
    <t>01/10 - 15/10</t>
  </si>
  <si>
    <t>ROGER ($ EF), JAIME (NOMINA), PASCUAL (GASTO)</t>
  </si>
  <si>
    <t>SELLADOR DE CAPA 4GAL</t>
  </si>
  <si>
    <t>JESUS VILLARUEL (PUNTO)</t>
  </si>
  <si>
    <t>CAMBIO 1 ALUM GALON X 1 AQUAFLEX GALON, PAGO $4 POR PUNTO, 13/10</t>
  </si>
  <si>
    <t>PRIMER CUÑETE</t>
  </si>
  <si>
    <t>CEMENTO PLASTICO SPRAY FLAMINGO</t>
  </si>
  <si>
    <t>CINTA REPARADORA TECHOS 5CM X 2,5M</t>
  </si>
  <si>
    <t>ROLLO POLIESTER 10M REFUERZO P/ AQUAFLEX</t>
  </si>
  <si>
    <t>FERRETERIA MIGUELITO</t>
  </si>
  <si>
    <t>LAMINA ZINC 3,66 X 80 ONDULADA</t>
  </si>
  <si>
    <t>FRANCISCO PUENTE</t>
  </si>
  <si>
    <t>KERACOLOR FF 110 GRIS MANHATTAN BOLSA 2KG</t>
  </si>
  <si>
    <t>$200 VUELTO PENDIENTE ZELLE</t>
  </si>
  <si>
    <t xml:space="preserve">$46 CONSUMIDOS DE VUELTO PENDIENTE, QUEDAN $61 PENDIENTE </t>
  </si>
  <si>
    <t>$107 VUELTO PENDIENTE</t>
  </si>
  <si>
    <t>SE VENDIERON 5 MANTOS ($170) DIRECTO DESDE SUPER TECHOS</t>
  </si>
  <si>
    <t xml:space="preserve">MANTO 3,2 MM </t>
  </si>
  <si>
    <t xml:space="preserve">MANTO 2,7 MM </t>
  </si>
  <si>
    <t>$200 consumidos de vuelto pendiente (zelle)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</si>
  <si>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</si>
  <si>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</si>
  <si>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</si>
  <si>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</si>
  <si>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</si>
  <si>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</si>
  <si>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PINT ALUMINIZADA 4GLN</t>
  </si>
  <si>
    <t>MANTO ALUMINIZADO 3MM</t>
  </si>
  <si>
    <t>PRIMER BIDON</t>
  </si>
  <si>
    <t>ASFALTO LIQUIDO GLN</t>
  </si>
  <si>
    <t>ASFALTO PLASTICO GLN</t>
  </si>
  <si>
    <t>PRIMER GLN</t>
  </si>
  <si>
    <t>SELLADOR DE CAPAS GLN</t>
  </si>
  <si>
    <t>MAPELATEX CO 0,8 KG</t>
  </si>
  <si>
    <t>17/10 - 31/10</t>
  </si>
  <si>
    <t xml:space="preserve">01/11 - </t>
  </si>
  <si>
    <t>DINERO DE MIGUELITO: $15 EF</t>
  </si>
  <si>
    <t>NUMEROS DISPONIBLES</t>
  </si>
  <si>
    <t>NUMEROS OCUPADOS</t>
  </si>
  <si>
    <t>PARTICIPANTES</t>
  </si>
  <si>
    <t>ISABELINO SUAREZ</t>
  </si>
  <si>
    <t>NUMEROS</t>
  </si>
  <si>
    <t>ADRIANO RUIZ</t>
  </si>
  <si>
    <t>RUBEN JR PAZ</t>
  </si>
  <si>
    <t>ANA VARGAS</t>
  </si>
  <si>
    <t>JAIME PUENTE</t>
  </si>
  <si>
    <t>MARITZA MARGARITA</t>
  </si>
  <si>
    <t>EMERLIN</t>
  </si>
  <si>
    <t>DAINE</t>
  </si>
  <si>
    <t>WILMARELIS</t>
  </si>
  <si>
    <t>EMERSON</t>
  </si>
  <si>
    <t>KIMBERLY GOMEZ</t>
  </si>
  <si>
    <t>MARY RAMIREZ</t>
  </si>
  <si>
    <t>MAMA DE IVANA</t>
  </si>
  <si>
    <t>ELAINE RAMOS</t>
  </si>
  <si>
    <t>MIGUELITO</t>
  </si>
  <si>
    <t>OCTUBRE 2022</t>
  </si>
  <si>
    <t>EDELIDA</t>
  </si>
  <si>
    <t>ANYELINI URDANETA</t>
  </si>
  <si>
    <t>SRA YARE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</si>
  <si>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</si>
  <si>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</si>
  <si>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FATIMA DUARTE</t>
  </si>
  <si>
    <t>ARIANA PEÑA (CRUCE)</t>
  </si>
  <si>
    <t>ANDRES SANCHEZ</t>
  </si>
  <si>
    <t>ELOINA PUENTE</t>
  </si>
  <si>
    <t>ADOLFO MARIN</t>
  </si>
  <si>
    <t>DARIANNA MORAN</t>
  </si>
  <si>
    <t>PATRICIA OCANDO</t>
  </si>
  <si>
    <t>DANIEL HENRIQUE</t>
  </si>
  <si>
    <t>FRANCISCO JESUS PUENTE</t>
  </si>
  <si>
    <t>EUDO MONTIEL</t>
  </si>
  <si>
    <t>$32 VUELTO PENDIENTE</t>
  </si>
  <si>
    <t>IRAIS</t>
  </si>
  <si>
    <t>COCO VECINO OLIVIA</t>
  </si>
  <si>
    <t>MANTO 3,2 MM BITUPLAST</t>
  </si>
  <si>
    <t>ERWIN SEVEREYN</t>
  </si>
  <si>
    <t>STEPHANIE VECINA</t>
  </si>
  <si>
    <t>BETTY VECINA</t>
  </si>
  <si>
    <t>OLIVIA VECINA</t>
  </si>
  <si>
    <t>JOSEFINA MARI</t>
  </si>
  <si>
    <t>CRISTAL MUÑOZ</t>
  </si>
  <si>
    <t>DANIELA FERNANDEZ</t>
  </si>
  <si>
    <t>XIOMARA TERAN</t>
  </si>
  <si>
    <t>SRA LILA</t>
  </si>
  <si>
    <t>PASTELITOS DON JUAN (RUBEN PAZ)</t>
  </si>
  <si>
    <t>CEMENTO PLASTICO 4G BITUPLAST</t>
  </si>
  <si>
    <t>ROGER($530 ZELLE + $100 EF)</t>
  </si>
  <si>
    <t>PRIMA RUBEN PAZ ($215 EF)</t>
  </si>
  <si>
    <t>SELLADOR DE CAPAS GALON</t>
  </si>
  <si>
    <t>BACK-ORDER PENDIENTE</t>
  </si>
  <si>
    <t>SELLADOR DE CAPAS CUÑETE</t>
  </si>
  <si>
    <t>creo q una transferencia por zelle la anote como por banco en bs. Revisar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</si>
  <si>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</si>
  <si>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</si>
  <si>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</si>
  <si>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</si>
  <si>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</si>
  <si>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</si>
  <si>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</si>
  <si>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</si>
  <si>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MANTO 3.2MM</t>
  </si>
  <si>
    <t>MANTO 3.2</t>
  </si>
  <si>
    <t>ABONO</t>
  </si>
  <si>
    <t>ROGER BRICEÑO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</si>
  <si>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</si>
  <si>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</si>
  <si>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</si>
  <si>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</si>
  <si>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</si>
  <si>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</si>
  <si>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</si>
  <si>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</si>
  <si>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</si>
  <si>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</si>
  <si>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</si>
  <si>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</si>
  <si>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R</t>
  </si>
  <si>
    <t>F</t>
  </si>
  <si>
    <t>CLEAN (ZELLE), YAMILETH ($EF)</t>
  </si>
  <si>
    <t>JOSE BOSCAN</t>
  </si>
  <si>
    <t>REPARAMANTO</t>
  </si>
  <si>
    <t>MANTO 2.7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</si>
  <si>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</si>
  <si>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</si>
  <si>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</si>
  <si>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</si>
  <si>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</si>
  <si>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</si>
  <si>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</si>
  <si>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 (DON JUAN)</t>
  </si>
  <si>
    <t>ANTONIO DANTE</t>
  </si>
  <si>
    <t>YAMILETH ($EF), NELSON ZAMBRANO ($EF)</t>
  </si>
  <si>
    <t>$93 DE CAMBIO POR MERCANCIA</t>
  </si>
  <si>
    <t>JOSE BOSCAN (RUBEN PAZ)</t>
  </si>
  <si>
    <t>ARIANA PENA (FCO JESUS)</t>
  </si>
  <si>
    <t>EUDO MONTIEL (RUBEN PAZ)</t>
  </si>
  <si>
    <t>JOSE BOSCAN ($ZELLE)</t>
  </si>
  <si>
    <t>CARLOS QUINTERO (ZELLE), ABRAHAM ($EF)</t>
  </si>
  <si>
    <t>$12,7 VUELTO PENDIENTE PAGADOS</t>
  </si>
  <si>
    <t>NELSON ZAMBRANO ($EF)</t>
  </si>
  <si>
    <t>TRANSFIRIERON $297 EN AVANCE PARA UN MATERIAL, AUN NO SE FACTURA</t>
  </si>
  <si>
    <t>ROGER ($EF)</t>
  </si>
  <si>
    <t>JISSEL</t>
  </si>
  <si>
    <t>GERARDO GONZALEZ</t>
  </si>
  <si>
    <t>LAM ZINC 12</t>
  </si>
  <si>
    <t>TUBO 2X1</t>
  </si>
  <si>
    <t>GERARDO GONZALEZ (RUBEN PAZ)</t>
  </si>
  <si>
    <t>EL SIST TIENE UN ERROR ESTE DIA CON GERSON FENG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</si>
  <si>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</si>
  <si>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</si>
  <si>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</si>
  <si>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</si>
  <si>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</si>
  <si>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</si>
  <si>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</si>
  <si>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</si>
  <si>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</si>
  <si>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</si>
  <si>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CONDOMINIO EL CUJI</t>
  </si>
  <si>
    <t>PRIMER 4G</t>
  </si>
  <si>
    <t>PIN ALUM 4G</t>
  </si>
  <si>
    <t>EL CUJI (ZELLE)</t>
  </si>
  <si>
    <t>DOUGLAS HERNANDEZ</t>
  </si>
  <si>
    <t>MERCANCIA PENDIENTE</t>
  </si>
  <si>
    <t>DOUGLAS HERNANDEZ (BS EF)</t>
  </si>
  <si>
    <t>DOUGLAS PUNTO</t>
  </si>
  <si>
    <t>LAGO COUNTRY III TORRE 10</t>
  </si>
  <si>
    <t>MANTO 3,2</t>
  </si>
  <si>
    <t>Nota: Los precios no incluyen IVA. Pagos en divisa (por articulo) tienen 10% descuento</t>
  </si>
  <si>
    <t>LAGO COUNTRY III TORRE 10 (ZELLE), ROGER (ZELLE), LUIS RODRIGUEZ (ZELLE), CARLOS QUINTERO (ZELLE), ANGEL URDANETA (CRUCE), JISSEL (ZELLE Y EF)</t>
  </si>
  <si>
    <t>$40 VALE JAIME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</si>
</sst>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vertical="center"/>
    </xf>
    <xf numFmtId="0" fontId="6" fillId="4" borderId="10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vertical="center"/>
    </xf>
    <xf numFmtId="0" fontId="6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7" fillId="4" borderId="14" xfId="0" applyFont="1" applyFill="1" applyBorder="1" applyAlignment="1">
      <alignment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0" fillId="2" borderId="3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4" borderId="5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2" fillId="4" borderId="3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14" fillId="0" borderId="3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4" fillId="2" borderId="1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2" fontId="16" fillId="2" borderId="0" xfId="0" applyNumberFormat="1" applyFont="1" applyFill="1" applyAlignment="1">
      <alignment horizontal="center"/>
    </xf>
    <xf numFmtId="2" fontId="16" fillId="0" borderId="0" xfId="0" applyNumberFormat="1" applyFont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2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0" fillId="2" borderId="1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6" fillId="2" borderId="3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6" xfId="0" applyFill="1" applyBorder="1" applyAlignment="1">
      <alignment horizontal="center" vertical="center"/>
    </xf>
    <xf numFmtId="0" fontId="14" fillId="2" borderId="31" xfId="0" applyFont="1" applyFill="1" applyBorder="1" applyAlignment="1">
      <alignment horizontal="center" vertical="center" wrapText="1"/>
    </xf>
    <xf numFmtId="0" fontId="14" fillId="2" borderId="31" xfId="0" applyFont="1" applyFill="1" applyBorder="1" applyAlignment="1">
      <alignment vertical="center" wrapText="1"/>
    </xf>
    <xf numFmtId="0" fontId="0" fillId="10" borderId="31" xfId="0" applyFill="1" applyBorder="1" applyAlignment="1">
      <alignment horizontal="center" vertical="center"/>
    </xf>
    <xf numFmtId="0" fontId="5" fillId="2" borderId="0" xfId="0" applyFont="1" applyFill="1"/>
    <xf numFmtId="0" fontId="20" fillId="0" borderId="0" xfId="0" applyFont="1"/>
    <xf numFmtId="0" fontId="14" fillId="2" borderId="0" xfId="0" applyFont="1" applyFill="1"/>
    <xf numFmtId="0" fontId="20" fillId="2" borderId="0" xfId="0" applyFont="1" applyFill="1" applyAlignment="1">
      <alignment horizontal="center" vertical="center"/>
    </xf>
    <xf numFmtId="2" fontId="24" fillId="2" borderId="0" xfId="0" applyNumberFormat="1" applyFont="1" applyFill="1" applyAlignment="1">
      <alignment horizontal="center"/>
    </xf>
    <xf numFmtId="0" fontId="24" fillId="2" borderId="0" xfId="0" applyFont="1" applyFill="1" applyAlignment="1">
      <alignment horizontal="center" vertical="center"/>
    </xf>
    <xf numFmtId="0" fontId="14" fillId="0" borderId="1" xfId="0" applyFont="1" applyBorder="1" applyAlignment="1">
      <alignment horizontal="center" wrapText="1"/>
    </xf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horizontal="center" wrapText="1"/>
    </xf>
    <xf numFmtId="0" fontId="20" fillId="0" borderId="0" xfId="0" applyFont="1" applyAlignment="1">
      <alignment wrapText="1"/>
    </xf>
    <xf numFmtId="0" fontId="20" fillId="2" borderId="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vertical="center" wrapText="1"/>
    </xf>
    <xf numFmtId="0" fontId="21" fillId="2" borderId="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vertical="center" wrapText="1"/>
    </xf>
    <xf numFmtId="0" fontId="20" fillId="2" borderId="0" xfId="0" applyFont="1" applyFill="1" applyAlignment="1">
      <alignment horizontal="center" vertical="center" wrapText="1"/>
    </xf>
    <xf numFmtId="0" fontId="23" fillId="2" borderId="31" xfId="0" applyFont="1" applyFill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14" fillId="10" borderId="31" xfId="0" applyFont="1" applyFill="1" applyBorder="1" applyAlignment="1">
      <alignment horizontal="center" wrapText="1"/>
    </xf>
    <xf numFmtId="0" fontId="20" fillId="2" borderId="9" xfId="0" applyFont="1" applyFill="1" applyBorder="1" applyAlignment="1">
      <alignment horizontal="center" vertical="center" wrapText="1"/>
    </xf>
    <xf numFmtId="0" fontId="20" fillId="6" borderId="7" xfId="0" applyFont="1" applyFill="1" applyBorder="1" applyAlignment="1">
      <alignment horizontal="center" vertical="center" wrapText="1"/>
    </xf>
    <xf numFmtId="0" fontId="20" fillId="2" borderId="0" xfId="0" applyFont="1" applyFill="1" applyAlignment="1">
      <alignment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20" fillId="10" borderId="3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wrapText="1"/>
    </xf>
    <xf numFmtId="0" fontId="20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10" fontId="24" fillId="2" borderId="0" xfId="0" applyNumberFormat="1" applyFont="1" applyFill="1" applyAlignment="1">
      <alignment horizontal="center" vertical="center"/>
    </xf>
    <xf numFmtId="10" fontId="24" fillId="2" borderId="0" xfId="0" applyNumberFormat="1" applyFont="1" applyFill="1" applyAlignment="1">
      <alignment horizontal="center"/>
    </xf>
    <xf numFmtId="10" fontId="24" fillId="0" borderId="0" xfId="0" applyNumberFormat="1" applyFont="1" applyAlignment="1">
      <alignment horizontal="center"/>
    </xf>
    <xf numFmtId="10" fontId="24" fillId="2" borderId="1" xfId="0" applyNumberFormat="1" applyFont="1" applyFill="1" applyBorder="1" applyAlignment="1">
      <alignment horizontal="center" wrapText="1"/>
    </xf>
    <xf numFmtId="10" fontId="20" fillId="2" borderId="1" xfId="0" applyNumberFormat="1" applyFont="1" applyFill="1" applyBorder="1" applyAlignment="1">
      <alignment horizontal="center" wrapText="1"/>
    </xf>
    <xf numFmtId="2" fontId="0" fillId="2" borderId="1" xfId="0" applyNumberForma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2" borderId="31" xfId="0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21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2" fontId="22" fillId="2" borderId="1" xfId="0" applyNumberFormat="1" applyFont="1" applyFill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4" fillId="2" borderId="0" xfId="0" applyFont="1" applyFill="1" applyAlignment="1">
      <alignment wrapText="1"/>
    </xf>
    <xf numFmtId="0" fontId="14" fillId="2" borderId="0" xfId="0" applyFont="1" applyFill="1" applyAlignment="1">
      <alignment vertical="center" wrapText="1"/>
    </xf>
    <xf numFmtId="0" fontId="20" fillId="2" borderId="31" xfId="0" applyFon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wrapText="1"/>
    </xf>
    <xf numFmtId="0" fontId="23" fillId="10" borderId="3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horizontal="left" vertical="center" wrapText="1"/>
    </xf>
    <xf numFmtId="10" fontId="24" fillId="0" borderId="1" xfId="0" applyNumberFormat="1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31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2" fontId="0" fillId="0" borderId="1" xfId="0" applyNumberFormat="1" applyBorder="1" applyAlignment="1">
      <alignment horizontal="center"/>
    </xf>
    <xf numFmtId="16" fontId="0" fillId="6" borderId="1" xfId="0" applyNumberFormat="1" applyFill="1" applyBorder="1" applyAlignment="1">
      <alignment horizontal="center" vertical="center"/>
    </xf>
    <xf numFmtId="2" fontId="27" fillId="4" borderId="1" xfId="0" applyNumberFormat="1" applyFont="1" applyFill="1" applyBorder="1" applyAlignment="1">
      <alignment horizontal="center" vertical="center"/>
    </xf>
    <xf numFmtId="2" fontId="27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5" fillId="4" borderId="7" xfId="0" applyFont="1" applyFill="1" applyBorder="1" applyAlignment="1">
      <alignment horizontal="center" vertical="center"/>
    </xf>
    <xf numFmtId="2" fontId="20" fillId="0" borderId="1" xfId="0" applyNumberFormat="1" applyFont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2" fontId="23" fillId="2" borderId="31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3" xfId="0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2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31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horizontal="center" vertical="center"/>
    </xf>
    <xf numFmtId="2" fontId="7" fillId="4" borderId="31" xfId="0" applyNumberFormat="1" applyFont="1" applyFill="1" applyBorder="1" applyAlignment="1">
      <alignment horizontal="center" vertical="center"/>
    </xf>
    <xf numFmtId="0" fontId="15" fillId="4" borderId="35" xfId="0" applyFont="1" applyFill="1" applyBorder="1" applyAlignment="1">
      <alignment horizontal="center" vertical="center"/>
    </xf>
    <xf numFmtId="2" fontId="27" fillId="4" borderId="31" xfId="0" applyNumberFormat="1" applyFont="1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14" fillId="4" borderId="44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 wrapText="1"/>
    </xf>
    <xf numFmtId="0" fontId="26" fillId="4" borderId="43" xfId="0" applyFont="1" applyFill="1" applyBorder="1" applyAlignment="1">
      <alignment horizontal="center" vertical="center" wrapText="1"/>
    </xf>
    <xf numFmtId="0" fontId="6" fillId="4" borderId="29" xfId="0" applyFont="1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16" fontId="0" fillId="0" borderId="0" xfId="0" applyNumberFormat="1"/>
    <xf numFmtId="0" fontId="14" fillId="2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2" fontId="20" fillId="2" borderId="0" xfId="0" applyNumberFormat="1" applyFont="1" applyFill="1" applyAlignment="1">
      <alignment horizontal="center" vertical="center" wrapText="1"/>
    </xf>
    <xf numFmtId="2" fontId="20" fillId="0" borderId="0" xfId="0" applyNumberFormat="1" applyFont="1" applyAlignment="1">
      <alignment horizontal="center" vertical="center"/>
    </xf>
    <xf numFmtId="0" fontId="23" fillId="2" borderId="0" xfId="0" applyFont="1" applyFill="1" applyAlignment="1">
      <alignment horizontal="center" vertical="center" wrapText="1"/>
    </xf>
    <xf numFmtId="2" fontId="23" fillId="2" borderId="0" xfId="0" applyNumberFormat="1" applyFont="1" applyFill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/>
    </xf>
    <xf numFmtId="2" fontId="20" fillId="0" borderId="0" xfId="0" applyNumberFormat="1" applyFont="1" applyAlignment="1">
      <alignment horizontal="center" vertical="center" wrapText="1"/>
    </xf>
    <xf numFmtId="16" fontId="22" fillId="0" borderId="0" xfId="0" quotePrefix="1" applyNumberFormat="1" applyFont="1" applyAlignment="1">
      <alignment vertical="center" wrapText="1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20" fillId="10" borderId="1" xfId="0" applyFont="1" applyFill="1" applyBorder="1" applyAlignment="1">
      <alignment horizontal="center" wrapText="1"/>
    </xf>
    <xf numFmtId="0" fontId="14" fillId="0" borderId="31" xfId="0" applyFont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/>
    </xf>
    <xf numFmtId="0" fontId="21" fillId="2" borderId="31" xfId="0" applyFont="1" applyFill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14" fillId="0" borderId="7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20" fillId="0" borderId="31" xfId="0" applyFont="1" applyBorder="1" applyAlignment="1">
      <alignment horizontal="center" wrapText="1"/>
    </xf>
    <xf numFmtId="0" fontId="20" fillId="2" borderId="0" xfId="0" applyFont="1" applyFill="1" applyAlignment="1">
      <alignment wrapText="1"/>
    </xf>
    <xf numFmtId="0" fontId="4" fillId="4" borderId="34" xfId="0" applyFont="1" applyFill="1" applyBorder="1" applyAlignment="1">
      <alignment horizontal="center" vertical="center"/>
    </xf>
    <xf numFmtId="0" fontId="14" fillId="4" borderId="35" xfId="0" applyFont="1" applyFill="1" applyBorder="1" applyAlignment="1">
      <alignment horizontal="center" vertical="center" wrapText="1"/>
    </xf>
    <xf numFmtId="0" fontId="5" fillId="4" borderId="49" xfId="0" applyFont="1" applyFill="1" applyBorder="1" applyAlignment="1">
      <alignment horizontal="center" vertical="center" wrapText="1"/>
    </xf>
    <xf numFmtId="0" fontId="14" fillId="4" borderId="35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6" fillId="4" borderId="2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8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9" fontId="0" fillId="0" borderId="0" xfId="0" applyNumberFormat="1"/>
    <xf numFmtId="0" fontId="1" fillId="0" borderId="0" xfId="0" applyFont="1" applyAlignment="1">
      <alignment horizontal="center" vertical="center" wrapText="1"/>
    </xf>
    <xf numFmtId="16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31" fillId="4" borderId="6" xfId="0" applyFont="1" applyFill="1" applyBorder="1" applyAlignment="1">
      <alignment horizontal="center" vertical="center"/>
    </xf>
    <xf numFmtId="0" fontId="31" fillId="4" borderId="9" xfId="0" applyFont="1" applyFill="1" applyBorder="1" applyAlignment="1">
      <alignment horizontal="center" vertical="center"/>
    </xf>
    <xf numFmtId="0" fontId="31" fillId="4" borderId="33" xfId="0" applyFont="1" applyFill="1" applyBorder="1" applyAlignment="1">
      <alignment horizontal="center" vertical="center"/>
    </xf>
    <xf numFmtId="2" fontId="31" fillId="4" borderId="14" xfId="0" applyNumberFormat="1" applyFont="1" applyFill="1" applyBorder="1" applyAlignment="1">
      <alignment horizontal="center" vertical="center"/>
    </xf>
    <xf numFmtId="2" fontId="31" fillId="4" borderId="16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5" fillId="18" borderId="16" xfId="0" applyFont="1" applyFill="1" applyBorder="1" applyAlignment="1">
      <alignment horizontal="center" vertical="center"/>
    </xf>
    <xf numFmtId="0" fontId="5" fillId="18" borderId="17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0" fontId="5" fillId="18" borderId="12" xfId="0" applyFont="1" applyFill="1" applyBorder="1" applyAlignment="1">
      <alignment horizontal="center" vertical="center"/>
    </xf>
    <xf numFmtId="0" fontId="5" fillId="18" borderId="15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wrapText="1"/>
    </xf>
    <xf numFmtId="0" fontId="15" fillId="4" borderId="7" xfId="0" applyFont="1" applyFill="1" applyBorder="1" applyAlignment="1">
      <alignment horizontal="center"/>
    </xf>
    <xf numFmtId="0" fontId="15" fillId="4" borderId="32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7" fillId="4" borderId="1" xfId="0" applyFont="1" applyFill="1" applyBorder="1" applyAlignment="1">
      <alignment horizontal="center" vertical="center"/>
    </xf>
    <xf numFmtId="0" fontId="27" fillId="4" borderId="1" xfId="0" applyFont="1" applyFill="1" applyBorder="1" applyAlignment="1">
      <alignment horizontal="center"/>
    </xf>
    <xf numFmtId="0" fontId="5" fillId="18" borderId="18" xfId="0" applyFont="1" applyFill="1" applyBorder="1" applyAlignment="1">
      <alignment horizontal="center" vertical="center"/>
    </xf>
    <xf numFmtId="0" fontId="0" fillId="6" borderId="1" xfId="0" applyFill="1" applyBorder="1"/>
    <xf numFmtId="0" fontId="5" fillId="0" borderId="0" xfId="0" applyFont="1" applyAlignment="1">
      <alignment horizontal="center" vertic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7" xfId="0" applyFont="1" applyFill="1" applyBorder="1" applyAlignment="1">
      <alignment horizontal="center" vertical="center"/>
    </xf>
    <xf numFmtId="0" fontId="10" fillId="4" borderId="57" xfId="0" applyFont="1" applyFill="1" applyBorder="1" applyAlignment="1">
      <alignment horizontal="center" vertical="center"/>
    </xf>
    <xf numFmtId="0" fontId="15" fillId="4" borderId="41" xfId="0" applyFont="1" applyFill="1" applyBorder="1" applyAlignment="1">
      <alignment horizontal="center" vertical="center"/>
    </xf>
    <xf numFmtId="0" fontId="27" fillId="4" borderId="34" xfId="0" applyFont="1" applyFill="1" applyBorder="1" applyAlignment="1">
      <alignment horizontal="center" vertical="center"/>
    </xf>
    <xf numFmtId="0" fontId="27" fillId="4" borderId="53" xfId="0" applyFont="1" applyFill="1" applyBorder="1" applyAlignment="1">
      <alignment horizontal="center" vertical="center"/>
    </xf>
    <xf numFmtId="0" fontId="0" fillId="10" borderId="3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19" borderId="0" xfId="0" applyFill="1"/>
    <xf numFmtId="0" fontId="0" fillId="19" borderId="1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/>
    <xf numFmtId="0" fontId="0" fillId="20" borderId="1" xfId="0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1" borderId="0" xfId="0" applyFill="1"/>
    <xf numFmtId="0" fontId="0" fillId="21" borderId="1" xfId="0" applyFill="1" applyBorder="1" applyAlignment="1">
      <alignment horizontal="center"/>
    </xf>
    <xf numFmtId="0" fontId="0" fillId="21" borderId="1" xfId="0" applyFill="1" applyBorder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12" borderId="0" xfId="0" applyFill="1"/>
    <xf numFmtId="0" fontId="0" fillId="12" borderId="1" xfId="0" applyFill="1" applyBorder="1" applyAlignment="1">
      <alignment horizontal="center"/>
    </xf>
    <xf numFmtId="0" fontId="0" fillId="12" borderId="0" xfId="0" applyFill="1" applyAlignment="1">
      <alignment horizontal="center" vertical="center"/>
    </xf>
    <xf numFmtId="0" fontId="10" fillId="4" borderId="36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1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9" borderId="1" xfId="0" applyFill="1" applyBorder="1" applyAlignment="1">
      <alignment horizontal="center"/>
    </xf>
    <xf numFmtId="0" fontId="0" fillId="19" borderId="1" xfId="0" applyFill="1" applyBorder="1" applyAlignment="1">
      <alignment horizontal="center" vertical="center"/>
    </xf>
    <xf numFmtId="2" fontId="0" fillId="0" borderId="0" xfId="0" applyNumberFormat="1" applyFont="1"/>
    <xf numFmtId="0" fontId="2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7" fillId="0" borderId="37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" fillId="2" borderId="46" xfId="0" quotePrefix="1" applyFont="1" applyFill="1" applyBorder="1" applyAlignment="1">
      <alignment horizontal="center" vertical="center"/>
    </xf>
    <xf numFmtId="0" fontId="2" fillId="2" borderId="47" xfId="0" quotePrefix="1" applyFont="1" applyFill="1" applyBorder="1" applyAlignment="1">
      <alignment horizontal="center" vertical="center"/>
    </xf>
    <xf numFmtId="0" fontId="28" fillId="2" borderId="45" xfId="0" quotePrefix="1" applyFont="1" applyFill="1" applyBorder="1" applyAlignment="1">
      <alignment horizontal="center" vertical="center"/>
    </xf>
    <xf numFmtId="0" fontId="28" fillId="2" borderId="46" xfId="0" quotePrefix="1" applyFont="1" applyFill="1" applyBorder="1" applyAlignment="1">
      <alignment horizontal="center" vertical="center"/>
    </xf>
    <xf numFmtId="0" fontId="28" fillId="2" borderId="47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9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8" fillId="2" borderId="53" xfId="0" applyFont="1" applyFill="1" applyBorder="1" applyAlignment="1">
      <alignment horizontal="center" vertical="center"/>
    </xf>
    <xf numFmtId="0" fontId="28" fillId="2" borderId="51" xfId="0" applyFont="1" applyFill="1" applyBorder="1" applyAlignment="1">
      <alignment horizontal="center" vertical="center"/>
    </xf>
    <xf numFmtId="0" fontId="28" fillId="2" borderId="54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29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8" fillId="2" borderId="50" xfId="0" quotePrefix="1" applyFont="1" applyFill="1" applyBorder="1" applyAlignment="1">
      <alignment horizontal="center" vertical="center"/>
    </xf>
    <xf numFmtId="0" fontId="28" fillId="2" borderId="51" xfId="0" quotePrefix="1" applyFont="1" applyFill="1" applyBorder="1" applyAlignment="1">
      <alignment horizontal="center" vertical="center"/>
    </xf>
    <xf numFmtId="0" fontId="28" fillId="2" borderId="52" xfId="0" quotePrefix="1" applyFont="1" applyFill="1" applyBorder="1" applyAlignment="1">
      <alignment horizontal="center" vertical="center"/>
    </xf>
    <xf numFmtId="0" fontId="29" fillId="10" borderId="43" xfId="0" applyFont="1" applyFill="1" applyBorder="1" applyAlignment="1">
      <alignment horizontal="center" vertical="center"/>
    </xf>
    <xf numFmtId="0" fontId="29" fillId="10" borderId="29" xfId="0" applyFont="1" applyFill="1" applyBorder="1" applyAlignment="1">
      <alignment horizontal="center" vertical="center"/>
    </xf>
    <xf numFmtId="0" fontId="29" fillId="10" borderId="30" xfId="0" applyFont="1" applyFill="1" applyBorder="1" applyAlignment="1">
      <alignment horizontal="center" vertical="center"/>
    </xf>
    <xf numFmtId="0" fontId="30" fillId="10" borderId="50" xfId="0" applyFont="1" applyFill="1" applyBorder="1" applyAlignment="1">
      <alignment horizontal="center" vertical="center"/>
    </xf>
    <xf numFmtId="0" fontId="30" fillId="10" borderId="51" xfId="0" applyFont="1" applyFill="1" applyBorder="1" applyAlignment="1">
      <alignment horizontal="center" vertical="center"/>
    </xf>
    <xf numFmtId="0" fontId="30" fillId="10" borderId="54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26" fillId="2" borderId="28" xfId="0" applyFont="1" applyFill="1" applyBorder="1" applyAlignment="1">
      <alignment horizontal="center"/>
    </xf>
    <xf numFmtId="0" fontId="26" fillId="2" borderId="29" xfId="0" applyFont="1" applyFill="1" applyBorder="1" applyAlignment="1">
      <alignment horizontal="center"/>
    </xf>
    <xf numFmtId="0" fontId="26" fillId="2" borderId="48" xfId="0" applyFont="1" applyFill="1" applyBorder="1" applyAlignment="1">
      <alignment horizontal="center"/>
    </xf>
    <xf numFmtId="0" fontId="26" fillId="2" borderId="44" xfId="0" applyFont="1" applyFill="1" applyBorder="1" applyAlignment="1">
      <alignment horizontal="center"/>
    </xf>
    <xf numFmtId="0" fontId="26" fillId="2" borderId="55" xfId="0" applyFont="1" applyFill="1" applyBorder="1" applyAlignment="1">
      <alignment horizontal="center"/>
    </xf>
    <xf numFmtId="0" fontId="26" fillId="2" borderId="5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8" fillId="2" borderId="50" xfId="0" applyFont="1" applyFill="1" applyBorder="1" applyAlignment="1">
      <alignment horizontal="center" vertical="center"/>
    </xf>
    <xf numFmtId="0" fontId="28" fillId="2" borderId="52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7" fillId="5" borderId="26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8" fillId="2" borderId="39" xfId="0" applyFont="1" applyFill="1" applyBorder="1" applyAlignment="1">
      <alignment horizontal="center" vertical="center"/>
    </xf>
    <xf numFmtId="0" fontId="28" fillId="2" borderId="40" xfId="0" applyFont="1" applyFill="1" applyBorder="1" applyAlignment="1">
      <alignment horizontal="center" vertical="center"/>
    </xf>
    <xf numFmtId="0" fontId="28" fillId="2" borderId="41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2" borderId="25" xfId="0" quotePrefix="1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0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31" xfId="0" applyFill="1" applyBorder="1" applyAlignment="1">
      <alignment horizontal="left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0" xfId="0" applyFont="1" applyAlignment="1">
      <alignment horizontal="center" vertical="center" wrapText="1"/>
    </xf>
    <xf numFmtId="0" fontId="5" fillId="13" borderId="38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14" fontId="0" fillId="19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14" fontId="0" fillId="20" borderId="1" xfId="0" applyNumberForma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14" fontId="0" fillId="12" borderId="1" xfId="0" applyNumberFormat="1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14" fontId="0" fillId="21" borderId="1" xfId="0" applyNumberFormat="1" applyFill="1" applyBorder="1" applyAlignment="1">
      <alignment horizontal="center"/>
    </xf>
    <xf numFmtId="0" fontId="0" fillId="21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1" fillId="17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18" borderId="16" xfId="0" applyFont="1" applyFill="1" applyBorder="1" applyAlignment="1">
      <alignment horizontal="center"/>
    </xf>
    <xf numFmtId="0" fontId="1" fillId="18" borderId="17" xfId="0" applyFont="1" applyFill="1" applyBorder="1" applyAlignment="1">
      <alignment horizontal="center"/>
    </xf>
    <xf numFmtId="0" fontId="1" fillId="18" borderId="18" xfId="0" applyFont="1" applyFill="1" applyBorder="1" applyAlignment="1">
      <alignment horizontal="center"/>
    </xf>
    <xf numFmtId="0" fontId="14" fillId="0" borderId="1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wrapText="1"/>
    </xf>
    <xf numFmtId="0" fontId="14" fillId="0" borderId="8" xfId="0" applyFont="1" applyBorder="1" applyAlignment="1">
      <alignment horizontal="center" wrapText="1"/>
    </xf>
    <xf numFmtId="0" fontId="14" fillId="0" borderId="9" xfId="0" applyFont="1" applyBorder="1" applyAlignment="1">
      <alignment horizontal="center" wrapText="1"/>
    </xf>
    <xf numFmtId="0" fontId="14" fillId="2" borderId="7" xfId="0" applyFont="1" applyFill="1" applyBorder="1" applyAlignment="1">
      <alignment horizontal="center" wrapText="1"/>
    </xf>
    <xf numFmtId="0" fontId="14" fillId="2" borderId="8" xfId="0" applyFont="1" applyFill="1" applyBorder="1" applyAlignment="1">
      <alignment horizontal="center" wrapText="1"/>
    </xf>
    <xf numFmtId="0" fontId="14" fillId="2" borderId="9" xfId="0" applyFont="1" applyFill="1" applyBorder="1" applyAlignment="1">
      <alignment horizont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wrapText="1"/>
    </xf>
    <xf numFmtId="2" fontId="14" fillId="0" borderId="1" xfId="0" applyNumberFormat="1" applyFont="1" applyBorder="1" applyAlignment="1">
      <alignment horizontal="center" wrapText="1"/>
    </xf>
    <xf numFmtId="2" fontId="20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38101</xdr:colOff>
      <xdr:row>13</xdr:row>
      <xdr:rowOff>114300</xdr:rowOff>
    </xdr:from>
    <xdr:to>
      <xdr:col>5</xdr:col>
      <xdr:colOff>1485901</xdr:colOff>
      <xdr:row>13</xdr:row>
      <xdr:rowOff>426465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5C6EF566-6E07-3708-86B1-6D5101CF1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3621" y="4861560"/>
          <a:ext cx="1447800" cy="312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7"/>
  <sheetViews>
    <sheetView zoomScaleNormal="100" workbookViewId="0">
      <pane ySplit="4" topLeftCell="A62" activePane="bottomLeft" state="frozen"/>
      <selection pane="bottomLeft" activeCell="J75" sqref="J75"/>
    </sheetView>
  </sheetViews>
  <sheetFormatPr baseColWidth="10" defaultRowHeight="15" x14ac:dyDescent="0.25"/>
  <cols>
    <col min="3" max="3" width="13.5703125" customWidth="1"/>
    <col min="4" max="4" width="14.7109375" customWidth="1"/>
    <col min="8" max="8" width="10.5703125" customWidth="1"/>
    <col min="9" max="9" width="7.42578125" hidden="1" customWidth="1"/>
    <col min="18" max="18" width="8.7109375" customWidth="1"/>
    <col min="19" max="19" width="9.5703125" customWidth="1"/>
    <col min="24" max="24" width="13.28515625" customWidth="1"/>
  </cols>
  <sheetData>
    <row r="1" spans="1:28" ht="14.45" customHeight="1" x14ac:dyDescent="0.25">
      <c r="A1" s="504" t="s">
        <v>0</v>
      </c>
      <c r="B1" s="504"/>
      <c r="C1" s="504"/>
      <c r="D1" s="504"/>
      <c r="E1" s="504"/>
      <c r="F1" s="504"/>
      <c r="G1" s="504"/>
      <c r="H1" s="504"/>
      <c r="I1" s="504"/>
      <c r="J1" s="504"/>
      <c r="K1" s="504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8" ht="14.45" customHeight="1" x14ac:dyDescent="0.25">
      <c r="A2" s="504"/>
      <c r="B2" s="504"/>
      <c r="C2" s="504"/>
      <c r="D2" s="504"/>
      <c r="E2" s="504"/>
      <c r="F2" s="504"/>
      <c r="G2" s="504"/>
      <c r="H2" s="504"/>
      <c r="I2" s="504"/>
      <c r="J2" s="504"/>
      <c r="K2" s="504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8" ht="14.45" customHeight="1" x14ac:dyDescent="0.25">
      <c r="A3" s="504"/>
      <c r="B3" s="504"/>
      <c r="C3" s="504"/>
      <c r="D3" s="504"/>
      <c r="E3" s="504"/>
      <c r="F3" s="504"/>
      <c r="G3" s="504"/>
      <c r="H3" s="504"/>
      <c r="I3" s="504"/>
      <c r="J3" s="504"/>
      <c r="K3" s="504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8" ht="30" x14ac:dyDescent="0.25">
      <c r="A4" s="187" t="s">
        <v>103</v>
      </c>
      <c r="B4" s="187" t="s">
        <v>92</v>
      </c>
      <c r="C4" s="188" t="s">
        <v>105</v>
      </c>
      <c r="D4" s="517" t="s">
        <v>2</v>
      </c>
      <c r="E4" s="517"/>
      <c r="F4" s="517"/>
      <c r="G4" s="517"/>
      <c r="H4" s="517"/>
      <c r="I4" s="517"/>
      <c r="J4" s="187" t="s">
        <v>3</v>
      </c>
      <c r="K4" s="444" t="str">
        <f>CONCATENATE(C98,"%")</f>
        <v>10%</v>
      </c>
      <c r="L4" s="6"/>
      <c r="M4" s="6"/>
      <c r="N4" s="10"/>
      <c r="O4" s="10"/>
      <c r="P4" s="307"/>
      <c r="Q4" s="307"/>
      <c r="R4" s="307"/>
      <c r="S4" s="10"/>
      <c r="T4" s="365"/>
      <c r="U4" s="10"/>
      <c r="V4" s="10"/>
      <c r="W4" s="10"/>
      <c r="X4" s="10"/>
    </row>
    <row r="5" spans="1:28" x14ac:dyDescent="0.25">
      <c r="A5" s="106"/>
      <c r="B5" s="106">
        <v>1</v>
      </c>
      <c r="C5" s="106">
        <f>'DETALLE DE VENTAS'!AC281-A5-B5</f>
        <v>0</v>
      </c>
      <c r="D5" s="519" t="s">
        <v>40</v>
      </c>
      <c r="E5" s="520"/>
      <c r="F5" s="520"/>
      <c r="G5" s="520"/>
      <c r="H5" s="521"/>
      <c r="I5" s="382"/>
      <c r="J5" s="377">
        <f>K5/$C$97</f>
        <v>100</v>
      </c>
      <c r="K5" s="377">
        <v>90</v>
      </c>
      <c r="M5" s="366" t="s">
        <v>299</v>
      </c>
      <c r="N5" s="367">
        <f>B22+B17+C22+C17</f>
        <v>28</v>
      </c>
      <c r="S5" s="6"/>
      <c r="T5" s="12"/>
      <c r="U5" s="209"/>
      <c r="V5" s="257"/>
      <c r="W5" s="257"/>
      <c r="X5" s="257"/>
      <c r="AB5" s="204"/>
    </row>
    <row r="6" spans="1:28" x14ac:dyDescent="0.25">
      <c r="A6" s="383"/>
      <c r="B6" s="383">
        <v>6</v>
      </c>
      <c r="C6" s="383">
        <f>'DETALLE DE VENTAS'!Q306-B6-A6</f>
        <v>0</v>
      </c>
      <c r="D6" s="525" t="s">
        <v>330</v>
      </c>
      <c r="E6" s="526"/>
      <c r="F6" s="526"/>
      <c r="G6" s="526"/>
      <c r="H6" s="527"/>
      <c r="I6" s="384"/>
      <c r="J6" s="429">
        <f t="shared" ref="J6:J36" si="0">K6/$C$97</f>
        <v>17.777777777777779</v>
      </c>
      <c r="K6" s="429">
        <v>16</v>
      </c>
      <c r="M6" s="6" t="s">
        <v>300</v>
      </c>
      <c r="N6" s="367">
        <f>B24+B16+B19+B71+B65+C24+C16+C19+C71+C65</f>
        <v>98</v>
      </c>
      <c r="S6" s="6"/>
      <c r="T6" s="12"/>
      <c r="U6" s="209"/>
      <c r="V6" s="257"/>
      <c r="W6" s="257"/>
      <c r="X6" s="257"/>
    </row>
    <row r="7" spans="1:28" x14ac:dyDescent="0.25">
      <c r="A7" s="383"/>
      <c r="B7" s="383">
        <v>8</v>
      </c>
      <c r="C7" s="383">
        <f>'DETALLE DE VENTAS'!Q307-B7-A7</f>
        <v>0</v>
      </c>
      <c r="D7" s="525" t="s">
        <v>325</v>
      </c>
      <c r="E7" s="526"/>
      <c r="F7" s="526"/>
      <c r="G7" s="526"/>
      <c r="H7" s="527"/>
      <c r="I7" s="384"/>
      <c r="J7" s="429">
        <f t="shared" si="0"/>
        <v>21.111111111111111</v>
      </c>
      <c r="K7" s="429">
        <v>19</v>
      </c>
      <c r="M7" s="6" t="s">
        <v>301</v>
      </c>
      <c r="N7" s="367">
        <f>B23+B15+B18+B70+B64+B72+B74+B48+B46+B47+B49+C23+C15+C18+C70+C64+C72+C74+C48+C46+C47+C49</f>
        <v>114</v>
      </c>
      <c r="S7" s="6"/>
      <c r="T7" s="12"/>
      <c r="U7" s="209"/>
      <c r="V7" s="257"/>
      <c r="W7" s="257"/>
      <c r="X7" s="257"/>
    </row>
    <row r="8" spans="1:28" x14ac:dyDescent="0.25">
      <c r="A8" s="383"/>
      <c r="B8" s="383">
        <v>6</v>
      </c>
      <c r="C8" s="383">
        <f>'DETALLE DE VENTAS'!Q308-B8-A8</f>
        <v>0</v>
      </c>
      <c r="D8" s="525" t="s">
        <v>331</v>
      </c>
      <c r="E8" s="526"/>
      <c r="F8" s="526"/>
      <c r="G8" s="526"/>
      <c r="H8" s="526"/>
      <c r="I8" s="385"/>
      <c r="J8" s="429">
        <f t="shared" si="0"/>
        <v>37.777777777777779</v>
      </c>
      <c r="K8" s="429">
        <v>34</v>
      </c>
      <c r="M8" s="6" t="s">
        <v>302</v>
      </c>
      <c r="N8" s="367">
        <f>B42+C42+B44+C44</f>
        <v>-7</v>
      </c>
      <c r="S8" s="6"/>
      <c r="T8" s="12"/>
      <c r="U8" s="209"/>
      <c r="V8" s="257"/>
      <c r="W8" s="257"/>
      <c r="X8" s="257"/>
      <c r="Y8" s="8"/>
      <c r="Z8" s="8"/>
      <c r="AA8" s="8"/>
      <c r="AB8" s="8"/>
    </row>
    <row r="9" spans="1:28" x14ac:dyDescent="0.25">
      <c r="A9" s="106"/>
      <c r="B9" s="106">
        <v>0</v>
      </c>
      <c r="C9" s="106">
        <f>'DETALLE DE VENTAS'!AC266-A9-B9</f>
        <v>0</v>
      </c>
      <c r="D9" s="519" t="s">
        <v>27</v>
      </c>
      <c r="E9" s="520"/>
      <c r="F9" s="520"/>
      <c r="G9" s="520"/>
      <c r="H9" s="520"/>
      <c r="I9" s="376"/>
      <c r="J9" s="377">
        <f t="shared" si="0"/>
        <v>144.44444444444443</v>
      </c>
      <c r="K9" s="377">
        <v>130</v>
      </c>
      <c r="M9" s="367"/>
      <c r="N9" s="9"/>
      <c r="S9" s="6"/>
      <c r="T9" s="12"/>
      <c r="U9" s="209"/>
      <c r="V9" s="257"/>
      <c r="W9" s="257"/>
      <c r="X9" s="257"/>
      <c r="Y9" s="8"/>
      <c r="Z9" s="8"/>
      <c r="AA9" s="8"/>
      <c r="AB9" s="8"/>
    </row>
    <row r="10" spans="1:28" x14ac:dyDescent="0.25">
      <c r="A10" s="106"/>
      <c r="B10" s="106">
        <v>5</v>
      </c>
      <c r="C10" s="106">
        <f>'DETALLE DE VENTAS'!AC268-A10-B10</f>
        <v>0</v>
      </c>
      <c r="D10" s="519" t="s">
        <v>29</v>
      </c>
      <c r="E10" s="520"/>
      <c r="F10" s="520"/>
      <c r="G10" s="520"/>
      <c r="H10" s="520"/>
      <c r="I10" s="376"/>
      <c r="J10" s="377">
        <f t="shared" si="0"/>
        <v>144.44444444444443</v>
      </c>
      <c r="K10" s="377">
        <v>130</v>
      </c>
      <c r="T10" s="12"/>
      <c r="U10" s="510" t="s">
        <v>382</v>
      </c>
      <c r="V10" s="510"/>
      <c r="W10" s="510"/>
      <c r="X10" s="510"/>
      <c r="Y10" s="510"/>
      <c r="Z10" s="510"/>
      <c r="AA10" s="1">
        <v>100</v>
      </c>
      <c r="AB10" s="8"/>
    </row>
    <row r="11" spans="1:28" x14ac:dyDescent="0.25">
      <c r="A11" s="106"/>
      <c r="B11" s="106">
        <v>6</v>
      </c>
      <c r="C11" s="106">
        <f>'DETALLE DE VENTAS'!AC270-A11-B11</f>
        <v>0</v>
      </c>
      <c r="D11" s="519" t="s">
        <v>30</v>
      </c>
      <c r="E11" s="520"/>
      <c r="F11" s="520"/>
      <c r="G11" s="520"/>
      <c r="H11" s="521"/>
      <c r="I11" s="378"/>
      <c r="J11" s="377">
        <f t="shared" si="0"/>
        <v>144.44444444444443</v>
      </c>
      <c r="K11" s="377">
        <v>130</v>
      </c>
      <c r="T11" s="12"/>
      <c r="U11" s="510" t="s">
        <v>381</v>
      </c>
      <c r="V11" s="510"/>
      <c r="W11" s="510"/>
      <c r="X11" s="510"/>
      <c r="Y11" s="510"/>
      <c r="Z11" s="510"/>
      <c r="AA11" s="1">
        <v>300</v>
      </c>
      <c r="AB11" s="8"/>
    </row>
    <row r="12" spans="1:28" x14ac:dyDescent="0.25">
      <c r="A12" s="106"/>
      <c r="B12" s="106">
        <v>8</v>
      </c>
      <c r="C12" s="106">
        <f>'DETALLE DE VENTAS'!AC267-A12-B12</f>
        <v>0</v>
      </c>
      <c r="D12" s="519" t="s">
        <v>28</v>
      </c>
      <c r="E12" s="520"/>
      <c r="F12" s="520"/>
      <c r="G12" s="520"/>
      <c r="H12" s="521"/>
      <c r="I12" s="378"/>
      <c r="J12" s="377">
        <f t="shared" si="0"/>
        <v>33.333333333333336</v>
      </c>
      <c r="K12" s="377">
        <v>30</v>
      </c>
      <c r="T12" s="12"/>
      <c r="U12" s="510" t="s">
        <v>4</v>
      </c>
      <c r="V12" s="510"/>
      <c r="W12" s="510"/>
      <c r="X12" s="510"/>
      <c r="Y12" s="510"/>
      <c r="Z12" s="510"/>
      <c r="AA12" s="1">
        <v>100</v>
      </c>
      <c r="AB12" s="8"/>
    </row>
    <row r="13" spans="1:28" x14ac:dyDescent="0.25">
      <c r="A13" s="106"/>
      <c r="B13" s="106">
        <v>9</v>
      </c>
      <c r="C13" s="106">
        <f>'DETALLE DE VENTAS'!AC269-A13-B13</f>
        <v>0</v>
      </c>
      <c r="D13" s="519" t="s">
        <v>161</v>
      </c>
      <c r="E13" s="520"/>
      <c r="F13" s="520"/>
      <c r="G13" s="520"/>
      <c r="H13" s="521"/>
      <c r="I13" s="378"/>
      <c r="J13" s="377">
        <f t="shared" si="0"/>
        <v>33.333333333333336</v>
      </c>
      <c r="K13" s="377">
        <v>30</v>
      </c>
      <c r="T13" s="12"/>
      <c r="U13" s="510" t="s">
        <v>5</v>
      </c>
      <c r="V13" s="510"/>
      <c r="W13" s="510"/>
      <c r="X13" s="510"/>
      <c r="Y13" s="510"/>
      <c r="Z13" s="510"/>
      <c r="AA13" s="1">
        <v>60</v>
      </c>
      <c r="AB13" s="8"/>
    </row>
    <row r="14" spans="1:28" x14ac:dyDescent="0.25">
      <c r="A14" s="106"/>
      <c r="B14" s="106">
        <v>0</v>
      </c>
      <c r="C14" s="106">
        <f>'DETALLE DE VENTAS'!AC271-A14-B14</f>
        <v>0</v>
      </c>
      <c r="D14" s="519" t="s">
        <v>31</v>
      </c>
      <c r="E14" s="520"/>
      <c r="F14" s="520"/>
      <c r="G14" s="520"/>
      <c r="H14" s="521"/>
      <c r="I14" s="378"/>
      <c r="J14" s="377">
        <f t="shared" si="0"/>
        <v>33.333333333333336</v>
      </c>
      <c r="K14" s="377">
        <v>30</v>
      </c>
      <c r="M14" s="511" t="s">
        <v>49</v>
      </c>
      <c r="N14" s="512"/>
      <c r="O14" s="512"/>
      <c r="P14" s="512"/>
      <c r="Q14" s="513"/>
      <c r="R14" s="371"/>
      <c r="S14" s="427">
        <f t="shared" ref="S14:S19" si="1">T14/$C$97</f>
        <v>28.888888888888889</v>
      </c>
      <c r="T14" s="427">
        <v>26</v>
      </c>
      <c r="U14" s="510" t="s">
        <v>49</v>
      </c>
      <c r="V14" s="510"/>
      <c r="W14" s="510"/>
      <c r="X14" s="510"/>
      <c r="Y14" s="510"/>
      <c r="Z14" s="510"/>
      <c r="AA14" s="1">
        <v>80</v>
      </c>
      <c r="AB14" s="8"/>
    </row>
    <row r="15" spans="1:28" x14ac:dyDescent="0.25">
      <c r="A15" s="369"/>
      <c r="B15" s="369">
        <f>-3</f>
        <v>-3</v>
      </c>
      <c r="C15" s="370">
        <f>'DETALLE DE VENTAS'!AN216 -B15-A15</f>
        <v>0</v>
      </c>
      <c r="D15" s="511" t="s">
        <v>49</v>
      </c>
      <c r="E15" s="512"/>
      <c r="F15" s="512"/>
      <c r="G15" s="512"/>
      <c r="H15" s="513"/>
      <c r="I15" s="371"/>
      <c r="J15" s="427">
        <f t="shared" si="0"/>
        <v>28.888888888888889</v>
      </c>
      <c r="K15" s="427">
        <v>26</v>
      </c>
      <c r="M15" s="511" t="s">
        <v>56</v>
      </c>
      <c r="N15" s="512"/>
      <c r="O15" s="512"/>
      <c r="P15" s="512"/>
      <c r="Q15" s="513"/>
      <c r="R15" s="371"/>
      <c r="S15" s="427">
        <f t="shared" si="1"/>
        <v>14.444444444444445</v>
      </c>
      <c r="T15" s="427">
        <v>13</v>
      </c>
      <c r="U15" s="510" t="s">
        <v>7</v>
      </c>
      <c r="V15" s="510"/>
      <c r="W15" s="510"/>
      <c r="X15" s="510"/>
      <c r="Y15" s="510"/>
      <c r="Z15" s="510"/>
      <c r="AA15" s="1">
        <v>20</v>
      </c>
      <c r="AB15" s="8"/>
    </row>
    <row r="16" spans="1:28" x14ac:dyDescent="0.25">
      <c r="A16" s="369"/>
      <c r="B16" s="369">
        <v>46</v>
      </c>
      <c r="C16" s="370">
        <f>'DETALLE DE VENTAS'!AN215 -B16-A16</f>
        <v>0</v>
      </c>
      <c r="D16" s="511" t="s">
        <v>56</v>
      </c>
      <c r="E16" s="512"/>
      <c r="F16" s="512"/>
      <c r="G16" s="512"/>
      <c r="H16" s="513"/>
      <c r="I16" s="371"/>
      <c r="J16" s="427">
        <f t="shared" si="0"/>
        <v>14.444444444444445</v>
      </c>
      <c r="K16" s="427">
        <v>13</v>
      </c>
      <c r="M16" s="528" t="s">
        <v>9</v>
      </c>
      <c r="N16" s="529"/>
      <c r="O16" s="529"/>
      <c r="P16" s="529"/>
      <c r="Q16" s="530"/>
      <c r="R16" s="115"/>
      <c r="S16" s="427">
        <f t="shared" si="1"/>
        <v>33.333333333333336</v>
      </c>
      <c r="T16" s="427">
        <v>30</v>
      </c>
      <c r="U16" s="510" t="s">
        <v>9</v>
      </c>
      <c r="V16" s="510"/>
      <c r="W16" s="510"/>
      <c r="X16" s="510"/>
      <c r="Y16" s="510"/>
      <c r="Z16" s="510"/>
      <c r="AA16" s="1">
        <v>100</v>
      </c>
      <c r="AB16" s="8"/>
    </row>
    <row r="17" spans="1:28" x14ac:dyDescent="0.25">
      <c r="A17" s="369"/>
      <c r="B17" s="369">
        <v>27</v>
      </c>
      <c r="C17" s="370">
        <f>'DETALLE DE VENTAS'!AN217 -B17-A17</f>
        <v>0</v>
      </c>
      <c r="D17" s="511" t="s">
        <v>50</v>
      </c>
      <c r="E17" s="512"/>
      <c r="F17" s="512"/>
      <c r="G17" s="512"/>
      <c r="H17" s="512"/>
      <c r="I17" s="373"/>
      <c r="J17" s="427">
        <f t="shared" si="0"/>
        <v>7.7777777777777777</v>
      </c>
      <c r="K17" s="427">
        <v>7</v>
      </c>
      <c r="M17" s="528" t="s">
        <v>8</v>
      </c>
      <c r="N17" s="529"/>
      <c r="O17" s="529"/>
      <c r="P17" s="529"/>
      <c r="Q17" s="530"/>
      <c r="R17" s="428"/>
      <c r="S17" s="427">
        <f t="shared" si="1"/>
        <v>15.555555555555555</v>
      </c>
      <c r="T17" s="427">
        <v>14</v>
      </c>
      <c r="U17" s="510" t="s">
        <v>10</v>
      </c>
      <c r="V17" s="510"/>
      <c r="W17" s="510"/>
      <c r="X17" s="510"/>
      <c r="Y17" s="510"/>
      <c r="Z17" s="510"/>
      <c r="AA17" s="13">
        <v>60</v>
      </c>
      <c r="AB17" s="3"/>
    </row>
    <row r="18" spans="1:28" x14ac:dyDescent="0.25">
      <c r="A18" s="369"/>
      <c r="B18" s="369">
        <v>11</v>
      </c>
      <c r="C18" s="370">
        <f>'DETALLE DE VENTAS'!AN219 -B18-A18</f>
        <v>0</v>
      </c>
      <c r="D18" s="511" t="s">
        <v>7</v>
      </c>
      <c r="E18" s="512"/>
      <c r="F18" s="512"/>
      <c r="G18" s="512"/>
      <c r="H18" s="512"/>
      <c r="I18" s="374"/>
      <c r="J18" s="427">
        <f t="shared" si="0"/>
        <v>33.333333333333336</v>
      </c>
      <c r="K18" s="427">
        <v>30</v>
      </c>
      <c r="M18" s="511" t="s">
        <v>5</v>
      </c>
      <c r="N18" s="512"/>
      <c r="O18" s="512"/>
      <c r="P18" s="512"/>
      <c r="Q18" s="513"/>
      <c r="R18" s="373"/>
      <c r="S18" s="427">
        <f t="shared" si="1"/>
        <v>43.333333333333336</v>
      </c>
      <c r="T18" s="427">
        <v>39</v>
      </c>
      <c r="U18" s="510" t="s">
        <v>57</v>
      </c>
      <c r="V18" s="510"/>
      <c r="W18" s="510"/>
      <c r="X18" s="510"/>
      <c r="Y18" s="510"/>
      <c r="Z18" s="510"/>
      <c r="AA18" s="13">
        <v>60</v>
      </c>
      <c r="AB18" s="8"/>
    </row>
    <row r="19" spans="1:28" x14ac:dyDescent="0.25">
      <c r="A19" s="369"/>
      <c r="B19" s="369">
        <v>19</v>
      </c>
      <c r="C19" s="370">
        <f>'DETALLE DE VENTAS'!AN218 -B19-A19</f>
        <v>0</v>
      </c>
      <c r="D19" s="511" t="s">
        <v>6</v>
      </c>
      <c r="E19" s="512"/>
      <c r="F19" s="512"/>
      <c r="G19" s="512"/>
      <c r="H19" s="512"/>
      <c r="I19" s="374"/>
      <c r="J19" s="427">
        <f t="shared" si="0"/>
        <v>12.222222222222221</v>
      </c>
      <c r="K19" s="427">
        <v>11</v>
      </c>
      <c r="M19" s="511" t="s">
        <v>4</v>
      </c>
      <c r="N19" s="512"/>
      <c r="O19" s="512"/>
      <c r="P19" s="512"/>
      <c r="Q19" s="513"/>
      <c r="R19" s="373"/>
      <c r="S19" s="427">
        <f t="shared" si="1"/>
        <v>16.666666666666668</v>
      </c>
      <c r="T19" s="427">
        <v>15</v>
      </c>
      <c r="U19" s="510" t="s">
        <v>51</v>
      </c>
      <c r="V19" s="510"/>
      <c r="W19" s="510"/>
      <c r="X19" s="510"/>
      <c r="Y19" s="510"/>
      <c r="Z19" s="510"/>
      <c r="AA19" s="13">
        <v>10</v>
      </c>
      <c r="AB19" s="8"/>
    </row>
    <row r="20" spans="1:28" x14ac:dyDescent="0.25">
      <c r="A20" s="369"/>
      <c r="B20" s="369">
        <f>-1</f>
        <v>-1</v>
      </c>
      <c r="C20" s="369">
        <f>'DETALLE DE VENTAS'!AN234-INVENTARIO!A20-INVENTARIO!B20</f>
        <v>0</v>
      </c>
      <c r="D20" s="511" t="s">
        <v>305</v>
      </c>
      <c r="E20" s="512"/>
      <c r="F20" s="512"/>
      <c r="G20" s="512"/>
      <c r="H20" s="513"/>
      <c r="I20" s="371"/>
      <c r="J20" s="427">
        <f t="shared" si="0"/>
        <v>42.222222222222221</v>
      </c>
      <c r="K20" s="427">
        <v>38</v>
      </c>
      <c r="M20" s="367"/>
      <c r="N20" s="9"/>
      <c r="S20" s="6"/>
      <c r="T20" s="12"/>
      <c r="U20" s="510" t="s">
        <v>390</v>
      </c>
      <c r="V20" s="510"/>
      <c r="W20" s="510"/>
      <c r="X20" s="510"/>
      <c r="Y20" s="510"/>
      <c r="Z20" s="510"/>
      <c r="AA20" s="13">
        <v>40</v>
      </c>
      <c r="AB20" s="8"/>
    </row>
    <row r="21" spans="1:28" x14ac:dyDescent="0.25">
      <c r="A21" s="369"/>
      <c r="B21" s="369">
        <v>1</v>
      </c>
      <c r="C21" s="370">
        <f>'DETALLE DE VENTAS'!AN233 -B21-A21</f>
        <v>0</v>
      </c>
      <c r="D21" s="511" t="s">
        <v>53</v>
      </c>
      <c r="E21" s="512"/>
      <c r="F21" s="512"/>
      <c r="G21" s="512"/>
      <c r="H21" s="513"/>
      <c r="I21" s="371"/>
      <c r="J21" s="427">
        <f t="shared" si="0"/>
        <v>27.777777777777779</v>
      </c>
      <c r="K21" s="427">
        <v>25</v>
      </c>
      <c r="M21" s="508" t="s">
        <v>20</v>
      </c>
      <c r="N21" s="508"/>
      <c r="O21" s="508"/>
      <c r="P21" s="508"/>
      <c r="Q21" s="508"/>
      <c r="R21" s="509"/>
      <c r="S21" s="1">
        <v>40</v>
      </c>
      <c r="T21" s="12"/>
      <c r="U21" s="510" t="s">
        <v>391</v>
      </c>
      <c r="V21" s="510"/>
      <c r="W21" s="510"/>
      <c r="X21" s="510"/>
      <c r="Y21" s="510"/>
      <c r="Z21" s="510"/>
      <c r="AA21" s="13">
        <v>15</v>
      </c>
      <c r="AB21" s="8"/>
    </row>
    <row r="22" spans="1:28" x14ac:dyDescent="0.25">
      <c r="A22" s="369"/>
      <c r="B22" s="369">
        <v>1</v>
      </c>
      <c r="C22" s="370">
        <f>'DETALLE DE VENTAS'!AN212 -B22-A22</f>
        <v>0</v>
      </c>
      <c r="D22" s="511" t="s">
        <v>55</v>
      </c>
      <c r="E22" s="512"/>
      <c r="F22" s="512"/>
      <c r="G22" s="512"/>
      <c r="H22" s="513"/>
      <c r="I22" s="373"/>
      <c r="J22" s="427">
        <f t="shared" si="0"/>
        <v>8.8888888888888893</v>
      </c>
      <c r="K22" s="427">
        <v>8</v>
      </c>
      <c r="M22" s="508" t="s">
        <v>21</v>
      </c>
      <c r="N22" s="508"/>
      <c r="O22" s="508"/>
      <c r="P22" s="508"/>
      <c r="Q22" s="508"/>
      <c r="R22" s="509"/>
      <c r="S22" s="1">
        <v>10</v>
      </c>
      <c r="T22" s="12"/>
      <c r="U22" s="510" t="s">
        <v>392</v>
      </c>
      <c r="V22" s="510"/>
      <c r="W22" s="510"/>
      <c r="X22" s="510"/>
      <c r="Y22" s="510"/>
      <c r="Z22" s="510"/>
      <c r="AA22" s="13">
        <v>5</v>
      </c>
      <c r="AB22" s="3"/>
    </row>
    <row r="23" spans="1:28" x14ac:dyDescent="0.25">
      <c r="A23" s="369"/>
      <c r="B23" s="369">
        <v>14</v>
      </c>
      <c r="C23" s="370">
        <f>'DETALLE DE VENTAS'!AN214 -B23-A23</f>
        <v>0</v>
      </c>
      <c r="D23" s="511" t="s">
        <v>5</v>
      </c>
      <c r="E23" s="512"/>
      <c r="F23" s="512"/>
      <c r="G23" s="512"/>
      <c r="H23" s="513"/>
      <c r="I23" s="373"/>
      <c r="J23" s="427">
        <f t="shared" si="0"/>
        <v>43.333333333333336</v>
      </c>
      <c r="K23" s="427">
        <v>39</v>
      </c>
      <c r="M23" s="508" t="s">
        <v>24</v>
      </c>
      <c r="N23" s="508"/>
      <c r="O23" s="508"/>
      <c r="P23" s="508"/>
      <c r="Q23" s="508"/>
      <c r="R23" s="509"/>
      <c r="S23" s="1">
        <v>10</v>
      </c>
      <c r="T23" s="12"/>
      <c r="U23" s="510" t="s">
        <v>393</v>
      </c>
      <c r="V23" s="510"/>
      <c r="W23" s="510"/>
      <c r="X23" s="510"/>
      <c r="Y23" s="510"/>
      <c r="Z23" s="510"/>
      <c r="AA23" s="13">
        <v>40</v>
      </c>
      <c r="AB23" s="3"/>
    </row>
    <row r="24" spans="1:28" x14ac:dyDescent="0.25">
      <c r="A24" s="369"/>
      <c r="B24" s="369">
        <f>-2</f>
        <v>-2</v>
      </c>
      <c r="C24" s="370">
        <f>'DETALLE DE VENTAS'!AN213 -B24-A24</f>
        <v>0</v>
      </c>
      <c r="D24" s="511" t="s">
        <v>4</v>
      </c>
      <c r="E24" s="512"/>
      <c r="F24" s="512"/>
      <c r="G24" s="512"/>
      <c r="H24" s="513"/>
      <c r="I24" s="373"/>
      <c r="J24" s="427">
        <f t="shared" si="0"/>
        <v>16.666666666666668</v>
      </c>
      <c r="K24" s="427">
        <v>15</v>
      </c>
      <c r="M24" s="508" t="s">
        <v>28</v>
      </c>
      <c r="N24" s="508"/>
      <c r="O24" s="508"/>
      <c r="P24" s="508"/>
      <c r="Q24" s="508"/>
      <c r="R24" s="509"/>
      <c r="S24" s="1">
        <v>24</v>
      </c>
      <c r="T24" s="12"/>
      <c r="U24" s="510" t="s">
        <v>394</v>
      </c>
      <c r="V24" s="510"/>
      <c r="W24" s="510"/>
      <c r="X24" s="510"/>
      <c r="Y24" s="510"/>
      <c r="Z24" s="510"/>
      <c r="AA24" s="13">
        <v>20</v>
      </c>
      <c r="AB24" s="3"/>
    </row>
    <row r="25" spans="1:28" x14ac:dyDescent="0.25">
      <c r="A25" s="375"/>
      <c r="B25" s="375">
        <v>1</v>
      </c>
      <c r="C25" s="369">
        <f>'DETALLE DE VENTAS'!N324-B25-A25</f>
        <v>0</v>
      </c>
      <c r="D25" s="522" t="s">
        <v>370</v>
      </c>
      <c r="E25" s="523"/>
      <c r="F25" s="523"/>
      <c r="G25" s="523"/>
      <c r="H25" s="524"/>
      <c r="I25" s="373"/>
      <c r="J25" s="427">
        <f t="shared" si="0"/>
        <v>5.5555555555555554</v>
      </c>
      <c r="K25" s="427">
        <v>5</v>
      </c>
      <c r="M25" s="508" t="s">
        <v>161</v>
      </c>
      <c r="N25" s="508"/>
      <c r="O25" s="508"/>
      <c r="P25" s="508"/>
      <c r="Q25" s="508"/>
      <c r="R25" s="509"/>
      <c r="S25" s="1">
        <v>24</v>
      </c>
      <c r="T25" s="12"/>
      <c r="U25" s="510" t="s">
        <v>395</v>
      </c>
      <c r="V25" s="510"/>
      <c r="W25" s="510"/>
      <c r="X25" s="510"/>
      <c r="Y25" s="510"/>
      <c r="Z25" s="510"/>
      <c r="AA25" s="13">
        <v>40</v>
      </c>
      <c r="AB25" s="3"/>
    </row>
    <row r="26" spans="1:28" x14ac:dyDescent="0.25">
      <c r="A26" s="375"/>
      <c r="B26" s="375">
        <v>0</v>
      </c>
      <c r="C26" s="369">
        <f>'DETALLE DE VENTAS'!N325-B26-A26</f>
        <v>0</v>
      </c>
      <c r="D26" s="522" t="s">
        <v>371</v>
      </c>
      <c r="E26" s="523"/>
      <c r="F26" s="523"/>
      <c r="G26" s="523"/>
      <c r="H26" s="523"/>
      <c r="I26" s="374"/>
      <c r="J26" s="427">
        <f t="shared" si="0"/>
        <v>5.5555555555555554</v>
      </c>
      <c r="K26" s="427">
        <v>5</v>
      </c>
      <c r="M26" s="508" t="s">
        <v>31</v>
      </c>
      <c r="N26" s="508"/>
      <c r="O26" s="508"/>
      <c r="P26" s="508"/>
      <c r="Q26" s="508"/>
      <c r="R26" s="509"/>
      <c r="S26" s="1">
        <v>24</v>
      </c>
      <c r="T26" s="12"/>
      <c r="U26" s="510" t="s">
        <v>396</v>
      </c>
      <c r="V26" s="510"/>
      <c r="W26" s="510"/>
      <c r="X26" s="510"/>
      <c r="Y26" s="510"/>
      <c r="Z26" s="510"/>
      <c r="AA26" s="13">
        <v>20</v>
      </c>
      <c r="AB26" s="8"/>
    </row>
    <row r="27" spans="1:28" x14ac:dyDescent="0.25">
      <c r="A27" s="106"/>
      <c r="B27" s="106">
        <v>1</v>
      </c>
      <c r="C27" s="106">
        <f>'DETALLE DE VENTAS'!AC280-A27-B27</f>
        <v>0</v>
      </c>
      <c r="D27" s="519" t="s">
        <v>48</v>
      </c>
      <c r="E27" s="520"/>
      <c r="F27" s="520"/>
      <c r="G27" s="520"/>
      <c r="H27" s="521"/>
      <c r="I27" s="378"/>
      <c r="J27" s="377">
        <f t="shared" si="0"/>
        <v>111.11111111111111</v>
      </c>
      <c r="K27" s="377">
        <v>100</v>
      </c>
      <c r="M27" s="508" t="s">
        <v>348</v>
      </c>
      <c r="N27" s="508"/>
      <c r="O27" s="508"/>
      <c r="P27" s="508"/>
      <c r="Q27" s="508"/>
      <c r="R27" s="509"/>
      <c r="S27" s="1">
        <v>10</v>
      </c>
      <c r="T27" s="12"/>
      <c r="U27" s="510"/>
      <c r="V27" s="510"/>
      <c r="W27" s="510"/>
      <c r="X27" s="510"/>
      <c r="Y27" s="510"/>
      <c r="Z27" s="510"/>
      <c r="AA27" s="13"/>
    </row>
    <row r="28" spans="1:28" x14ac:dyDescent="0.25">
      <c r="A28" s="106"/>
      <c r="B28" s="106">
        <v>29</v>
      </c>
      <c r="C28" s="106">
        <f>'DETALLE DE VENTAS'!AC282-A28-B28</f>
        <v>0</v>
      </c>
      <c r="D28" s="519" t="s">
        <v>41</v>
      </c>
      <c r="E28" s="520"/>
      <c r="F28" s="520"/>
      <c r="G28" s="520"/>
      <c r="H28" s="521"/>
      <c r="I28" s="378"/>
      <c r="J28" s="377">
        <f t="shared" si="0"/>
        <v>10</v>
      </c>
      <c r="K28" s="377">
        <v>9</v>
      </c>
      <c r="M28" s="508" t="s">
        <v>376</v>
      </c>
      <c r="N28" s="508"/>
      <c r="O28" s="508"/>
      <c r="P28" s="508"/>
      <c r="Q28" s="508"/>
      <c r="R28" s="509"/>
      <c r="S28" s="1">
        <v>10</v>
      </c>
      <c r="T28" s="12"/>
      <c r="U28" s="510"/>
      <c r="V28" s="510"/>
      <c r="W28" s="510"/>
      <c r="X28" s="510"/>
      <c r="Y28" s="510"/>
      <c r="Z28" s="510"/>
      <c r="AA28" s="13"/>
    </row>
    <row r="29" spans="1:28" x14ac:dyDescent="0.25">
      <c r="A29" s="106"/>
      <c r="B29" s="106">
        <v>10</v>
      </c>
      <c r="C29" s="106">
        <f>'DETALLE DE VENTAS'!AC285-A29-B29</f>
        <v>0</v>
      </c>
      <c r="D29" s="519" t="s">
        <v>163</v>
      </c>
      <c r="E29" s="520"/>
      <c r="F29" s="520"/>
      <c r="G29" s="520"/>
      <c r="H29" s="521"/>
      <c r="I29" s="378"/>
      <c r="J29" s="377">
        <f t="shared" si="0"/>
        <v>10</v>
      </c>
      <c r="K29" s="377">
        <v>9</v>
      </c>
      <c r="M29" s="508" t="s">
        <v>372</v>
      </c>
      <c r="N29" s="508"/>
      <c r="O29" s="508"/>
      <c r="P29" s="508"/>
      <c r="Q29" s="508"/>
      <c r="R29" s="509"/>
      <c r="S29" s="13">
        <v>80</v>
      </c>
      <c r="T29" s="12"/>
    </row>
    <row r="30" spans="1:28" x14ac:dyDescent="0.25">
      <c r="A30" s="106"/>
      <c r="B30" s="106">
        <v>1</v>
      </c>
      <c r="C30" s="106">
        <f>'DETALLE DE VENTAS'!AC284-A30-B30</f>
        <v>0</v>
      </c>
      <c r="D30" s="519" t="s">
        <v>45</v>
      </c>
      <c r="E30" s="520"/>
      <c r="F30" s="520"/>
      <c r="G30" s="520"/>
      <c r="H30" s="521"/>
      <c r="I30" s="378"/>
      <c r="J30" s="377">
        <f t="shared" si="0"/>
        <v>18.888888888888889</v>
      </c>
      <c r="K30" s="377">
        <v>17</v>
      </c>
      <c r="M30" s="505" t="s">
        <v>397</v>
      </c>
      <c r="N30" s="506"/>
      <c r="O30" s="506"/>
      <c r="P30" s="506"/>
      <c r="Q30" s="506"/>
      <c r="R30" s="507"/>
      <c r="S30" s="13">
        <v>10</v>
      </c>
      <c r="T30" s="12"/>
    </row>
    <row r="31" spans="1:28" x14ac:dyDescent="0.25">
      <c r="A31" s="106"/>
      <c r="B31" s="106">
        <v>4</v>
      </c>
      <c r="C31" s="106">
        <f>'DETALLE DE VENTAS'!AC283-A31-B31</f>
        <v>0</v>
      </c>
      <c r="D31" s="519" t="s">
        <v>42</v>
      </c>
      <c r="E31" s="520"/>
      <c r="F31" s="520"/>
      <c r="G31" s="520"/>
      <c r="H31" s="521"/>
      <c r="I31" s="378"/>
      <c r="J31" s="377">
        <f t="shared" si="0"/>
        <v>10</v>
      </c>
      <c r="K31" s="377">
        <v>9</v>
      </c>
      <c r="M31" s="508" t="s">
        <v>27</v>
      </c>
      <c r="N31" s="508"/>
      <c r="O31" s="508"/>
      <c r="P31" s="508"/>
      <c r="Q31" s="508"/>
      <c r="R31" s="509"/>
      <c r="S31" s="13">
        <v>24</v>
      </c>
      <c r="T31" s="12"/>
    </row>
    <row r="32" spans="1:28" x14ac:dyDescent="0.25">
      <c r="A32" s="106"/>
      <c r="B32" s="106">
        <v>15</v>
      </c>
      <c r="C32" s="106">
        <f>'DETALLE DE VENTAS'!AC291-B32-A32</f>
        <v>0</v>
      </c>
      <c r="D32" s="519" t="s">
        <v>322</v>
      </c>
      <c r="E32" s="520"/>
      <c r="F32" s="520"/>
      <c r="G32" s="520"/>
      <c r="H32" s="521"/>
      <c r="I32" s="378"/>
      <c r="J32" s="377">
        <f t="shared" si="0"/>
        <v>10</v>
      </c>
      <c r="K32" s="377">
        <v>9</v>
      </c>
      <c r="M32" s="508" t="s">
        <v>29</v>
      </c>
      <c r="N32" s="508"/>
      <c r="O32" s="508"/>
      <c r="P32" s="508"/>
      <c r="Q32" s="508"/>
      <c r="R32" s="509"/>
      <c r="S32" s="13">
        <v>24</v>
      </c>
      <c r="T32" s="12"/>
    </row>
    <row r="33" spans="1:21" x14ac:dyDescent="0.25">
      <c r="A33" s="106"/>
      <c r="B33" s="106">
        <v>2</v>
      </c>
      <c r="C33" s="106">
        <f>'DETALLE DE VENTAS'!AC289-A33-B33</f>
        <v>0</v>
      </c>
      <c r="D33" s="519" t="s">
        <v>162</v>
      </c>
      <c r="E33" s="520"/>
      <c r="F33" s="520"/>
      <c r="G33" s="520"/>
      <c r="H33" s="521"/>
      <c r="I33" s="376"/>
      <c r="J33" s="377">
        <f t="shared" si="0"/>
        <v>10</v>
      </c>
      <c r="K33" s="377">
        <v>9</v>
      </c>
      <c r="M33" s="505" t="s">
        <v>30</v>
      </c>
      <c r="N33" s="506"/>
      <c r="O33" s="506"/>
      <c r="P33" s="506"/>
      <c r="Q33" s="506"/>
      <c r="R33" s="507"/>
      <c r="S33" s="13">
        <v>24</v>
      </c>
      <c r="T33" s="12"/>
    </row>
    <row r="34" spans="1:21" x14ac:dyDescent="0.25">
      <c r="A34" s="106"/>
      <c r="B34" s="106">
        <v>1</v>
      </c>
      <c r="C34" s="106">
        <f>'DETALLE DE VENTAS'!AC290-A34-B34</f>
        <v>0</v>
      </c>
      <c r="D34" s="519" t="s">
        <v>47</v>
      </c>
      <c r="E34" s="520"/>
      <c r="F34" s="520"/>
      <c r="G34" s="520"/>
      <c r="H34" s="521"/>
      <c r="I34" s="378"/>
      <c r="J34" s="377">
        <f t="shared" si="0"/>
        <v>18.888888888888889</v>
      </c>
      <c r="K34" s="377">
        <v>17</v>
      </c>
      <c r="M34" s="508" t="s">
        <v>28</v>
      </c>
      <c r="N34" s="508"/>
      <c r="O34" s="508"/>
      <c r="P34" s="508"/>
      <c r="Q34" s="508"/>
      <c r="R34" s="509"/>
      <c r="S34" s="13">
        <v>24</v>
      </c>
      <c r="T34" s="12"/>
      <c r="U34" s="12"/>
    </row>
    <row r="35" spans="1:21" x14ac:dyDescent="0.25">
      <c r="A35" s="106"/>
      <c r="B35" s="106">
        <v>3</v>
      </c>
      <c r="C35" s="106">
        <f>'DETALLE DE VENTAS'!AC286-A35-B35</f>
        <v>0</v>
      </c>
      <c r="D35" s="519" t="s">
        <v>43</v>
      </c>
      <c r="E35" s="520"/>
      <c r="F35" s="520"/>
      <c r="G35" s="520"/>
      <c r="H35" s="521"/>
      <c r="I35" s="378"/>
      <c r="J35" s="377">
        <f t="shared" si="0"/>
        <v>10</v>
      </c>
      <c r="K35" s="377">
        <v>9</v>
      </c>
      <c r="M35" s="508" t="s">
        <v>161</v>
      </c>
      <c r="N35" s="508"/>
      <c r="O35" s="508"/>
      <c r="P35" s="508"/>
      <c r="Q35" s="508"/>
      <c r="R35" s="509"/>
      <c r="S35" s="13">
        <v>24</v>
      </c>
      <c r="T35" s="12"/>
      <c r="U35" s="12"/>
    </row>
    <row r="36" spans="1:21" x14ac:dyDescent="0.25">
      <c r="A36" s="106"/>
      <c r="B36" s="106">
        <v>1</v>
      </c>
      <c r="C36" s="106">
        <f>'DETALLE DE VENTAS'!AC287-A36-B36</f>
        <v>0</v>
      </c>
      <c r="D36" s="519" t="s">
        <v>46</v>
      </c>
      <c r="E36" s="520"/>
      <c r="F36" s="520"/>
      <c r="G36" s="520"/>
      <c r="H36" s="521"/>
      <c r="I36" s="378"/>
      <c r="J36" s="377">
        <f t="shared" si="0"/>
        <v>18.888888888888889</v>
      </c>
      <c r="K36" s="377">
        <v>17</v>
      </c>
      <c r="M36" s="508" t="s">
        <v>31</v>
      </c>
      <c r="N36" s="508"/>
      <c r="O36" s="508"/>
      <c r="P36" s="508"/>
      <c r="Q36" s="508"/>
      <c r="R36" s="509"/>
      <c r="S36" s="13">
        <v>24</v>
      </c>
      <c r="T36" s="12"/>
      <c r="U36" s="12"/>
    </row>
    <row r="37" spans="1:21" x14ac:dyDescent="0.25">
      <c r="A37" s="106"/>
      <c r="B37" s="106">
        <v>2</v>
      </c>
      <c r="C37" s="106">
        <f>'DETALLE DE VENTAS'!AC288-A37-B37</f>
        <v>0</v>
      </c>
      <c r="D37" s="519" t="s">
        <v>286</v>
      </c>
      <c r="E37" s="520"/>
      <c r="F37" s="520"/>
      <c r="G37" s="520"/>
      <c r="H37" s="521"/>
      <c r="I37" s="378"/>
      <c r="J37" s="377">
        <f t="shared" ref="J37:J68" si="2">K37/$C$97</f>
        <v>10</v>
      </c>
      <c r="K37" s="377">
        <v>9</v>
      </c>
      <c r="M37" s="508" t="s">
        <v>24</v>
      </c>
      <c r="N37" s="508"/>
      <c r="O37" s="508"/>
      <c r="P37" s="508"/>
      <c r="Q37" s="508"/>
      <c r="R37" s="509"/>
      <c r="S37" s="448">
        <v>10</v>
      </c>
      <c r="T37" s="12"/>
      <c r="U37" s="12"/>
    </row>
    <row r="38" spans="1:21" x14ac:dyDescent="0.25">
      <c r="A38" s="384"/>
      <c r="B38" s="383">
        <v>52</v>
      </c>
      <c r="C38" s="383">
        <f>'DETALLE DE VENTAS'!Q297-A38-B38</f>
        <v>0</v>
      </c>
      <c r="D38" s="536" t="s">
        <v>83</v>
      </c>
      <c r="E38" s="537"/>
      <c r="F38" s="537"/>
      <c r="G38" s="537"/>
      <c r="H38" s="538"/>
      <c r="I38" s="384"/>
      <c r="J38" s="429">
        <f t="shared" si="2"/>
        <v>31.111111111111111</v>
      </c>
      <c r="K38" s="429">
        <v>28</v>
      </c>
      <c r="M38" s="508" t="s">
        <v>372</v>
      </c>
      <c r="N38" s="508"/>
      <c r="O38" s="508"/>
      <c r="P38" s="508"/>
      <c r="Q38" s="508"/>
      <c r="R38" s="509"/>
      <c r="S38" s="447">
        <v>80</v>
      </c>
      <c r="T38" s="12"/>
      <c r="U38" s="12"/>
    </row>
    <row r="39" spans="1:21" x14ac:dyDescent="0.25">
      <c r="A39" s="383"/>
      <c r="B39" s="383">
        <v>16</v>
      </c>
      <c r="C39" s="383">
        <f>'DETALLE DE VENTAS'!Q299-INVENTARIO!A39-INVENTARIO!B39</f>
        <v>0</v>
      </c>
      <c r="D39" s="536" t="s">
        <v>490</v>
      </c>
      <c r="E39" s="537"/>
      <c r="F39" s="537"/>
      <c r="G39" s="537"/>
      <c r="H39" s="538"/>
      <c r="I39" s="384"/>
      <c r="J39" s="429">
        <f t="shared" si="2"/>
        <v>16.666666666666668</v>
      </c>
      <c r="K39" s="429">
        <v>15</v>
      </c>
      <c r="M39" s="505"/>
      <c r="N39" s="506"/>
      <c r="O39" s="506"/>
      <c r="P39" s="506"/>
      <c r="Q39" s="507"/>
      <c r="R39" s="13"/>
      <c r="T39" s="12"/>
      <c r="U39" s="12"/>
    </row>
    <row r="40" spans="1:21" x14ac:dyDescent="0.25">
      <c r="A40" s="383"/>
      <c r="B40" s="383">
        <v>12</v>
      </c>
      <c r="C40" s="383">
        <f>'DETALLE DE VENTAS'!Q301-B40-A40</f>
        <v>0</v>
      </c>
      <c r="D40" s="536" t="s">
        <v>491</v>
      </c>
      <c r="E40" s="537"/>
      <c r="F40" s="537"/>
      <c r="G40" s="537"/>
      <c r="H40" s="538"/>
      <c r="I40" s="384"/>
      <c r="J40" s="429">
        <f t="shared" si="2"/>
        <v>11.111111111111111</v>
      </c>
      <c r="K40" s="429">
        <v>10</v>
      </c>
      <c r="M40" s="514"/>
      <c r="N40" s="515"/>
      <c r="O40" s="515"/>
      <c r="P40" s="515"/>
      <c r="Q40" s="516"/>
      <c r="R40" s="13"/>
      <c r="T40" s="12"/>
      <c r="U40" s="12"/>
    </row>
    <row r="41" spans="1:21" x14ac:dyDescent="0.25">
      <c r="A41" s="383"/>
      <c r="B41" s="383">
        <v>15</v>
      </c>
      <c r="C41" s="383">
        <f>'DETALLE DE VENTAS'!Q300-B41-A41</f>
        <v>0</v>
      </c>
      <c r="D41" s="536" t="s">
        <v>492</v>
      </c>
      <c r="E41" s="537"/>
      <c r="F41" s="537"/>
      <c r="G41" s="537"/>
      <c r="H41" s="538"/>
      <c r="I41" s="384"/>
      <c r="J41" s="429">
        <f t="shared" si="2"/>
        <v>14.444444444444445</v>
      </c>
      <c r="K41" s="429">
        <v>13</v>
      </c>
      <c r="M41" s="514"/>
      <c r="N41" s="515"/>
      <c r="O41" s="515"/>
      <c r="P41" s="515"/>
      <c r="Q41" s="515"/>
      <c r="R41" s="13"/>
      <c r="T41" s="12"/>
      <c r="U41" s="12"/>
    </row>
    <row r="42" spans="1:21" x14ac:dyDescent="0.25">
      <c r="A42" s="369"/>
      <c r="B42" s="369">
        <v>0</v>
      </c>
      <c r="C42" s="370">
        <f>'DETALLE DE VENTAS'!AN227 -B42-A42</f>
        <v>0</v>
      </c>
      <c r="D42" s="511" t="s">
        <v>12</v>
      </c>
      <c r="E42" s="512"/>
      <c r="F42" s="512"/>
      <c r="G42" s="512"/>
      <c r="H42" s="513"/>
      <c r="I42" s="371"/>
      <c r="J42" s="427">
        <f t="shared" si="2"/>
        <v>34.444444444444443</v>
      </c>
      <c r="K42" s="427">
        <v>31</v>
      </c>
      <c r="M42" s="505"/>
      <c r="N42" s="506"/>
      <c r="O42" s="506"/>
      <c r="P42" s="506"/>
      <c r="Q42" s="507"/>
      <c r="R42" s="13"/>
      <c r="T42" s="12"/>
      <c r="U42" s="12"/>
    </row>
    <row r="43" spans="1:21" x14ac:dyDescent="0.25">
      <c r="A43" s="371"/>
      <c r="B43" s="369">
        <v>0</v>
      </c>
      <c r="C43" s="369">
        <f>'DETALLE DE VENTAS'!N318-A43-B43</f>
        <v>0</v>
      </c>
      <c r="D43" s="511" t="s">
        <v>260</v>
      </c>
      <c r="E43" s="512"/>
      <c r="F43" s="512"/>
      <c r="G43" s="512"/>
      <c r="H43" s="513"/>
      <c r="I43" s="371"/>
      <c r="J43" s="427">
        <f t="shared" si="2"/>
        <v>94.444444444444443</v>
      </c>
      <c r="K43" s="427">
        <v>85</v>
      </c>
      <c r="M43" s="505"/>
      <c r="N43" s="506"/>
      <c r="O43" s="506"/>
      <c r="P43" s="506"/>
      <c r="Q43" s="507"/>
      <c r="R43" s="13"/>
      <c r="T43" s="12"/>
      <c r="U43" s="12"/>
    </row>
    <row r="44" spans="1:21" x14ac:dyDescent="0.25">
      <c r="A44" s="369"/>
      <c r="B44" s="369">
        <f>-7</f>
        <v>-7</v>
      </c>
      <c r="C44" s="370">
        <f>'DETALLE DE VENTAS'!AN228 -B44-A44</f>
        <v>0</v>
      </c>
      <c r="D44" s="511" t="s">
        <v>271</v>
      </c>
      <c r="E44" s="512"/>
      <c r="F44" s="512"/>
      <c r="G44" s="512"/>
      <c r="H44" s="513"/>
      <c r="I44" s="371"/>
      <c r="J44" s="427">
        <f t="shared" si="2"/>
        <v>37.777777777777779</v>
      </c>
      <c r="K44" s="427">
        <v>34</v>
      </c>
      <c r="M44" s="511" t="s">
        <v>271</v>
      </c>
      <c r="N44" s="512"/>
      <c r="O44" s="512"/>
      <c r="P44" s="512"/>
      <c r="Q44" s="513"/>
      <c r="R44" s="372">
        <v>34</v>
      </c>
      <c r="T44" s="12"/>
      <c r="U44" s="12"/>
    </row>
    <row r="45" spans="1:21" x14ac:dyDescent="0.25">
      <c r="A45" s="369"/>
      <c r="B45" s="369">
        <v>15</v>
      </c>
      <c r="C45" s="370">
        <f>'DETALLE DE VENTAS'!AN226 -B45-A45</f>
        <v>0</v>
      </c>
      <c r="D45" s="511" t="s">
        <v>52</v>
      </c>
      <c r="E45" s="512"/>
      <c r="F45" s="512"/>
      <c r="G45" s="512"/>
      <c r="H45" s="513"/>
      <c r="I45" s="371"/>
      <c r="J45" s="427">
        <f t="shared" si="2"/>
        <v>67.777777777777771</v>
      </c>
      <c r="K45" s="427">
        <v>61</v>
      </c>
      <c r="M45" s="511" t="s">
        <v>52</v>
      </c>
      <c r="N45" s="512"/>
      <c r="O45" s="512"/>
      <c r="P45" s="512"/>
      <c r="Q45" s="513"/>
      <c r="R45" s="372">
        <v>61</v>
      </c>
      <c r="T45" s="12"/>
      <c r="U45" s="12"/>
    </row>
    <row r="46" spans="1:21" x14ac:dyDescent="0.25">
      <c r="A46" s="369"/>
      <c r="B46" s="369">
        <v>3</v>
      </c>
      <c r="C46" s="370">
        <f>'DETALLE DE VENTAS'!AN230 -B46-A46</f>
        <v>0</v>
      </c>
      <c r="D46" s="511" t="s">
        <v>107</v>
      </c>
      <c r="E46" s="512"/>
      <c r="F46" s="512"/>
      <c r="G46" s="512"/>
      <c r="H46" s="513"/>
      <c r="I46" s="371"/>
      <c r="J46" s="427">
        <f t="shared" si="2"/>
        <v>138.88888888888889</v>
      </c>
      <c r="K46" s="427">
        <v>125</v>
      </c>
      <c r="M46" s="511" t="s">
        <v>107</v>
      </c>
      <c r="N46" s="512"/>
      <c r="O46" s="512"/>
      <c r="P46" s="512"/>
      <c r="Q46" s="513"/>
      <c r="R46" s="372">
        <v>125</v>
      </c>
      <c r="T46" s="12"/>
      <c r="U46" s="12"/>
    </row>
    <row r="47" spans="1:21" x14ac:dyDescent="0.25">
      <c r="A47" s="369"/>
      <c r="B47" s="369">
        <v>0</v>
      </c>
      <c r="C47" s="370">
        <f>'DETALLE DE VENTAS'!AN231 -B47-A47</f>
        <v>0</v>
      </c>
      <c r="D47" s="511" t="s">
        <v>108</v>
      </c>
      <c r="E47" s="512"/>
      <c r="F47" s="512"/>
      <c r="G47" s="512"/>
      <c r="H47" s="513"/>
      <c r="I47" s="371"/>
      <c r="J47" s="427">
        <f t="shared" si="2"/>
        <v>133.33333333333334</v>
      </c>
      <c r="K47" s="427">
        <v>120</v>
      </c>
      <c r="M47" s="511" t="s">
        <v>108</v>
      </c>
      <c r="N47" s="512"/>
      <c r="O47" s="512"/>
      <c r="P47" s="512"/>
      <c r="Q47" s="513"/>
      <c r="R47" s="372">
        <v>120</v>
      </c>
      <c r="T47" s="12"/>
      <c r="U47" s="12"/>
    </row>
    <row r="48" spans="1:21" x14ac:dyDescent="0.25">
      <c r="A48" s="369"/>
      <c r="B48" s="369">
        <v>5</v>
      </c>
      <c r="C48" s="370">
        <f>'DETALLE DE VENTAS'!AN229 -B48-A48</f>
        <v>0</v>
      </c>
      <c r="D48" s="511" t="s">
        <v>106</v>
      </c>
      <c r="E48" s="512"/>
      <c r="F48" s="512"/>
      <c r="G48" s="512"/>
      <c r="H48" s="513"/>
      <c r="I48" s="371"/>
      <c r="J48" s="427">
        <f t="shared" si="2"/>
        <v>127.77777777777777</v>
      </c>
      <c r="K48" s="427">
        <v>115</v>
      </c>
      <c r="M48" s="511" t="s">
        <v>106</v>
      </c>
      <c r="N48" s="512"/>
      <c r="O48" s="512"/>
      <c r="P48" s="512"/>
      <c r="Q48" s="513"/>
      <c r="R48" s="372">
        <v>115</v>
      </c>
      <c r="T48" s="12"/>
      <c r="U48" s="12"/>
    </row>
    <row r="49" spans="1:25" x14ac:dyDescent="0.25">
      <c r="A49" s="369"/>
      <c r="B49" s="369">
        <v>3</v>
      </c>
      <c r="C49" s="370">
        <f>'DETALLE DE VENTAS'!AN232 -B49-A49</f>
        <v>0</v>
      </c>
      <c r="D49" s="511" t="s">
        <v>109</v>
      </c>
      <c r="E49" s="512"/>
      <c r="F49" s="512"/>
      <c r="G49" s="512"/>
      <c r="H49" s="513"/>
      <c r="I49" s="371"/>
      <c r="J49" s="427">
        <f t="shared" si="2"/>
        <v>127.77777777777777</v>
      </c>
      <c r="K49" s="427">
        <v>115</v>
      </c>
      <c r="M49" s="511" t="s">
        <v>109</v>
      </c>
      <c r="N49" s="512"/>
      <c r="O49" s="512"/>
      <c r="P49" s="512"/>
      <c r="Q49" s="513"/>
      <c r="R49" s="372">
        <v>115</v>
      </c>
      <c r="T49" s="12"/>
      <c r="U49" s="12"/>
    </row>
    <row r="50" spans="1:25" x14ac:dyDescent="0.25">
      <c r="A50" s="106"/>
      <c r="B50" s="106">
        <v>0</v>
      </c>
      <c r="C50" s="106">
        <f>'DETALLE DE VENTAS'!AC265-A50-B50</f>
        <v>0</v>
      </c>
      <c r="D50" s="519" t="s">
        <v>26</v>
      </c>
      <c r="E50" s="520"/>
      <c r="F50" s="520"/>
      <c r="G50" s="520"/>
      <c r="H50" s="521"/>
      <c r="I50" s="378"/>
      <c r="J50" s="377">
        <f t="shared" si="2"/>
        <v>44.444444444444443</v>
      </c>
      <c r="K50" s="377">
        <v>40</v>
      </c>
      <c r="M50" s="511" t="s">
        <v>11</v>
      </c>
      <c r="N50" s="512"/>
      <c r="O50" s="512"/>
      <c r="P50" s="512"/>
      <c r="Q50" s="513"/>
      <c r="R50" s="372">
        <v>106</v>
      </c>
      <c r="T50" s="12"/>
      <c r="U50" s="12"/>
    </row>
    <row r="51" spans="1:25" x14ac:dyDescent="0.25">
      <c r="A51" s="106"/>
      <c r="B51" s="106">
        <v>9</v>
      </c>
      <c r="C51" s="106">
        <f>'DETALLE DE VENTAS'!AC275-A51-B51</f>
        <v>0</v>
      </c>
      <c r="D51" s="519" t="s">
        <v>35</v>
      </c>
      <c r="E51" s="520"/>
      <c r="F51" s="520"/>
      <c r="G51" s="520"/>
      <c r="H51" s="521"/>
      <c r="I51" s="378"/>
      <c r="J51" s="377">
        <f t="shared" si="2"/>
        <v>7.7777777777777777</v>
      </c>
      <c r="K51" s="377">
        <v>7</v>
      </c>
      <c r="M51" s="511" t="s">
        <v>10</v>
      </c>
      <c r="N51" s="512"/>
      <c r="O51" s="512"/>
      <c r="P51" s="512"/>
      <c r="Q51" s="513"/>
      <c r="R51" s="372">
        <v>31</v>
      </c>
      <c r="T51" s="12"/>
      <c r="U51" s="12"/>
    </row>
    <row r="52" spans="1:25" x14ac:dyDescent="0.25">
      <c r="A52" s="106"/>
      <c r="B52" s="106">
        <v>2</v>
      </c>
      <c r="C52" s="106">
        <f>'DETALLE DE VENTAS'!AC273-A52-B52</f>
        <v>0</v>
      </c>
      <c r="D52" s="519" t="s">
        <v>33</v>
      </c>
      <c r="E52" s="520"/>
      <c r="F52" s="520"/>
      <c r="G52" s="520"/>
      <c r="H52" s="521"/>
      <c r="I52" s="378"/>
      <c r="J52" s="377">
        <f t="shared" si="2"/>
        <v>16.666666666666668</v>
      </c>
      <c r="K52" s="377">
        <v>15</v>
      </c>
      <c r="M52" s="511" t="s">
        <v>9</v>
      </c>
      <c r="N52" s="512"/>
      <c r="O52" s="512"/>
      <c r="P52" s="512"/>
      <c r="Q52" s="513"/>
      <c r="R52" s="372">
        <v>30</v>
      </c>
      <c r="T52" s="12"/>
      <c r="U52" s="12"/>
    </row>
    <row r="53" spans="1:25" x14ac:dyDescent="0.25">
      <c r="A53" s="106"/>
      <c r="B53" s="106">
        <v>2</v>
      </c>
      <c r="C53" s="106">
        <f>'DETALLE DE VENTAS'!AC274-A53-B53</f>
        <v>0</v>
      </c>
      <c r="D53" s="519" t="s">
        <v>34</v>
      </c>
      <c r="E53" s="520"/>
      <c r="F53" s="520"/>
      <c r="G53" s="520"/>
      <c r="H53" s="521"/>
      <c r="I53" s="378"/>
      <c r="J53" s="377">
        <f t="shared" si="2"/>
        <v>16.666666666666668</v>
      </c>
      <c r="K53" s="377">
        <v>15</v>
      </c>
      <c r="M53" s="511" t="s">
        <v>8</v>
      </c>
      <c r="N53" s="512"/>
      <c r="O53" s="512"/>
      <c r="P53" s="512"/>
      <c r="Q53" s="513"/>
      <c r="R53" s="372">
        <v>14</v>
      </c>
      <c r="T53" s="12"/>
      <c r="U53" s="12"/>
    </row>
    <row r="54" spans="1:25" x14ac:dyDescent="0.25">
      <c r="A54" s="106"/>
      <c r="B54" s="106">
        <v>4</v>
      </c>
      <c r="C54" s="106">
        <f>'DETALLE DE VENTAS'!AC272-A54-B54</f>
        <v>0</v>
      </c>
      <c r="D54" s="519" t="s">
        <v>32</v>
      </c>
      <c r="E54" s="520"/>
      <c r="F54" s="520"/>
      <c r="G54" s="520"/>
      <c r="H54" s="521"/>
      <c r="I54" s="378"/>
      <c r="J54" s="377">
        <f t="shared" si="2"/>
        <v>16.666666666666668</v>
      </c>
      <c r="K54" s="377">
        <v>15</v>
      </c>
      <c r="M54" s="511" t="s">
        <v>57</v>
      </c>
      <c r="N54" s="512"/>
      <c r="O54" s="512"/>
      <c r="P54" s="512"/>
      <c r="Q54" s="513"/>
      <c r="R54" s="372">
        <v>50</v>
      </c>
      <c r="T54" s="12"/>
      <c r="U54" s="12"/>
    </row>
    <row r="55" spans="1:25" x14ac:dyDescent="0.25">
      <c r="A55" s="106"/>
      <c r="B55" s="106">
        <v>39</v>
      </c>
      <c r="C55" s="106">
        <f>'DETALLE DE VENTAS'!AC259-A55-B55</f>
        <v>0</v>
      </c>
      <c r="D55" s="519" t="s">
        <v>20</v>
      </c>
      <c r="E55" s="520"/>
      <c r="F55" s="520"/>
      <c r="G55" s="520"/>
      <c r="H55" s="521"/>
      <c r="I55" s="378"/>
      <c r="J55" s="377">
        <f t="shared" si="2"/>
        <v>5.5555555555555554</v>
      </c>
      <c r="K55" s="377">
        <v>5</v>
      </c>
      <c r="M55" s="511" t="s">
        <v>51</v>
      </c>
      <c r="N55" s="512"/>
      <c r="O55" s="512"/>
      <c r="P55" s="512"/>
      <c r="Q55" s="513"/>
      <c r="R55" s="372">
        <v>46</v>
      </c>
      <c r="T55" s="12"/>
      <c r="U55" s="12"/>
    </row>
    <row r="56" spans="1:25" x14ac:dyDescent="0.25">
      <c r="A56" s="106"/>
      <c r="B56" s="106">
        <v>8</v>
      </c>
      <c r="C56" s="106">
        <f>'DETALLE DE VENTAS'!AC260-A56-B56</f>
        <v>0</v>
      </c>
      <c r="D56" s="519" t="s">
        <v>21</v>
      </c>
      <c r="E56" s="520"/>
      <c r="F56" s="520"/>
      <c r="G56" s="520"/>
      <c r="H56" s="521"/>
      <c r="I56" s="378"/>
      <c r="J56" s="377">
        <f t="shared" si="2"/>
        <v>12.222222222222221</v>
      </c>
      <c r="K56" s="377">
        <v>11</v>
      </c>
      <c r="M56" s="6"/>
      <c r="N56" s="9"/>
      <c r="O56" s="12"/>
      <c r="P56" s="9"/>
      <c r="Q56" s="9"/>
      <c r="R56" s="9"/>
      <c r="S56" s="219"/>
      <c r="T56" s="12"/>
      <c r="U56" s="532" t="s">
        <v>454</v>
      </c>
      <c r="V56" s="532"/>
      <c r="W56" s="532"/>
      <c r="X56" s="532"/>
      <c r="Y56" s="532"/>
    </row>
    <row r="57" spans="1:25" x14ac:dyDescent="0.25">
      <c r="A57" s="106"/>
      <c r="B57" s="106">
        <v>10</v>
      </c>
      <c r="C57" s="106">
        <f>'DETALLE DE VENTAS'!AC261-A57-B57</f>
        <v>0</v>
      </c>
      <c r="D57" s="519" t="s">
        <v>22</v>
      </c>
      <c r="E57" s="520"/>
      <c r="F57" s="520"/>
      <c r="G57" s="520"/>
      <c r="H57" s="521"/>
      <c r="I57" s="378"/>
      <c r="J57" s="377">
        <f t="shared" si="2"/>
        <v>12.222222222222221</v>
      </c>
      <c r="K57" s="377">
        <v>11</v>
      </c>
      <c r="M57" s="548" t="s">
        <v>49</v>
      </c>
      <c r="N57" s="548"/>
      <c r="O57" s="548"/>
      <c r="P57" s="548"/>
      <c r="Q57" s="548"/>
      <c r="R57" s="449">
        <v>60</v>
      </c>
      <c r="S57" s="219"/>
      <c r="T57" s="12"/>
      <c r="U57" s="446">
        <f>T57-S57</f>
        <v>0</v>
      </c>
      <c r="V57" s="542" t="str">
        <f>IF(U57&gt;0,M57,"")</f>
        <v/>
      </c>
      <c r="W57" s="542"/>
      <c r="X57" s="542"/>
      <c r="Y57" s="542"/>
    </row>
    <row r="58" spans="1:25" x14ac:dyDescent="0.25">
      <c r="A58" s="106"/>
      <c r="B58" s="106">
        <v>7</v>
      </c>
      <c r="C58" s="106">
        <f>'DETALLE DE VENTAS'!AC262-A58-B58</f>
        <v>0</v>
      </c>
      <c r="D58" s="519" t="s">
        <v>23</v>
      </c>
      <c r="E58" s="520"/>
      <c r="F58" s="520"/>
      <c r="G58" s="520"/>
      <c r="H58" s="521"/>
      <c r="I58" s="378"/>
      <c r="J58" s="377">
        <f t="shared" si="2"/>
        <v>4.4444444444444446</v>
      </c>
      <c r="K58" s="377">
        <v>4</v>
      </c>
      <c r="M58" s="548" t="s">
        <v>56</v>
      </c>
      <c r="N58" s="548"/>
      <c r="O58" s="548"/>
      <c r="P58" s="548"/>
      <c r="Q58" s="548"/>
      <c r="R58" s="449"/>
      <c r="S58" s="219"/>
      <c r="T58" s="12"/>
      <c r="U58" s="446">
        <f t="shared" ref="U58:U83" si="3">T58-S58</f>
        <v>0</v>
      </c>
      <c r="V58" s="542" t="str">
        <f t="shared" ref="V58:V80" si="4">IF(U58&gt;0,M58,"")</f>
        <v/>
      </c>
      <c r="W58" s="542"/>
      <c r="X58" s="542"/>
      <c r="Y58" s="542"/>
    </row>
    <row r="59" spans="1:25" x14ac:dyDescent="0.25">
      <c r="A59" s="106"/>
      <c r="B59" s="106">
        <v>10</v>
      </c>
      <c r="C59" s="106">
        <f>'DETALLE DE VENTAS'!AC263-A59-B59</f>
        <v>0</v>
      </c>
      <c r="D59" s="519" t="s">
        <v>24</v>
      </c>
      <c r="E59" s="520"/>
      <c r="F59" s="520"/>
      <c r="G59" s="520"/>
      <c r="H59" s="521"/>
      <c r="I59" s="378"/>
      <c r="J59" s="377">
        <f t="shared" si="2"/>
        <v>8.8888888888888893</v>
      </c>
      <c r="K59" s="377">
        <v>8</v>
      </c>
      <c r="M59" s="548" t="s">
        <v>50</v>
      </c>
      <c r="N59" s="548"/>
      <c r="O59" s="548"/>
      <c r="P59" s="548"/>
      <c r="Q59" s="548"/>
      <c r="R59" s="449"/>
      <c r="S59" s="219"/>
      <c r="T59" s="12"/>
      <c r="U59" s="446">
        <f t="shared" si="3"/>
        <v>0</v>
      </c>
      <c r="V59" s="542" t="str">
        <f t="shared" si="4"/>
        <v/>
      </c>
      <c r="W59" s="542"/>
      <c r="X59" s="542"/>
      <c r="Y59" s="542"/>
    </row>
    <row r="60" spans="1:25" x14ac:dyDescent="0.25">
      <c r="A60" s="106"/>
      <c r="B60" s="106">
        <v>0</v>
      </c>
      <c r="C60" s="106">
        <f>'DETALLE DE VENTAS'!AC264-A60-B60</f>
        <v>0</v>
      </c>
      <c r="D60" s="519" t="s">
        <v>25</v>
      </c>
      <c r="E60" s="520"/>
      <c r="F60" s="520"/>
      <c r="G60" s="520"/>
      <c r="H60" s="521"/>
      <c r="I60" s="378"/>
      <c r="J60" s="377">
        <f t="shared" si="2"/>
        <v>28.888888888888889</v>
      </c>
      <c r="K60" s="377">
        <v>26</v>
      </c>
      <c r="M60" s="548" t="s">
        <v>7</v>
      </c>
      <c r="N60" s="548"/>
      <c r="O60" s="548"/>
      <c r="P60" s="548"/>
      <c r="Q60" s="548"/>
      <c r="R60" s="449">
        <v>40</v>
      </c>
      <c r="S60" s="219"/>
      <c r="T60" s="12"/>
      <c r="U60" s="446">
        <f t="shared" si="3"/>
        <v>0</v>
      </c>
      <c r="V60" s="542" t="str">
        <f t="shared" si="4"/>
        <v/>
      </c>
      <c r="W60" s="542"/>
      <c r="X60" s="542"/>
      <c r="Y60" s="542"/>
    </row>
    <row r="61" spans="1:25" x14ac:dyDescent="0.25">
      <c r="A61" s="106"/>
      <c r="B61" s="106">
        <f>-4</f>
        <v>-4</v>
      </c>
      <c r="C61" s="106">
        <f>'DETALLE DE VENTAS'!AC276-A61-B61</f>
        <v>0</v>
      </c>
      <c r="D61" s="519" t="s">
        <v>36</v>
      </c>
      <c r="E61" s="520"/>
      <c r="F61" s="520"/>
      <c r="G61" s="520"/>
      <c r="H61" s="521"/>
      <c r="I61" s="378"/>
      <c r="J61" s="377">
        <f t="shared" si="2"/>
        <v>7.7777777777777777</v>
      </c>
      <c r="K61" s="377">
        <v>7</v>
      </c>
      <c r="M61" s="548" t="s">
        <v>6</v>
      </c>
      <c r="N61" s="548"/>
      <c r="O61" s="548"/>
      <c r="P61" s="548"/>
      <c r="Q61" s="548"/>
      <c r="R61" s="449">
        <v>40</v>
      </c>
      <c r="S61" s="219"/>
      <c r="T61" s="12"/>
      <c r="U61" s="446">
        <f t="shared" si="3"/>
        <v>0</v>
      </c>
      <c r="V61" s="542" t="str">
        <f t="shared" si="4"/>
        <v/>
      </c>
      <c r="W61" s="542"/>
      <c r="X61" s="542"/>
      <c r="Y61" s="542"/>
    </row>
    <row r="62" spans="1:25" x14ac:dyDescent="0.25">
      <c r="A62" s="106"/>
      <c r="B62" s="106">
        <v>2</v>
      </c>
      <c r="C62" s="106">
        <f>'DETALLE DE VENTAS'!AC278-A62-B62</f>
        <v>0</v>
      </c>
      <c r="D62" s="519" t="s">
        <v>38</v>
      </c>
      <c r="E62" s="520"/>
      <c r="F62" s="520"/>
      <c r="G62" s="520"/>
      <c r="H62" s="521"/>
      <c r="I62" s="378"/>
      <c r="J62" s="377">
        <f t="shared" si="2"/>
        <v>14.444444444444445</v>
      </c>
      <c r="K62" s="377">
        <v>13</v>
      </c>
      <c r="M62" s="548" t="s">
        <v>305</v>
      </c>
      <c r="N62" s="548"/>
      <c r="O62" s="548"/>
      <c r="P62" s="548"/>
      <c r="Q62" s="548"/>
      <c r="R62" s="449">
        <v>20</v>
      </c>
      <c r="S62" s="219"/>
      <c r="T62" s="12"/>
      <c r="U62" s="446">
        <f t="shared" si="3"/>
        <v>0</v>
      </c>
      <c r="V62" s="542" t="str">
        <f t="shared" si="4"/>
        <v/>
      </c>
      <c r="W62" s="542"/>
      <c r="X62" s="542"/>
      <c r="Y62" s="542"/>
    </row>
    <row r="63" spans="1:25" x14ac:dyDescent="0.25">
      <c r="A63" s="106"/>
      <c r="B63" s="106">
        <v>2</v>
      </c>
      <c r="C63" s="106">
        <f>'DETALLE DE VENTAS'!AC279-A63-B63</f>
        <v>0</v>
      </c>
      <c r="D63" s="519" t="s">
        <v>39</v>
      </c>
      <c r="E63" s="520"/>
      <c r="F63" s="520"/>
      <c r="G63" s="520"/>
      <c r="H63" s="521"/>
      <c r="I63" s="378"/>
      <c r="J63" s="377">
        <f t="shared" si="2"/>
        <v>20</v>
      </c>
      <c r="K63" s="377">
        <v>18</v>
      </c>
      <c r="M63" s="548" t="s">
        <v>53</v>
      </c>
      <c r="N63" s="548"/>
      <c r="O63" s="548"/>
      <c r="P63" s="548"/>
      <c r="Q63" s="548"/>
      <c r="R63" s="449"/>
      <c r="S63" s="219"/>
      <c r="T63" s="12"/>
      <c r="U63" s="446">
        <f t="shared" si="3"/>
        <v>0</v>
      </c>
      <c r="V63" s="542" t="str">
        <f t="shared" si="4"/>
        <v/>
      </c>
      <c r="W63" s="542"/>
      <c r="X63" s="542"/>
      <c r="Y63" s="542"/>
    </row>
    <row r="64" spans="1:25" x14ac:dyDescent="0.25">
      <c r="A64" s="369"/>
      <c r="B64" s="369">
        <v>0</v>
      </c>
      <c r="C64" s="370">
        <f>'DETALLE DE VENTAS'!AN223 -B64-A64</f>
        <v>0</v>
      </c>
      <c r="D64" s="528" t="s">
        <v>11</v>
      </c>
      <c r="E64" s="529"/>
      <c r="F64" s="529"/>
      <c r="G64" s="529"/>
      <c r="H64" s="530"/>
      <c r="I64" s="120"/>
      <c r="J64" s="427">
        <f t="shared" si="2"/>
        <v>117.77777777777777</v>
      </c>
      <c r="K64" s="427">
        <v>106</v>
      </c>
      <c r="M64" s="548" t="s">
        <v>55</v>
      </c>
      <c r="N64" s="548"/>
      <c r="O64" s="548"/>
      <c r="P64" s="548"/>
      <c r="Q64" s="548"/>
      <c r="R64" s="449">
        <v>48</v>
      </c>
      <c r="S64" s="219"/>
      <c r="T64" s="12"/>
      <c r="U64" s="446">
        <f t="shared" si="3"/>
        <v>0</v>
      </c>
      <c r="V64" s="542" t="str">
        <f t="shared" si="4"/>
        <v/>
      </c>
      <c r="W64" s="542"/>
      <c r="X64" s="542"/>
      <c r="Y64" s="542"/>
    </row>
    <row r="65" spans="1:25" x14ac:dyDescent="0.25">
      <c r="A65" s="369"/>
      <c r="B65" s="369">
        <f>-3</f>
        <v>-3</v>
      </c>
      <c r="C65" s="370">
        <f>'DETALLE DE VENTAS'!AN222 -B65-A65</f>
        <v>0</v>
      </c>
      <c r="D65" s="528" t="s">
        <v>10</v>
      </c>
      <c r="E65" s="529"/>
      <c r="F65" s="529"/>
      <c r="G65" s="529"/>
      <c r="H65" s="530"/>
      <c r="I65" s="120"/>
      <c r="J65" s="427">
        <f t="shared" si="2"/>
        <v>34.444444444444443</v>
      </c>
      <c r="K65" s="427">
        <v>31</v>
      </c>
      <c r="M65" s="548" t="s">
        <v>5</v>
      </c>
      <c r="N65" s="548"/>
      <c r="O65" s="548"/>
      <c r="P65" s="548"/>
      <c r="Q65" s="548"/>
      <c r="R65" s="449">
        <v>80</v>
      </c>
      <c r="S65" s="219"/>
      <c r="T65" s="12"/>
      <c r="U65" s="446">
        <f t="shared" si="3"/>
        <v>0</v>
      </c>
      <c r="V65" s="542" t="str">
        <f t="shared" si="4"/>
        <v/>
      </c>
      <c r="W65" s="542"/>
      <c r="X65" s="542"/>
      <c r="Y65" s="542"/>
    </row>
    <row r="66" spans="1:25" x14ac:dyDescent="0.25">
      <c r="A66" s="383"/>
      <c r="B66" s="383">
        <v>10</v>
      </c>
      <c r="C66" s="383">
        <f>'DETALLE DE VENTAS'!Q311-B66-A66</f>
        <v>0</v>
      </c>
      <c r="D66" s="536" t="s">
        <v>334</v>
      </c>
      <c r="E66" s="537"/>
      <c r="F66" s="537"/>
      <c r="G66" s="537"/>
      <c r="H66" s="538"/>
      <c r="I66" s="384"/>
      <c r="J66" s="429">
        <f t="shared" si="2"/>
        <v>16.666666666666668</v>
      </c>
      <c r="K66" s="429">
        <v>15</v>
      </c>
      <c r="M66" s="548" t="s">
        <v>4</v>
      </c>
      <c r="N66" s="548"/>
      <c r="O66" s="548"/>
      <c r="P66" s="548"/>
      <c r="Q66" s="548"/>
      <c r="R66" s="449">
        <v>100</v>
      </c>
      <c r="S66" s="219"/>
      <c r="T66" s="12"/>
      <c r="U66" s="446">
        <f t="shared" si="3"/>
        <v>0</v>
      </c>
      <c r="V66" s="542" t="str">
        <f t="shared" si="4"/>
        <v/>
      </c>
      <c r="W66" s="542"/>
      <c r="X66" s="542"/>
      <c r="Y66" s="542"/>
    </row>
    <row r="67" spans="1:25" x14ac:dyDescent="0.25">
      <c r="A67" s="386"/>
      <c r="B67" s="386">
        <v>10</v>
      </c>
      <c r="C67" s="383">
        <f>'DETALLE DE VENTAS'!Q313-B67-A67</f>
        <v>0</v>
      </c>
      <c r="D67" s="536" t="s">
        <v>336</v>
      </c>
      <c r="E67" s="537"/>
      <c r="F67" s="537"/>
      <c r="G67" s="537"/>
      <c r="H67" s="538"/>
      <c r="I67" s="384"/>
      <c r="J67" s="429">
        <f t="shared" si="2"/>
        <v>18.888888888888889</v>
      </c>
      <c r="K67" s="429">
        <v>17</v>
      </c>
      <c r="M67" s="548" t="s">
        <v>12</v>
      </c>
      <c r="N67" s="548"/>
      <c r="O67" s="548"/>
      <c r="P67" s="548"/>
      <c r="Q67" s="548"/>
      <c r="R67" s="449">
        <v>80</v>
      </c>
      <c r="S67" s="219"/>
      <c r="T67" s="12"/>
      <c r="U67" s="446">
        <f t="shared" si="3"/>
        <v>0</v>
      </c>
      <c r="V67" s="542" t="str">
        <f t="shared" si="4"/>
        <v/>
      </c>
      <c r="W67" s="542"/>
      <c r="X67" s="542"/>
      <c r="Y67" s="542"/>
    </row>
    <row r="68" spans="1:25" x14ac:dyDescent="0.25">
      <c r="A68" s="383"/>
      <c r="B68" s="383">
        <v>10</v>
      </c>
      <c r="C68" s="383">
        <f>'DETALLE DE VENTAS'!Q310-B68-A68</f>
        <v>0</v>
      </c>
      <c r="D68" s="536" t="s">
        <v>333</v>
      </c>
      <c r="E68" s="537"/>
      <c r="F68" s="537"/>
      <c r="G68" s="537"/>
      <c r="H68" s="538"/>
      <c r="I68" s="384"/>
      <c r="J68" s="429">
        <f t="shared" si="2"/>
        <v>15.555555555555555</v>
      </c>
      <c r="K68" s="429">
        <v>14</v>
      </c>
      <c r="M68" s="548" t="s">
        <v>260</v>
      </c>
      <c r="N68" s="548"/>
      <c r="O68" s="548"/>
      <c r="P68" s="548"/>
      <c r="Q68" s="548"/>
      <c r="R68" s="449"/>
      <c r="S68" s="219"/>
      <c r="T68" s="12"/>
      <c r="U68" s="446">
        <f t="shared" si="3"/>
        <v>0</v>
      </c>
      <c r="V68" s="542" t="str">
        <f t="shared" si="4"/>
        <v/>
      </c>
      <c r="W68" s="542"/>
      <c r="X68" s="542"/>
      <c r="Y68" s="542"/>
    </row>
    <row r="69" spans="1:25" x14ac:dyDescent="0.25">
      <c r="A69" s="383"/>
      <c r="B69" s="383">
        <v>10</v>
      </c>
      <c r="C69" s="383">
        <f>'DETALLE DE VENTAS'!Q309-B69-A69</f>
        <v>0</v>
      </c>
      <c r="D69" s="536" t="s">
        <v>332</v>
      </c>
      <c r="E69" s="537"/>
      <c r="F69" s="537"/>
      <c r="G69" s="537"/>
      <c r="H69" s="538"/>
      <c r="I69" s="383"/>
      <c r="J69" s="429">
        <f t="shared" ref="J69:J90" si="5">K69/$C$97</f>
        <v>12.222222222222221</v>
      </c>
      <c r="K69" s="429">
        <v>11</v>
      </c>
      <c r="M69" s="549" t="s">
        <v>271</v>
      </c>
      <c r="N69" s="550"/>
      <c r="O69" s="550"/>
      <c r="P69" s="550"/>
      <c r="Q69" s="551"/>
      <c r="R69" s="449">
        <v>200</v>
      </c>
      <c r="S69" s="219"/>
      <c r="T69" s="12"/>
      <c r="U69" s="446">
        <f t="shared" si="3"/>
        <v>0</v>
      </c>
      <c r="V69" s="542" t="str">
        <f t="shared" si="4"/>
        <v/>
      </c>
      <c r="W69" s="542"/>
      <c r="X69" s="542"/>
      <c r="Y69" s="542"/>
    </row>
    <row r="70" spans="1:25" x14ac:dyDescent="0.25">
      <c r="A70" s="369"/>
      <c r="B70" s="369">
        <v>70</v>
      </c>
      <c r="C70" s="370">
        <f>'DETALLE DE VENTAS'!AN221 -B70-A70</f>
        <v>0</v>
      </c>
      <c r="D70" s="528" t="s">
        <v>9</v>
      </c>
      <c r="E70" s="529"/>
      <c r="F70" s="529"/>
      <c r="G70" s="529"/>
      <c r="H70" s="530"/>
      <c r="I70" s="115"/>
      <c r="J70" s="427">
        <f t="shared" si="5"/>
        <v>33.333333333333336</v>
      </c>
      <c r="K70" s="427">
        <v>30</v>
      </c>
      <c r="M70" s="548" t="s">
        <v>52</v>
      </c>
      <c r="N70" s="548"/>
      <c r="O70" s="548"/>
      <c r="P70" s="548"/>
      <c r="Q70" s="548"/>
      <c r="R70" s="449"/>
      <c r="S70" s="219"/>
      <c r="T70" s="12"/>
      <c r="U70" s="446">
        <f t="shared" si="3"/>
        <v>0</v>
      </c>
      <c r="V70" s="542" t="str">
        <f t="shared" si="4"/>
        <v/>
      </c>
      <c r="W70" s="542"/>
      <c r="X70" s="542"/>
      <c r="Y70" s="542"/>
    </row>
    <row r="71" spans="1:25" x14ac:dyDescent="0.25">
      <c r="A71" s="369"/>
      <c r="B71" s="369">
        <v>38</v>
      </c>
      <c r="C71" s="370">
        <f>'DETALLE DE VENTAS'!AN220 -B71-A71</f>
        <v>0</v>
      </c>
      <c r="D71" s="528" t="s">
        <v>8</v>
      </c>
      <c r="E71" s="529"/>
      <c r="F71" s="529"/>
      <c r="G71" s="529"/>
      <c r="H71" s="530"/>
      <c r="I71" s="428"/>
      <c r="J71" s="427">
        <f t="shared" si="5"/>
        <v>15.555555555555555</v>
      </c>
      <c r="K71" s="427">
        <v>14</v>
      </c>
      <c r="M71" s="548" t="s">
        <v>107</v>
      </c>
      <c r="N71" s="548"/>
      <c r="O71" s="548"/>
      <c r="P71" s="548"/>
      <c r="Q71" s="548"/>
      <c r="R71" s="449"/>
      <c r="S71" s="219"/>
      <c r="T71" s="12"/>
      <c r="U71" s="446">
        <f t="shared" si="3"/>
        <v>0</v>
      </c>
      <c r="V71" s="542" t="str">
        <f t="shared" si="4"/>
        <v/>
      </c>
      <c r="W71" s="542"/>
      <c r="X71" s="542"/>
      <c r="Y71" s="542"/>
    </row>
    <row r="72" spans="1:25" x14ac:dyDescent="0.25">
      <c r="A72" s="369"/>
      <c r="B72" s="369">
        <v>0</v>
      </c>
      <c r="C72" s="370">
        <f>'DETALLE DE VENTAS'!AN224 -B72-A72</f>
        <v>0</v>
      </c>
      <c r="D72" s="528" t="s">
        <v>57</v>
      </c>
      <c r="E72" s="529"/>
      <c r="F72" s="529"/>
      <c r="G72" s="529"/>
      <c r="H72" s="530"/>
      <c r="I72" s="426"/>
      <c r="J72" s="427">
        <f t="shared" si="5"/>
        <v>55.555555555555557</v>
      </c>
      <c r="K72" s="427">
        <v>50</v>
      </c>
      <c r="M72" s="548" t="s">
        <v>108</v>
      </c>
      <c r="N72" s="548"/>
      <c r="O72" s="548"/>
      <c r="P72" s="548"/>
      <c r="Q72" s="548"/>
      <c r="R72" s="449"/>
      <c r="S72" s="219"/>
      <c r="T72" s="12"/>
      <c r="U72" s="446">
        <f t="shared" si="3"/>
        <v>0</v>
      </c>
      <c r="V72" s="542" t="str">
        <f t="shared" si="4"/>
        <v/>
      </c>
      <c r="W72" s="542"/>
      <c r="X72" s="542"/>
      <c r="Y72" s="542"/>
    </row>
    <row r="73" spans="1:25" x14ac:dyDescent="0.25">
      <c r="A73" s="379"/>
      <c r="B73" s="379">
        <v>31</v>
      </c>
      <c r="C73" s="106">
        <f>'DETALLE DE VENTAS'!AC292-B73-A73</f>
        <v>0</v>
      </c>
      <c r="D73" s="519" t="s">
        <v>372</v>
      </c>
      <c r="E73" s="520"/>
      <c r="F73" s="520"/>
      <c r="G73" s="520"/>
      <c r="H73" s="521"/>
      <c r="I73" s="380"/>
      <c r="J73" s="377">
        <f t="shared" si="5"/>
        <v>10</v>
      </c>
      <c r="K73" s="377">
        <v>9</v>
      </c>
      <c r="M73" s="548" t="s">
        <v>106</v>
      </c>
      <c r="N73" s="548"/>
      <c r="O73" s="548"/>
      <c r="P73" s="548"/>
      <c r="Q73" s="548"/>
      <c r="R73" s="449"/>
      <c r="S73" s="219"/>
      <c r="T73" s="12"/>
      <c r="U73" s="446">
        <f t="shared" si="3"/>
        <v>0</v>
      </c>
      <c r="V73" s="542" t="str">
        <f t="shared" si="4"/>
        <v/>
      </c>
      <c r="W73" s="542"/>
      <c r="X73" s="542"/>
      <c r="Y73" s="542"/>
    </row>
    <row r="74" spans="1:25" x14ac:dyDescent="0.25">
      <c r="A74" s="369"/>
      <c r="B74" s="369">
        <v>11</v>
      </c>
      <c r="C74" s="370">
        <f>'DETALLE DE VENTAS'!AN225 -B74-A74</f>
        <v>0</v>
      </c>
      <c r="D74" s="528" t="s">
        <v>51</v>
      </c>
      <c r="E74" s="529"/>
      <c r="F74" s="529"/>
      <c r="G74" s="529"/>
      <c r="H74" s="530"/>
      <c r="I74" s="426"/>
      <c r="J74" s="427">
        <f t="shared" si="5"/>
        <v>51.111111111111107</v>
      </c>
      <c r="K74" s="427">
        <v>46</v>
      </c>
      <c r="M74" s="548" t="s">
        <v>109</v>
      </c>
      <c r="N74" s="548"/>
      <c r="O74" s="548"/>
      <c r="P74" s="548"/>
      <c r="Q74" s="548"/>
      <c r="R74" s="449"/>
      <c r="S74" s="219"/>
      <c r="T74" s="12"/>
      <c r="U74" s="446">
        <f t="shared" si="3"/>
        <v>0</v>
      </c>
      <c r="V74" s="542" t="str">
        <f t="shared" si="4"/>
        <v/>
      </c>
      <c r="W74" s="542"/>
      <c r="X74" s="542"/>
      <c r="Y74" s="542"/>
    </row>
    <row r="75" spans="1:25" x14ac:dyDescent="0.25">
      <c r="A75" s="389"/>
      <c r="B75" s="389">
        <v>2</v>
      </c>
      <c r="C75" s="389">
        <f>'DETALLE DE VENTAS'!N241-A75-B75</f>
        <v>0</v>
      </c>
      <c r="D75" s="543" t="s">
        <v>384</v>
      </c>
      <c r="E75" s="544"/>
      <c r="F75" s="544"/>
      <c r="G75" s="544"/>
      <c r="H75" s="545"/>
      <c r="I75" s="390"/>
      <c r="J75" s="425">
        <f t="shared" si="5"/>
        <v>177.77777777777777</v>
      </c>
      <c r="K75" s="425">
        <v>160</v>
      </c>
      <c r="M75" s="548" t="s">
        <v>11</v>
      </c>
      <c r="N75" s="548"/>
      <c r="O75" s="548"/>
      <c r="P75" s="548"/>
      <c r="Q75" s="548"/>
      <c r="R75" s="449">
        <v>80</v>
      </c>
      <c r="S75" s="219"/>
      <c r="T75" s="12"/>
      <c r="U75" s="446">
        <f t="shared" si="3"/>
        <v>0</v>
      </c>
      <c r="V75" s="542" t="str">
        <f t="shared" si="4"/>
        <v/>
      </c>
      <c r="W75" s="542"/>
      <c r="X75" s="542"/>
      <c r="Y75" s="542"/>
    </row>
    <row r="76" spans="1:25" x14ac:dyDescent="0.25">
      <c r="A76" s="389"/>
      <c r="B76" s="389">
        <v>3</v>
      </c>
      <c r="C76" s="389">
        <f>'DETALLE DE VENTAS'!Q251-A76-B76</f>
        <v>0</v>
      </c>
      <c r="D76" s="543" t="s">
        <v>310</v>
      </c>
      <c r="E76" s="544"/>
      <c r="F76" s="544"/>
      <c r="G76" s="544"/>
      <c r="H76" s="545"/>
      <c r="I76" s="390"/>
      <c r="J76" s="425">
        <f t="shared" si="5"/>
        <v>116.66666666666666</v>
      </c>
      <c r="K76" s="425">
        <v>105</v>
      </c>
      <c r="M76" s="548" t="s">
        <v>10</v>
      </c>
      <c r="N76" s="548"/>
      <c r="O76" s="548"/>
      <c r="P76" s="548"/>
      <c r="Q76" s="548"/>
      <c r="R76" s="449">
        <v>60</v>
      </c>
      <c r="S76" s="219"/>
      <c r="T76" s="12"/>
      <c r="U76" s="446">
        <f t="shared" si="3"/>
        <v>0</v>
      </c>
      <c r="V76" s="542" t="str">
        <f t="shared" si="4"/>
        <v/>
      </c>
      <c r="W76" s="542"/>
      <c r="X76" s="542"/>
      <c r="Y76" s="542"/>
    </row>
    <row r="77" spans="1:25" ht="14.25" customHeight="1" x14ac:dyDescent="0.25">
      <c r="A77" s="389"/>
      <c r="B77" s="389">
        <v>1</v>
      </c>
      <c r="C77" s="389">
        <f>'DETALLE DE VENTAS'!N239-A77-B77</f>
        <v>0</v>
      </c>
      <c r="D77" s="543" t="s">
        <v>385</v>
      </c>
      <c r="E77" s="544"/>
      <c r="F77" s="544"/>
      <c r="G77" s="544"/>
      <c r="H77" s="545"/>
      <c r="I77" s="390"/>
      <c r="J77" s="425">
        <f t="shared" si="5"/>
        <v>100</v>
      </c>
      <c r="K77" s="425">
        <v>90</v>
      </c>
      <c r="M77" s="548" t="s">
        <v>9</v>
      </c>
      <c r="N77" s="548"/>
      <c r="O77" s="548"/>
      <c r="P77" s="548"/>
      <c r="Q77" s="548"/>
      <c r="R77" s="449">
        <v>60</v>
      </c>
      <c r="S77" s="219"/>
      <c r="T77" s="12"/>
      <c r="U77" s="446">
        <f t="shared" si="3"/>
        <v>0</v>
      </c>
      <c r="V77" s="542" t="str">
        <f t="shared" si="4"/>
        <v/>
      </c>
      <c r="W77" s="542"/>
      <c r="X77" s="542"/>
      <c r="Y77" s="542"/>
    </row>
    <row r="78" spans="1:25" x14ac:dyDescent="0.25">
      <c r="A78" s="389"/>
      <c r="B78" s="389">
        <v>2</v>
      </c>
      <c r="C78" s="389">
        <f>'DETALLE DE VENTAS'!N240-A78-B78</f>
        <v>0</v>
      </c>
      <c r="D78" s="543" t="s">
        <v>386</v>
      </c>
      <c r="E78" s="544"/>
      <c r="F78" s="544"/>
      <c r="G78" s="544"/>
      <c r="H78" s="545"/>
      <c r="I78" s="390"/>
      <c r="J78" s="425">
        <f t="shared" si="5"/>
        <v>105.55555555555556</v>
      </c>
      <c r="K78" s="425">
        <v>95</v>
      </c>
      <c r="M78" s="548" t="s">
        <v>8</v>
      </c>
      <c r="N78" s="548"/>
      <c r="O78" s="548"/>
      <c r="P78" s="548"/>
      <c r="Q78" s="548"/>
      <c r="R78" s="449">
        <v>20</v>
      </c>
      <c r="S78" s="219"/>
      <c r="T78" s="12"/>
      <c r="U78" s="446">
        <f t="shared" si="3"/>
        <v>0</v>
      </c>
      <c r="V78" s="542" t="str">
        <f t="shared" si="4"/>
        <v/>
      </c>
      <c r="W78" s="542"/>
      <c r="X78" s="542"/>
      <c r="Y78" s="542"/>
    </row>
    <row r="79" spans="1:25" x14ac:dyDescent="0.25">
      <c r="A79" s="389"/>
      <c r="B79" s="389">
        <v>3</v>
      </c>
      <c r="C79" s="389">
        <f>'DETALLE DE VENTAS'!N242-A79-B79</f>
        <v>0</v>
      </c>
      <c r="D79" s="543" t="s">
        <v>387</v>
      </c>
      <c r="E79" s="544"/>
      <c r="F79" s="544"/>
      <c r="G79" s="544"/>
      <c r="H79" s="545"/>
      <c r="I79" s="390"/>
      <c r="J79" s="425">
        <f t="shared" si="5"/>
        <v>177.77777777777777</v>
      </c>
      <c r="K79" s="425">
        <v>160</v>
      </c>
      <c r="M79" s="548" t="s">
        <v>57</v>
      </c>
      <c r="N79" s="548"/>
      <c r="O79" s="548"/>
      <c r="P79" s="548"/>
      <c r="Q79" s="548"/>
      <c r="R79" s="449">
        <v>60</v>
      </c>
      <c r="S79" s="219"/>
      <c r="T79" s="12"/>
      <c r="U79" s="446">
        <f t="shared" si="3"/>
        <v>0</v>
      </c>
      <c r="V79" s="542" t="str">
        <f t="shared" si="4"/>
        <v/>
      </c>
      <c r="W79" s="542"/>
      <c r="X79" s="542"/>
      <c r="Y79" s="542"/>
    </row>
    <row r="80" spans="1:25" ht="15" customHeight="1" x14ac:dyDescent="0.25">
      <c r="A80" s="389"/>
      <c r="B80" s="389">
        <v>13</v>
      </c>
      <c r="C80" s="389">
        <f>'DETALLE DE VENTAS'!Q252-A80-B80</f>
        <v>0</v>
      </c>
      <c r="D80" s="543" t="s">
        <v>59</v>
      </c>
      <c r="E80" s="544"/>
      <c r="F80" s="544"/>
      <c r="G80" s="544"/>
      <c r="H80" s="545"/>
      <c r="I80" s="390"/>
      <c r="J80" s="425">
        <f t="shared" si="5"/>
        <v>116.66666666666666</v>
      </c>
      <c r="K80" s="425">
        <v>105</v>
      </c>
      <c r="M80" s="548" t="s">
        <v>392</v>
      </c>
      <c r="N80" s="548"/>
      <c r="O80" s="548"/>
      <c r="P80" s="548"/>
      <c r="Q80" s="548"/>
      <c r="R80" s="449">
        <v>5</v>
      </c>
      <c r="S80" s="219"/>
      <c r="T80" s="12"/>
      <c r="U80" s="446">
        <f t="shared" si="3"/>
        <v>0</v>
      </c>
      <c r="V80" s="542" t="str">
        <f t="shared" si="4"/>
        <v/>
      </c>
      <c r="W80" s="542"/>
      <c r="X80" s="542"/>
      <c r="Y80" s="542"/>
    </row>
    <row r="81" spans="1:25" ht="15" customHeight="1" x14ac:dyDescent="0.25">
      <c r="A81" s="389"/>
      <c r="B81" s="389">
        <v>1</v>
      </c>
      <c r="C81" s="389">
        <f>'DETALLE DE VENTAS'!N243-A81-B81</f>
        <v>0</v>
      </c>
      <c r="D81" s="543" t="s">
        <v>388</v>
      </c>
      <c r="E81" s="544"/>
      <c r="F81" s="544"/>
      <c r="G81" s="544"/>
      <c r="H81" s="545"/>
      <c r="I81" s="390"/>
      <c r="J81" s="425">
        <f t="shared" si="5"/>
        <v>294.44444444444446</v>
      </c>
      <c r="K81" s="425">
        <v>265</v>
      </c>
      <c r="M81" s="548" t="s">
        <v>455</v>
      </c>
      <c r="N81" s="548"/>
      <c r="O81" s="548"/>
      <c r="P81" s="548"/>
      <c r="Q81" s="548"/>
      <c r="R81" s="449">
        <v>10</v>
      </c>
      <c r="S81" s="219"/>
      <c r="T81" s="12"/>
      <c r="U81" s="445">
        <f t="shared" si="3"/>
        <v>0</v>
      </c>
      <c r="V81" s="518" t="str">
        <f>IF(U81&gt;0,#REF!,"")</f>
        <v/>
      </c>
      <c r="W81" s="518"/>
      <c r="X81" s="518"/>
      <c r="Y81" s="518"/>
    </row>
    <row r="82" spans="1:25" ht="15" customHeight="1" x14ac:dyDescent="0.25">
      <c r="A82" s="389"/>
      <c r="B82" s="389">
        <v>1</v>
      </c>
      <c r="C82" s="389">
        <f>'DETALLE DE VENTAS'!N244-A82-B82</f>
        <v>0</v>
      </c>
      <c r="D82" s="543" t="s">
        <v>389</v>
      </c>
      <c r="E82" s="544"/>
      <c r="F82" s="544"/>
      <c r="G82" s="544"/>
      <c r="H82" s="545"/>
      <c r="I82" s="390"/>
      <c r="J82" s="425">
        <f t="shared" si="5"/>
        <v>366.66666666666669</v>
      </c>
      <c r="K82" s="425">
        <v>330</v>
      </c>
      <c r="M82" s="548" t="s">
        <v>453</v>
      </c>
      <c r="N82" s="548"/>
      <c r="O82" s="548"/>
      <c r="P82" s="548"/>
      <c r="Q82" s="548"/>
      <c r="R82" s="446">
        <v>20</v>
      </c>
      <c r="S82" s="219"/>
      <c r="T82" s="12"/>
      <c r="U82" s="445">
        <f t="shared" si="3"/>
        <v>0</v>
      </c>
      <c r="V82" s="518" t="str">
        <f>IF(U82&gt;0,M81,"")</f>
        <v/>
      </c>
      <c r="W82" s="518"/>
      <c r="X82" s="518"/>
      <c r="Y82" s="518"/>
    </row>
    <row r="83" spans="1:25" x14ac:dyDescent="0.25">
      <c r="A83" s="383"/>
      <c r="B83" s="383">
        <v>10</v>
      </c>
      <c r="C83" s="383">
        <f>'DETALLE DE VENTAS'!Q303-B83-A83</f>
        <v>0</v>
      </c>
      <c r="D83" s="536" t="s">
        <v>327</v>
      </c>
      <c r="E83" s="537"/>
      <c r="F83" s="537"/>
      <c r="G83" s="537"/>
      <c r="H83" s="538"/>
      <c r="I83" s="387"/>
      <c r="J83" s="429">
        <f t="shared" si="5"/>
        <v>14.444444444444445</v>
      </c>
      <c r="K83" s="429">
        <v>13</v>
      </c>
      <c r="N83" s="9"/>
      <c r="O83" s="12"/>
      <c r="P83" s="9"/>
      <c r="Q83" s="9"/>
      <c r="R83" s="9"/>
      <c r="S83" s="219"/>
      <c r="T83" s="12"/>
      <c r="U83" s="445">
        <f t="shared" si="3"/>
        <v>0</v>
      </c>
    </row>
    <row r="84" spans="1:25" x14ac:dyDescent="0.25">
      <c r="A84" s="383"/>
      <c r="B84" s="383">
        <v>3</v>
      </c>
      <c r="C84" s="383">
        <f>'DETALLE DE VENTAS'!Q304-B84-A84</f>
        <v>0</v>
      </c>
      <c r="D84" s="536" t="s">
        <v>328</v>
      </c>
      <c r="E84" s="537"/>
      <c r="F84" s="537"/>
      <c r="G84" s="537"/>
      <c r="H84" s="538"/>
      <c r="I84" s="387"/>
      <c r="J84" s="429">
        <f t="shared" si="5"/>
        <v>10</v>
      </c>
      <c r="K84" s="429">
        <v>9</v>
      </c>
      <c r="N84" s="12"/>
      <c r="O84" s="12"/>
      <c r="P84" s="9"/>
      <c r="Q84" s="9"/>
      <c r="R84" s="9"/>
      <c r="S84" s="219"/>
      <c r="T84" s="12"/>
      <c r="U84" s="12"/>
    </row>
    <row r="85" spans="1:25" x14ac:dyDescent="0.25">
      <c r="A85" s="383"/>
      <c r="B85" s="383">
        <v>10</v>
      </c>
      <c r="C85" s="383">
        <f>'DETALLE DE VENTAS'!Q302-B85-A85</f>
        <v>0</v>
      </c>
      <c r="D85" s="536" t="s">
        <v>326</v>
      </c>
      <c r="E85" s="537"/>
      <c r="F85" s="537"/>
      <c r="G85" s="537"/>
      <c r="H85" s="538"/>
      <c r="I85" s="388"/>
      <c r="J85" s="429">
        <f t="shared" si="5"/>
        <v>36.666666666666664</v>
      </c>
      <c r="K85" s="429">
        <v>33</v>
      </c>
      <c r="N85" s="12"/>
      <c r="O85" s="12"/>
      <c r="P85" s="9"/>
      <c r="Q85" s="9"/>
      <c r="R85" s="9"/>
      <c r="S85" s="219"/>
      <c r="T85" s="12"/>
      <c r="U85" s="12"/>
    </row>
    <row r="86" spans="1:25" x14ac:dyDescent="0.25">
      <c r="A86" s="384"/>
      <c r="B86" s="383">
        <v>16</v>
      </c>
      <c r="C86" s="383">
        <f>'DETALLE DE VENTAS'!Q298-A86-B86</f>
        <v>0</v>
      </c>
      <c r="D86" s="536" t="s">
        <v>168</v>
      </c>
      <c r="E86" s="537"/>
      <c r="F86" s="537"/>
      <c r="G86" s="537"/>
      <c r="H86" s="538"/>
      <c r="I86" s="388"/>
      <c r="J86" s="429">
        <f t="shared" si="5"/>
        <v>20</v>
      </c>
      <c r="K86" s="429">
        <v>18</v>
      </c>
      <c r="M86" s="383">
        <v>0</v>
      </c>
      <c r="N86" s="536" t="s">
        <v>83</v>
      </c>
      <c r="O86" s="537"/>
      <c r="P86" s="537"/>
      <c r="Q86" s="537"/>
      <c r="R86" s="538"/>
      <c r="S86" s="219"/>
      <c r="T86" s="12"/>
      <c r="U86" s="12"/>
    </row>
    <row r="87" spans="1:25" x14ac:dyDescent="0.25">
      <c r="A87" s="383"/>
      <c r="B87" s="383">
        <v>5</v>
      </c>
      <c r="C87" s="383">
        <f>'DETALLE DE VENTAS'!Q305-B87-A87</f>
        <v>0</v>
      </c>
      <c r="D87" s="536" t="s">
        <v>329</v>
      </c>
      <c r="E87" s="537"/>
      <c r="F87" s="537"/>
      <c r="G87" s="537"/>
      <c r="H87" s="538"/>
      <c r="I87" s="388"/>
      <c r="J87" s="429">
        <f t="shared" si="5"/>
        <v>36.666666666666664</v>
      </c>
      <c r="K87" s="429">
        <v>33</v>
      </c>
      <c r="M87" s="383">
        <v>15</v>
      </c>
      <c r="N87" s="536" t="s">
        <v>374</v>
      </c>
      <c r="O87" s="537"/>
      <c r="P87" s="537"/>
      <c r="Q87" s="537"/>
      <c r="R87" s="538"/>
      <c r="S87" s="219"/>
      <c r="T87" s="12"/>
      <c r="U87" s="12"/>
    </row>
    <row r="88" spans="1:25" x14ac:dyDescent="0.25">
      <c r="A88" s="106"/>
      <c r="B88" s="106">
        <v>2</v>
      </c>
      <c r="C88" s="106">
        <f>'DETALLE DE VENTAS'!AC277-A88-B88</f>
        <v>0</v>
      </c>
      <c r="D88" s="519" t="s">
        <v>37</v>
      </c>
      <c r="E88" s="520"/>
      <c r="F88" s="520"/>
      <c r="G88" s="520"/>
      <c r="H88" s="521"/>
      <c r="I88" s="381"/>
      <c r="J88" s="377">
        <f t="shared" si="5"/>
        <v>10</v>
      </c>
      <c r="K88" s="377">
        <v>9</v>
      </c>
      <c r="M88" s="383">
        <v>10</v>
      </c>
      <c r="N88" s="536" t="s">
        <v>324</v>
      </c>
      <c r="O88" s="537"/>
      <c r="P88" s="537"/>
      <c r="Q88" s="537"/>
      <c r="R88" s="538"/>
      <c r="S88" s="219"/>
      <c r="T88" s="12"/>
      <c r="U88" s="12"/>
    </row>
    <row r="89" spans="1:25" x14ac:dyDescent="0.25">
      <c r="A89" s="31"/>
      <c r="B89" s="31"/>
      <c r="C89" s="31"/>
      <c r="D89" s="533" t="s">
        <v>488</v>
      </c>
      <c r="E89" s="534"/>
      <c r="F89" s="534"/>
      <c r="G89" s="534"/>
      <c r="H89" s="535"/>
      <c r="I89" s="476"/>
      <c r="J89" s="475">
        <f t="shared" si="5"/>
        <v>6.6666666666666661</v>
      </c>
      <c r="K89" s="475">
        <v>6</v>
      </c>
      <c r="M89" s="383">
        <v>15</v>
      </c>
      <c r="N89" s="536" t="s">
        <v>323</v>
      </c>
      <c r="O89" s="537"/>
      <c r="P89" s="537"/>
      <c r="Q89" s="537"/>
      <c r="R89" s="538"/>
      <c r="S89" s="219"/>
      <c r="T89" s="12"/>
      <c r="U89" s="12"/>
    </row>
    <row r="90" spans="1:25" ht="17.45" customHeight="1" x14ac:dyDescent="0.25">
      <c r="A90" s="31"/>
      <c r="B90" s="31"/>
      <c r="C90" s="31"/>
      <c r="D90" s="533" t="s">
        <v>489</v>
      </c>
      <c r="E90" s="534"/>
      <c r="F90" s="534"/>
      <c r="G90" s="534"/>
      <c r="H90" s="535"/>
      <c r="I90" s="476"/>
      <c r="J90" s="475">
        <f t="shared" si="5"/>
        <v>133.33333333333334</v>
      </c>
      <c r="K90" s="475">
        <v>120</v>
      </c>
      <c r="M90" s="383">
        <v>6</v>
      </c>
      <c r="N90" s="525" t="s">
        <v>330</v>
      </c>
      <c r="O90" s="526"/>
      <c r="P90" s="526"/>
      <c r="Q90" s="526"/>
      <c r="R90" s="527"/>
      <c r="S90" s="219"/>
      <c r="T90" s="12"/>
      <c r="U90" s="12"/>
    </row>
    <row r="91" spans="1:25" ht="19.899999999999999" customHeight="1" x14ac:dyDescent="0.25">
      <c r="A91" s="31"/>
      <c r="B91" s="31"/>
      <c r="C91" s="31"/>
      <c r="D91" s="533"/>
      <c r="E91" s="534"/>
      <c r="F91" s="534"/>
      <c r="G91" s="534"/>
      <c r="H91" s="535"/>
      <c r="I91" s="368"/>
      <c r="J91" s="31"/>
      <c r="K91" s="31"/>
      <c r="M91" s="383">
        <v>8</v>
      </c>
      <c r="N91" s="525" t="s">
        <v>325</v>
      </c>
      <c r="O91" s="526"/>
      <c r="P91" s="526"/>
      <c r="Q91" s="526"/>
      <c r="R91" s="527"/>
      <c r="S91" s="219"/>
      <c r="T91" s="12"/>
      <c r="U91" s="12"/>
    </row>
    <row r="92" spans="1:25" x14ac:dyDescent="0.25">
      <c r="A92" s="31"/>
      <c r="B92" s="31"/>
      <c r="C92" s="31"/>
      <c r="D92" s="533"/>
      <c r="E92" s="534"/>
      <c r="F92" s="534"/>
      <c r="G92" s="534"/>
      <c r="H92" s="535"/>
      <c r="I92" s="368"/>
      <c r="J92" s="31"/>
      <c r="K92" s="31"/>
      <c r="M92" s="383">
        <v>6</v>
      </c>
      <c r="N92" s="525" t="s">
        <v>331</v>
      </c>
      <c r="O92" s="526"/>
      <c r="P92" s="526"/>
      <c r="Q92" s="526"/>
      <c r="R92" s="526"/>
      <c r="S92" s="219"/>
      <c r="T92" s="12"/>
      <c r="U92" s="12"/>
    </row>
    <row r="93" spans="1:25" x14ac:dyDescent="0.25">
      <c r="A93" s="12"/>
      <c r="J93" s="12"/>
      <c r="K93" s="12"/>
      <c r="L93" s="6"/>
      <c r="M93" s="383">
        <v>10</v>
      </c>
      <c r="N93" s="536" t="s">
        <v>334</v>
      </c>
      <c r="O93" s="537"/>
      <c r="P93" s="537"/>
      <c r="Q93" s="537"/>
      <c r="R93" s="538"/>
      <c r="S93" s="219"/>
      <c r="T93" s="12"/>
      <c r="U93" s="12"/>
    </row>
    <row r="94" spans="1:25" x14ac:dyDescent="0.25">
      <c r="A94" s="12"/>
      <c r="B94" s="439" t="s">
        <v>266</v>
      </c>
      <c r="C94" s="439">
        <v>18.613800000000001</v>
      </c>
      <c r="J94" s="12"/>
      <c r="K94" s="12"/>
      <c r="L94" s="6"/>
      <c r="M94" s="383">
        <v>10</v>
      </c>
      <c r="N94" s="536" t="s">
        <v>336</v>
      </c>
      <c r="O94" s="537"/>
      <c r="P94" s="537"/>
      <c r="Q94" s="537"/>
      <c r="R94" s="538"/>
      <c r="S94" s="219"/>
      <c r="T94" s="12"/>
      <c r="U94" s="12"/>
    </row>
    <row r="95" spans="1:25" x14ac:dyDescent="0.25">
      <c r="A95" s="12"/>
      <c r="B95" s="114" t="s">
        <v>267</v>
      </c>
      <c r="C95" s="115">
        <v>20</v>
      </c>
      <c r="J95" s="12"/>
      <c r="K95" s="12"/>
      <c r="L95" s="6"/>
      <c r="M95" s="383">
        <v>8</v>
      </c>
      <c r="N95" s="536" t="s">
        <v>333</v>
      </c>
      <c r="O95" s="537"/>
      <c r="P95" s="537"/>
      <c r="Q95" s="537"/>
      <c r="R95" s="538"/>
      <c r="S95" s="219"/>
      <c r="T95" s="12"/>
      <c r="U95" s="12"/>
    </row>
    <row r="96" spans="1:25" x14ac:dyDescent="0.25">
      <c r="A96" s="12"/>
      <c r="B96" s="304" t="s">
        <v>268</v>
      </c>
      <c r="C96" s="305">
        <f>(C95-C94)/C95</f>
        <v>6.9309999999999941E-2</v>
      </c>
      <c r="J96" s="12"/>
      <c r="K96" s="12"/>
      <c r="L96" s="6"/>
      <c r="M96" s="383">
        <v>10</v>
      </c>
      <c r="N96" s="536" t="s">
        <v>332</v>
      </c>
      <c r="O96" s="537"/>
      <c r="P96" s="537"/>
      <c r="Q96" s="537"/>
      <c r="R96" s="538"/>
      <c r="S96" s="219"/>
      <c r="T96" s="12"/>
      <c r="U96" s="12"/>
    </row>
    <row r="97" spans="1:23" x14ac:dyDescent="0.25">
      <c r="A97" s="12"/>
      <c r="B97" s="304" t="s">
        <v>288</v>
      </c>
      <c r="C97" s="305">
        <f>1-CEILING(C96,0.05)</f>
        <v>0.9</v>
      </c>
      <c r="J97" s="9"/>
      <c r="K97" s="9"/>
      <c r="L97" s="6"/>
      <c r="M97" s="383">
        <v>10</v>
      </c>
      <c r="N97" s="536" t="s">
        <v>327</v>
      </c>
      <c r="O97" s="537"/>
      <c r="P97" s="537"/>
      <c r="Q97" s="537"/>
      <c r="R97" s="538"/>
      <c r="S97" s="219"/>
      <c r="T97" s="12"/>
      <c r="U97" s="12"/>
    </row>
    <row r="98" spans="1:23" x14ac:dyDescent="0.25">
      <c r="B98" s="304" t="s">
        <v>269</v>
      </c>
      <c r="C98" s="306">
        <f>(1-C97)*100</f>
        <v>9.9999999999999982</v>
      </c>
      <c r="J98" s="9"/>
      <c r="L98" s="6"/>
      <c r="M98" s="383">
        <v>3</v>
      </c>
      <c r="N98" s="536" t="s">
        <v>328</v>
      </c>
      <c r="O98" s="537"/>
      <c r="P98" s="537"/>
      <c r="Q98" s="537"/>
      <c r="R98" s="538"/>
      <c r="S98" s="219"/>
      <c r="T98" s="12"/>
      <c r="U98" s="12"/>
      <c r="V98" s="9"/>
      <c r="W98" s="9"/>
    </row>
    <row r="99" spans="1:23" x14ac:dyDescent="0.25">
      <c r="B99" s="307"/>
      <c r="C99" s="307"/>
      <c r="D99" s="307"/>
      <c r="E99" s="307"/>
      <c r="F99" s="307"/>
      <c r="I99" s="10"/>
      <c r="J99" s="9"/>
      <c r="K99" s="10"/>
      <c r="L99" s="6"/>
      <c r="M99" s="383">
        <v>0</v>
      </c>
      <c r="N99" s="536" t="s">
        <v>326</v>
      </c>
      <c r="O99" s="537"/>
      <c r="P99" s="537"/>
      <c r="Q99" s="537"/>
      <c r="R99" s="538"/>
      <c r="S99" s="219"/>
      <c r="T99" s="12"/>
      <c r="U99" s="12"/>
      <c r="V99" s="9"/>
      <c r="W99" s="9"/>
    </row>
    <row r="100" spans="1:23" x14ac:dyDescent="0.25">
      <c r="H100" s="257"/>
      <c r="I100" s="6"/>
      <c r="J100" s="6"/>
      <c r="K100" s="6"/>
      <c r="M100" s="383">
        <v>15</v>
      </c>
      <c r="N100" s="536" t="s">
        <v>168</v>
      </c>
      <c r="O100" s="537"/>
      <c r="P100" s="537"/>
      <c r="Q100" s="537"/>
      <c r="R100" s="538"/>
      <c r="S100" s="219"/>
      <c r="T100" s="12"/>
      <c r="U100" s="12"/>
      <c r="V100" s="9"/>
      <c r="W100" s="9"/>
    </row>
    <row r="101" spans="1:23" x14ac:dyDescent="0.25">
      <c r="B101" s="6"/>
      <c r="C101" s="518"/>
      <c r="D101" s="518"/>
      <c r="E101" s="518"/>
      <c r="F101" s="518"/>
      <c r="G101" s="518"/>
      <c r="H101" s="518"/>
      <c r="I101" s="257"/>
      <c r="J101" s="12"/>
      <c r="K101" s="12"/>
      <c r="L101" s="195"/>
      <c r="M101" s="383">
        <v>5</v>
      </c>
      <c r="N101" s="536" t="s">
        <v>329</v>
      </c>
      <c r="O101" s="537"/>
      <c r="P101" s="537"/>
      <c r="Q101" s="537"/>
      <c r="R101" s="538"/>
      <c r="S101" s="219"/>
      <c r="T101" s="12"/>
      <c r="U101" s="12"/>
      <c r="V101" s="9"/>
      <c r="W101" s="9"/>
    </row>
    <row r="102" spans="1:23" x14ac:dyDescent="0.25">
      <c r="B102" s="6"/>
      <c r="C102" s="518"/>
      <c r="D102" s="518"/>
      <c r="E102" s="518"/>
      <c r="F102" s="518"/>
      <c r="G102" s="518"/>
      <c r="H102" s="518"/>
      <c r="I102" s="257"/>
      <c r="J102" s="12"/>
      <c r="K102" s="12"/>
      <c r="L102" s="12"/>
      <c r="N102" s="12"/>
      <c r="O102" s="12"/>
      <c r="P102" s="9"/>
      <c r="Q102" s="9"/>
      <c r="R102" s="9"/>
      <c r="S102" s="219"/>
      <c r="T102" s="12"/>
      <c r="U102" s="12"/>
      <c r="V102" s="9"/>
      <c r="W102" s="9"/>
    </row>
    <row r="103" spans="1:23" x14ac:dyDescent="0.25">
      <c r="B103" s="6"/>
      <c r="C103" s="518"/>
      <c r="D103" s="518"/>
      <c r="E103" s="518"/>
      <c r="F103" s="518"/>
      <c r="G103" s="518"/>
      <c r="H103" s="518"/>
      <c r="I103" s="257"/>
      <c r="J103" s="12"/>
      <c r="K103" s="12"/>
      <c r="L103" s="12"/>
      <c r="N103" s="12"/>
      <c r="O103" s="12"/>
      <c r="P103" s="9"/>
      <c r="Q103" s="9"/>
      <c r="R103" s="9"/>
      <c r="S103" s="219"/>
      <c r="T103" s="12"/>
      <c r="U103" s="12"/>
      <c r="V103" s="9"/>
      <c r="W103" s="9"/>
    </row>
    <row r="104" spans="1:23" x14ac:dyDescent="0.25">
      <c r="B104" s="6"/>
      <c r="C104" s="518"/>
      <c r="D104" s="518"/>
      <c r="E104" s="518"/>
      <c r="F104" s="518"/>
      <c r="G104" s="518"/>
      <c r="H104" s="518"/>
      <c r="I104" s="257"/>
      <c r="J104" s="12"/>
      <c r="K104" s="12"/>
      <c r="L104" s="12"/>
      <c r="M104" s="548" t="s">
        <v>12</v>
      </c>
      <c r="N104" s="548"/>
      <c r="O104" s="548"/>
      <c r="P104" s="548"/>
      <c r="Q104" s="548"/>
      <c r="R104" s="449">
        <v>60</v>
      </c>
      <c r="S104" s="219"/>
      <c r="T104" s="12"/>
      <c r="U104" s="12"/>
    </row>
    <row r="105" spans="1:23" x14ac:dyDescent="0.25">
      <c r="B105" s="6"/>
      <c r="C105" s="518"/>
      <c r="D105" s="518"/>
      <c r="E105" s="518"/>
      <c r="F105" s="518"/>
      <c r="G105" s="518"/>
      <c r="H105" s="518"/>
      <c r="I105" s="257"/>
      <c r="J105" s="12"/>
      <c r="K105" s="12"/>
      <c r="L105" s="12"/>
      <c r="M105" s="549" t="s">
        <v>271</v>
      </c>
      <c r="N105" s="550"/>
      <c r="O105" s="550"/>
      <c r="P105" s="550"/>
      <c r="Q105" s="551"/>
      <c r="R105" s="449">
        <v>250</v>
      </c>
      <c r="S105" s="219"/>
      <c r="T105" s="12"/>
      <c r="U105" s="12"/>
    </row>
    <row r="106" spans="1:23" x14ac:dyDescent="0.25">
      <c r="B106" s="6"/>
      <c r="C106" s="518"/>
      <c r="D106" s="518"/>
      <c r="E106" s="518"/>
      <c r="F106" s="518"/>
      <c r="G106" s="518"/>
      <c r="H106" s="6"/>
      <c r="I106" s="257"/>
      <c r="J106" s="12"/>
      <c r="K106" s="12"/>
      <c r="L106" s="12"/>
      <c r="M106" s="548" t="s">
        <v>305</v>
      </c>
      <c r="N106" s="548"/>
      <c r="O106" s="548"/>
      <c r="P106" s="548"/>
      <c r="Q106" s="548"/>
      <c r="R106" s="449">
        <v>30</v>
      </c>
      <c r="S106" s="219"/>
      <c r="T106" s="12"/>
      <c r="U106" s="12"/>
    </row>
    <row r="107" spans="1:23" x14ac:dyDescent="0.25">
      <c r="B107" s="6"/>
      <c r="C107" s="518"/>
      <c r="D107" s="518"/>
      <c r="E107" s="518"/>
      <c r="F107" s="518"/>
      <c r="G107" s="518"/>
      <c r="H107" s="518"/>
      <c r="I107" s="257"/>
      <c r="J107" s="12"/>
      <c r="K107" s="12"/>
      <c r="L107" s="12"/>
      <c r="M107" s="12"/>
      <c r="N107" s="12"/>
      <c r="O107" s="9"/>
      <c r="P107" s="9"/>
      <c r="Q107" s="9"/>
      <c r="R107" s="219"/>
      <c r="S107" s="12"/>
      <c r="T107" s="12"/>
      <c r="U107" s="12"/>
      <c r="V107" s="9"/>
      <c r="W107" s="9"/>
    </row>
    <row r="108" spans="1:23" x14ac:dyDescent="0.25">
      <c r="B108" s="6"/>
      <c r="C108" s="518"/>
      <c r="D108" s="518"/>
      <c r="E108" s="518"/>
      <c r="F108" s="518"/>
      <c r="G108" s="518"/>
      <c r="H108" s="518"/>
      <c r="I108" s="257"/>
      <c r="J108" s="12"/>
      <c r="K108" s="12"/>
      <c r="L108" s="12"/>
      <c r="M108" s="12"/>
      <c r="N108" s="12"/>
      <c r="O108" s="9"/>
      <c r="P108" s="9"/>
      <c r="Q108" s="9"/>
      <c r="R108" s="219"/>
      <c r="S108" s="12"/>
      <c r="T108" s="12"/>
      <c r="U108" s="12"/>
      <c r="V108" s="9"/>
      <c r="W108" s="9"/>
    </row>
    <row r="109" spans="1:23" x14ac:dyDescent="0.25">
      <c r="B109" s="6"/>
      <c r="C109" s="518"/>
      <c r="D109" s="518"/>
      <c r="E109" s="518"/>
      <c r="F109" s="518"/>
      <c r="G109" s="518"/>
      <c r="H109" s="518"/>
      <c r="I109" s="257"/>
      <c r="J109" s="12"/>
      <c r="K109" s="12"/>
      <c r="L109" s="12"/>
      <c r="M109" s="12"/>
      <c r="N109" s="12"/>
      <c r="O109" s="9"/>
      <c r="P109" s="9"/>
      <c r="Q109" s="9"/>
      <c r="R109" s="219"/>
      <c r="S109" s="12"/>
      <c r="T109" s="12"/>
      <c r="U109" s="12"/>
      <c r="V109" s="9"/>
      <c r="W109" s="9"/>
    </row>
    <row r="110" spans="1:23" x14ac:dyDescent="0.25">
      <c r="B110" s="6"/>
      <c r="C110" s="518"/>
      <c r="D110" s="518"/>
      <c r="E110" s="518"/>
      <c r="F110" s="518"/>
      <c r="G110" s="518"/>
      <c r="H110" s="518"/>
      <c r="I110" s="257"/>
      <c r="J110" s="12"/>
      <c r="K110" s="12"/>
      <c r="M110" s="12"/>
      <c r="N110" s="12"/>
      <c r="O110" s="9"/>
      <c r="P110" s="9"/>
      <c r="Q110" s="9"/>
      <c r="R110" s="219"/>
      <c r="S110" s="12"/>
      <c r="T110" s="12"/>
      <c r="U110" s="12"/>
      <c r="V110" s="9"/>
      <c r="W110" s="9"/>
    </row>
    <row r="111" spans="1:23" x14ac:dyDescent="0.25">
      <c r="B111" s="6"/>
      <c r="C111" s="6"/>
      <c r="M111" s="12"/>
      <c r="N111" s="12"/>
      <c r="O111" s="219"/>
      <c r="P111" s="219"/>
      <c r="Q111" s="219"/>
      <c r="R111" s="219"/>
      <c r="S111" s="12"/>
      <c r="T111" s="12"/>
      <c r="U111" s="12"/>
      <c r="V111" s="9"/>
      <c r="W111" s="9"/>
    </row>
    <row r="112" spans="1:23" ht="30" x14ac:dyDescent="0.25">
      <c r="A112" s="1" t="s">
        <v>1</v>
      </c>
      <c r="B112" s="532" t="s">
        <v>2</v>
      </c>
      <c r="C112" s="532"/>
      <c r="D112" s="532"/>
      <c r="E112" s="532"/>
      <c r="F112" s="532"/>
      <c r="G112" s="532"/>
      <c r="H112" s="191" t="s">
        <v>312</v>
      </c>
      <c r="I112" s="13"/>
      <c r="J112" s="191" t="s">
        <v>313</v>
      </c>
      <c r="K112" s="195"/>
      <c r="M112" s="442"/>
      <c r="N112" s="442"/>
      <c r="O112" s="441"/>
      <c r="P112" s="441"/>
      <c r="Q112" s="441"/>
      <c r="R112" s="441"/>
      <c r="S112" s="12"/>
      <c r="T112" s="12"/>
      <c r="U112" s="12"/>
      <c r="V112" s="9"/>
      <c r="W112" s="9"/>
    </row>
    <row r="113" spans="1:23" x14ac:dyDescent="0.25">
      <c r="A113" s="440">
        <v>36</v>
      </c>
      <c r="B113" s="531" t="s">
        <v>439</v>
      </c>
      <c r="C113" s="531"/>
      <c r="D113" s="531"/>
      <c r="E113" s="531"/>
      <c r="F113" s="531"/>
      <c r="G113" s="531"/>
      <c r="H113" s="238">
        <v>42.5</v>
      </c>
      <c r="I113" s="31"/>
      <c r="J113" s="238">
        <f>A113*H113</f>
        <v>1530</v>
      </c>
      <c r="K113" s="443"/>
      <c r="M113" s="12"/>
      <c r="N113" s="12"/>
      <c r="O113" s="546"/>
      <c r="P113" s="546"/>
      <c r="Q113" s="546"/>
      <c r="R113" s="219"/>
      <c r="S113" s="442"/>
      <c r="T113" s="442"/>
      <c r="U113" s="442"/>
      <c r="V113" s="9"/>
      <c r="W113" s="9"/>
    </row>
    <row r="114" spans="1:23" x14ac:dyDescent="0.25">
      <c r="A114" s="1">
        <v>3</v>
      </c>
      <c r="B114" s="531" t="s">
        <v>450</v>
      </c>
      <c r="C114" s="531"/>
      <c r="D114" s="531"/>
      <c r="E114" s="531"/>
      <c r="F114" s="531"/>
      <c r="G114" s="531"/>
      <c r="H114" s="238">
        <v>48.75</v>
      </c>
      <c r="I114" s="31"/>
      <c r="J114" s="238">
        <f>A114*H114</f>
        <v>146.25</v>
      </c>
      <c r="K114" s="257"/>
      <c r="M114" s="12"/>
      <c r="N114" s="12"/>
      <c r="O114" s="546"/>
      <c r="P114" s="546"/>
      <c r="Q114" s="546"/>
      <c r="R114" s="219"/>
      <c r="S114" s="12"/>
      <c r="T114" s="12"/>
      <c r="U114" s="12"/>
      <c r="V114" s="9"/>
      <c r="W114" s="9"/>
    </row>
    <row r="115" spans="1:23" x14ac:dyDescent="0.25">
      <c r="A115" s="1">
        <v>4</v>
      </c>
      <c r="B115" s="531" t="s">
        <v>11</v>
      </c>
      <c r="C115" s="531"/>
      <c r="D115" s="531"/>
      <c r="E115" s="531"/>
      <c r="F115" s="531"/>
      <c r="G115" s="531"/>
      <c r="H115" s="238">
        <v>132.5</v>
      </c>
      <c r="I115" s="31"/>
      <c r="J115" s="238">
        <f>A115*H115</f>
        <v>530</v>
      </c>
      <c r="K115" s="257"/>
      <c r="M115" s="6"/>
      <c r="N115" s="12"/>
      <c r="O115" s="546"/>
      <c r="P115" s="546"/>
      <c r="Q115" s="546"/>
      <c r="R115" s="219"/>
      <c r="S115" s="12"/>
      <c r="T115" s="12"/>
      <c r="U115" s="12"/>
      <c r="V115" s="9"/>
      <c r="W115" s="9"/>
    </row>
    <row r="116" spans="1:23" x14ac:dyDescent="0.25">
      <c r="B116" s="9" t="s">
        <v>533</v>
      </c>
      <c r="C116" s="9"/>
      <c r="D116" s="9"/>
      <c r="E116" s="9"/>
      <c r="F116" s="9"/>
      <c r="G116" s="9"/>
      <c r="J116" s="175">
        <f>SUM(J113:J115)</f>
        <v>2206.25</v>
      </c>
      <c r="K116" s="231"/>
      <c r="M116" s="6"/>
      <c r="N116" s="12"/>
      <c r="O116" s="546"/>
      <c r="P116" s="546"/>
      <c r="Q116" s="546"/>
      <c r="R116" s="219"/>
      <c r="S116" s="12"/>
      <c r="T116" s="12"/>
      <c r="U116" s="12"/>
      <c r="V116" s="9"/>
      <c r="W116" s="9"/>
    </row>
    <row r="117" spans="1:23" x14ac:dyDescent="0.25">
      <c r="B117" s="9"/>
      <c r="C117" s="9"/>
      <c r="D117" s="9"/>
      <c r="E117" s="9"/>
      <c r="F117" s="9"/>
      <c r="G117" s="9"/>
      <c r="M117" s="6"/>
      <c r="N117" s="12"/>
      <c r="O117" s="546"/>
      <c r="P117" s="546"/>
      <c r="Q117" s="546"/>
      <c r="R117" s="219"/>
      <c r="S117" s="12"/>
      <c r="T117" s="12"/>
      <c r="U117" s="12"/>
    </row>
    <row r="118" spans="1:23" x14ac:dyDescent="0.25">
      <c r="B118" s="9"/>
      <c r="C118" s="9"/>
      <c r="D118" s="9"/>
      <c r="E118" s="9"/>
      <c r="F118" s="9"/>
      <c r="G118" s="9"/>
      <c r="M118" s="6"/>
      <c r="N118" s="12"/>
      <c r="O118" s="546"/>
      <c r="P118" s="546"/>
      <c r="Q118" s="546"/>
      <c r="R118" s="219"/>
      <c r="S118" s="12"/>
      <c r="T118" s="12"/>
      <c r="U118" s="12"/>
    </row>
    <row r="119" spans="1:23" x14ac:dyDescent="0.25">
      <c r="B119" s="1">
        <v>0</v>
      </c>
      <c r="C119" s="1">
        <f>'DETALLE DE VENTAS'!W341-A119-B119</f>
        <v>0</v>
      </c>
      <c r="M119" s="12"/>
      <c r="N119" s="12"/>
      <c r="O119" s="547"/>
      <c r="P119" s="547"/>
      <c r="Q119" s="547"/>
      <c r="R119" s="12"/>
      <c r="S119" s="12"/>
      <c r="T119" s="12"/>
      <c r="U119" s="12"/>
    </row>
    <row r="120" spans="1:23" x14ac:dyDescent="0.25">
      <c r="B120" s="1">
        <v>16</v>
      </c>
      <c r="C120" s="1">
        <f>'DETALLE DE VENTAS'!W342-A120-B120</f>
        <v>-16</v>
      </c>
      <c r="D120" s="542" t="s">
        <v>42</v>
      </c>
      <c r="E120" s="542"/>
      <c r="F120" s="542"/>
      <c r="G120" s="542"/>
      <c r="H120" s="542"/>
      <c r="I120" s="542"/>
      <c r="J120" s="238"/>
      <c r="K120" s="257"/>
      <c r="M120" s="12"/>
      <c r="N120" s="12"/>
      <c r="O120" s="12"/>
      <c r="P120" s="12"/>
      <c r="Q120" s="12"/>
      <c r="R120" s="12"/>
      <c r="T120" s="12"/>
      <c r="U120" s="12"/>
      <c r="V120" s="9"/>
      <c r="W120" s="9"/>
    </row>
    <row r="121" spans="1:23" x14ac:dyDescent="0.25">
      <c r="B121" s="1">
        <v>1</v>
      </c>
      <c r="C121" s="1">
        <f>'DETALLE DE VENTAS'!W343-A121-B121</f>
        <v>-1</v>
      </c>
      <c r="D121" s="542" t="s">
        <v>45</v>
      </c>
      <c r="E121" s="542"/>
      <c r="F121" s="542"/>
      <c r="G121" s="542"/>
      <c r="H121" s="542"/>
      <c r="I121" s="542"/>
      <c r="J121" s="238"/>
      <c r="K121" s="257"/>
      <c r="M121" s="12"/>
      <c r="N121" s="12"/>
      <c r="O121" s="12"/>
      <c r="P121" s="12"/>
      <c r="Q121" s="12"/>
      <c r="R121" s="12"/>
      <c r="T121" s="12"/>
      <c r="U121" s="12"/>
      <c r="V121" s="9"/>
      <c r="W121" s="9"/>
    </row>
    <row r="122" spans="1:23" x14ac:dyDescent="0.25">
      <c r="B122" s="1">
        <v>2</v>
      </c>
      <c r="C122" s="1">
        <f>'DETALLE DE VENTAS'!W344-A122-B122</f>
        <v>-2</v>
      </c>
      <c r="M122" s="12"/>
      <c r="N122" s="12"/>
      <c r="O122" s="12"/>
      <c r="P122" s="12"/>
      <c r="Q122" s="12"/>
      <c r="R122" s="12"/>
      <c r="T122" s="12"/>
      <c r="U122" s="12"/>
      <c r="V122" s="9"/>
      <c r="W122" s="9"/>
    </row>
    <row r="123" spans="1:23" x14ac:dyDescent="0.25">
      <c r="B123" s="1">
        <v>3</v>
      </c>
      <c r="C123" s="1">
        <f>'DETALLE DE VENTAS'!W345-A123-B123</f>
        <v>-3</v>
      </c>
      <c r="D123" s="542" t="s">
        <v>43</v>
      </c>
      <c r="E123" s="542"/>
      <c r="F123" s="542"/>
      <c r="G123" s="542"/>
      <c r="H123" s="542"/>
      <c r="I123" s="542"/>
      <c r="J123" s="238"/>
      <c r="K123" s="257"/>
      <c r="M123" s="12"/>
      <c r="N123" s="12"/>
      <c r="O123" s="12"/>
      <c r="P123" s="12"/>
      <c r="Q123" s="12"/>
      <c r="R123" s="12"/>
      <c r="T123" s="12"/>
      <c r="U123" s="12"/>
      <c r="V123" s="9"/>
      <c r="W123" s="9"/>
    </row>
    <row r="124" spans="1:23" x14ac:dyDescent="0.25">
      <c r="B124" s="1">
        <v>1</v>
      </c>
      <c r="C124" s="1">
        <f>'DETALLE DE VENTAS'!W346-A124-B124</f>
        <v>-1</v>
      </c>
      <c r="D124" s="542" t="s">
        <v>46</v>
      </c>
      <c r="E124" s="542"/>
      <c r="F124" s="542"/>
      <c r="G124" s="542"/>
      <c r="H124" s="542"/>
      <c r="I124" s="542"/>
      <c r="J124" s="238"/>
      <c r="K124" s="257"/>
      <c r="M124" s="12"/>
      <c r="N124" s="12"/>
      <c r="O124" s="12"/>
      <c r="P124" s="12"/>
      <c r="Q124" s="12"/>
      <c r="R124" s="12"/>
      <c r="T124" s="12"/>
      <c r="U124" s="12"/>
    </row>
    <row r="125" spans="1:23" x14ac:dyDescent="0.25">
      <c r="B125" s="1">
        <v>2</v>
      </c>
      <c r="C125" s="1">
        <f>'DETALLE DE VENTAS'!W347-A125-B125</f>
        <v>-2</v>
      </c>
      <c r="D125" s="542" t="s">
        <v>44</v>
      </c>
      <c r="E125" s="542"/>
      <c r="F125" s="542"/>
      <c r="G125" s="542"/>
      <c r="H125" s="542"/>
      <c r="I125" s="542"/>
      <c r="J125" s="238"/>
      <c r="K125" s="257"/>
      <c r="M125" s="12"/>
      <c r="N125" s="12"/>
      <c r="O125" s="12"/>
      <c r="P125" s="12"/>
      <c r="Q125" s="12"/>
      <c r="R125" s="12"/>
      <c r="T125" s="12"/>
      <c r="U125" s="12"/>
    </row>
    <row r="126" spans="1:23" x14ac:dyDescent="0.25">
      <c r="B126" s="1">
        <v>2</v>
      </c>
      <c r="C126" s="1">
        <f>'DETALLE DE VENTAS'!W348-A126-B126</f>
        <v>-2</v>
      </c>
      <c r="D126" s="542" t="s">
        <v>162</v>
      </c>
      <c r="E126" s="542"/>
      <c r="F126" s="542"/>
      <c r="G126" s="542"/>
      <c r="H126" s="542"/>
      <c r="I126" s="542"/>
      <c r="J126" s="238"/>
      <c r="K126" s="257"/>
      <c r="M126" s="12"/>
      <c r="N126" s="12"/>
      <c r="O126" s="12"/>
      <c r="P126" s="12"/>
      <c r="Q126" s="12"/>
      <c r="R126" s="12"/>
      <c r="T126" s="12"/>
      <c r="U126" s="12"/>
      <c r="V126" s="9"/>
      <c r="W126" s="9"/>
    </row>
    <row r="127" spans="1:23" x14ac:dyDescent="0.25">
      <c r="B127" s="1">
        <v>1</v>
      </c>
      <c r="C127" s="1">
        <f>'DETALLE DE VENTAS'!W349-A127-B127</f>
        <v>-1</v>
      </c>
      <c r="D127" s="542" t="s">
        <v>47</v>
      </c>
      <c r="E127" s="542"/>
      <c r="F127" s="542"/>
      <c r="G127" s="542"/>
      <c r="H127" s="542"/>
      <c r="I127" s="542"/>
      <c r="J127" s="238"/>
      <c r="K127" s="257"/>
      <c r="M127" s="12"/>
      <c r="N127" s="12"/>
      <c r="O127" s="12"/>
      <c r="P127" s="12"/>
      <c r="Q127" s="12"/>
      <c r="R127" s="12"/>
      <c r="T127" s="12"/>
      <c r="U127" s="12"/>
      <c r="V127" s="9"/>
      <c r="W127" s="9"/>
    </row>
    <row r="128" spans="1:23" x14ac:dyDescent="0.25">
      <c r="B128" s="6"/>
      <c r="C128" s="6"/>
      <c r="J128" s="12"/>
      <c r="K128" s="12"/>
      <c r="M128" s="12"/>
      <c r="N128" s="12"/>
      <c r="O128" s="12"/>
      <c r="P128" s="12"/>
      <c r="Q128" s="12"/>
      <c r="R128" s="12"/>
      <c r="T128" s="12"/>
      <c r="U128" s="12"/>
      <c r="V128" s="9"/>
      <c r="W128" s="9"/>
    </row>
    <row r="129" spans="1:23" x14ac:dyDescent="0.25">
      <c r="A129" s="12"/>
      <c r="B129" s="6"/>
      <c r="C129" s="6"/>
      <c r="J129" s="12"/>
      <c r="K129" s="12"/>
      <c r="M129" s="12"/>
      <c r="N129" s="12"/>
      <c r="O129" s="12"/>
      <c r="P129" s="12"/>
      <c r="Q129" s="12"/>
      <c r="R129" s="12"/>
      <c r="T129" s="12"/>
      <c r="U129" s="12"/>
      <c r="V129" s="9"/>
      <c r="W129" s="9"/>
    </row>
    <row r="130" spans="1:23" x14ac:dyDescent="0.25">
      <c r="A130" s="12"/>
      <c r="B130" s="6"/>
      <c r="C130" s="6"/>
      <c r="I130" s="6"/>
      <c r="J130" s="12"/>
      <c r="K130" s="12"/>
      <c r="M130" s="12"/>
      <c r="N130" s="12"/>
      <c r="O130" s="12"/>
      <c r="P130" s="12"/>
      <c r="Q130" s="12"/>
      <c r="R130" s="12"/>
      <c r="T130" s="12"/>
      <c r="U130" s="12"/>
      <c r="V130" s="9"/>
      <c r="W130" s="9"/>
    </row>
    <row r="131" spans="1:23" x14ac:dyDescent="0.25">
      <c r="A131" s="12"/>
      <c r="B131" s="6"/>
      <c r="C131" s="6"/>
      <c r="J131" s="12"/>
      <c r="K131" s="12"/>
      <c r="M131" s="12"/>
      <c r="N131" s="547"/>
      <c r="O131" s="547"/>
      <c r="P131" s="547"/>
      <c r="Q131" s="12"/>
      <c r="T131" s="12"/>
      <c r="U131" s="12"/>
      <c r="V131" s="9"/>
      <c r="W131" s="9"/>
    </row>
    <row r="132" spans="1:23" x14ac:dyDescent="0.25">
      <c r="A132" s="12"/>
      <c r="B132" s="6"/>
      <c r="C132" s="6"/>
      <c r="J132" s="12"/>
      <c r="K132" s="12"/>
      <c r="M132" s="12"/>
      <c r="N132" s="547"/>
      <c r="O132" s="547"/>
      <c r="P132" s="547"/>
      <c r="Q132" s="12"/>
      <c r="T132" s="12"/>
      <c r="U132" s="12"/>
      <c r="V132" s="9"/>
      <c r="W132" s="9"/>
    </row>
    <row r="133" spans="1:23" x14ac:dyDescent="0.25">
      <c r="A133" s="12"/>
      <c r="B133" s="6"/>
      <c r="C133" s="6"/>
      <c r="J133" s="12"/>
      <c r="K133" s="12"/>
      <c r="M133" s="9"/>
      <c r="N133" s="547"/>
      <c r="O133" s="547"/>
      <c r="P133" s="547"/>
      <c r="Q133" s="12"/>
      <c r="R133" s="9"/>
      <c r="T133" s="12"/>
      <c r="U133" s="12"/>
      <c r="V133" s="9"/>
      <c r="W133" s="9"/>
    </row>
    <row r="134" spans="1:23" x14ac:dyDescent="0.25">
      <c r="B134" s="9"/>
      <c r="C134" s="9"/>
      <c r="J134" s="363"/>
      <c r="K134" s="363"/>
      <c r="L134" s="364"/>
      <c r="M134" s="9"/>
      <c r="N134" s="547"/>
      <c r="O134" s="547"/>
      <c r="P134" s="547"/>
      <c r="Q134" s="12"/>
      <c r="R134" s="9"/>
      <c r="S134" s="9"/>
      <c r="T134" s="12"/>
      <c r="U134" s="12"/>
      <c r="V134" s="9"/>
      <c r="W134" s="9"/>
    </row>
    <row r="135" spans="1:23" x14ac:dyDescent="0.25">
      <c r="B135" s="9"/>
      <c r="C135" s="9"/>
      <c r="D135" s="9"/>
      <c r="E135" s="9"/>
      <c r="F135" s="9"/>
      <c r="G135" s="9"/>
      <c r="H135" s="12"/>
      <c r="I135" s="12"/>
      <c r="J135" s="12"/>
      <c r="K135" s="12"/>
      <c r="M135" s="9"/>
      <c r="N135" s="547"/>
      <c r="O135" s="547"/>
      <c r="P135" s="547"/>
      <c r="Q135" s="12"/>
      <c r="R135" s="9"/>
      <c r="S135" s="9"/>
      <c r="T135" s="12"/>
      <c r="U135" s="12"/>
    </row>
    <row r="136" spans="1:23" x14ac:dyDescent="0.25">
      <c r="B136" s="9"/>
      <c r="C136" s="9"/>
      <c r="D136" s="9"/>
      <c r="E136" s="9"/>
      <c r="F136" s="9"/>
      <c r="G136" s="9"/>
      <c r="H136" s="12"/>
      <c r="I136" s="12"/>
      <c r="J136" s="12"/>
      <c r="K136" s="12"/>
      <c r="M136" s="9"/>
      <c r="N136" s="547"/>
      <c r="O136" s="547"/>
      <c r="P136" s="547"/>
      <c r="Q136" s="12"/>
      <c r="R136" s="9"/>
      <c r="S136" s="9"/>
      <c r="T136" s="12"/>
      <c r="U136" s="12"/>
      <c r="V136" s="9"/>
      <c r="W136" s="9"/>
    </row>
    <row r="137" spans="1:23" x14ac:dyDescent="0.25">
      <c r="B137" s="9"/>
      <c r="C137" s="9"/>
      <c r="D137" s="9"/>
      <c r="E137" s="9"/>
      <c r="F137" s="9"/>
      <c r="G137" s="9"/>
      <c r="H137" s="12"/>
      <c r="I137" s="12"/>
      <c r="J137" s="12"/>
      <c r="K137" s="12"/>
      <c r="M137" s="9"/>
      <c r="N137" s="547"/>
      <c r="O137" s="547"/>
      <c r="P137" s="547"/>
      <c r="Q137" s="12"/>
      <c r="R137" s="9"/>
      <c r="S137" s="9"/>
      <c r="T137" s="12"/>
      <c r="U137" s="12"/>
      <c r="V137" s="9"/>
      <c r="W137" s="9"/>
    </row>
    <row r="138" spans="1:23" x14ac:dyDescent="0.25">
      <c r="B138" s="9"/>
      <c r="C138" s="9"/>
      <c r="D138" s="9"/>
      <c r="E138" s="9"/>
      <c r="F138" s="9"/>
      <c r="G138" s="9"/>
      <c r="H138" s="12"/>
      <c r="I138" s="12"/>
      <c r="J138" s="12"/>
      <c r="K138" s="12"/>
      <c r="M138" s="9"/>
      <c r="N138" s="547"/>
      <c r="O138" s="547"/>
      <c r="P138" s="547"/>
      <c r="Q138" s="12"/>
      <c r="R138" s="9"/>
      <c r="S138" s="9"/>
      <c r="T138" s="12"/>
      <c r="U138" s="12"/>
      <c r="V138" s="9"/>
      <c r="W138" s="9"/>
    </row>
    <row r="139" spans="1:23" x14ac:dyDescent="0.25">
      <c r="B139" s="9"/>
      <c r="C139" s="9"/>
      <c r="D139" s="542" t="s">
        <v>27</v>
      </c>
      <c r="E139" s="542"/>
      <c r="F139" s="542"/>
      <c r="G139" s="542"/>
      <c r="H139" s="542"/>
      <c r="I139" s="542"/>
      <c r="J139" s="238">
        <v>4</v>
      </c>
      <c r="K139" s="257"/>
      <c r="O139" s="547"/>
      <c r="P139" s="547"/>
      <c r="Q139" s="547"/>
      <c r="R139" s="12"/>
      <c r="S139" s="9"/>
      <c r="T139" s="12"/>
      <c r="U139" s="12"/>
      <c r="V139" s="9"/>
      <c r="W139" s="9"/>
    </row>
    <row r="140" spans="1:23" x14ac:dyDescent="0.25">
      <c r="B140" s="9"/>
      <c r="C140" s="9"/>
      <c r="D140" s="542" t="s">
        <v>29</v>
      </c>
      <c r="E140" s="542"/>
      <c r="F140" s="542"/>
      <c r="G140" s="542"/>
      <c r="H140" s="542"/>
      <c r="I140" s="542"/>
      <c r="J140" s="238">
        <v>4</v>
      </c>
      <c r="K140" s="257"/>
      <c r="O140" s="547"/>
      <c r="P140" s="547"/>
      <c r="Q140" s="547"/>
      <c r="R140" s="12"/>
      <c r="T140" s="12"/>
      <c r="U140" s="12"/>
      <c r="V140" s="9"/>
      <c r="W140" s="9"/>
    </row>
    <row r="141" spans="1:23" x14ac:dyDescent="0.25">
      <c r="B141" s="9"/>
      <c r="C141" s="9"/>
      <c r="D141" s="542" t="s">
        <v>30</v>
      </c>
      <c r="E141" s="542"/>
      <c r="F141" s="542"/>
      <c r="G141" s="542"/>
      <c r="H141" s="542"/>
      <c r="I141" s="542"/>
      <c r="J141" s="238">
        <v>3</v>
      </c>
      <c r="K141" s="257"/>
      <c r="M141" s="9"/>
      <c r="N141" s="9"/>
      <c r="O141" s="12"/>
      <c r="P141" s="12"/>
      <c r="Q141" s="12"/>
      <c r="R141" s="12"/>
      <c r="T141" s="12"/>
      <c r="U141" s="12"/>
      <c r="V141" s="9"/>
      <c r="W141" s="9"/>
    </row>
    <row r="142" spans="1:23" x14ac:dyDescent="0.25">
      <c r="B142" s="9"/>
      <c r="C142" s="9"/>
      <c r="D142" s="542" t="s">
        <v>41</v>
      </c>
      <c r="E142" s="542"/>
      <c r="F142" s="542"/>
      <c r="G142" s="542"/>
      <c r="H142" s="542"/>
      <c r="I142" s="542"/>
      <c r="J142" s="238">
        <v>36</v>
      </c>
      <c r="K142" s="257"/>
      <c r="M142" s="9"/>
      <c r="N142" s="9"/>
      <c r="O142" s="12"/>
      <c r="P142" s="12"/>
      <c r="Q142" s="12"/>
      <c r="R142" s="12"/>
      <c r="S142" s="9"/>
      <c r="T142" s="12"/>
      <c r="U142" s="12"/>
      <c r="V142" s="9"/>
      <c r="W142" s="9"/>
    </row>
    <row r="143" spans="1:23" x14ac:dyDescent="0.25">
      <c r="B143" s="9"/>
      <c r="C143" s="9"/>
      <c r="D143" s="542" t="s">
        <v>348</v>
      </c>
      <c r="E143" s="542"/>
      <c r="F143" s="542"/>
      <c r="G143" s="542"/>
      <c r="H143" s="542"/>
      <c r="I143" s="542"/>
      <c r="J143" s="238">
        <v>8</v>
      </c>
      <c r="K143" s="257"/>
      <c r="M143" s="9"/>
      <c r="N143" s="9"/>
      <c r="O143" s="12"/>
      <c r="P143" s="12"/>
      <c r="Q143" s="12"/>
      <c r="R143" s="12"/>
      <c r="S143" s="9"/>
      <c r="T143" s="12"/>
      <c r="U143" s="12"/>
      <c r="V143" s="9"/>
      <c r="W143" s="9"/>
    </row>
    <row r="144" spans="1:23" x14ac:dyDescent="0.25">
      <c r="B144" s="9"/>
      <c r="C144" s="9"/>
      <c r="D144" s="542" t="s">
        <v>163</v>
      </c>
      <c r="E144" s="542"/>
      <c r="F144" s="542"/>
      <c r="G144" s="542"/>
      <c r="H144" s="542"/>
      <c r="I144" s="542"/>
      <c r="J144" s="238">
        <v>8</v>
      </c>
      <c r="K144" s="257"/>
      <c r="M144" s="9"/>
      <c r="N144" s="9"/>
      <c r="O144" s="9"/>
      <c r="P144" s="9"/>
      <c r="Q144" s="9"/>
      <c r="R144" s="9"/>
      <c r="S144" s="9"/>
      <c r="T144" s="12"/>
      <c r="U144" s="12"/>
      <c r="V144" s="9"/>
      <c r="W144" s="9"/>
    </row>
    <row r="145" spans="2:29" x14ac:dyDescent="0.25">
      <c r="B145" s="9"/>
      <c r="C145" s="9"/>
      <c r="D145" s="9"/>
      <c r="E145" s="9"/>
      <c r="F145" s="9"/>
      <c r="G145" s="9"/>
      <c r="H145" s="12"/>
      <c r="I145" s="12"/>
      <c r="J145" s="12"/>
      <c r="K145" s="12"/>
      <c r="M145" s="9"/>
      <c r="N145" s="9"/>
      <c r="O145" s="9"/>
      <c r="P145" s="9"/>
      <c r="Q145" s="9"/>
      <c r="R145" s="9"/>
      <c r="S145" s="9"/>
      <c r="T145" s="12"/>
      <c r="U145" s="12"/>
      <c r="V145" s="9"/>
      <c r="W145" s="9"/>
    </row>
    <row r="146" spans="2:29" x14ac:dyDescent="0.25">
      <c r="B146" s="9"/>
      <c r="C146" s="9"/>
      <c r="D146" s="9"/>
      <c r="E146" s="9"/>
      <c r="F146" s="9"/>
      <c r="G146" s="9"/>
      <c r="H146" s="12"/>
      <c r="I146" s="12"/>
      <c r="J146" s="12"/>
      <c r="K146" s="12"/>
      <c r="M146" s="9"/>
      <c r="N146" s="9"/>
      <c r="O146" s="9"/>
      <c r="P146" s="9"/>
      <c r="Q146" s="9"/>
      <c r="R146" s="9"/>
      <c r="S146" s="9"/>
      <c r="T146" s="12"/>
      <c r="U146" s="12"/>
      <c r="V146" s="9"/>
      <c r="W146" s="12"/>
      <c r="X146" s="12"/>
      <c r="Y146" s="9"/>
      <c r="Z146" s="9"/>
      <c r="AA146" s="9"/>
      <c r="AB146" s="12"/>
      <c r="AC146" s="9"/>
    </row>
    <row r="147" spans="2:29" x14ac:dyDescent="0.25">
      <c r="B147" s="9"/>
      <c r="C147" s="9"/>
      <c r="D147" s="9"/>
      <c r="E147" s="9"/>
      <c r="F147" s="9"/>
      <c r="G147" s="9"/>
      <c r="H147" s="12"/>
      <c r="I147" s="12"/>
      <c r="J147" s="12"/>
      <c r="K147" s="12"/>
      <c r="M147" s="9"/>
      <c r="N147" s="9"/>
      <c r="O147" s="9"/>
      <c r="P147" s="9"/>
      <c r="Q147" s="9"/>
      <c r="R147" s="9"/>
      <c r="S147" s="9"/>
      <c r="T147" s="12"/>
      <c r="U147" s="12"/>
      <c r="V147" s="9"/>
      <c r="W147" s="12"/>
      <c r="X147" s="12"/>
      <c r="Y147" s="9"/>
      <c r="Z147" s="9"/>
      <c r="AA147" s="9"/>
      <c r="AB147" s="12"/>
      <c r="AC147" s="9"/>
    </row>
    <row r="148" spans="2:29" x14ac:dyDescent="0.25">
      <c r="B148" s="1">
        <v>30</v>
      </c>
      <c r="C148" s="542" t="s">
        <v>5</v>
      </c>
      <c r="D148" s="542"/>
      <c r="E148" s="542"/>
      <c r="F148" s="542"/>
      <c r="G148" s="542"/>
      <c r="H148" s="542"/>
      <c r="I148" s="12"/>
      <c r="J148" s="12"/>
      <c r="K148" s="12"/>
      <c r="M148" s="9"/>
      <c r="N148" s="9"/>
      <c r="O148" s="9"/>
      <c r="P148" s="9"/>
      <c r="Q148" s="9"/>
      <c r="R148" s="9"/>
      <c r="S148" s="9"/>
      <c r="T148" s="12"/>
      <c r="U148" s="9"/>
      <c r="V148" s="12"/>
      <c r="W148" s="12"/>
      <c r="X148" s="9"/>
      <c r="Y148" s="9"/>
      <c r="Z148" s="9"/>
      <c r="AA148" s="12"/>
      <c r="AB148" s="9"/>
    </row>
    <row r="149" spans="2:29" x14ac:dyDescent="0.25">
      <c r="B149" s="2">
        <v>10</v>
      </c>
      <c r="C149" s="531" t="s">
        <v>7</v>
      </c>
      <c r="D149" s="531"/>
      <c r="E149" s="531"/>
      <c r="F149" s="531"/>
      <c r="G149" s="531"/>
      <c r="H149" s="531"/>
      <c r="I149" s="12"/>
      <c r="J149" s="12"/>
      <c r="K149" s="12"/>
      <c r="M149" s="9"/>
      <c r="N149" s="9"/>
      <c r="O149" s="9"/>
      <c r="P149" s="9"/>
      <c r="Q149" s="9"/>
      <c r="R149" s="9"/>
      <c r="S149" s="9"/>
      <c r="T149" s="12"/>
      <c r="U149" s="9"/>
      <c r="V149" s="12"/>
      <c r="W149" s="12"/>
      <c r="X149" s="9"/>
      <c r="Y149" s="9"/>
      <c r="Z149" s="9"/>
      <c r="AA149" s="12"/>
      <c r="AB149" s="9"/>
    </row>
    <row r="150" spans="2:29" x14ac:dyDescent="0.25">
      <c r="B150" s="2">
        <v>20</v>
      </c>
      <c r="C150" s="539" t="s">
        <v>57</v>
      </c>
      <c r="D150" s="540"/>
      <c r="E150" s="540"/>
      <c r="F150" s="540"/>
      <c r="G150" s="540"/>
      <c r="H150" s="541"/>
      <c r="I150" s="12"/>
      <c r="J150" s="12"/>
      <c r="K150" s="12"/>
      <c r="M150" s="9"/>
      <c r="N150" s="9"/>
      <c r="S150" s="9"/>
      <c r="T150" s="12"/>
      <c r="U150" s="9"/>
      <c r="V150" s="12"/>
      <c r="W150" s="12"/>
      <c r="X150" s="9"/>
      <c r="Y150" s="9"/>
      <c r="Z150" s="9"/>
      <c r="AA150" s="12"/>
      <c r="AB150" s="9"/>
    </row>
    <row r="151" spans="2:29" x14ac:dyDescent="0.25">
      <c r="B151" s="2">
        <v>60</v>
      </c>
      <c r="C151" s="531" t="s">
        <v>12</v>
      </c>
      <c r="D151" s="531"/>
      <c r="E151" s="531"/>
      <c r="F151" s="531"/>
      <c r="G151" s="531"/>
      <c r="H151" s="531"/>
      <c r="I151" s="12"/>
      <c r="J151" s="12"/>
      <c r="K151" s="12"/>
      <c r="M151" s="9"/>
      <c r="N151" s="9"/>
      <c r="S151" s="9"/>
      <c r="T151" s="12"/>
      <c r="U151" s="9"/>
      <c r="V151" s="12"/>
      <c r="W151" s="12"/>
      <c r="X151" s="9"/>
      <c r="Y151" s="9"/>
      <c r="Z151" s="9"/>
      <c r="AA151" s="12"/>
      <c r="AB151" s="9"/>
    </row>
    <row r="152" spans="2:29" x14ac:dyDescent="0.25">
      <c r="B152" s="2">
        <v>120</v>
      </c>
      <c r="C152" s="531" t="s">
        <v>271</v>
      </c>
      <c r="D152" s="531"/>
      <c r="E152" s="531"/>
      <c r="F152" s="531"/>
      <c r="G152" s="531"/>
      <c r="H152" s="531"/>
      <c r="I152" s="12"/>
      <c r="J152" s="12"/>
      <c r="K152" s="12"/>
      <c r="M152" s="9"/>
      <c r="N152" s="9"/>
      <c r="O152" s="9"/>
      <c r="P152" s="9"/>
      <c r="Q152" s="9"/>
      <c r="R152" s="9"/>
      <c r="S152" s="9"/>
      <c r="T152" s="12"/>
      <c r="U152" s="9"/>
      <c r="V152" s="12"/>
      <c r="W152" s="12"/>
      <c r="X152" s="9"/>
      <c r="Y152" s="9"/>
      <c r="Z152" s="9"/>
      <c r="AA152" s="12"/>
      <c r="AB152" s="9"/>
    </row>
    <row r="153" spans="2:29" x14ac:dyDescent="0.25">
      <c r="B153" s="2">
        <v>5</v>
      </c>
      <c r="C153" s="539" t="s">
        <v>366</v>
      </c>
      <c r="D153" s="540"/>
      <c r="E153" s="540"/>
      <c r="F153" s="540"/>
      <c r="G153" s="540"/>
      <c r="H153" s="541"/>
      <c r="I153" s="12"/>
      <c r="J153" s="12"/>
      <c r="K153" s="12"/>
      <c r="O153" s="9"/>
      <c r="P153" s="9"/>
      <c r="Q153" s="9"/>
      <c r="R153" s="9"/>
      <c r="S153" s="9"/>
      <c r="T153" s="12"/>
      <c r="U153" s="9"/>
      <c r="V153" s="12"/>
      <c r="W153" s="12"/>
      <c r="X153" s="9"/>
      <c r="Y153" s="9"/>
      <c r="Z153" s="9"/>
      <c r="AA153" s="12"/>
      <c r="AB153" s="9"/>
    </row>
    <row r="154" spans="2:29" x14ac:dyDescent="0.25">
      <c r="B154" s="13">
        <v>10</v>
      </c>
      <c r="C154" s="531" t="s">
        <v>349</v>
      </c>
      <c r="D154" s="531"/>
      <c r="E154" s="531"/>
      <c r="F154" s="531"/>
      <c r="G154" s="531"/>
      <c r="H154" s="531"/>
      <c r="I154" s="12"/>
      <c r="J154" s="12"/>
      <c r="K154" s="12"/>
      <c r="O154" s="9"/>
      <c r="P154" s="9"/>
      <c r="Q154" s="9"/>
      <c r="R154" s="9"/>
      <c r="T154" s="12"/>
      <c r="V154" s="12"/>
      <c r="W154" s="12"/>
      <c r="AA154" s="12"/>
      <c r="AB154" s="9"/>
    </row>
    <row r="155" spans="2:29" x14ac:dyDescent="0.25">
      <c r="B155" s="13">
        <v>30</v>
      </c>
      <c r="C155" s="532" t="s">
        <v>369</v>
      </c>
      <c r="D155" s="532"/>
      <c r="E155" s="532"/>
      <c r="F155" s="532"/>
      <c r="G155" s="532"/>
      <c r="H155" s="532"/>
      <c r="I155" s="12"/>
      <c r="J155" s="12"/>
      <c r="K155" s="12"/>
      <c r="O155" s="9"/>
      <c r="P155" s="9"/>
      <c r="Q155" s="9"/>
      <c r="R155" s="9"/>
      <c r="T155" s="12"/>
      <c r="V155" s="12"/>
      <c r="W155" s="12"/>
      <c r="X155" s="9"/>
      <c r="Y155" s="9"/>
      <c r="Z155" s="9"/>
      <c r="AA155" s="12"/>
      <c r="AB155" s="9"/>
    </row>
    <row r="156" spans="2:29" x14ac:dyDescent="0.25">
      <c r="B156" s="9"/>
      <c r="C156" s="9"/>
      <c r="D156" s="9"/>
      <c r="E156" s="9"/>
      <c r="F156" s="9"/>
      <c r="G156" s="9"/>
      <c r="H156" s="12"/>
      <c r="I156" s="12"/>
      <c r="J156" s="12"/>
      <c r="K156" s="12"/>
      <c r="O156" s="9"/>
      <c r="P156" s="9"/>
      <c r="Q156" s="9"/>
      <c r="R156" s="9"/>
      <c r="T156" s="12"/>
      <c r="V156" s="12"/>
      <c r="W156" s="12"/>
      <c r="X156" s="9"/>
      <c r="Y156" s="9"/>
      <c r="Z156" s="9"/>
      <c r="AA156" s="12"/>
      <c r="AB156" s="9"/>
    </row>
    <row r="157" spans="2:29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9"/>
      <c r="N157" s="9"/>
      <c r="O157" s="9"/>
      <c r="P157" s="9"/>
      <c r="Q157" s="9"/>
      <c r="R157" s="9"/>
      <c r="T157" s="12"/>
      <c r="V157" s="12"/>
      <c r="W157" s="12"/>
      <c r="X157" s="12"/>
      <c r="Y157" s="12"/>
      <c r="Z157" s="12"/>
      <c r="AA157" s="12"/>
      <c r="AB157" s="9"/>
    </row>
    <row r="158" spans="2:29" x14ac:dyDescent="0.25">
      <c r="B158" s="9"/>
      <c r="C158" s="9"/>
      <c r="D158" s="9"/>
      <c r="E158" s="9"/>
      <c r="F158" s="9"/>
      <c r="G158" s="9"/>
      <c r="H158" s="12"/>
      <c r="I158" s="12"/>
      <c r="J158" s="12"/>
      <c r="K158" s="12"/>
      <c r="M158" s="9"/>
      <c r="N158" s="9"/>
      <c r="O158" s="9"/>
      <c r="P158" s="9"/>
      <c r="Q158" s="9"/>
      <c r="R158" s="9"/>
      <c r="S158" s="9"/>
      <c r="T158" s="12"/>
      <c r="V158" s="12"/>
      <c r="W158" s="12"/>
      <c r="X158" s="12"/>
      <c r="Y158" s="12"/>
      <c r="Z158" s="12"/>
      <c r="AA158" s="12"/>
      <c r="AB158" s="9"/>
    </row>
    <row r="159" spans="2:29" x14ac:dyDescent="0.25">
      <c r="B159" s="9"/>
      <c r="C159" s="9"/>
      <c r="D159" s="9"/>
      <c r="E159" s="9"/>
      <c r="F159" s="9"/>
      <c r="G159" s="9"/>
      <c r="H159" s="12"/>
      <c r="I159" s="12"/>
      <c r="J159" s="12"/>
      <c r="K159" s="12"/>
      <c r="M159" s="9"/>
      <c r="N159" s="9"/>
      <c r="O159" s="9"/>
      <c r="P159" s="9"/>
      <c r="Q159" s="9"/>
      <c r="R159" s="9"/>
      <c r="S159" s="9"/>
      <c r="T159" s="12"/>
      <c r="V159" s="12"/>
      <c r="W159" s="12"/>
      <c r="X159" s="12"/>
      <c r="Y159" s="12"/>
      <c r="Z159" s="12"/>
      <c r="AA159" s="12"/>
      <c r="AB159" s="9"/>
    </row>
    <row r="160" spans="2:29" x14ac:dyDescent="0.25">
      <c r="B160" s="9"/>
      <c r="C160" s="9"/>
      <c r="D160" s="9"/>
      <c r="E160" s="9"/>
      <c r="F160" s="9"/>
      <c r="G160" s="9"/>
      <c r="H160" s="12"/>
      <c r="I160" s="12"/>
      <c r="J160" s="12"/>
      <c r="K160" s="12"/>
      <c r="M160" s="9"/>
      <c r="N160" s="9"/>
      <c r="O160" s="9"/>
      <c r="P160" s="9"/>
      <c r="Q160" s="9"/>
      <c r="R160" s="9"/>
      <c r="S160" s="9"/>
      <c r="T160" s="12"/>
      <c r="V160" s="12"/>
      <c r="W160" s="12"/>
      <c r="X160" s="12"/>
      <c r="Y160" s="12"/>
      <c r="Z160" s="12"/>
      <c r="AA160" s="12"/>
      <c r="AB160" s="9"/>
    </row>
    <row r="161" spans="2:28" x14ac:dyDescent="0.25">
      <c r="B161" s="9"/>
      <c r="C161" s="9"/>
      <c r="D161" s="9"/>
      <c r="E161" s="9"/>
      <c r="F161" s="9"/>
      <c r="G161" s="9"/>
      <c r="H161" s="12"/>
      <c r="I161" s="12"/>
      <c r="J161" s="12"/>
      <c r="K161" s="12"/>
      <c r="M161" s="9"/>
      <c r="N161" s="9"/>
      <c r="O161" s="9"/>
      <c r="P161" s="9"/>
      <c r="Q161" s="9"/>
      <c r="R161" s="9"/>
      <c r="S161" s="9"/>
      <c r="T161" s="12"/>
      <c r="V161" s="12"/>
      <c r="W161" s="12"/>
      <c r="X161" s="9"/>
      <c r="Y161" s="9"/>
      <c r="Z161" s="9"/>
      <c r="AA161" s="12"/>
      <c r="AB161" s="9"/>
    </row>
    <row r="162" spans="2:28" x14ac:dyDescent="0.25">
      <c r="B162" s="9"/>
      <c r="C162" s="9"/>
      <c r="D162" s="9"/>
      <c r="E162" s="9"/>
      <c r="F162" s="9"/>
      <c r="G162" s="9"/>
      <c r="H162" s="12"/>
      <c r="I162" s="12"/>
      <c r="J162" s="12"/>
      <c r="K162" s="12"/>
      <c r="M162" s="9"/>
      <c r="N162" s="9"/>
      <c r="O162" s="9"/>
      <c r="P162" s="9"/>
      <c r="Q162" s="9"/>
      <c r="R162" s="9"/>
      <c r="S162" s="9"/>
      <c r="T162" s="12"/>
    </row>
    <row r="163" spans="2:28" x14ac:dyDescent="0.25">
      <c r="B163" s="9"/>
      <c r="C163" s="9"/>
      <c r="D163" s="9"/>
      <c r="E163" s="9"/>
      <c r="F163" s="9"/>
      <c r="G163" s="9"/>
      <c r="H163" s="12"/>
      <c r="I163" s="12"/>
      <c r="J163" s="12"/>
      <c r="K163" s="12"/>
      <c r="N163" s="9"/>
      <c r="O163" s="9"/>
      <c r="P163" s="9"/>
      <c r="Q163" s="9"/>
      <c r="R163" s="9"/>
      <c r="S163" s="9"/>
    </row>
    <row r="164" spans="2:28" x14ac:dyDescent="0.25">
      <c r="B164" s="9"/>
      <c r="C164" s="9"/>
      <c r="D164" s="9"/>
      <c r="E164" s="9"/>
      <c r="F164" s="9"/>
      <c r="G164" s="9"/>
      <c r="H164" s="12"/>
      <c r="I164" s="12"/>
      <c r="J164" s="12"/>
      <c r="K164" s="12"/>
      <c r="S164" s="9"/>
    </row>
    <row r="165" spans="2:28" x14ac:dyDescent="0.25">
      <c r="B165" s="9"/>
      <c r="C165" s="9"/>
      <c r="D165" s="9"/>
      <c r="E165" s="9"/>
      <c r="F165" s="9"/>
      <c r="G165" s="9"/>
      <c r="H165" s="12"/>
      <c r="I165" s="12"/>
      <c r="J165" s="12"/>
      <c r="K165" s="12"/>
    </row>
    <row r="166" spans="2:28" x14ac:dyDescent="0.25">
      <c r="B166" s="1">
        <v>20</v>
      </c>
      <c r="C166" s="542" t="s">
        <v>20</v>
      </c>
      <c r="D166" s="542"/>
      <c r="E166" s="542"/>
      <c r="F166" s="542"/>
      <c r="G166" s="542"/>
      <c r="H166" s="542"/>
      <c r="I166" s="12"/>
      <c r="J166" s="12"/>
      <c r="K166" s="12"/>
      <c r="N166" s="9"/>
      <c r="O166" s="9"/>
    </row>
    <row r="167" spans="2:28" x14ac:dyDescent="0.25">
      <c r="B167" s="1">
        <v>6</v>
      </c>
      <c r="C167" s="542" t="s">
        <v>22</v>
      </c>
      <c r="D167" s="542"/>
      <c r="E167" s="542"/>
      <c r="F167" s="542"/>
      <c r="G167" s="542"/>
      <c r="H167" s="542"/>
      <c r="I167" s="12"/>
      <c r="J167" s="12"/>
      <c r="K167" s="12"/>
      <c r="N167" s="9"/>
      <c r="O167" s="9"/>
    </row>
    <row r="168" spans="2:28" x14ac:dyDescent="0.25">
      <c r="B168" s="1">
        <v>6</v>
      </c>
      <c r="C168" s="542" t="s">
        <v>24</v>
      </c>
      <c r="D168" s="542"/>
      <c r="E168" s="542"/>
      <c r="F168" s="542"/>
      <c r="G168" s="542"/>
      <c r="H168" s="542"/>
      <c r="I168" s="12"/>
      <c r="J168" s="12"/>
      <c r="K168" s="12"/>
      <c r="N168" s="9"/>
      <c r="O168" s="9"/>
      <c r="P168" s="9"/>
      <c r="Q168" s="9"/>
      <c r="R168" s="9"/>
    </row>
    <row r="169" spans="2:28" x14ac:dyDescent="0.25">
      <c r="B169" s="1">
        <v>12</v>
      </c>
      <c r="C169" s="542" t="s">
        <v>27</v>
      </c>
      <c r="D169" s="542"/>
      <c r="E169" s="542"/>
      <c r="F169" s="542"/>
      <c r="G169" s="542"/>
      <c r="H169" s="542"/>
      <c r="I169" s="12"/>
      <c r="J169" s="12"/>
      <c r="K169" s="12"/>
      <c r="N169" s="9"/>
      <c r="O169" s="9"/>
      <c r="P169" s="9"/>
      <c r="Q169" s="9"/>
      <c r="R169" s="9"/>
      <c r="S169" s="9"/>
    </row>
    <row r="170" spans="2:28" x14ac:dyDescent="0.25">
      <c r="B170" s="1">
        <v>12</v>
      </c>
      <c r="C170" s="542" t="s">
        <v>29</v>
      </c>
      <c r="D170" s="542"/>
      <c r="E170" s="542"/>
      <c r="F170" s="542"/>
      <c r="G170" s="542"/>
      <c r="H170" s="542"/>
      <c r="I170" s="12"/>
      <c r="J170" s="12"/>
      <c r="K170" s="12"/>
      <c r="N170" s="9"/>
      <c r="O170" s="9"/>
      <c r="P170" s="9"/>
      <c r="Q170" s="9"/>
      <c r="R170" s="9"/>
      <c r="S170" s="9"/>
    </row>
    <row r="171" spans="2:28" x14ac:dyDescent="0.25">
      <c r="B171" s="1">
        <v>8</v>
      </c>
      <c r="C171" s="542" t="s">
        <v>30</v>
      </c>
      <c r="D171" s="542"/>
      <c r="E171" s="542"/>
      <c r="F171" s="542"/>
      <c r="G171" s="542"/>
      <c r="H171" s="542"/>
      <c r="I171" s="12"/>
      <c r="J171" s="12"/>
      <c r="K171" s="12"/>
      <c r="N171" s="9"/>
      <c r="O171" s="9"/>
      <c r="P171" s="9"/>
      <c r="Q171" s="9"/>
      <c r="R171" s="9"/>
      <c r="S171" s="9"/>
    </row>
    <row r="172" spans="2:28" x14ac:dyDescent="0.25">
      <c r="B172" s="1">
        <v>12</v>
      </c>
      <c r="C172" s="542" t="s">
        <v>35</v>
      </c>
      <c r="D172" s="542"/>
      <c r="E172" s="542"/>
      <c r="F172" s="542"/>
      <c r="G172" s="542"/>
      <c r="H172" s="542"/>
      <c r="I172" s="12"/>
      <c r="J172" s="12"/>
      <c r="K172" s="12"/>
      <c r="N172" s="9"/>
      <c r="O172" s="9"/>
      <c r="P172" s="9"/>
      <c r="Q172" s="9"/>
      <c r="R172" s="9"/>
      <c r="S172" s="9"/>
    </row>
    <row r="173" spans="2:28" x14ac:dyDescent="0.25">
      <c r="B173" s="1">
        <v>32</v>
      </c>
      <c r="C173" s="542" t="s">
        <v>41</v>
      </c>
      <c r="D173" s="542"/>
      <c r="E173" s="542"/>
      <c r="F173" s="542"/>
      <c r="G173" s="542"/>
      <c r="H173" s="542"/>
      <c r="I173" s="12"/>
      <c r="J173" s="12"/>
      <c r="K173" s="12"/>
      <c r="N173" s="9"/>
      <c r="O173" s="9"/>
      <c r="P173" s="9"/>
      <c r="Q173" s="9"/>
      <c r="R173" s="9"/>
      <c r="S173" s="9"/>
    </row>
    <row r="174" spans="2:28" x14ac:dyDescent="0.25">
      <c r="B174" s="1">
        <v>8</v>
      </c>
      <c r="C174" s="542" t="s">
        <v>348</v>
      </c>
      <c r="D174" s="542"/>
      <c r="E174" s="542"/>
      <c r="F174" s="542"/>
      <c r="G174" s="542"/>
      <c r="H174" s="542"/>
      <c r="I174" s="12"/>
      <c r="J174" s="12"/>
      <c r="K174" s="12"/>
      <c r="N174" s="9"/>
      <c r="O174" s="9"/>
      <c r="P174" s="9"/>
      <c r="Q174" s="9"/>
      <c r="R174" s="9"/>
      <c r="S174" s="9"/>
    </row>
    <row r="175" spans="2:28" x14ac:dyDescent="0.25">
      <c r="B175" s="1">
        <v>8</v>
      </c>
      <c r="C175" s="542" t="s">
        <v>163</v>
      </c>
      <c r="D175" s="542"/>
      <c r="E175" s="542"/>
      <c r="F175" s="542"/>
      <c r="G175" s="542"/>
      <c r="H175" s="542"/>
      <c r="I175" s="12"/>
      <c r="L175" s="12"/>
      <c r="N175" s="9"/>
      <c r="O175" s="9"/>
      <c r="S175" s="9"/>
    </row>
    <row r="176" spans="2:28" x14ac:dyDescent="0.25">
      <c r="B176" s="1">
        <v>8</v>
      </c>
      <c r="C176" s="542" t="s">
        <v>354</v>
      </c>
      <c r="D176" s="542"/>
      <c r="E176" s="542"/>
      <c r="F176" s="542"/>
      <c r="G176" s="542"/>
      <c r="H176" s="542"/>
      <c r="I176" s="12"/>
      <c r="L176" s="12"/>
      <c r="N176" s="9"/>
      <c r="O176" s="9"/>
    </row>
    <row r="177" spans="2:20" x14ac:dyDescent="0.25">
      <c r="B177" s="1">
        <v>12</v>
      </c>
      <c r="C177" s="542" t="s">
        <v>32</v>
      </c>
      <c r="D177" s="542"/>
      <c r="E177" s="542"/>
      <c r="F177" s="542"/>
      <c r="G177" s="542"/>
      <c r="H177" s="542"/>
      <c r="I177" s="12"/>
      <c r="L177" s="9"/>
      <c r="P177" s="9"/>
      <c r="Q177" s="9"/>
      <c r="R177" s="9"/>
    </row>
    <row r="178" spans="2:20" x14ac:dyDescent="0.25">
      <c r="I178" s="12"/>
      <c r="L178" s="9"/>
      <c r="S178" s="9"/>
    </row>
    <row r="179" spans="2:20" x14ac:dyDescent="0.25">
      <c r="I179" s="12"/>
      <c r="L179" s="9"/>
    </row>
    <row r="180" spans="2:20" x14ac:dyDescent="0.25">
      <c r="I180" s="12"/>
      <c r="L180" s="9"/>
    </row>
    <row r="181" spans="2:20" x14ac:dyDescent="0.25">
      <c r="I181" s="12"/>
      <c r="L181" s="9"/>
    </row>
    <row r="182" spans="2:20" x14ac:dyDescent="0.25">
      <c r="I182" s="12"/>
      <c r="L182" s="9"/>
    </row>
    <row r="183" spans="2:20" x14ac:dyDescent="0.25">
      <c r="I183" s="12"/>
      <c r="J183" s="12"/>
      <c r="K183" s="12"/>
    </row>
    <row r="184" spans="2:20" x14ac:dyDescent="0.25">
      <c r="I184" s="12"/>
      <c r="J184" s="12"/>
      <c r="K184" s="12"/>
    </row>
    <row r="185" spans="2:20" x14ac:dyDescent="0.25">
      <c r="I185" s="12"/>
      <c r="J185" s="12"/>
      <c r="K185" s="12"/>
      <c r="T185" s="9"/>
    </row>
    <row r="186" spans="2:20" x14ac:dyDescent="0.25">
      <c r="I186" s="12"/>
      <c r="J186" s="12"/>
      <c r="K186" s="12"/>
      <c r="T186" s="9"/>
    </row>
    <row r="187" spans="2:20" x14ac:dyDescent="0.25">
      <c r="I187" s="12"/>
      <c r="J187" s="12"/>
      <c r="K187" s="12"/>
      <c r="T187" s="9"/>
    </row>
    <row r="188" spans="2:20" x14ac:dyDescent="0.25">
      <c r="I188" s="12"/>
      <c r="J188" s="12"/>
      <c r="K188" s="12"/>
      <c r="T188" s="9"/>
    </row>
    <row r="189" spans="2:20" x14ac:dyDescent="0.25">
      <c r="I189" s="12"/>
      <c r="J189" s="12"/>
      <c r="K189" s="12"/>
      <c r="T189" s="9"/>
    </row>
    <row r="190" spans="2:20" x14ac:dyDescent="0.25">
      <c r="I190" s="12"/>
      <c r="J190" s="12"/>
      <c r="K190" s="12"/>
      <c r="N190" s="12"/>
      <c r="O190" s="12"/>
      <c r="P190" s="12"/>
      <c r="Q190" s="12"/>
      <c r="R190" s="12"/>
      <c r="T190" s="9"/>
    </row>
    <row r="191" spans="2:20" x14ac:dyDescent="0.25">
      <c r="I191" s="12"/>
      <c r="J191" s="12"/>
      <c r="K191" s="12"/>
      <c r="S191" s="12"/>
      <c r="T191" s="9"/>
    </row>
    <row r="192" spans="2:20" x14ac:dyDescent="0.25">
      <c r="I192" s="12"/>
      <c r="J192" s="12"/>
      <c r="K192" s="12"/>
      <c r="T192" s="9"/>
    </row>
    <row r="193" spans="9:21" x14ac:dyDescent="0.25">
      <c r="I193" s="12"/>
      <c r="J193" s="12"/>
      <c r="K193" s="12"/>
      <c r="T193" s="9"/>
    </row>
    <row r="194" spans="9:21" x14ac:dyDescent="0.25">
      <c r="I194" s="12"/>
      <c r="J194" s="12"/>
      <c r="K194" s="12"/>
      <c r="P194" s="12"/>
      <c r="Q194" s="12"/>
      <c r="R194" s="12"/>
      <c r="T194" s="9"/>
    </row>
    <row r="195" spans="9:21" x14ac:dyDescent="0.25">
      <c r="I195" s="12"/>
      <c r="J195" s="12"/>
      <c r="K195" s="12"/>
      <c r="N195" s="6"/>
      <c r="O195" s="6"/>
      <c r="P195" s="12"/>
      <c r="Q195" s="12"/>
      <c r="R195" s="12"/>
      <c r="S195" s="12"/>
      <c r="T195" s="9"/>
    </row>
    <row r="196" spans="9:21" x14ac:dyDescent="0.25">
      <c r="I196" s="12"/>
      <c r="J196" s="12"/>
      <c r="K196" s="12"/>
      <c r="N196" s="9"/>
      <c r="O196" s="9"/>
      <c r="P196" s="12"/>
      <c r="Q196" s="12"/>
      <c r="R196" s="12"/>
      <c r="S196" s="12"/>
      <c r="T196" s="9"/>
    </row>
    <row r="197" spans="9:21" x14ac:dyDescent="0.25">
      <c r="I197" s="12"/>
      <c r="J197" s="12"/>
      <c r="K197" s="12"/>
      <c r="N197" s="9"/>
      <c r="O197" s="9"/>
      <c r="P197" s="12"/>
      <c r="Q197" s="12"/>
      <c r="R197" s="12"/>
      <c r="S197" s="12"/>
    </row>
    <row r="198" spans="9:21" x14ac:dyDescent="0.25">
      <c r="I198" s="12"/>
      <c r="J198" s="12"/>
      <c r="K198" s="12"/>
      <c r="N198" s="9"/>
      <c r="O198" s="9"/>
      <c r="P198" s="12"/>
      <c r="Q198" s="12"/>
      <c r="R198" s="12"/>
      <c r="S198" s="12"/>
    </row>
    <row r="199" spans="9:21" x14ac:dyDescent="0.25">
      <c r="I199" s="12"/>
      <c r="J199" s="12"/>
      <c r="K199" s="12"/>
      <c r="N199" s="9"/>
      <c r="O199" s="9"/>
      <c r="P199" s="12"/>
      <c r="Q199" s="12"/>
      <c r="R199" s="12"/>
      <c r="S199" s="12"/>
    </row>
    <row r="200" spans="9:21" x14ac:dyDescent="0.25">
      <c r="I200" s="12"/>
      <c r="J200" s="12"/>
      <c r="K200" s="12"/>
      <c r="N200" s="9"/>
      <c r="O200" s="9"/>
      <c r="P200" s="12"/>
      <c r="Q200" s="12"/>
      <c r="R200" s="12"/>
      <c r="S200" s="12"/>
    </row>
    <row r="201" spans="9:21" x14ac:dyDescent="0.25">
      <c r="I201" s="12"/>
      <c r="J201" s="12"/>
      <c r="K201" s="12"/>
      <c r="N201" s="9"/>
      <c r="O201" s="9"/>
      <c r="P201" s="12"/>
      <c r="Q201" s="12"/>
      <c r="R201" s="12"/>
      <c r="S201" s="12"/>
      <c r="T201" s="9"/>
    </row>
    <row r="202" spans="9:21" x14ac:dyDescent="0.25">
      <c r="I202" s="12"/>
      <c r="J202" s="12"/>
      <c r="K202" s="12"/>
      <c r="N202" s="9"/>
      <c r="O202" s="9"/>
      <c r="P202" s="12"/>
      <c r="Q202" s="12"/>
      <c r="R202" s="12"/>
      <c r="S202" s="12"/>
      <c r="T202" s="9"/>
    </row>
    <row r="203" spans="9:21" x14ac:dyDescent="0.25">
      <c r="I203" s="12"/>
      <c r="J203" s="12"/>
      <c r="K203" s="12"/>
      <c r="N203" s="9"/>
      <c r="O203" s="9"/>
      <c r="P203" s="12"/>
      <c r="Q203" s="12"/>
      <c r="R203" s="12"/>
      <c r="S203" s="12"/>
      <c r="T203" s="9"/>
    </row>
    <row r="204" spans="9:21" x14ac:dyDescent="0.25">
      <c r="I204" s="12"/>
      <c r="J204" s="12"/>
      <c r="K204" s="12"/>
      <c r="N204" s="9"/>
      <c r="O204" s="9"/>
      <c r="P204" s="12"/>
      <c r="Q204" s="12"/>
      <c r="R204" s="12"/>
      <c r="S204" s="12"/>
      <c r="T204" s="9"/>
    </row>
    <row r="205" spans="9:21" x14ac:dyDescent="0.25">
      <c r="I205" s="12"/>
      <c r="J205" s="12"/>
      <c r="K205" s="12"/>
      <c r="N205" s="9"/>
      <c r="O205" s="9"/>
      <c r="S205" s="12"/>
      <c r="T205" s="9"/>
    </row>
    <row r="206" spans="9:21" x14ac:dyDescent="0.25">
      <c r="I206" s="12"/>
      <c r="J206" s="12"/>
      <c r="K206" s="12"/>
      <c r="N206" s="9"/>
      <c r="O206" s="9"/>
      <c r="P206" s="6"/>
      <c r="Q206" s="6"/>
      <c r="R206" s="6"/>
      <c r="T206" s="9"/>
    </row>
    <row r="207" spans="9:21" x14ac:dyDescent="0.25">
      <c r="J207" s="12"/>
      <c r="K207" s="12"/>
      <c r="N207" s="9"/>
      <c r="O207" s="9"/>
      <c r="P207" s="9"/>
      <c r="Q207" s="9"/>
      <c r="R207" s="9"/>
      <c r="S207" s="6"/>
      <c r="T207" s="9"/>
      <c r="U207" s="9"/>
    </row>
    <row r="208" spans="9:21" x14ac:dyDescent="0.25">
      <c r="N208" s="9"/>
      <c r="O208" s="9"/>
      <c r="P208" s="9"/>
      <c r="Q208" s="9"/>
      <c r="R208" s="9"/>
      <c r="S208" s="9"/>
    </row>
    <row r="209" spans="14:21" x14ac:dyDescent="0.25">
      <c r="N209" s="9"/>
      <c r="O209" s="9"/>
      <c r="P209" s="9"/>
      <c r="Q209" s="9"/>
      <c r="R209" s="9"/>
      <c r="S209" s="9"/>
    </row>
    <row r="210" spans="14:21" x14ac:dyDescent="0.25">
      <c r="N210" s="9"/>
      <c r="O210" s="9"/>
      <c r="P210" s="9"/>
      <c r="Q210" s="9"/>
      <c r="R210" s="9"/>
      <c r="S210" s="9"/>
      <c r="T210" s="9"/>
      <c r="U210" s="9"/>
    </row>
    <row r="211" spans="14:21" x14ac:dyDescent="0.25">
      <c r="N211" s="9"/>
      <c r="O211" s="9"/>
      <c r="P211" s="9"/>
      <c r="Q211" s="9"/>
      <c r="R211" s="9"/>
      <c r="S211" s="9"/>
      <c r="T211" s="9"/>
      <c r="U211" s="9"/>
    </row>
    <row r="212" spans="14:21" x14ac:dyDescent="0.25">
      <c r="N212" s="9"/>
      <c r="O212" s="9"/>
      <c r="P212" s="9"/>
      <c r="Q212" s="9"/>
      <c r="R212" s="9"/>
      <c r="S212" s="9"/>
      <c r="T212" s="9"/>
      <c r="U212" s="9"/>
    </row>
    <row r="213" spans="14:21" x14ac:dyDescent="0.25">
      <c r="N213" s="12"/>
      <c r="O213" s="12"/>
      <c r="P213" s="9"/>
      <c r="Q213" s="9"/>
      <c r="R213" s="9"/>
      <c r="S213" s="9"/>
      <c r="T213" s="9"/>
      <c r="U213" s="9"/>
    </row>
    <row r="214" spans="14:21" x14ac:dyDescent="0.25">
      <c r="P214" s="9"/>
      <c r="Q214" s="9"/>
      <c r="R214" s="9"/>
      <c r="S214" s="9"/>
      <c r="T214" s="9"/>
      <c r="U214" s="9"/>
    </row>
    <row r="215" spans="14:21" x14ac:dyDescent="0.25">
      <c r="P215" s="9"/>
      <c r="Q215" s="9"/>
      <c r="R215" s="9"/>
      <c r="S215" s="9"/>
      <c r="T215" s="9"/>
      <c r="U215" s="9"/>
    </row>
    <row r="216" spans="14:21" x14ac:dyDescent="0.25">
      <c r="P216" s="9"/>
      <c r="Q216" s="9"/>
      <c r="R216" s="9"/>
      <c r="S216" s="9"/>
      <c r="T216" s="9"/>
      <c r="U216" s="9"/>
    </row>
    <row r="217" spans="14:21" x14ac:dyDescent="0.25">
      <c r="P217" s="9"/>
      <c r="Q217" s="9"/>
      <c r="R217" s="9"/>
      <c r="S217" s="9"/>
      <c r="T217" s="9"/>
      <c r="U217" s="9"/>
    </row>
    <row r="218" spans="14:21" x14ac:dyDescent="0.25">
      <c r="P218" s="9"/>
      <c r="Q218" s="9"/>
      <c r="R218" s="9"/>
      <c r="S218" s="9"/>
      <c r="T218" s="9"/>
      <c r="U218" s="9"/>
    </row>
    <row r="219" spans="14:21" x14ac:dyDescent="0.25">
      <c r="P219" s="9"/>
      <c r="Q219" s="9"/>
      <c r="R219" s="9"/>
      <c r="S219" s="9"/>
      <c r="T219" s="9"/>
      <c r="U219" s="9"/>
    </row>
    <row r="220" spans="14:21" x14ac:dyDescent="0.25">
      <c r="P220" s="9"/>
      <c r="Q220" s="9"/>
      <c r="R220" s="9"/>
      <c r="S220" s="9"/>
      <c r="T220" s="9"/>
      <c r="U220" s="9"/>
    </row>
    <row r="221" spans="14:21" x14ac:dyDescent="0.25">
      <c r="P221" s="9"/>
      <c r="Q221" s="9"/>
      <c r="R221" s="9"/>
      <c r="S221" s="9"/>
    </row>
    <row r="222" spans="14:21" x14ac:dyDescent="0.25">
      <c r="P222" s="9"/>
      <c r="Q222" s="9"/>
      <c r="R222" s="9"/>
      <c r="S222" s="9"/>
    </row>
    <row r="223" spans="14:21" x14ac:dyDescent="0.25">
      <c r="P223" s="9"/>
      <c r="Q223" s="9"/>
      <c r="R223" s="9"/>
      <c r="S223" s="9"/>
    </row>
    <row r="224" spans="14:21" x14ac:dyDescent="0.25">
      <c r="P224" s="12"/>
      <c r="Q224" s="12"/>
      <c r="R224" s="12"/>
      <c r="S224" s="9"/>
    </row>
    <row r="225" spans="19:21" x14ac:dyDescent="0.25">
      <c r="S225" s="12"/>
    </row>
    <row r="234" spans="19:21" x14ac:dyDescent="0.25">
      <c r="T234" s="12"/>
      <c r="U234" s="9"/>
    </row>
    <row r="239" spans="19:21" x14ac:dyDescent="0.25">
      <c r="T239" s="6"/>
      <c r="U239" s="6"/>
    </row>
    <row r="240" spans="19:21" x14ac:dyDescent="0.25">
      <c r="T240" s="9"/>
    </row>
    <row r="241" spans="20:20" x14ac:dyDescent="0.25">
      <c r="T241" s="9"/>
    </row>
    <row r="242" spans="20:20" x14ac:dyDescent="0.25">
      <c r="T242" s="9"/>
    </row>
    <row r="243" spans="20:20" x14ac:dyDescent="0.25">
      <c r="T243" s="9"/>
    </row>
    <row r="244" spans="20:20" x14ac:dyDescent="0.25">
      <c r="T244" s="9"/>
    </row>
    <row r="245" spans="20:20" x14ac:dyDescent="0.25">
      <c r="T245" s="9"/>
    </row>
    <row r="246" spans="20:20" x14ac:dyDescent="0.25">
      <c r="T246" s="9"/>
    </row>
    <row r="247" spans="20:20" x14ac:dyDescent="0.25">
      <c r="T247" s="9"/>
    </row>
    <row r="248" spans="20:20" x14ac:dyDescent="0.25">
      <c r="T248" s="9"/>
    </row>
    <row r="249" spans="20:20" x14ac:dyDescent="0.25">
      <c r="T249" s="9"/>
    </row>
    <row r="250" spans="20:20" x14ac:dyDescent="0.25">
      <c r="T250" s="9"/>
    </row>
    <row r="251" spans="20:20" x14ac:dyDescent="0.25">
      <c r="T251" s="9"/>
    </row>
    <row r="252" spans="20:20" x14ac:dyDescent="0.25">
      <c r="T252" s="9"/>
    </row>
    <row r="253" spans="20:20" x14ac:dyDescent="0.25">
      <c r="T253" s="9"/>
    </row>
    <row r="254" spans="20:20" x14ac:dyDescent="0.25">
      <c r="T254" s="9"/>
    </row>
    <row r="255" spans="20:20" x14ac:dyDescent="0.25">
      <c r="T255" s="9"/>
    </row>
    <row r="256" spans="20:20" x14ac:dyDescent="0.25">
      <c r="T256" s="9"/>
    </row>
    <row r="257" spans="20:20" x14ac:dyDescent="0.25">
      <c r="T257" s="12"/>
    </row>
  </sheetData>
  <sortState ref="D5:H93">
    <sortCondition ref="D93"/>
  </sortState>
  <mergeCells count="286">
    <mergeCell ref="M14:Q14"/>
    <mergeCell ref="M15:Q15"/>
    <mergeCell ref="M16:Q16"/>
    <mergeCell ref="M17:Q17"/>
    <mergeCell ref="M18:Q18"/>
    <mergeCell ref="M19:Q19"/>
    <mergeCell ref="M106:Q106"/>
    <mergeCell ref="N95:R95"/>
    <mergeCell ref="N96:R96"/>
    <mergeCell ref="N97:R97"/>
    <mergeCell ref="N98:R98"/>
    <mergeCell ref="N99:R99"/>
    <mergeCell ref="N100:R100"/>
    <mergeCell ref="N101:R101"/>
    <mergeCell ref="M104:Q104"/>
    <mergeCell ref="M105:Q105"/>
    <mergeCell ref="N86:R86"/>
    <mergeCell ref="N87:R87"/>
    <mergeCell ref="N88:R88"/>
    <mergeCell ref="N89:R89"/>
    <mergeCell ref="N90:R90"/>
    <mergeCell ref="N91:R91"/>
    <mergeCell ref="N92:R92"/>
    <mergeCell ref="N93:R93"/>
    <mergeCell ref="N94:R94"/>
    <mergeCell ref="V79:Y79"/>
    <mergeCell ref="V80:Y80"/>
    <mergeCell ref="V81:Y81"/>
    <mergeCell ref="V82:Y82"/>
    <mergeCell ref="U56:Y56"/>
    <mergeCell ref="M33:R33"/>
    <mergeCell ref="M34:R34"/>
    <mergeCell ref="M35:R35"/>
    <mergeCell ref="M36:R36"/>
    <mergeCell ref="M81:Q81"/>
    <mergeCell ref="M82:Q82"/>
    <mergeCell ref="V57:Y57"/>
    <mergeCell ref="V58:Y58"/>
    <mergeCell ref="V59:Y59"/>
    <mergeCell ref="V60:Y60"/>
    <mergeCell ref="V61:Y61"/>
    <mergeCell ref="V62:Y62"/>
    <mergeCell ref="V63:Y63"/>
    <mergeCell ref="V64:Y64"/>
    <mergeCell ref="V65:Y65"/>
    <mergeCell ref="V66:Y66"/>
    <mergeCell ref="V67:Y67"/>
    <mergeCell ref="V68:Y68"/>
    <mergeCell ref="V78:Y78"/>
    <mergeCell ref="M78:Q78"/>
    <mergeCell ref="M79:Q79"/>
    <mergeCell ref="M80:Q80"/>
    <mergeCell ref="M66:Q66"/>
    <mergeCell ref="M67:Q67"/>
    <mergeCell ref="M68:Q68"/>
    <mergeCell ref="M69:Q69"/>
    <mergeCell ref="M70:Q70"/>
    <mergeCell ref="M71:Q71"/>
    <mergeCell ref="M72:Q72"/>
    <mergeCell ref="M73:Q73"/>
    <mergeCell ref="M74:Q74"/>
    <mergeCell ref="V69:Y69"/>
    <mergeCell ref="V70:Y70"/>
    <mergeCell ref="V71:Y71"/>
    <mergeCell ref="V72:Y72"/>
    <mergeCell ref="V73:Y73"/>
    <mergeCell ref="V74:Y74"/>
    <mergeCell ref="V75:Y75"/>
    <mergeCell ref="V76:Y76"/>
    <mergeCell ref="V77:Y77"/>
    <mergeCell ref="D69:H69"/>
    <mergeCell ref="D70:H70"/>
    <mergeCell ref="D88:H88"/>
    <mergeCell ref="U16:Z16"/>
    <mergeCell ref="U17:Z17"/>
    <mergeCell ref="U18:Z18"/>
    <mergeCell ref="U19:Z19"/>
    <mergeCell ref="U11:Z11"/>
    <mergeCell ref="U12:Z12"/>
    <mergeCell ref="U13:Z13"/>
    <mergeCell ref="U14:Z14"/>
    <mergeCell ref="U15:Z15"/>
    <mergeCell ref="M57:Q57"/>
    <mergeCell ref="M58:Q58"/>
    <mergeCell ref="M59:Q59"/>
    <mergeCell ref="M60:Q60"/>
    <mergeCell ref="M61:Q61"/>
    <mergeCell ref="M62:Q62"/>
    <mergeCell ref="M63:Q63"/>
    <mergeCell ref="M64:Q64"/>
    <mergeCell ref="M65:Q65"/>
    <mergeCell ref="M75:Q75"/>
    <mergeCell ref="M76:Q76"/>
    <mergeCell ref="M77:Q77"/>
    <mergeCell ref="D76:H76"/>
    <mergeCell ref="D78:H78"/>
    <mergeCell ref="D80:H80"/>
    <mergeCell ref="D75:H75"/>
    <mergeCell ref="D74:H74"/>
    <mergeCell ref="D72:H72"/>
    <mergeCell ref="D77:H77"/>
    <mergeCell ref="D79:H79"/>
    <mergeCell ref="D85:H85"/>
    <mergeCell ref="D31:H31"/>
    <mergeCell ref="D32:H32"/>
    <mergeCell ref="D33:H33"/>
    <mergeCell ref="D34:H34"/>
    <mergeCell ref="D35:H35"/>
    <mergeCell ref="D52:H52"/>
    <mergeCell ref="D53:H53"/>
    <mergeCell ref="D54:H54"/>
    <mergeCell ref="D51:H51"/>
    <mergeCell ref="D50:H50"/>
    <mergeCell ref="D48:H48"/>
    <mergeCell ref="D18:H18"/>
    <mergeCell ref="D17:H17"/>
    <mergeCell ref="D16:H16"/>
    <mergeCell ref="D15:H15"/>
    <mergeCell ref="D14:H14"/>
    <mergeCell ref="D13:H13"/>
    <mergeCell ref="D12:H12"/>
    <mergeCell ref="D11:H11"/>
    <mergeCell ref="D30:H30"/>
    <mergeCell ref="C168:H168"/>
    <mergeCell ref="O114:Q114"/>
    <mergeCell ref="N135:P135"/>
    <mergeCell ref="N136:P136"/>
    <mergeCell ref="O140:Q140"/>
    <mergeCell ref="D67:H67"/>
    <mergeCell ref="N133:P133"/>
    <mergeCell ref="D68:H68"/>
    <mergeCell ref="N137:P137"/>
    <mergeCell ref="O113:Q113"/>
    <mergeCell ref="N138:P138"/>
    <mergeCell ref="O139:Q139"/>
    <mergeCell ref="O115:Q115"/>
    <mergeCell ref="O116:Q116"/>
    <mergeCell ref="O117:Q117"/>
    <mergeCell ref="O118:Q118"/>
    <mergeCell ref="O119:Q119"/>
    <mergeCell ref="N131:P131"/>
    <mergeCell ref="N132:P132"/>
    <mergeCell ref="N134:P134"/>
    <mergeCell ref="D90:H90"/>
    <mergeCell ref="D86:H86"/>
    <mergeCell ref="D87:H87"/>
    <mergeCell ref="B115:G115"/>
    <mergeCell ref="C177:H177"/>
    <mergeCell ref="D139:I139"/>
    <mergeCell ref="D140:I140"/>
    <mergeCell ref="D141:I141"/>
    <mergeCell ref="D142:I142"/>
    <mergeCell ref="D120:I120"/>
    <mergeCell ref="D121:I121"/>
    <mergeCell ref="D144:I144"/>
    <mergeCell ref="D123:I123"/>
    <mergeCell ref="D124:I124"/>
    <mergeCell ref="D125:I125"/>
    <mergeCell ref="D126:I126"/>
    <mergeCell ref="D127:I127"/>
    <mergeCell ref="D143:I143"/>
    <mergeCell ref="C176:H176"/>
    <mergeCell ref="C154:H154"/>
    <mergeCell ref="C173:H173"/>
    <mergeCell ref="C174:H174"/>
    <mergeCell ref="C170:H170"/>
    <mergeCell ref="C171:H171"/>
    <mergeCell ref="C172:H172"/>
    <mergeCell ref="C166:H166"/>
    <mergeCell ref="C167:H167"/>
    <mergeCell ref="C151:H151"/>
    <mergeCell ref="C152:H152"/>
    <mergeCell ref="C150:H150"/>
    <mergeCell ref="C148:H148"/>
    <mergeCell ref="C149:H149"/>
    <mergeCell ref="C175:H175"/>
    <mergeCell ref="D37:H37"/>
    <mergeCell ref="D38:H38"/>
    <mergeCell ref="D39:H39"/>
    <mergeCell ref="D40:H40"/>
    <mergeCell ref="D41:H41"/>
    <mergeCell ref="D42:H42"/>
    <mergeCell ref="C153:H153"/>
    <mergeCell ref="D81:H81"/>
    <mergeCell ref="D82:H82"/>
    <mergeCell ref="D83:H83"/>
    <mergeCell ref="D84:H84"/>
    <mergeCell ref="C169:H169"/>
    <mergeCell ref="C155:H155"/>
    <mergeCell ref="D44:H44"/>
    <mergeCell ref="D45:H45"/>
    <mergeCell ref="D46:H46"/>
    <mergeCell ref="D47:H47"/>
    <mergeCell ref="C102:H102"/>
    <mergeCell ref="C103:H103"/>
    <mergeCell ref="D59:H59"/>
    <mergeCell ref="D60:H60"/>
    <mergeCell ref="D63:H63"/>
    <mergeCell ref="D64:H64"/>
    <mergeCell ref="D65:H65"/>
    <mergeCell ref="D62:H62"/>
    <mergeCell ref="D61:H61"/>
    <mergeCell ref="D56:H56"/>
    <mergeCell ref="B114:G114"/>
    <mergeCell ref="B112:G112"/>
    <mergeCell ref="C105:H105"/>
    <mergeCell ref="C109:H109"/>
    <mergeCell ref="C110:H110"/>
    <mergeCell ref="C104:H104"/>
    <mergeCell ref="C106:G106"/>
    <mergeCell ref="C107:H107"/>
    <mergeCell ref="C108:H108"/>
    <mergeCell ref="B113:G113"/>
    <mergeCell ref="D89:H89"/>
    <mergeCell ref="D91:H91"/>
    <mergeCell ref="D92:H92"/>
    <mergeCell ref="D66:H66"/>
    <mergeCell ref="D71:H71"/>
    <mergeCell ref="D73:H73"/>
    <mergeCell ref="D4:I4"/>
    <mergeCell ref="C101:H101"/>
    <mergeCell ref="D43:H43"/>
    <mergeCell ref="D28:H28"/>
    <mergeCell ref="D27:H27"/>
    <mergeCell ref="D29:H29"/>
    <mergeCell ref="D26:H26"/>
    <mergeCell ref="D21:H21"/>
    <mergeCell ref="D20:H20"/>
    <mergeCell ref="D22:H22"/>
    <mergeCell ref="D23:H23"/>
    <mergeCell ref="D24:H24"/>
    <mergeCell ref="D25:H25"/>
    <mergeCell ref="D36:H36"/>
    <mergeCell ref="D10:H10"/>
    <mergeCell ref="D9:H9"/>
    <mergeCell ref="D8:H8"/>
    <mergeCell ref="D7:H7"/>
    <mergeCell ref="D6:H6"/>
    <mergeCell ref="D5:H5"/>
    <mergeCell ref="D49:H49"/>
    <mergeCell ref="D55:H55"/>
    <mergeCell ref="D57:H57"/>
    <mergeCell ref="D58:H58"/>
    <mergeCell ref="M39:Q39"/>
    <mergeCell ref="M40:Q40"/>
    <mergeCell ref="M41:Q41"/>
    <mergeCell ref="M42:Q42"/>
    <mergeCell ref="M43:Q43"/>
    <mergeCell ref="M44:Q44"/>
    <mergeCell ref="M54:Q54"/>
    <mergeCell ref="M37:R37"/>
    <mergeCell ref="M38:R38"/>
    <mergeCell ref="M55:Q55"/>
    <mergeCell ref="M45:Q45"/>
    <mergeCell ref="M46:Q46"/>
    <mergeCell ref="M47:Q47"/>
    <mergeCell ref="M48:Q48"/>
    <mergeCell ref="M49:Q49"/>
    <mergeCell ref="M50:Q50"/>
    <mergeCell ref="M51:Q51"/>
    <mergeCell ref="M52:Q52"/>
    <mergeCell ref="M53:Q53"/>
    <mergeCell ref="A1:K3"/>
    <mergeCell ref="M30:R30"/>
    <mergeCell ref="M31:R31"/>
    <mergeCell ref="M32:R32"/>
    <mergeCell ref="U20:Z20"/>
    <mergeCell ref="U21:Z21"/>
    <mergeCell ref="U22:Z22"/>
    <mergeCell ref="U23:Z23"/>
    <mergeCell ref="U24:Z24"/>
    <mergeCell ref="U25:Z25"/>
    <mergeCell ref="U26:Z26"/>
    <mergeCell ref="U27:Z27"/>
    <mergeCell ref="U28:Z28"/>
    <mergeCell ref="M29:R29"/>
    <mergeCell ref="M27:R27"/>
    <mergeCell ref="M28:R28"/>
    <mergeCell ref="M24:R24"/>
    <mergeCell ref="M25:R25"/>
    <mergeCell ref="M26:R26"/>
    <mergeCell ref="M23:R23"/>
    <mergeCell ref="M21:R21"/>
    <mergeCell ref="M22:R22"/>
    <mergeCell ref="U10:Z10"/>
    <mergeCell ref="D19:H1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topLeftCell="A7" workbookViewId="0">
      <selection activeCell="H41" sqref="H41"/>
    </sheetView>
  </sheetViews>
  <sheetFormatPr baseColWidth="10" defaultRowHeight="15" x14ac:dyDescent="0.25"/>
  <cols>
    <col min="7" max="7" width="19.28515625" customWidth="1"/>
    <col min="8" max="8" width="14.5703125" customWidth="1"/>
    <col min="9" max="9" width="22.85546875" customWidth="1"/>
    <col min="10" max="10" width="18.5703125" customWidth="1"/>
  </cols>
  <sheetData>
    <row r="1" spans="1:17" x14ac:dyDescent="0.25">
      <c r="A1" s="485"/>
      <c r="B1" s="485"/>
      <c r="C1" s="485"/>
      <c r="D1" s="485"/>
      <c r="E1" s="485"/>
      <c r="F1" s="485"/>
      <c r="G1" s="485"/>
      <c r="H1" s="485"/>
      <c r="I1" s="485"/>
    </row>
    <row r="2" spans="1:17" ht="45" x14ac:dyDescent="0.25">
      <c r="B2" s="552" t="s">
        <v>2</v>
      </c>
      <c r="C2" s="552"/>
      <c r="D2" s="552"/>
      <c r="E2" s="552"/>
      <c r="F2" s="552"/>
      <c r="G2" s="486" t="s">
        <v>519</v>
      </c>
      <c r="H2" s="486" t="s">
        <v>518</v>
      </c>
      <c r="I2" s="486" t="s">
        <v>517</v>
      </c>
      <c r="J2" s="486" t="s">
        <v>520</v>
      </c>
    </row>
    <row r="3" spans="1:17" ht="20.100000000000001" customHeight="1" x14ac:dyDescent="0.25">
      <c r="B3" s="548" t="s">
        <v>49</v>
      </c>
      <c r="C3" s="548"/>
      <c r="D3" s="548"/>
      <c r="E3" s="548"/>
      <c r="F3" s="548"/>
      <c r="G3" s="175">
        <f>I3/0.9</f>
        <v>28.888888888888889</v>
      </c>
      <c r="H3" s="175">
        <f>G3*1.16</f>
        <v>33.511111111111106</v>
      </c>
      <c r="I3" s="175">
        <v>26</v>
      </c>
      <c r="J3" s="175">
        <f>I3*1.16</f>
        <v>30.159999999999997</v>
      </c>
      <c r="L3" s="549" t="s">
        <v>7</v>
      </c>
      <c r="M3" s="550"/>
      <c r="N3" s="550"/>
      <c r="O3" s="550"/>
      <c r="P3" s="551"/>
      <c r="Q3" s="494">
        <v>20</v>
      </c>
    </row>
    <row r="4" spans="1:17" ht="20.100000000000001" customHeight="1" x14ac:dyDescent="0.25">
      <c r="B4" s="548" t="s">
        <v>56</v>
      </c>
      <c r="C4" s="548"/>
      <c r="D4" s="548"/>
      <c r="E4" s="548"/>
      <c r="F4" s="548"/>
      <c r="G4" s="175">
        <f t="shared" ref="G4:G25" si="0">I4/0.9</f>
        <v>14.444444444444445</v>
      </c>
      <c r="H4" s="175">
        <f t="shared" ref="H4:H25" si="1">G4*1.16</f>
        <v>16.755555555555553</v>
      </c>
      <c r="I4" s="175">
        <v>13</v>
      </c>
      <c r="J4" s="175">
        <f t="shared" ref="J4:J25" si="2">I4*1.16</f>
        <v>15.079999999999998</v>
      </c>
      <c r="L4" s="549" t="s">
        <v>6</v>
      </c>
      <c r="M4" s="550"/>
      <c r="N4" s="550"/>
      <c r="O4" s="550"/>
      <c r="P4" s="551"/>
      <c r="Q4" s="494">
        <v>40</v>
      </c>
    </row>
    <row r="5" spans="1:17" ht="20.100000000000001" customHeight="1" x14ac:dyDescent="0.25">
      <c r="B5" s="548" t="s">
        <v>50</v>
      </c>
      <c r="C5" s="548"/>
      <c r="D5" s="548"/>
      <c r="E5" s="548"/>
      <c r="F5" s="548"/>
      <c r="G5" s="175">
        <f t="shared" si="0"/>
        <v>7.7777777777777777</v>
      </c>
      <c r="H5" s="175">
        <f t="shared" si="1"/>
        <v>9.0222222222222221</v>
      </c>
      <c r="I5" s="175">
        <v>7</v>
      </c>
      <c r="J5" s="175">
        <f t="shared" si="2"/>
        <v>8.1199999999999992</v>
      </c>
      <c r="L5" s="549" t="s">
        <v>12</v>
      </c>
      <c r="M5" s="550"/>
      <c r="N5" s="550"/>
      <c r="O5" s="550"/>
      <c r="P5" s="551"/>
      <c r="Q5" s="494">
        <v>100</v>
      </c>
    </row>
    <row r="6" spans="1:17" ht="20.100000000000001" customHeight="1" x14ac:dyDescent="0.25">
      <c r="B6" s="548" t="s">
        <v>7</v>
      </c>
      <c r="C6" s="548"/>
      <c r="D6" s="548"/>
      <c r="E6" s="548"/>
      <c r="F6" s="548"/>
      <c r="G6" s="175">
        <f t="shared" si="0"/>
        <v>33.333333333333336</v>
      </c>
      <c r="H6" s="175">
        <f t="shared" si="1"/>
        <v>38.666666666666664</v>
      </c>
      <c r="I6" s="175">
        <v>30</v>
      </c>
      <c r="J6" s="175">
        <f t="shared" si="2"/>
        <v>34.799999999999997</v>
      </c>
      <c r="L6" s="549" t="s">
        <v>271</v>
      </c>
      <c r="M6" s="550"/>
      <c r="N6" s="550"/>
      <c r="O6" s="550"/>
      <c r="P6" s="551"/>
      <c r="Q6" s="494">
        <v>200</v>
      </c>
    </row>
    <row r="7" spans="1:17" ht="20.100000000000001" customHeight="1" x14ac:dyDescent="0.25">
      <c r="B7" s="548" t="s">
        <v>6</v>
      </c>
      <c r="C7" s="548"/>
      <c r="D7" s="548"/>
      <c r="E7" s="548"/>
      <c r="F7" s="548"/>
      <c r="G7" s="175">
        <f t="shared" si="0"/>
        <v>12.222222222222221</v>
      </c>
      <c r="H7" s="175">
        <f t="shared" si="1"/>
        <v>14.177777777777775</v>
      </c>
      <c r="I7" s="175">
        <v>11</v>
      </c>
      <c r="J7" s="175">
        <f t="shared" si="2"/>
        <v>12.76</v>
      </c>
      <c r="L7" s="549" t="s">
        <v>11</v>
      </c>
      <c r="M7" s="550"/>
      <c r="N7" s="550"/>
      <c r="O7" s="550"/>
      <c r="P7" s="551"/>
      <c r="Q7" s="494">
        <v>60</v>
      </c>
    </row>
    <row r="8" spans="1:17" ht="20.100000000000001" customHeight="1" x14ac:dyDescent="0.25">
      <c r="B8" s="548" t="s">
        <v>305</v>
      </c>
      <c r="C8" s="548"/>
      <c r="D8" s="548"/>
      <c r="E8" s="548"/>
      <c r="F8" s="548"/>
      <c r="G8" s="175">
        <f t="shared" si="0"/>
        <v>44.444444444444443</v>
      </c>
      <c r="H8" s="175">
        <f t="shared" si="1"/>
        <v>51.55555555555555</v>
      </c>
      <c r="I8" s="175">
        <v>40</v>
      </c>
      <c r="J8" s="175">
        <f t="shared" si="2"/>
        <v>46.4</v>
      </c>
      <c r="L8" s="549" t="s">
        <v>57</v>
      </c>
      <c r="M8" s="550"/>
      <c r="N8" s="550"/>
      <c r="O8" s="550"/>
      <c r="P8" s="551"/>
      <c r="Q8" s="494">
        <v>30</v>
      </c>
    </row>
    <row r="9" spans="1:17" ht="20.100000000000001" customHeight="1" x14ac:dyDescent="0.25">
      <c r="B9" s="548" t="s">
        <v>53</v>
      </c>
      <c r="C9" s="548"/>
      <c r="D9" s="548"/>
      <c r="E9" s="548"/>
      <c r="F9" s="548"/>
      <c r="G9" s="175">
        <f t="shared" si="0"/>
        <v>27.777777777777779</v>
      </c>
      <c r="H9" s="175">
        <f t="shared" si="1"/>
        <v>32.222222222222221</v>
      </c>
      <c r="I9" s="175">
        <v>25</v>
      </c>
      <c r="J9" s="175">
        <f t="shared" si="2"/>
        <v>28.999999999999996</v>
      </c>
      <c r="L9" s="549" t="s">
        <v>51</v>
      </c>
      <c r="M9" s="550"/>
      <c r="N9" s="550"/>
      <c r="O9" s="550"/>
      <c r="P9" s="551"/>
      <c r="Q9" s="494">
        <v>20</v>
      </c>
    </row>
    <row r="10" spans="1:17" ht="20.100000000000001" customHeight="1" x14ac:dyDescent="0.25">
      <c r="B10" s="548" t="s">
        <v>55</v>
      </c>
      <c r="C10" s="548"/>
      <c r="D10" s="548"/>
      <c r="E10" s="548"/>
      <c r="F10" s="548"/>
      <c r="G10" s="175">
        <f t="shared" si="0"/>
        <v>8.8888888888888893</v>
      </c>
      <c r="H10" s="175">
        <f t="shared" si="1"/>
        <v>10.31111111111111</v>
      </c>
      <c r="I10" s="175">
        <v>8</v>
      </c>
      <c r="J10" s="175">
        <f t="shared" si="2"/>
        <v>9.2799999999999994</v>
      </c>
    </row>
    <row r="11" spans="1:17" ht="20.100000000000001" customHeight="1" x14ac:dyDescent="0.25">
      <c r="B11" s="548" t="s">
        <v>5</v>
      </c>
      <c r="C11" s="548"/>
      <c r="D11" s="548"/>
      <c r="E11" s="548"/>
      <c r="F11" s="548"/>
      <c r="G11" s="175">
        <f t="shared" si="0"/>
        <v>43.333333333333336</v>
      </c>
      <c r="H11" s="175">
        <f t="shared" si="1"/>
        <v>50.266666666666666</v>
      </c>
      <c r="I11" s="175">
        <v>39</v>
      </c>
      <c r="J11" s="175">
        <f t="shared" si="2"/>
        <v>45.239999999999995</v>
      </c>
    </row>
    <row r="12" spans="1:17" ht="20.100000000000001" customHeight="1" x14ac:dyDescent="0.25">
      <c r="B12" s="548" t="s">
        <v>4</v>
      </c>
      <c r="C12" s="548"/>
      <c r="D12" s="548"/>
      <c r="E12" s="548"/>
      <c r="F12" s="548"/>
      <c r="G12" s="175">
        <f t="shared" si="0"/>
        <v>16.666666666666668</v>
      </c>
      <c r="H12" s="175">
        <f t="shared" si="1"/>
        <v>19.333333333333332</v>
      </c>
      <c r="I12" s="175">
        <v>15</v>
      </c>
      <c r="J12" s="175">
        <f t="shared" si="2"/>
        <v>17.399999999999999</v>
      </c>
    </row>
    <row r="13" spans="1:17" ht="20.100000000000001" customHeight="1" x14ac:dyDescent="0.25">
      <c r="B13" s="548" t="s">
        <v>12</v>
      </c>
      <c r="C13" s="548"/>
      <c r="D13" s="548"/>
      <c r="E13" s="548"/>
      <c r="F13" s="548"/>
      <c r="G13" s="175">
        <f t="shared" ref="G13" si="3">I13/0.9</f>
        <v>34.444444444444443</v>
      </c>
      <c r="H13" s="175">
        <f t="shared" ref="H13" si="4">G13*1.16</f>
        <v>39.955555555555549</v>
      </c>
      <c r="I13" s="175">
        <v>31</v>
      </c>
      <c r="J13" s="175">
        <f t="shared" ref="J13" si="5">I13*1.16</f>
        <v>35.96</v>
      </c>
    </row>
    <row r="14" spans="1:17" ht="20.100000000000001" customHeight="1" x14ac:dyDescent="0.25">
      <c r="B14" s="548" t="s">
        <v>271</v>
      </c>
      <c r="C14" s="548"/>
      <c r="D14" s="548"/>
      <c r="E14" s="548"/>
      <c r="F14" s="548"/>
      <c r="G14" s="175">
        <f t="shared" si="0"/>
        <v>37.777777777777779</v>
      </c>
      <c r="H14" s="175">
        <f t="shared" si="1"/>
        <v>43.822222222222223</v>
      </c>
      <c r="I14" s="175">
        <v>34</v>
      </c>
      <c r="J14" s="175">
        <f t="shared" si="2"/>
        <v>39.44</v>
      </c>
    </row>
    <row r="15" spans="1:17" ht="20.100000000000001" customHeight="1" x14ac:dyDescent="0.25">
      <c r="B15" s="548" t="s">
        <v>52</v>
      </c>
      <c r="C15" s="548"/>
      <c r="D15" s="548"/>
      <c r="E15" s="548"/>
      <c r="F15" s="548"/>
      <c r="G15" s="175">
        <f t="shared" si="0"/>
        <v>67.777777777777771</v>
      </c>
      <c r="H15" s="175">
        <f t="shared" si="1"/>
        <v>78.622222222222206</v>
      </c>
      <c r="I15" s="175">
        <v>61</v>
      </c>
      <c r="J15" s="175">
        <f t="shared" si="2"/>
        <v>70.759999999999991</v>
      </c>
    </row>
    <row r="16" spans="1:17" ht="20.100000000000001" customHeight="1" x14ac:dyDescent="0.25">
      <c r="B16" s="548" t="s">
        <v>107</v>
      </c>
      <c r="C16" s="548"/>
      <c r="D16" s="548"/>
      <c r="E16" s="548"/>
      <c r="F16" s="548"/>
      <c r="G16" s="175" t="s">
        <v>516</v>
      </c>
      <c r="H16" s="175" t="s">
        <v>516</v>
      </c>
      <c r="I16" s="175" t="s">
        <v>516</v>
      </c>
      <c r="J16" s="175" t="s">
        <v>516</v>
      </c>
    </row>
    <row r="17" spans="2:10" ht="20.100000000000001" customHeight="1" x14ac:dyDescent="0.25">
      <c r="B17" s="548" t="s">
        <v>108</v>
      </c>
      <c r="C17" s="548"/>
      <c r="D17" s="548"/>
      <c r="E17" s="548"/>
      <c r="F17" s="548"/>
      <c r="G17" s="175" t="s">
        <v>516</v>
      </c>
      <c r="H17" s="175" t="s">
        <v>516</v>
      </c>
      <c r="I17" s="175" t="s">
        <v>516</v>
      </c>
      <c r="J17" s="175" t="s">
        <v>516</v>
      </c>
    </row>
    <row r="18" spans="2:10" ht="20.100000000000001" customHeight="1" x14ac:dyDescent="0.25">
      <c r="B18" s="548" t="s">
        <v>106</v>
      </c>
      <c r="C18" s="548"/>
      <c r="D18" s="548"/>
      <c r="E18" s="548"/>
      <c r="F18" s="548"/>
      <c r="G18" s="175">
        <f t="shared" si="0"/>
        <v>127.77777777777777</v>
      </c>
      <c r="H18" s="175">
        <f t="shared" si="1"/>
        <v>148.2222222222222</v>
      </c>
      <c r="I18" s="175">
        <v>115</v>
      </c>
      <c r="J18" s="175">
        <f t="shared" si="2"/>
        <v>133.39999999999998</v>
      </c>
    </row>
    <row r="19" spans="2:10" ht="20.100000000000001" customHeight="1" x14ac:dyDescent="0.25">
      <c r="B19" s="548" t="s">
        <v>109</v>
      </c>
      <c r="C19" s="548"/>
      <c r="D19" s="548"/>
      <c r="E19" s="548"/>
      <c r="F19" s="548"/>
      <c r="G19" s="175">
        <f t="shared" si="0"/>
        <v>127.77777777777777</v>
      </c>
      <c r="H19" s="175">
        <f t="shared" si="1"/>
        <v>148.2222222222222</v>
      </c>
      <c r="I19" s="175">
        <v>115</v>
      </c>
      <c r="J19" s="175">
        <f t="shared" si="2"/>
        <v>133.39999999999998</v>
      </c>
    </row>
    <row r="20" spans="2:10" ht="20.100000000000001" customHeight="1" x14ac:dyDescent="0.25">
      <c r="B20" s="548" t="s">
        <v>11</v>
      </c>
      <c r="C20" s="548"/>
      <c r="D20" s="548"/>
      <c r="E20" s="548"/>
      <c r="F20" s="548"/>
      <c r="G20" s="175">
        <f t="shared" si="0"/>
        <v>117.77777777777777</v>
      </c>
      <c r="H20" s="175">
        <f t="shared" si="1"/>
        <v>136.62222222222221</v>
      </c>
      <c r="I20" s="175">
        <v>106</v>
      </c>
      <c r="J20" s="175">
        <f t="shared" si="2"/>
        <v>122.96</v>
      </c>
    </row>
    <row r="21" spans="2:10" ht="20.100000000000001" customHeight="1" x14ac:dyDescent="0.25">
      <c r="B21" s="548" t="s">
        <v>10</v>
      </c>
      <c r="C21" s="548"/>
      <c r="D21" s="548"/>
      <c r="E21" s="548"/>
      <c r="F21" s="548"/>
      <c r="G21" s="175">
        <f t="shared" si="0"/>
        <v>34.444444444444443</v>
      </c>
      <c r="H21" s="175">
        <f t="shared" si="1"/>
        <v>39.955555555555549</v>
      </c>
      <c r="I21" s="175">
        <v>31</v>
      </c>
      <c r="J21" s="175">
        <f t="shared" si="2"/>
        <v>35.96</v>
      </c>
    </row>
    <row r="22" spans="2:10" ht="20.100000000000001" customHeight="1" x14ac:dyDescent="0.25">
      <c r="B22" s="548" t="s">
        <v>9</v>
      </c>
      <c r="C22" s="548"/>
      <c r="D22" s="548"/>
      <c r="E22" s="548"/>
      <c r="F22" s="548"/>
      <c r="G22" s="175">
        <f t="shared" si="0"/>
        <v>33.333333333333336</v>
      </c>
      <c r="H22" s="175">
        <f t="shared" si="1"/>
        <v>38.666666666666664</v>
      </c>
      <c r="I22" s="175">
        <v>30</v>
      </c>
      <c r="J22" s="175">
        <f t="shared" si="2"/>
        <v>34.799999999999997</v>
      </c>
    </row>
    <row r="23" spans="2:10" ht="20.100000000000001" customHeight="1" x14ac:dyDescent="0.25">
      <c r="B23" s="548" t="s">
        <v>8</v>
      </c>
      <c r="C23" s="548"/>
      <c r="D23" s="548"/>
      <c r="E23" s="548"/>
      <c r="F23" s="548"/>
      <c r="G23" s="175">
        <f t="shared" si="0"/>
        <v>15.555555555555555</v>
      </c>
      <c r="H23" s="175">
        <f t="shared" si="1"/>
        <v>18.044444444444444</v>
      </c>
      <c r="I23" s="175">
        <v>14</v>
      </c>
      <c r="J23" s="175">
        <f t="shared" si="2"/>
        <v>16.239999999999998</v>
      </c>
    </row>
    <row r="24" spans="2:10" ht="20.100000000000001" customHeight="1" x14ac:dyDescent="0.25">
      <c r="B24" s="548" t="s">
        <v>57</v>
      </c>
      <c r="C24" s="548"/>
      <c r="D24" s="548"/>
      <c r="E24" s="548"/>
      <c r="F24" s="548"/>
      <c r="G24" s="175">
        <f t="shared" si="0"/>
        <v>55.555555555555557</v>
      </c>
      <c r="H24" s="175">
        <f t="shared" si="1"/>
        <v>64.444444444444443</v>
      </c>
      <c r="I24" s="175">
        <v>50</v>
      </c>
      <c r="J24" s="175">
        <f t="shared" si="2"/>
        <v>57.999999999999993</v>
      </c>
    </row>
    <row r="25" spans="2:10" ht="20.100000000000001" customHeight="1" x14ac:dyDescent="0.25">
      <c r="B25" s="548" t="s">
        <v>51</v>
      </c>
      <c r="C25" s="548"/>
      <c r="D25" s="548"/>
      <c r="E25" s="548"/>
      <c r="F25" s="548"/>
      <c r="G25" s="175">
        <f t="shared" si="0"/>
        <v>51.111111111111107</v>
      </c>
      <c r="H25" s="175">
        <f t="shared" si="1"/>
        <v>59.288888888888877</v>
      </c>
      <c r="I25" s="175">
        <v>46</v>
      </c>
      <c r="J25" s="175">
        <f t="shared" si="2"/>
        <v>53.36</v>
      </c>
    </row>
    <row r="27" spans="2:10" ht="45" x14ac:dyDescent="0.25">
      <c r="B27" s="552" t="s">
        <v>2</v>
      </c>
      <c r="C27" s="552"/>
      <c r="D27" s="552"/>
      <c r="E27" s="552"/>
      <c r="F27" s="552"/>
      <c r="G27" s="486" t="s">
        <v>519</v>
      </c>
      <c r="H27" s="486" t="s">
        <v>518</v>
      </c>
      <c r="I27" s="486" t="s">
        <v>517</v>
      </c>
      <c r="J27" s="486" t="s">
        <v>520</v>
      </c>
    </row>
    <row r="28" spans="2:10" ht="20.100000000000001" customHeight="1" x14ac:dyDescent="0.25">
      <c r="B28" s="548" t="s">
        <v>40</v>
      </c>
      <c r="C28" s="548"/>
      <c r="D28" s="548"/>
      <c r="E28" s="548"/>
      <c r="F28" s="548"/>
      <c r="G28" s="175">
        <f>I28/0.9</f>
        <v>100</v>
      </c>
      <c r="H28" s="175">
        <f>G28*1.16</f>
        <v>115.99999999999999</v>
      </c>
      <c r="I28" s="175">
        <v>90</v>
      </c>
      <c r="J28" s="175">
        <f>I28*1.16</f>
        <v>104.39999999999999</v>
      </c>
    </row>
    <row r="29" spans="2:10" ht="20.100000000000001" customHeight="1" x14ac:dyDescent="0.25">
      <c r="B29" s="548" t="s">
        <v>27</v>
      </c>
      <c r="C29" s="548"/>
      <c r="D29" s="548"/>
      <c r="E29" s="548"/>
      <c r="F29" s="548"/>
      <c r="G29" s="175">
        <f t="shared" ref="G29:G61" si="6">I29/0.9</f>
        <v>144.44444444444443</v>
      </c>
      <c r="H29" s="175">
        <f t="shared" ref="H29:H61" si="7">G29*1.16</f>
        <v>167.55555555555551</v>
      </c>
      <c r="I29" s="175">
        <v>130</v>
      </c>
      <c r="J29" s="175">
        <f t="shared" ref="J29:J61" si="8">I29*1.16</f>
        <v>150.79999999999998</v>
      </c>
    </row>
    <row r="30" spans="2:10" ht="20.100000000000001" customHeight="1" x14ac:dyDescent="0.25">
      <c r="B30" s="548" t="s">
        <v>29</v>
      </c>
      <c r="C30" s="548"/>
      <c r="D30" s="548"/>
      <c r="E30" s="548"/>
      <c r="F30" s="548"/>
      <c r="G30" s="175">
        <f t="shared" si="6"/>
        <v>144.44444444444443</v>
      </c>
      <c r="H30" s="175">
        <f t="shared" si="7"/>
        <v>167.55555555555551</v>
      </c>
      <c r="I30" s="175">
        <v>130</v>
      </c>
      <c r="J30" s="175">
        <f t="shared" si="8"/>
        <v>150.79999999999998</v>
      </c>
    </row>
    <row r="31" spans="2:10" ht="20.100000000000001" customHeight="1" x14ac:dyDescent="0.25">
      <c r="B31" s="548" t="s">
        <v>30</v>
      </c>
      <c r="C31" s="548"/>
      <c r="D31" s="548"/>
      <c r="E31" s="548"/>
      <c r="F31" s="548"/>
      <c r="G31" s="175">
        <f t="shared" si="6"/>
        <v>144.44444444444443</v>
      </c>
      <c r="H31" s="175">
        <f t="shared" si="7"/>
        <v>167.55555555555551</v>
      </c>
      <c r="I31" s="175">
        <v>130</v>
      </c>
      <c r="J31" s="175">
        <f t="shared" si="8"/>
        <v>150.79999999999998</v>
      </c>
    </row>
    <row r="32" spans="2:10" ht="20.100000000000001" customHeight="1" x14ac:dyDescent="0.25">
      <c r="B32" s="548" t="s">
        <v>28</v>
      </c>
      <c r="C32" s="548"/>
      <c r="D32" s="548"/>
      <c r="E32" s="548"/>
      <c r="F32" s="548"/>
      <c r="G32" s="175">
        <f t="shared" si="6"/>
        <v>33.333333333333336</v>
      </c>
      <c r="H32" s="175">
        <f t="shared" si="7"/>
        <v>38.666666666666664</v>
      </c>
      <c r="I32" s="175">
        <v>30</v>
      </c>
      <c r="J32" s="175">
        <f t="shared" si="8"/>
        <v>34.799999999999997</v>
      </c>
    </row>
    <row r="33" spans="2:10" ht="20.100000000000001" customHeight="1" x14ac:dyDescent="0.25">
      <c r="B33" s="548" t="s">
        <v>161</v>
      </c>
      <c r="C33" s="548"/>
      <c r="D33" s="548"/>
      <c r="E33" s="548"/>
      <c r="F33" s="548"/>
      <c r="G33" s="175">
        <f t="shared" si="6"/>
        <v>33.333333333333336</v>
      </c>
      <c r="H33" s="175">
        <f t="shared" si="7"/>
        <v>38.666666666666664</v>
      </c>
      <c r="I33" s="175">
        <v>30</v>
      </c>
      <c r="J33" s="175">
        <f t="shared" si="8"/>
        <v>34.799999999999997</v>
      </c>
    </row>
    <row r="34" spans="2:10" ht="20.100000000000001" customHeight="1" x14ac:dyDescent="0.25">
      <c r="B34" s="548" t="s">
        <v>31</v>
      </c>
      <c r="C34" s="548"/>
      <c r="D34" s="548"/>
      <c r="E34" s="548"/>
      <c r="F34" s="548"/>
      <c r="G34" s="175">
        <f t="shared" si="6"/>
        <v>33.333333333333336</v>
      </c>
      <c r="H34" s="175">
        <f t="shared" si="7"/>
        <v>38.666666666666664</v>
      </c>
      <c r="I34" s="175">
        <v>30</v>
      </c>
      <c r="J34" s="175">
        <f t="shared" si="8"/>
        <v>34.799999999999997</v>
      </c>
    </row>
    <row r="35" spans="2:10" ht="20.100000000000001" customHeight="1" x14ac:dyDescent="0.25">
      <c r="B35" s="548" t="s">
        <v>48</v>
      </c>
      <c r="C35" s="548"/>
      <c r="D35" s="548"/>
      <c r="E35" s="548"/>
      <c r="F35" s="548"/>
      <c r="G35" s="175">
        <f t="shared" si="6"/>
        <v>111.11111111111111</v>
      </c>
      <c r="H35" s="175">
        <f t="shared" si="7"/>
        <v>128.88888888888889</v>
      </c>
      <c r="I35" s="175">
        <v>100</v>
      </c>
      <c r="J35" s="175">
        <f t="shared" si="8"/>
        <v>115.99999999999999</v>
      </c>
    </row>
    <row r="36" spans="2:10" ht="20.100000000000001" customHeight="1" x14ac:dyDescent="0.25">
      <c r="B36" s="548" t="s">
        <v>41</v>
      </c>
      <c r="C36" s="548"/>
      <c r="D36" s="548"/>
      <c r="E36" s="548"/>
      <c r="F36" s="548"/>
      <c r="G36" s="175">
        <f t="shared" si="6"/>
        <v>10</v>
      </c>
      <c r="H36" s="175">
        <f t="shared" si="7"/>
        <v>11.6</v>
      </c>
      <c r="I36" s="175">
        <v>9</v>
      </c>
      <c r="J36" s="175">
        <f t="shared" si="8"/>
        <v>10.44</v>
      </c>
    </row>
    <row r="37" spans="2:10" ht="20.100000000000001" customHeight="1" x14ac:dyDescent="0.25">
      <c r="B37" s="548" t="s">
        <v>163</v>
      </c>
      <c r="C37" s="548"/>
      <c r="D37" s="548"/>
      <c r="E37" s="548"/>
      <c r="F37" s="548"/>
      <c r="G37" s="175">
        <f t="shared" si="6"/>
        <v>10</v>
      </c>
      <c r="H37" s="175">
        <f t="shared" si="7"/>
        <v>11.6</v>
      </c>
      <c r="I37" s="175">
        <v>9</v>
      </c>
      <c r="J37" s="175">
        <f t="shared" si="8"/>
        <v>10.44</v>
      </c>
    </row>
    <row r="38" spans="2:10" ht="20.100000000000001" customHeight="1" x14ac:dyDescent="0.25">
      <c r="B38" s="548" t="s">
        <v>45</v>
      </c>
      <c r="C38" s="548"/>
      <c r="D38" s="548"/>
      <c r="E38" s="548"/>
      <c r="F38" s="548"/>
      <c r="G38" s="175">
        <f t="shared" si="6"/>
        <v>18.888888888888889</v>
      </c>
      <c r="H38" s="175">
        <f t="shared" si="7"/>
        <v>21.911111111111111</v>
      </c>
      <c r="I38" s="175">
        <v>17</v>
      </c>
      <c r="J38" s="175">
        <f t="shared" si="8"/>
        <v>19.72</v>
      </c>
    </row>
    <row r="39" spans="2:10" ht="20.100000000000001" customHeight="1" x14ac:dyDescent="0.25">
      <c r="B39" s="548" t="s">
        <v>42</v>
      </c>
      <c r="C39" s="548"/>
      <c r="D39" s="548"/>
      <c r="E39" s="548"/>
      <c r="F39" s="548"/>
      <c r="G39" s="175">
        <f t="shared" si="6"/>
        <v>10</v>
      </c>
      <c r="H39" s="175">
        <f t="shared" si="7"/>
        <v>11.6</v>
      </c>
      <c r="I39" s="175">
        <v>9</v>
      </c>
      <c r="J39" s="175">
        <f t="shared" si="8"/>
        <v>10.44</v>
      </c>
    </row>
    <row r="40" spans="2:10" ht="20.100000000000001" customHeight="1" x14ac:dyDescent="0.25">
      <c r="B40" s="548" t="s">
        <v>322</v>
      </c>
      <c r="C40" s="548"/>
      <c r="D40" s="548"/>
      <c r="E40" s="548"/>
      <c r="F40" s="548"/>
      <c r="G40" s="175">
        <f t="shared" si="6"/>
        <v>10</v>
      </c>
      <c r="H40" s="175">
        <f t="shared" si="7"/>
        <v>11.6</v>
      </c>
      <c r="I40" s="175">
        <v>9</v>
      </c>
      <c r="J40" s="175">
        <f t="shared" si="8"/>
        <v>10.44</v>
      </c>
    </row>
    <row r="41" spans="2:10" ht="20.100000000000001" customHeight="1" x14ac:dyDescent="0.25">
      <c r="B41" s="548" t="s">
        <v>162</v>
      </c>
      <c r="C41" s="548"/>
      <c r="D41" s="548"/>
      <c r="E41" s="548"/>
      <c r="F41" s="548"/>
      <c r="G41" s="175">
        <f t="shared" si="6"/>
        <v>10</v>
      </c>
      <c r="H41" s="175">
        <f t="shared" si="7"/>
        <v>11.6</v>
      </c>
      <c r="I41" s="175">
        <v>9</v>
      </c>
      <c r="J41" s="175">
        <f t="shared" si="8"/>
        <v>10.44</v>
      </c>
    </row>
    <row r="42" spans="2:10" ht="20.100000000000001" customHeight="1" x14ac:dyDescent="0.25">
      <c r="B42" s="548" t="s">
        <v>47</v>
      </c>
      <c r="C42" s="548"/>
      <c r="D42" s="548"/>
      <c r="E42" s="548"/>
      <c r="F42" s="548"/>
      <c r="G42" s="175">
        <f t="shared" si="6"/>
        <v>18.888888888888889</v>
      </c>
      <c r="H42" s="175">
        <f t="shared" si="7"/>
        <v>21.911111111111111</v>
      </c>
      <c r="I42" s="175">
        <v>17</v>
      </c>
      <c r="J42" s="175">
        <f t="shared" si="8"/>
        <v>19.72</v>
      </c>
    </row>
    <row r="43" spans="2:10" ht="20.100000000000001" customHeight="1" x14ac:dyDescent="0.25">
      <c r="B43" s="548" t="s">
        <v>43</v>
      </c>
      <c r="C43" s="548"/>
      <c r="D43" s="548"/>
      <c r="E43" s="548"/>
      <c r="F43" s="548"/>
      <c r="G43" s="175">
        <f t="shared" si="6"/>
        <v>10</v>
      </c>
      <c r="H43" s="175">
        <f t="shared" si="7"/>
        <v>11.6</v>
      </c>
      <c r="I43" s="175">
        <v>9</v>
      </c>
      <c r="J43" s="175">
        <f t="shared" si="8"/>
        <v>10.44</v>
      </c>
    </row>
    <row r="44" spans="2:10" ht="20.100000000000001" customHeight="1" x14ac:dyDescent="0.25">
      <c r="B44" s="548" t="s">
        <v>46</v>
      </c>
      <c r="C44" s="548"/>
      <c r="D44" s="548"/>
      <c r="E44" s="548"/>
      <c r="F44" s="548"/>
      <c r="G44" s="175">
        <f t="shared" si="6"/>
        <v>18.888888888888889</v>
      </c>
      <c r="H44" s="175">
        <f t="shared" si="7"/>
        <v>21.911111111111111</v>
      </c>
      <c r="I44" s="175">
        <v>17</v>
      </c>
      <c r="J44" s="175">
        <f t="shared" si="8"/>
        <v>19.72</v>
      </c>
    </row>
    <row r="45" spans="2:10" ht="20.100000000000001" customHeight="1" x14ac:dyDescent="0.25">
      <c r="B45" s="548" t="s">
        <v>286</v>
      </c>
      <c r="C45" s="548"/>
      <c r="D45" s="548"/>
      <c r="E45" s="548"/>
      <c r="F45" s="548"/>
      <c r="G45" s="175">
        <f t="shared" si="6"/>
        <v>10</v>
      </c>
      <c r="H45" s="175">
        <f t="shared" si="7"/>
        <v>11.6</v>
      </c>
      <c r="I45" s="175">
        <v>9</v>
      </c>
      <c r="J45" s="175">
        <f t="shared" si="8"/>
        <v>10.44</v>
      </c>
    </row>
    <row r="46" spans="2:10" ht="20.100000000000001" customHeight="1" x14ac:dyDescent="0.25">
      <c r="B46" s="548" t="s">
        <v>26</v>
      </c>
      <c r="C46" s="548"/>
      <c r="D46" s="548"/>
      <c r="E46" s="548"/>
      <c r="F46" s="548"/>
      <c r="G46" s="175" t="s">
        <v>516</v>
      </c>
      <c r="H46" s="175" t="s">
        <v>516</v>
      </c>
      <c r="I46" s="175" t="s">
        <v>516</v>
      </c>
      <c r="J46" s="175" t="s">
        <v>516</v>
      </c>
    </row>
    <row r="47" spans="2:10" ht="20.100000000000001" customHeight="1" x14ac:dyDescent="0.25">
      <c r="B47" s="548" t="s">
        <v>35</v>
      </c>
      <c r="C47" s="548"/>
      <c r="D47" s="548"/>
      <c r="E47" s="548"/>
      <c r="F47" s="548"/>
      <c r="G47" s="175">
        <f t="shared" si="6"/>
        <v>7.7777777777777777</v>
      </c>
      <c r="H47" s="175">
        <f t="shared" si="7"/>
        <v>9.0222222222222221</v>
      </c>
      <c r="I47" s="175">
        <v>7</v>
      </c>
      <c r="J47" s="175">
        <f t="shared" si="8"/>
        <v>8.1199999999999992</v>
      </c>
    </row>
    <row r="48" spans="2:10" ht="20.100000000000001" customHeight="1" x14ac:dyDescent="0.25">
      <c r="B48" s="548" t="s">
        <v>33</v>
      </c>
      <c r="C48" s="548"/>
      <c r="D48" s="548"/>
      <c r="E48" s="548"/>
      <c r="F48" s="548"/>
      <c r="G48" s="175">
        <f t="shared" si="6"/>
        <v>16.666666666666668</v>
      </c>
      <c r="H48" s="175">
        <f t="shared" si="7"/>
        <v>19.333333333333332</v>
      </c>
      <c r="I48" s="175">
        <v>15</v>
      </c>
      <c r="J48" s="175">
        <f t="shared" si="8"/>
        <v>17.399999999999999</v>
      </c>
    </row>
    <row r="49" spans="2:10" ht="20.100000000000001" customHeight="1" x14ac:dyDescent="0.25">
      <c r="B49" s="548" t="s">
        <v>34</v>
      </c>
      <c r="C49" s="548"/>
      <c r="D49" s="548"/>
      <c r="E49" s="548"/>
      <c r="F49" s="548"/>
      <c r="G49" s="175">
        <f t="shared" si="6"/>
        <v>16.666666666666668</v>
      </c>
      <c r="H49" s="175">
        <f t="shared" si="7"/>
        <v>19.333333333333332</v>
      </c>
      <c r="I49" s="175">
        <v>15</v>
      </c>
      <c r="J49" s="175">
        <f t="shared" si="8"/>
        <v>17.399999999999999</v>
      </c>
    </row>
    <row r="50" spans="2:10" ht="20.100000000000001" customHeight="1" x14ac:dyDescent="0.25">
      <c r="B50" s="548" t="s">
        <v>32</v>
      </c>
      <c r="C50" s="548"/>
      <c r="D50" s="548"/>
      <c r="E50" s="548"/>
      <c r="F50" s="548"/>
      <c r="G50" s="175">
        <f t="shared" si="6"/>
        <v>16.666666666666668</v>
      </c>
      <c r="H50" s="175">
        <f t="shared" si="7"/>
        <v>19.333333333333332</v>
      </c>
      <c r="I50" s="175">
        <v>15</v>
      </c>
      <c r="J50" s="175">
        <f t="shared" si="8"/>
        <v>17.399999999999999</v>
      </c>
    </row>
    <row r="51" spans="2:10" ht="20.100000000000001" customHeight="1" x14ac:dyDescent="0.25">
      <c r="B51" s="548" t="s">
        <v>20</v>
      </c>
      <c r="C51" s="548"/>
      <c r="D51" s="548"/>
      <c r="E51" s="548"/>
      <c r="F51" s="548"/>
      <c r="G51" s="175">
        <f t="shared" si="6"/>
        <v>5.5555555555555554</v>
      </c>
      <c r="H51" s="175">
        <f t="shared" si="7"/>
        <v>6.4444444444444438</v>
      </c>
      <c r="I51" s="175">
        <v>5</v>
      </c>
      <c r="J51" s="175">
        <f t="shared" si="8"/>
        <v>5.8</v>
      </c>
    </row>
    <row r="52" spans="2:10" ht="20.100000000000001" customHeight="1" x14ac:dyDescent="0.25">
      <c r="B52" s="548" t="s">
        <v>21</v>
      </c>
      <c r="C52" s="548"/>
      <c r="D52" s="548"/>
      <c r="E52" s="548"/>
      <c r="F52" s="548"/>
      <c r="G52" s="175">
        <f t="shared" si="6"/>
        <v>12.222222222222221</v>
      </c>
      <c r="H52" s="175">
        <f t="shared" si="7"/>
        <v>14.177777777777775</v>
      </c>
      <c r="I52" s="175">
        <v>11</v>
      </c>
      <c r="J52" s="175">
        <f t="shared" si="8"/>
        <v>12.76</v>
      </c>
    </row>
    <row r="53" spans="2:10" ht="20.100000000000001" customHeight="1" x14ac:dyDescent="0.25">
      <c r="B53" s="548" t="s">
        <v>22</v>
      </c>
      <c r="C53" s="548"/>
      <c r="D53" s="548"/>
      <c r="E53" s="548"/>
      <c r="F53" s="548"/>
      <c r="G53" s="175">
        <f t="shared" si="6"/>
        <v>12.222222222222221</v>
      </c>
      <c r="H53" s="175">
        <f t="shared" si="7"/>
        <v>14.177777777777775</v>
      </c>
      <c r="I53" s="175">
        <v>11</v>
      </c>
      <c r="J53" s="175">
        <f t="shared" si="8"/>
        <v>12.76</v>
      </c>
    </row>
    <row r="54" spans="2:10" ht="20.100000000000001" customHeight="1" x14ac:dyDescent="0.25">
      <c r="B54" s="548" t="s">
        <v>23</v>
      </c>
      <c r="C54" s="548"/>
      <c r="D54" s="548"/>
      <c r="E54" s="548"/>
      <c r="F54" s="548"/>
      <c r="G54" s="175">
        <f t="shared" si="6"/>
        <v>4.4444444444444446</v>
      </c>
      <c r="H54" s="175">
        <f t="shared" si="7"/>
        <v>5.155555555555555</v>
      </c>
      <c r="I54" s="175">
        <v>4</v>
      </c>
      <c r="J54" s="175">
        <f t="shared" si="8"/>
        <v>4.6399999999999997</v>
      </c>
    </row>
    <row r="55" spans="2:10" ht="20.100000000000001" customHeight="1" x14ac:dyDescent="0.25">
      <c r="B55" s="548" t="s">
        <v>24</v>
      </c>
      <c r="C55" s="548"/>
      <c r="D55" s="548"/>
      <c r="E55" s="548"/>
      <c r="F55" s="548"/>
      <c r="G55" s="175">
        <f t="shared" si="6"/>
        <v>8.8888888888888893</v>
      </c>
      <c r="H55" s="175">
        <f t="shared" si="7"/>
        <v>10.31111111111111</v>
      </c>
      <c r="I55" s="175">
        <v>8</v>
      </c>
      <c r="J55" s="175">
        <f t="shared" si="8"/>
        <v>9.2799999999999994</v>
      </c>
    </row>
    <row r="56" spans="2:10" ht="20.100000000000001" customHeight="1" x14ac:dyDescent="0.25">
      <c r="B56" s="548" t="s">
        <v>25</v>
      </c>
      <c r="C56" s="548"/>
      <c r="D56" s="548"/>
      <c r="E56" s="548"/>
      <c r="F56" s="548"/>
      <c r="G56" s="175" t="s">
        <v>516</v>
      </c>
      <c r="H56" s="175" t="s">
        <v>516</v>
      </c>
      <c r="I56" s="175" t="s">
        <v>516</v>
      </c>
      <c r="J56" s="175" t="s">
        <v>516</v>
      </c>
    </row>
    <row r="57" spans="2:10" ht="20.100000000000001" customHeight="1" x14ac:dyDescent="0.25">
      <c r="B57" s="548" t="s">
        <v>36</v>
      </c>
      <c r="C57" s="548"/>
      <c r="D57" s="548"/>
      <c r="E57" s="548"/>
      <c r="F57" s="548"/>
      <c r="G57" s="175">
        <f t="shared" si="6"/>
        <v>7.7777777777777777</v>
      </c>
      <c r="H57" s="175">
        <f t="shared" si="7"/>
        <v>9.0222222222222221</v>
      </c>
      <c r="I57" s="175">
        <v>7</v>
      </c>
      <c r="J57" s="175">
        <f t="shared" si="8"/>
        <v>8.1199999999999992</v>
      </c>
    </row>
    <row r="58" spans="2:10" ht="20.100000000000001" customHeight="1" x14ac:dyDescent="0.25">
      <c r="B58" s="548" t="s">
        <v>38</v>
      </c>
      <c r="C58" s="548"/>
      <c r="D58" s="548"/>
      <c r="E58" s="548"/>
      <c r="F58" s="548"/>
      <c r="G58" s="175">
        <f t="shared" si="6"/>
        <v>14.444444444444445</v>
      </c>
      <c r="H58" s="175">
        <f t="shared" si="7"/>
        <v>16.755555555555553</v>
      </c>
      <c r="I58" s="175">
        <v>13</v>
      </c>
      <c r="J58" s="175">
        <f t="shared" si="8"/>
        <v>15.079999999999998</v>
      </c>
    </row>
    <row r="59" spans="2:10" ht="20.100000000000001" customHeight="1" x14ac:dyDescent="0.25">
      <c r="B59" s="548" t="s">
        <v>39</v>
      </c>
      <c r="C59" s="548"/>
      <c r="D59" s="548"/>
      <c r="E59" s="548"/>
      <c r="F59" s="548"/>
      <c r="G59" s="175">
        <f t="shared" si="6"/>
        <v>20</v>
      </c>
      <c r="H59" s="175">
        <f t="shared" si="7"/>
        <v>23.2</v>
      </c>
      <c r="I59" s="175">
        <v>18</v>
      </c>
      <c r="J59" s="175">
        <f t="shared" si="8"/>
        <v>20.88</v>
      </c>
    </row>
    <row r="60" spans="2:10" ht="20.100000000000001" customHeight="1" x14ac:dyDescent="0.25">
      <c r="B60" s="548" t="s">
        <v>372</v>
      </c>
      <c r="C60" s="548"/>
      <c r="D60" s="548"/>
      <c r="E60" s="548"/>
      <c r="F60" s="548"/>
      <c r="G60" s="175">
        <f t="shared" si="6"/>
        <v>10</v>
      </c>
      <c r="H60" s="175">
        <f t="shared" si="7"/>
        <v>11.6</v>
      </c>
      <c r="I60" s="175">
        <v>9</v>
      </c>
      <c r="J60" s="175">
        <f t="shared" si="8"/>
        <v>10.44</v>
      </c>
    </row>
    <row r="61" spans="2:10" ht="20.100000000000001" customHeight="1" x14ac:dyDescent="0.25">
      <c r="B61" s="548" t="s">
        <v>37</v>
      </c>
      <c r="C61" s="548"/>
      <c r="D61" s="548"/>
      <c r="E61" s="548"/>
      <c r="F61" s="548"/>
      <c r="G61" s="175">
        <f t="shared" si="6"/>
        <v>10</v>
      </c>
      <c r="H61" s="175">
        <f t="shared" si="7"/>
        <v>11.6</v>
      </c>
      <c r="I61" s="175">
        <v>9</v>
      </c>
      <c r="J61" s="175">
        <f t="shared" si="8"/>
        <v>10.44</v>
      </c>
    </row>
    <row r="64" spans="2:10" ht="18.75" x14ac:dyDescent="0.25">
      <c r="B64" s="552" t="s">
        <v>2</v>
      </c>
      <c r="C64" s="552"/>
      <c r="D64" s="552"/>
      <c r="E64" s="552"/>
      <c r="F64" s="552"/>
    </row>
    <row r="65" spans="2:7" x14ac:dyDescent="0.25">
      <c r="B65" s="548" t="s">
        <v>49</v>
      </c>
      <c r="C65" s="548"/>
      <c r="D65" s="548"/>
      <c r="E65" s="548"/>
      <c r="F65" s="548"/>
      <c r="G65" s="487">
        <v>0</v>
      </c>
    </row>
    <row r="66" spans="2:7" x14ac:dyDescent="0.25">
      <c r="B66" s="548" t="s">
        <v>56</v>
      </c>
      <c r="C66" s="548"/>
      <c r="D66" s="548"/>
      <c r="E66" s="548"/>
      <c r="F66" s="548"/>
      <c r="G66" s="487">
        <v>0</v>
      </c>
    </row>
    <row r="67" spans="2:7" x14ac:dyDescent="0.25">
      <c r="B67" s="548" t="s">
        <v>50</v>
      </c>
      <c r="C67" s="548"/>
      <c r="D67" s="548"/>
      <c r="E67" s="548"/>
      <c r="F67" s="548"/>
      <c r="G67" s="487">
        <v>0</v>
      </c>
    </row>
    <row r="68" spans="2:7" x14ac:dyDescent="0.25">
      <c r="B68" s="548" t="s">
        <v>7</v>
      </c>
      <c r="C68" s="548"/>
      <c r="D68" s="548"/>
      <c r="E68" s="548"/>
      <c r="F68" s="548"/>
      <c r="G68" s="487">
        <v>10</v>
      </c>
    </row>
    <row r="69" spans="2:7" x14ac:dyDescent="0.25">
      <c r="B69" s="548" t="s">
        <v>6</v>
      </c>
      <c r="C69" s="548"/>
      <c r="D69" s="548"/>
      <c r="E69" s="548"/>
      <c r="F69" s="548"/>
      <c r="G69" s="487">
        <v>20</v>
      </c>
    </row>
    <row r="70" spans="2:7" hidden="1" x14ac:dyDescent="0.25">
      <c r="B70" s="548" t="s">
        <v>305</v>
      </c>
      <c r="C70" s="548"/>
      <c r="D70" s="548"/>
      <c r="E70" s="548"/>
      <c r="F70" s="548"/>
      <c r="G70" s="487">
        <v>0</v>
      </c>
    </row>
    <row r="71" spans="2:7" hidden="1" x14ac:dyDescent="0.25">
      <c r="B71" s="548" t="s">
        <v>53</v>
      </c>
      <c r="C71" s="548"/>
      <c r="D71" s="548"/>
      <c r="E71" s="548"/>
      <c r="F71" s="548"/>
      <c r="G71" s="487">
        <v>0</v>
      </c>
    </row>
    <row r="72" spans="2:7" hidden="1" x14ac:dyDescent="0.25">
      <c r="B72" s="548" t="s">
        <v>55</v>
      </c>
      <c r="C72" s="548"/>
      <c r="D72" s="548"/>
      <c r="E72" s="548"/>
      <c r="F72" s="548"/>
      <c r="G72" s="487">
        <v>0</v>
      </c>
    </row>
    <row r="73" spans="2:7" hidden="1" x14ac:dyDescent="0.25">
      <c r="B73" s="548" t="s">
        <v>5</v>
      </c>
      <c r="C73" s="548"/>
      <c r="D73" s="548"/>
      <c r="E73" s="548"/>
      <c r="F73" s="548"/>
      <c r="G73" s="487">
        <v>0</v>
      </c>
    </row>
    <row r="74" spans="2:7" hidden="1" x14ac:dyDescent="0.25">
      <c r="B74" s="548" t="s">
        <v>4</v>
      </c>
      <c r="C74" s="548"/>
      <c r="D74" s="548"/>
      <c r="E74" s="548"/>
      <c r="F74" s="548"/>
      <c r="G74" s="487">
        <v>0</v>
      </c>
    </row>
    <row r="75" spans="2:7" hidden="1" x14ac:dyDescent="0.25">
      <c r="B75" s="548" t="s">
        <v>12</v>
      </c>
      <c r="C75" s="548"/>
      <c r="D75" s="548"/>
      <c r="E75" s="548"/>
      <c r="F75" s="548"/>
      <c r="G75" s="487">
        <v>0</v>
      </c>
    </row>
    <row r="76" spans="2:7" x14ac:dyDescent="0.25">
      <c r="B76" s="548" t="s">
        <v>271</v>
      </c>
      <c r="C76" s="548"/>
      <c r="D76" s="548"/>
      <c r="E76" s="548"/>
      <c r="F76" s="548"/>
      <c r="G76" s="487">
        <v>120</v>
      </c>
    </row>
    <row r="77" spans="2:7" hidden="1" x14ac:dyDescent="0.25">
      <c r="B77" s="548" t="s">
        <v>52</v>
      </c>
      <c r="C77" s="548"/>
      <c r="D77" s="548"/>
      <c r="E77" s="548"/>
      <c r="F77" s="548"/>
      <c r="G77" s="487">
        <v>0</v>
      </c>
    </row>
    <row r="78" spans="2:7" hidden="1" x14ac:dyDescent="0.25">
      <c r="B78" s="548" t="s">
        <v>107</v>
      </c>
      <c r="C78" s="548"/>
      <c r="D78" s="548"/>
      <c r="E78" s="548"/>
      <c r="F78" s="548"/>
      <c r="G78" s="487">
        <v>0</v>
      </c>
    </row>
    <row r="79" spans="2:7" hidden="1" x14ac:dyDescent="0.25">
      <c r="B79" s="548" t="s">
        <v>108</v>
      </c>
      <c r="C79" s="548"/>
      <c r="D79" s="548"/>
      <c r="E79" s="548"/>
      <c r="F79" s="548"/>
      <c r="G79" s="487">
        <v>0</v>
      </c>
    </row>
    <row r="80" spans="2:7" hidden="1" x14ac:dyDescent="0.25">
      <c r="B80" s="548" t="s">
        <v>106</v>
      </c>
      <c r="C80" s="548"/>
      <c r="D80" s="548"/>
      <c r="E80" s="548"/>
      <c r="F80" s="548"/>
      <c r="G80" s="487">
        <v>0</v>
      </c>
    </row>
    <row r="81" spans="2:7" hidden="1" x14ac:dyDescent="0.25">
      <c r="B81" s="548" t="s">
        <v>109</v>
      </c>
      <c r="C81" s="548"/>
      <c r="D81" s="548"/>
      <c r="E81" s="548"/>
      <c r="F81" s="548"/>
      <c r="G81" s="487">
        <v>0</v>
      </c>
    </row>
    <row r="82" spans="2:7" x14ac:dyDescent="0.25">
      <c r="B82" s="548" t="s">
        <v>11</v>
      </c>
      <c r="C82" s="548"/>
      <c r="D82" s="548"/>
      <c r="E82" s="548"/>
      <c r="F82" s="548"/>
      <c r="G82" s="487">
        <v>20</v>
      </c>
    </row>
    <row r="83" spans="2:7" hidden="1" x14ac:dyDescent="0.25">
      <c r="B83" s="548" t="s">
        <v>10</v>
      </c>
      <c r="C83" s="548"/>
      <c r="D83" s="548"/>
      <c r="E83" s="548"/>
      <c r="F83" s="548"/>
      <c r="G83" s="487">
        <v>0</v>
      </c>
    </row>
    <row r="84" spans="2:7" hidden="1" x14ac:dyDescent="0.25">
      <c r="B84" s="548" t="s">
        <v>9</v>
      </c>
      <c r="C84" s="548"/>
      <c r="D84" s="548"/>
      <c r="E84" s="548"/>
      <c r="F84" s="548"/>
      <c r="G84" s="487">
        <v>0</v>
      </c>
    </row>
    <row r="85" spans="2:7" x14ac:dyDescent="0.25">
      <c r="B85" s="548" t="s">
        <v>8</v>
      </c>
      <c r="C85" s="548"/>
      <c r="D85" s="548"/>
      <c r="E85" s="548"/>
      <c r="F85" s="548"/>
      <c r="G85" s="487">
        <v>20</v>
      </c>
    </row>
    <row r="86" spans="2:7" x14ac:dyDescent="0.25">
      <c r="B86" s="548" t="s">
        <v>57</v>
      </c>
      <c r="C86" s="548"/>
      <c r="D86" s="548"/>
      <c r="E86" s="548"/>
      <c r="F86" s="548"/>
      <c r="G86" s="487">
        <v>20</v>
      </c>
    </row>
    <row r="87" spans="2:7" x14ac:dyDescent="0.25">
      <c r="B87" s="548" t="s">
        <v>51</v>
      </c>
      <c r="C87" s="548"/>
      <c r="D87" s="548"/>
      <c r="E87" s="548"/>
      <c r="F87" s="548"/>
      <c r="G87" s="487">
        <v>0</v>
      </c>
    </row>
  </sheetData>
  <mergeCells count="90">
    <mergeCell ref="B84:F84"/>
    <mergeCell ref="B85:F85"/>
    <mergeCell ref="B86:F86"/>
    <mergeCell ref="B87:F87"/>
    <mergeCell ref="B79:F79"/>
    <mergeCell ref="B80:F80"/>
    <mergeCell ref="B81:F81"/>
    <mergeCell ref="B82:F82"/>
    <mergeCell ref="B83:F83"/>
    <mergeCell ref="B74:F74"/>
    <mergeCell ref="B75:F75"/>
    <mergeCell ref="B76:F76"/>
    <mergeCell ref="B77:F77"/>
    <mergeCell ref="B78:F78"/>
    <mergeCell ref="B69:F69"/>
    <mergeCell ref="B70:F70"/>
    <mergeCell ref="B71:F71"/>
    <mergeCell ref="B72:F72"/>
    <mergeCell ref="B73:F73"/>
    <mergeCell ref="B64:F64"/>
    <mergeCell ref="B65:F65"/>
    <mergeCell ref="B66:F66"/>
    <mergeCell ref="B67:F67"/>
    <mergeCell ref="B68:F68"/>
    <mergeCell ref="B60:F60"/>
    <mergeCell ref="B61:F61"/>
    <mergeCell ref="B27:F27"/>
    <mergeCell ref="B54:F54"/>
    <mergeCell ref="B55:F55"/>
    <mergeCell ref="B56:F56"/>
    <mergeCell ref="B57:F57"/>
    <mergeCell ref="B58:F58"/>
    <mergeCell ref="B59:F59"/>
    <mergeCell ref="B48:F48"/>
    <mergeCell ref="B49:F49"/>
    <mergeCell ref="B50:F50"/>
    <mergeCell ref="B51:F51"/>
    <mergeCell ref="B52:F52"/>
    <mergeCell ref="B53:F53"/>
    <mergeCell ref="B42:F42"/>
    <mergeCell ref="B43:F43"/>
    <mergeCell ref="B44:F44"/>
    <mergeCell ref="B45:F45"/>
    <mergeCell ref="B46:F46"/>
    <mergeCell ref="B47:F47"/>
    <mergeCell ref="B41:F41"/>
    <mergeCell ref="B30:F30"/>
    <mergeCell ref="B31:F3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29:F29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8:F28"/>
    <mergeCell ref="B11:F11"/>
    <mergeCell ref="B12:F12"/>
    <mergeCell ref="B13:F13"/>
    <mergeCell ref="B14:F14"/>
    <mergeCell ref="B15:F15"/>
    <mergeCell ref="B2:F2"/>
    <mergeCell ref="B5:F5"/>
    <mergeCell ref="B6:F6"/>
    <mergeCell ref="B7:F7"/>
    <mergeCell ref="B8:F8"/>
    <mergeCell ref="L3:P3"/>
    <mergeCell ref="L4:P4"/>
    <mergeCell ref="B10:F10"/>
    <mergeCell ref="B3:F3"/>
    <mergeCell ref="B4:F4"/>
    <mergeCell ref="B9:F9"/>
    <mergeCell ref="L8:P8"/>
    <mergeCell ref="L9:P9"/>
    <mergeCell ref="L7:P7"/>
    <mergeCell ref="L5:P5"/>
    <mergeCell ref="L6:P6"/>
  </mergeCells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workbookViewId="0">
      <selection activeCell="G27" sqref="G27"/>
    </sheetView>
  </sheetViews>
  <sheetFormatPr baseColWidth="10" defaultRowHeight="15" x14ac:dyDescent="0.25"/>
  <sheetData>
    <row r="2" spans="2:9" x14ac:dyDescent="0.25">
      <c r="C2" s="6" t="s">
        <v>220</v>
      </c>
      <c r="D2" s="6"/>
      <c r="E2" s="12"/>
      <c r="F2" s="12"/>
      <c r="G2" s="12"/>
      <c r="H2" s="6"/>
      <c r="I2" s="6"/>
    </row>
    <row r="3" spans="2:9" x14ac:dyDescent="0.25">
      <c r="B3">
        <v>1</v>
      </c>
      <c r="C3" s="9" t="s">
        <v>221</v>
      </c>
      <c r="D3" s="9"/>
      <c r="E3" s="12"/>
      <c r="F3" s="12"/>
      <c r="G3" s="12"/>
      <c r="H3" s="9"/>
      <c r="I3">
        <v>50</v>
      </c>
    </row>
    <row r="4" spans="2:9" x14ac:dyDescent="0.25">
      <c r="B4">
        <v>1</v>
      </c>
      <c r="C4" s="9" t="s">
        <v>222</v>
      </c>
      <c r="D4" s="9"/>
      <c r="E4" s="12"/>
      <c r="F4" s="12"/>
      <c r="G4" s="12"/>
      <c r="H4" s="9"/>
      <c r="I4">
        <v>19</v>
      </c>
    </row>
    <row r="5" spans="2:9" x14ac:dyDescent="0.25">
      <c r="B5">
        <v>2</v>
      </c>
      <c r="C5" s="9" t="s">
        <v>223</v>
      </c>
      <c r="D5" s="9"/>
      <c r="E5" s="12"/>
      <c r="F5" s="12"/>
      <c r="G5" s="12"/>
      <c r="H5" s="9"/>
      <c r="I5">
        <v>25</v>
      </c>
    </row>
    <row r="6" spans="2:9" x14ac:dyDescent="0.25">
      <c r="B6">
        <v>2</v>
      </c>
      <c r="C6" s="9" t="s">
        <v>224</v>
      </c>
      <c r="D6" s="9"/>
      <c r="E6" s="12"/>
      <c r="F6" s="12"/>
      <c r="G6" s="12"/>
      <c r="H6" s="9"/>
      <c r="I6">
        <v>5</v>
      </c>
    </row>
    <row r="7" spans="2:9" x14ac:dyDescent="0.25">
      <c r="B7" t="s">
        <v>239</v>
      </c>
      <c r="C7" s="9" t="s">
        <v>225</v>
      </c>
      <c r="D7" s="9"/>
      <c r="E7" s="12"/>
      <c r="F7" s="12"/>
      <c r="G7" s="12"/>
      <c r="H7" s="9"/>
      <c r="I7">
        <v>80</v>
      </c>
    </row>
    <row r="8" spans="2:9" x14ac:dyDescent="0.25">
      <c r="B8" t="s">
        <v>239</v>
      </c>
      <c r="C8" s="9" t="s">
        <v>226</v>
      </c>
      <c r="D8" s="9"/>
      <c r="E8" s="12"/>
      <c r="F8" s="12"/>
      <c r="G8" s="12"/>
      <c r="H8" s="9"/>
      <c r="I8">
        <v>30</v>
      </c>
    </row>
    <row r="9" spans="2:9" x14ac:dyDescent="0.25">
      <c r="B9" t="s">
        <v>239</v>
      </c>
      <c r="C9" s="9" t="s">
        <v>227</v>
      </c>
      <c r="D9" s="9"/>
      <c r="E9" s="12"/>
      <c r="F9" s="12"/>
      <c r="G9" s="12"/>
      <c r="H9" s="9"/>
      <c r="I9">
        <v>17</v>
      </c>
    </row>
    <row r="10" spans="2:9" x14ac:dyDescent="0.25">
      <c r="B10" t="s">
        <v>239</v>
      </c>
      <c r="C10" s="9" t="s">
        <v>228</v>
      </c>
      <c r="D10" s="9"/>
      <c r="E10" s="12"/>
      <c r="F10" s="12"/>
      <c r="G10" s="12"/>
      <c r="H10" s="9"/>
      <c r="I10">
        <v>18</v>
      </c>
    </row>
    <row r="11" spans="2:9" x14ac:dyDescent="0.25">
      <c r="B11" t="s">
        <v>239</v>
      </c>
      <c r="C11" s="9" t="s">
        <v>229</v>
      </c>
      <c r="D11" s="9"/>
      <c r="E11" s="12"/>
      <c r="F11" s="12"/>
      <c r="G11" s="12"/>
      <c r="H11" s="9"/>
      <c r="I11">
        <v>12</v>
      </c>
    </row>
    <row r="12" spans="2:9" x14ac:dyDescent="0.25">
      <c r="B12" t="s">
        <v>239</v>
      </c>
      <c r="C12" s="9" t="s">
        <v>230</v>
      </c>
      <c r="D12" s="9"/>
      <c r="H12" s="9"/>
      <c r="I12">
        <v>20</v>
      </c>
    </row>
    <row r="13" spans="2:9" x14ac:dyDescent="0.25">
      <c r="B13" t="s">
        <v>239</v>
      </c>
      <c r="C13" s="9" t="s">
        <v>231</v>
      </c>
      <c r="D13" s="9"/>
      <c r="E13" s="6"/>
      <c r="F13" s="6"/>
      <c r="G13" s="6"/>
      <c r="H13" s="9"/>
      <c r="I13">
        <v>10</v>
      </c>
    </row>
    <row r="14" spans="2:9" x14ac:dyDescent="0.25">
      <c r="B14" t="s">
        <v>239</v>
      </c>
      <c r="C14" s="9" t="s">
        <v>232</v>
      </c>
      <c r="D14" s="9"/>
      <c r="E14" s="9"/>
      <c r="F14" s="9"/>
      <c r="G14" s="9"/>
      <c r="H14" s="9"/>
      <c r="I14">
        <v>5</v>
      </c>
    </row>
    <row r="15" spans="2:9" x14ac:dyDescent="0.25">
      <c r="B15">
        <v>3</v>
      </c>
      <c r="C15" s="9" t="s">
        <v>233</v>
      </c>
      <c r="D15" s="9"/>
      <c r="E15" s="9"/>
      <c r="F15" s="9"/>
      <c r="G15" s="9"/>
      <c r="H15" s="9"/>
      <c r="I15">
        <v>20</v>
      </c>
    </row>
    <row r="16" spans="2:9" x14ac:dyDescent="0.25">
      <c r="B16">
        <v>3</v>
      </c>
      <c r="C16" s="9" t="s">
        <v>234</v>
      </c>
      <c r="D16" s="9"/>
      <c r="E16" s="9"/>
      <c r="F16" s="9"/>
      <c r="G16" s="9"/>
      <c r="H16" s="9"/>
      <c r="I16">
        <v>25</v>
      </c>
    </row>
    <row r="17" spans="2:9" x14ac:dyDescent="0.25">
      <c r="B17">
        <v>4</v>
      </c>
      <c r="C17" s="9" t="s">
        <v>235</v>
      </c>
      <c r="D17" s="9"/>
      <c r="E17" s="9"/>
      <c r="F17" s="9"/>
      <c r="G17" s="9"/>
      <c r="H17" s="9"/>
      <c r="I17">
        <v>10</v>
      </c>
    </row>
    <row r="18" spans="2:9" x14ac:dyDescent="0.25">
      <c r="B18">
        <v>4</v>
      </c>
      <c r="C18" s="9" t="s">
        <v>236</v>
      </c>
      <c r="D18" s="9"/>
      <c r="E18" s="9"/>
      <c r="F18" s="9"/>
      <c r="G18" s="9"/>
      <c r="H18" s="9"/>
      <c r="I18">
        <v>7</v>
      </c>
    </row>
    <row r="19" spans="2:9" x14ac:dyDescent="0.25">
      <c r="B19">
        <v>3</v>
      </c>
      <c r="C19" s="9" t="s">
        <v>237</v>
      </c>
      <c r="D19" s="9"/>
      <c r="E19" s="9"/>
      <c r="F19" s="9"/>
      <c r="G19" s="9"/>
      <c r="H19" s="9"/>
      <c r="I19">
        <v>10</v>
      </c>
    </row>
    <row r="20" spans="2:9" x14ac:dyDescent="0.25">
      <c r="B20" t="s">
        <v>239</v>
      </c>
      <c r="C20" s="12" t="s">
        <v>238</v>
      </c>
      <c r="D20" s="12"/>
      <c r="E20" s="9"/>
      <c r="F20" s="9"/>
      <c r="G20" s="9"/>
      <c r="H20" s="12"/>
      <c r="I2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D406"/>
  <sheetViews>
    <sheetView topLeftCell="C1" zoomScale="70" zoomScaleNormal="70" workbookViewId="0">
      <selection activeCell="N251" sqref="N251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27" t="s">
        <v>86</v>
      </c>
      <c r="B1" s="627"/>
      <c r="C1" s="627"/>
      <c r="D1" s="627"/>
      <c r="E1" s="627"/>
      <c r="F1" s="627"/>
      <c r="G1" s="627"/>
      <c r="H1" s="627"/>
      <c r="I1" s="627"/>
      <c r="J1" s="627"/>
      <c r="K1" s="627"/>
      <c r="L1" s="627"/>
      <c r="M1" s="627"/>
      <c r="N1" s="627"/>
      <c r="O1" s="627"/>
      <c r="P1" s="627"/>
      <c r="Q1" s="627"/>
      <c r="R1" s="627"/>
      <c r="S1" s="627"/>
      <c r="T1" s="627"/>
      <c r="U1" s="627"/>
      <c r="V1" s="627"/>
      <c r="W1" s="627"/>
      <c r="X1" s="627"/>
      <c r="Y1" s="627"/>
      <c r="Z1" s="627"/>
      <c r="AA1" s="627"/>
      <c r="AB1" s="627"/>
      <c r="AC1" s="627"/>
      <c r="AD1" s="627"/>
      <c r="AE1" s="627"/>
      <c r="AF1" s="627"/>
      <c r="AG1" s="627"/>
      <c r="AH1" s="627"/>
      <c r="AI1" s="627"/>
      <c r="AJ1" s="627"/>
      <c r="AK1" s="627"/>
      <c r="AL1" s="627"/>
      <c r="AM1" s="627"/>
      <c r="AN1" s="627"/>
      <c r="AO1" s="627"/>
      <c r="AP1" s="627"/>
      <c r="AQ1" s="627"/>
      <c r="AR1" s="627"/>
      <c r="AS1" s="627"/>
      <c r="AT1" s="627"/>
      <c r="AU1" s="627"/>
      <c r="AV1" s="627"/>
      <c r="AW1" s="627"/>
      <c r="AX1" s="627"/>
      <c r="AY1" s="627"/>
      <c r="AZ1" s="627"/>
      <c r="BA1" s="627"/>
      <c r="BB1" s="627"/>
      <c r="BC1" s="627"/>
      <c r="BD1" s="627"/>
      <c r="BE1" s="627"/>
      <c r="BF1" s="627"/>
      <c r="BG1" s="627"/>
      <c r="BH1" s="627"/>
      <c r="BI1" s="627"/>
      <c r="BJ1" s="627"/>
      <c r="BK1" s="627"/>
      <c r="BL1" s="627"/>
      <c r="BM1" s="627"/>
      <c r="BN1" s="627"/>
      <c r="BO1" s="627"/>
      <c r="BP1" s="627"/>
      <c r="BQ1" s="627"/>
      <c r="BR1" s="627"/>
      <c r="BS1" s="627"/>
      <c r="BT1" s="627"/>
      <c r="BU1" s="627"/>
      <c r="BV1" s="627"/>
      <c r="BW1" s="627"/>
      <c r="BX1" s="627"/>
      <c r="BY1" s="627"/>
      <c r="BZ1" s="627"/>
      <c r="CA1" s="627"/>
      <c r="CB1" s="627"/>
      <c r="CC1" s="627"/>
      <c r="CD1" s="627"/>
      <c r="CE1" s="627"/>
      <c r="CF1" s="627"/>
      <c r="CG1" s="627"/>
      <c r="CH1" s="627"/>
      <c r="CI1" s="627"/>
      <c r="CJ1" s="627"/>
      <c r="CK1" s="627"/>
      <c r="CL1" s="627"/>
      <c r="CM1" s="627"/>
      <c r="CN1" s="627"/>
      <c r="CO1" s="627"/>
      <c r="CP1" s="627"/>
      <c r="CQ1" s="627"/>
      <c r="CR1" s="627"/>
      <c r="CS1" s="627"/>
      <c r="CT1" s="627"/>
      <c r="CU1" s="627"/>
      <c r="CV1" s="627"/>
      <c r="CW1" s="627"/>
      <c r="CX1" s="627"/>
      <c r="CY1" s="627"/>
      <c r="CZ1" s="627"/>
      <c r="DA1" s="627"/>
      <c r="DB1" s="627"/>
      <c r="DC1" s="627"/>
      <c r="DD1" s="627"/>
      <c r="DE1" s="627"/>
      <c r="DF1" s="627"/>
      <c r="DG1" s="627"/>
      <c r="DH1" s="627"/>
      <c r="DI1" s="627"/>
      <c r="DJ1" s="627"/>
      <c r="DK1" s="627"/>
      <c r="DL1" s="627"/>
      <c r="DM1" s="627"/>
      <c r="DN1" s="627"/>
      <c r="DO1" s="627"/>
      <c r="DP1" s="627"/>
      <c r="DQ1" s="627"/>
      <c r="DR1" s="627"/>
      <c r="DS1" s="627"/>
      <c r="DT1" s="627"/>
      <c r="DU1" s="627"/>
      <c r="DV1" s="627"/>
    </row>
    <row r="2" spans="1:394" ht="14.45" customHeight="1" x14ac:dyDescent="0.25">
      <c r="A2" s="627"/>
      <c r="B2" s="627"/>
      <c r="C2" s="627"/>
      <c r="D2" s="627"/>
      <c r="E2" s="627"/>
      <c r="F2" s="627"/>
      <c r="G2" s="627"/>
      <c r="H2" s="627"/>
      <c r="I2" s="627"/>
      <c r="J2" s="627"/>
      <c r="K2" s="627"/>
      <c r="L2" s="627"/>
      <c r="M2" s="627"/>
      <c r="N2" s="627"/>
      <c r="O2" s="627"/>
      <c r="P2" s="627"/>
      <c r="Q2" s="627"/>
      <c r="R2" s="627"/>
      <c r="S2" s="627"/>
      <c r="T2" s="627"/>
      <c r="U2" s="627"/>
      <c r="V2" s="627"/>
      <c r="W2" s="627"/>
      <c r="X2" s="627"/>
      <c r="Y2" s="627"/>
      <c r="Z2" s="627"/>
      <c r="AA2" s="627"/>
      <c r="AB2" s="627"/>
      <c r="AC2" s="627"/>
      <c r="AD2" s="627"/>
      <c r="AE2" s="627"/>
      <c r="AF2" s="627"/>
      <c r="AG2" s="627"/>
      <c r="AH2" s="627"/>
      <c r="AI2" s="627"/>
      <c r="AJ2" s="627"/>
      <c r="AK2" s="627"/>
      <c r="AL2" s="627"/>
      <c r="AM2" s="627"/>
      <c r="AN2" s="627"/>
      <c r="AO2" s="627"/>
      <c r="AP2" s="627"/>
      <c r="AQ2" s="627"/>
      <c r="AR2" s="627"/>
      <c r="AS2" s="627"/>
      <c r="AT2" s="627"/>
      <c r="AU2" s="627"/>
      <c r="AV2" s="627"/>
      <c r="AW2" s="627"/>
      <c r="AX2" s="627"/>
      <c r="AY2" s="627"/>
      <c r="AZ2" s="627"/>
      <c r="BA2" s="627"/>
      <c r="BB2" s="627"/>
      <c r="BC2" s="627"/>
      <c r="BD2" s="627"/>
      <c r="BE2" s="627"/>
      <c r="BF2" s="627"/>
      <c r="BG2" s="627"/>
      <c r="BH2" s="627"/>
      <c r="BI2" s="627"/>
      <c r="BJ2" s="627"/>
      <c r="BK2" s="627"/>
      <c r="BL2" s="627"/>
      <c r="BM2" s="627"/>
      <c r="BN2" s="627"/>
      <c r="BO2" s="627"/>
      <c r="BP2" s="627"/>
      <c r="BQ2" s="627"/>
      <c r="BR2" s="627"/>
      <c r="BS2" s="627"/>
      <c r="BT2" s="627"/>
      <c r="BU2" s="627"/>
      <c r="BV2" s="627"/>
      <c r="BW2" s="627"/>
      <c r="BX2" s="627"/>
      <c r="BY2" s="627"/>
      <c r="BZ2" s="627"/>
      <c r="CA2" s="627"/>
      <c r="CB2" s="627"/>
      <c r="CC2" s="627"/>
      <c r="CD2" s="627"/>
      <c r="CE2" s="627"/>
      <c r="CF2" s="627"/>
      <c r="CG2" s="627"/>
      <c r="CH2" s="627"/>
      <c r="CI2" s="627"/>
      <c r="CJ2" s="627"/>
      <c r="CK2" s="627"/>
      <c r="CL2" s="627"/>
      <c r="CM2" s="627"/>
      <c r="CN2" s="627"/>
      <c r="CO2" s="627"/>
      <c r="CP2" s="627"/>
      <c r="CQ2" s="627"/>
      <c r="CR2" s="627"/>
      <c r="CS2" s="627"/>
      <c r="CT2" s="627"/>
      <c r="CU2" s="627"/>
      <c r="CV2" s="627"/>
      <c r="CW2" s="627"/>
      <c r="CX2" s="627"/>
      <c r="CY2" s="627"/>
      <c r="CZ2" s="627"/>
      <c r="DA2" s="627"/>
      <c r="DB2" s="627"/>
      <c r="DC2" s="627"/>
      <c r="DD2" s="627"/>
      <c r="DE2" s="627"/>
      <c r="DF2" s="627"/>
      <c r="DG2" s="627"/>
      <c r="DH2" s="627"/>
      <c r="DI2" s="627"/>
      <c r="DJ2" s="627"/>
      <c r="DK2" s="627"/>
      <c r="DL2" s="627"/>
      <c r="DM2" s="627"/>
      <c r="DN2" s="627"/>
      <c r="DO2" s="627"/>
      <c r="DP2" s="627"/>
      <c r="DQ2" s="627"/>
      <c r="DR2" s="627"/>
      <c r="DS2" s="627"/>
      <c r="DT2" s="627"/>
      <c r="DU2" s="627"/>
      <c r="DV2" s="627"/>
    </row>
    <row r="3" spans="1:394" x14ac:dyDescent="0.25">
      <c r="A3" s="627"/>
      <c r="B3" s="627"/>
      <c r="C3" s="627"/>
      <c r="D3" s="627"/>
      <c r="E3" s="627"/>
      <c r="F3" s="627"/>
      <c r="G3" s="627"/>
      <c r="H3" s="627"/>
      <c r="I3" s="627"/>
      <c r="J3" s="627"/>
      <c r="K3" s="627"/>
      <c r="L3" s="627"/>
      <c r="M3" s="627"/>
      <c r="N3" s="627"/>
      <c r="O3" s="627"/>
      <c r="P3" s="627"/>
      <c r="Q3" s="627"/>
      <c r="R3" s="627"/>
      <c r="S3" s="627"/>
      <c r="T3" s="627"/>
      <c r="U3" s="627"/>
      <c r="V3" s="627"/>
      <c r="W3" s="627"/>
      <c r="X3" s="627"/>
      <c r="Y3" s="627"/>
      <c r="Z3" s="627"/>
      <c r="AA3" s="627"/>
      <c r="AB3" s="627"/>
      <c r="AC3" s="627"/>
      <c r="AD3" s="627"/>
      <c r="AE3" s="627"/>
      <c r="AF3" s="627"/>
      <c r="AG3" s="627"/>
      <c r="AH3" s="627"/>
      <c r="AI3" s="627"/>
      <c r="AJ3" s="627"/>
      <c r="AK3" s="627"/>
      <c r="AL3" s="627"/>
      <c r="AM3" s="627"/>
      <c r="AN3" s="627"/>
      <c r="AO3" s="627"/>
      <c r="AP3" s="627"/>
      <c r="AQ3" s="627"/>
      <c r="AR3" s="627"/>
      <c r="AS3" s="627"/>
      <c r="AT3" s="627"/>
      <c r="AU3" s="627"/>
      <c r="AV3" s="627"/>
      <c r="AW3" s="627"/>
      <c r="AX3" s="627"/>
      <c r="AY3" s="627"/>
      <c r="AZ3" s="627"/>
      <c r="BA3" s="627"/>
      <c r="BB3" s="627"/>
      <c r="BC3" s="627"/>
      <c r="BD3" s="627"/>
      <c r="BE3" s="627"/>
      <c r="BF3" s="627"/>
      <c r="BG3" s="627"/>
      <c r="BH3" s="627"/>
      <c r="BI3" s="627"/>
      <c r="BJ3" s="627"/>
      <c r="BK3" s="627"/>
      <c r="BL3" s="627"/>
      <c r="BM3" s="627"/>
      <c r="BN3" s="627"/>
      <c r="BO3" s="627"/>
      <c r="BP3" s="627"/>
      <c r="BQ3" s="627"/>
      <c r="BR3" s="627"/>
      <c r="BS3" s="627"/>
      <c r="BT3" s="627"/>
      <c r="BU3" s="627"/>
      <c r="BV3" s="627"/>
      <c r="BW3" s="627"/>
      <c r="BX3" s="627"/>
      <c r="BY3" s="627"/>
      <c r="BZ3" s="627"/>
      <c r="CA3" s="627"/>
      <c r="CB3" s="627"/>
      <c r="CC3" s="627"/>
      <c r="CD3" s="627"/>
      <c r="CE3" s="627"/>
      <c r="CF3" s="627"/>
      <c r="CG3" s="627"/>
      <c r="CH3" s="627"/>
      <c r="CI3" s="627"/>
      <c r="CJ3" s="627"/>
      <c r="CK3" s="627"/>
      <c r="CL3" s="627"/>
      <c r="CM3" s="627"/>
      <c r="CN3" s="627"/>
      <c r="CO3" s="627"/>
      <c r="CP3" s="627"/>
      <c r="CQ3" s="627"/>
      <c r="CR3" s="627"/>
      <c r="CS3" s="627"/>
      <c r="CT3" s="627"/>
      <c r="CU3" s="627"/>
      <c r="CV3" s="627"/>
      <c r="CW3" s="627"/>
      <c r="CX3" s="627"/>
      <c r="CY3" s="627"/>
      <c r="CZ3" s="627"/>
      <c r="DA3" s="627"/>
      <c r="DB3" s="627"/>
      <c r="DC3" s="627"/>
      <c r="DD3" s="627"/>
      <c r="DE3" s="627"/>
      <c r="DF3" s="627"/>
      <c r="DG3" s="627"/>
      <c r="DH3" s="627"/>
      <c r="DI3" s="627"/>
      <c r="DJ3" s="627"/>
      <c r="DK3" s="627"/>
      <c r="DL3" s="627"/>
      <c r="DM3" s="627"/>
      <c r="DN3" s="627"/>
      <c r="DO3" s="627"/>
      <c r="DP3" s="627"/>
      <c r="DQ3" s="627"/>
      <c r="DR3" s="627"/>
      <c r="DS3" s="627"/>
      <c r="DT3" s="627"/>
      <c r="DU3" s="627"/>
      <c r="DV3" s="627"/>
    </row>
    <row r="4" spans="1:394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58"/>
      <c r="B5" s="7"/>
      <c r="C5" s="504" t="s">
        <v>71</v>
      </c>
      <c r="D5" s="504"/>
      <c r="E5" s="504"/>
      <c r="F5" s="504"/>
      <c r="G5" s="504"/>
      <c r="H5" s="504"/>
      <c r="I5" s="504"/>
      <c r="J5" s="5"/>
      <c r="K5" s="7"/>
      <c r="L5" s="9"/>
      <c r="M5" s="9"/>
      <c r="N5" s="9"/>
      <c r="O5" s="9"/>
      <c r="P5" s="504" t="s">
        <v>60</v>
      </c>
      <c r="Q5" s="504"/>
      <c r="R5" s="504"/>
      <c r="S5" s="504"/>
      <c r="T5" s="504"/>
      <c r="U5" s="504"/>
      <c r="V5" s="504"/>
      <c r="W5" s="7"/>
      <c r="X5" s="9"/>
      <c r="Y5" s="9"/>
      <c r="Z5" s="9"/>
      <c r="AA5" s="9"/>
      <c r="AB5" s="9"/>
      <c r="AC5" s="9"/>
      <c r="AD5" s="9"/>
      <c r="AE5" s="9"/>
      <c r="AF5" s="9"/>
      <c r="AH5" s="573" t="s">
        <v>61</v>
      </c>
      <c r="AI5" s="504"/>
      <c r="AJ5" s="504"/>
      <c r="AK5" s="504"/>
      <c r="AL5" s="504"/>
      <c r="AM5" s="504"/>
      <c r="AN5" s="504"/>
      <c r="AO5" s="7"/>
      <c r="AP5" s="7"/>
      <c r="AQ5" s="7"/>
      <c r="AS5" s="573" t="s">
        <v>62</v>
      </c>
      <c r="AT5" s="504"/>
      <c r="AU5" s="504"/>
      <c r="AV5" s="504"/>
      <c r="AW5" s="504"/>
      <c r="AX5" s="504"/>
      <c r="AY5" s="504"/>
      <c r="AZ5" s="7"/>
      <c r="BG5" s="573" t="s">
        <v>63</v>
      </c>
      <c r="BH5" s="504"/>
      <c r="BI5" s="504"/>
      <c r="BJ5" s="504"/>
      <c r="BK5" s="504"/>
      <c r="BL5" s="504"/>
      <c r="BM5" s="504"/>
      <c r="BN5" s="7"/>
      <c r="BS5" s="573" t="s">
        <v>65</v>
      </c>
      <c r="BT5" s="504"/>
      <c r="BU5" s="504"/>
      <c r="BV5" s="504"/>
      <c r="BW5" s="504"/>
      <c r="BX5" s="504"/>
      <c r="BY5" s="504"/>
      <c r="BZ5" s="7"/>
      <c r="CL5" s="573" t="s">
        <v>69</v>
      </c>
      <c r="CM5" s="504"/>
      <c r="CN5" s="504"/>
      <c r="CO5" s="504"/>
      <c r="CP5" s="504"/>
      <c r="CQ5" s="504"/>
      <c r="CR5" s="504"/>
      <c r="CS5" s="7"/>
      <c r="DD5" s="573" t="s">
        <v>76</v>
      </c>
      <c r="DE5" s="504"/>
      <c r="DF5" s="504"/>
      <c r="DG5" s="504"/>
      <c r="DH5" s="504"/>
      <c r="DI5" s="504"/>
      <c r="DJ5" s="504"/>
      <c r="DX5" s="573" t="s">
        <v>160</v>
      </c>
      <c r="DY5" s="504"/>
      <c r="DZ5" s="504"/>
      <c r="EA5" s="504"/>
      <c r="EB5" s="504"/>
      <c r="EC5" s="504"/>
      <c r="ED5" s="504"/>
      <c r="ER5" s="573" t="s">
        <v>245</v>
      </c>
      <c r="ES5" s="504"/>
      <c r="ET5" s="504"/>
      <c r="EU5" s="504"/>
      <c r="EV5" s="504"/>
      <c r="EW5" s="504"/>
      <c r="EX5" s="504"/>
      <c r="FW5" s="573" t="s">
        <v>254</v>
      </c>
      <c r="FX5" s="504"/>
      <c r="FY5" s="504"/>
      <c r="FZ5" s="504"/>
      <c r="GA5" s="504"/>
      <c r="GB5" s="504"/>
      <c r="GC5" s="504"/>
      <c r="GT5" s="573" t="s">
        <v>273</v>
      </c>
      <c r="GU5" s="504"/>
      <c r="GV5" s="504"/>
      <c r="GW5" s="504"/>
      <c r="GX5" s="504"/>
      <c r="GY5" s="504"/>
      <c r="GZ5" s="504"/>
      <c r="HO5" s="573" t="s">
        <v>272</v>
      </c>
      <c r="HP5" s="504"/>
      <c r="HQ5" s="504"/>
      <c r="HR5" s="504"/>
      <c r="HS5" s="504"/>
      <c r="HT5" s="504"/>
      <c r="HU5" s="504"/>
      <c r="HZ5" s="573" t="s">
        <v>272</v>
      </c>
      <c r="IA5" s="504"/>
      <c r="IB5" s="504"/>
      <c r="IC5" s="504"/>
      <c r="ID5" s="504"/>
      <c r="IE5" s="504"/>
      <c r="IF5" s="504"/>
      <c r="IP5" s="573" t="s">
        <v>295</v>
      </c>
      <c r="IQ5" s="504"/>
      <c r="IR5" s="504"/>
      <c r="IS5" s="504"/>
      <c r="IT5" s="504"/>
      <c r="IU5" s="504"/>
      <c r="IV5" s="504"/>
      <c r="JB5" s="573" t="s">
        <v>317</v>
      </c>
      <c r="JC5" s="504"/>
      <c r="JD5" s="504"/>
      <c r="JE5" s="504"/>
      <c r="JF5" s="504"/>
      <c r="JG5" s="504"/>
      <c r="JH5" s="504"/>
      <c r="KH5" s="573" t="s">
        <v>318</v>
      </c>
      <c r="KI5" s="504"/>
      <c r="KJ5" s="504"/>
      <c r="KK5" s="504"/>
      <c r="KL5" s="504"/>
      <c r="KM5" s="504"/>
      <c r="KN5" s="504"/>
      <c r="KV5" s="573" t="s">
        <v>344</v>
      </c>
      <c r="KW5" s="504"/>
      <c r="KX5" s="504"/>
      <c r="KY5" s="504"/>
      <c r="KZ5" s="504"/>
      <c r="LA5" s="504"/>
      <c r="LB5" s="504"/>
      <c r="LI5" s="573" t="s">
        <v>364</v>
      </c>
      <c r="LJ5" s="504"/>
      <c r="LK5" s="504"/>
      <c r="LL5" s="504"/>
      <c r="LM5" s="504"/>
      <c r="LN5" s="504"/>
      <c r="LO5" s="504"/>
      <c r="MH5" s="573" t="s">
        <v>398</v>
      </c>
      <c r="MI5" s="504"/>
      <c r="MJ5" s="504"/>
      <c r="MK5" s="504"/>
      <c r="ML5" s="504"/>
      <c r="MM5" s="504"/>
      <c r="MN5" s="504"/>
      <c r="NG5" s="573" t="s">
        <v>399</v>
      </c>
      <c r="NH5" s="504"/>
      <c r="NI5" s="504"/>
      <c r="NJ5" s="504"/>
      <c r="NK5" s="504"/>
      <c r="NL5" s="504"/>
      <c r="NM5" s="504"/>
    </row>
    <row r="6" spans="1:394" ht="14.45" customHeight="1" x14ac:dyDescent="0.25">
      <c r="A6" s="58"/>
      <c r="B6" s="7"/>
      <c r="C6" s="504"/>
      <c r="D6" s="504"/>
      <c r="E6" s="504"/>
      <c r="F6" s="504"/>
      <c r="G6" s="504"/>
      <c r="H6" s="504"/>
      <c r="I6" s="504"/>
      <c r="J6" s="5"/>
      <c r="K6" s="7"/>
      <c r="L6" s="9"/>
      <c r="M6" s="9"/>
      <c r="N6" s="9"/>
      <c r="O6" s="9"/>
      <c r="P6" s="504"/>
      <c r="Q6" s="504"/>
      <c r="R6" s="504"/>
      <c r="S6" s="504"/>
      <c r="T6" s="504"/>
      <c r="U6" s="504"/>
      <c r="V6" s="504"/>
      <c r="W6" s="7"/>
      <c r="X6" s="9"/>
      <c r="Y6" s="9"/>
      <c r="Z6" s="9"/>
      <c r="AA6" s="9"/>
      <c r="AB6" s="9"/>
      <c r="AC6" s="9"/>
      <c r="AD6" s="9"/>
      <c r="AE6" s="9"/>
      <c r="AF6" s="9"/>
      <c r="AH6" s="504"/>
      <c r="AI6" s="504"/>
      <c r="AJ6" s="504"/>
      <c r="AK6" s="504"/>
      <c r="AL6" s="504"/>
      <c r="AM6" s="504"/>
      <c r="AN6" s="504"/>
      <c r="AO6" s="7"/>
      <c r="AP6" s="7"/>
      <c r="AQ6" s="7"/>
      <c r="AS6" s="504"/>
      <c r="AT6" s="504"/>
      <c r="AU6" s="504"/>
      <c r="AV6" s="504"/>
      <c r="AW6" s="504"/>
      <c r="AX6" s="504"/>
      <c r="AY6" s="504"/>
      <c r="AZ6" s="7"/>
      <c r="BG6" s="504"/>
      <c r="BH6" s="504"/>
      <c r="BI6" s="504"/>
      <c r="BJ6" s="504"/>
      <c r="BK6" s="504"/>
      <c r="BL6" s="504"/>
      <c r="BM6" s="504"/>
      <c r="BN6" s="7"/>
      <c r="BS6" s="504"/>
      <c r="BT6" s="504"/>
      <c r="BU6" s="504"/>
      <c r="BV6" s="504"/>
      <c r="BW6" s="504"/>
      <c r="BX6" s="504"/>
      <c r="BY6" s="504"/>
      <c r="BZ6" s="7"/>
      <c r="CL6" s="504"/>
      <c r="CM6" s="504"/>
      <c r="CN6" s="504"/>
      <c r="CO6" s="504"/>
      <c r="CP6" s="504"/>
      <c r="CQ6" s="504"/>
      <c r="CR6" s="504"/>
      <c r="CS6" s="7"/>
      <c r="DD6" s="504"/>
      <c r="DE6" s="504"/>
      <c r="DF6" s="504"/>
      <c r="DG6" s="504"/>
      <c r="DH6" s="504"/>
      <c r="DI6" s="504"/>
      <c r="DJ6" s="504"/>
      <c r="DX6" s="504"/>
      <c r="DY6" s="504"/>
      <c r="DZ6" s="504"/>
      <c r="EA6" s="504"/>
      <c r="EB6" s="504"/>
      <c r="EC6" s="504"/>
      <c r="ED6" s="504"/>
      <c r="ER6" s="504"/>
      <c r="ES6" s="504"/>
      <c r="ET6" s="504"/>
      <c r="EU6" s="504"/>
      <c r="EV6" s="504"/>
      <c r="EW6" s="504"/>
      <c r="EX6" s="504"/>
      <c r="FW6" s="504"/>
      <c r="FX6" s="504"/>
      <c r="FY6" s="504"/>
      <c r="FZ6" s="504"/>
      <c r="GA6" s="504"/>
      <c r="GB6" s="504"/>
      <c r="GC6" s="504"/>
      <c r="GT6" s="504"/>
      <c r="GU6" s="504"/>
      <c r="GV6" s="504"/>
      <c r="GW6" s="504"/>
      <c r="GX6" s="504"/>
      <c r="GY6" s="504"/>
      <c r="GZ6" s="504"/>
      <c r="HO6" s="504"/>
      <c r="HP6" s="504"/>
      <c r="HQ6" s="504"/>
      <c r="HR6" s="504"/>
      <c r="HS6" s="504"/>
      <c r="HT6" s="504"/>
      <c r="HU6" s="504"/>
      <c r="HZ6" s="504"/>
      <c r="IA6" s="504"/>
      <c r="IB6" s="504"/>
      <c r="IC6" s="504"/>
      <c r="ID6" s="504"/>
      <c r="IE6" s="504"/>
      <c r="IF6" s="504"/>
      <c r="IP6" s="504"/>
      <c r="IQ6" s="504"/>
      <c r="IR6" s="504"/>
      <c r="IS6" s="504"/>
      <c r="IT6" s="504"/>
      <c r="IU6" s="504"/>
      <c r="IV6" s="504"/>
      <c r="IW6" t="s">
        <v>298</v>
      </c>
      <c r="JB6" s="504"/>
      <c r="JC6" s="504"/>
      <c r="JD6" s="504"/>
      <c r="JE6" s="504"/>
      <c r="JF6" s="504"/>
      <c r="JG6" s="504"/>
      <c r="JH6" s="504"/>
      <c r="KH6" s="504"/>
      <c r="KI6" s="504"/>
      <c r="KJ6" s="504"/>
      <c r="KK6" s="504"/>
      <c r="KL6" s="504"/>
      <c r="KM6" s="504"/>
      <c r="KN6" s="504"/>
      <c r="KV6" s="504"/>
      <c r="KW6" s="504"/>
      <c r="KX6" s="504"/>
      <c r="KY6" s="504"/>
      <c r="KZ6" s="504"/>
      <c r="LA6" s="504"/>
      <c r="LB6" s="504"/>
      <c r="LI6" s="504"/>
      <c r="LJ6" s="504"/>
      <c r="LK6" s="504"/>
      <c r="LL6" s="504"/>
      <c r="LM6" s="504"/>
      <c r="LN6" s="504"/>
      <c r="LO6" s="504"/>
      <c r="MH6" s="504"/>
      <c r="MI6" s="504"/>
      <c r="MJ6" s="504"/>
      <c r="MK6" s="504"/>
      <c r="ML6" s="504"/>
      <c r="MM6" s="504"/>
      <c r="MN6" s="504"/>
      <c r="NG6" s="504"/>
      <c r="NH6" s="504"/>
      <c r="NI6" s="504"/>
      <c r="NJ6" s="504"/>
      <c r="NK6" s="504"/>
      <c r="NL6" s="504"/>
      <c r="NM6" s="504"/>
    </row>
    <row r="7" spans="1:394" ht="14.45" customHeight="1" x14ac:dyDescent="0.25">
      <c r="A7" s="58"/>
      <c r="B7" s="10"/>
      <c r="C7" s="589" t="s">
        <v>2</v>
      </c>
      <c r="D7" s="589"/>
      <c r="E7" s="589"/>
      <c r="F7" s="589"/>
      <c r="G7" s="589"/>
      <c r="H7" s="589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589" t="s">
        <v>2</v>
      </c>
      <c r="Q7" s="589"/>
      <c r="R7" s="589"/>
      <c r="S7" s="589"/>
      <c r="T7" s="589"/>
      <c r="U7" s="589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353"/>
      <c r="AB7" s="353"/>
      <c r="AC7" s="353"/>
      <c r="AD7" s="353"/>
      <c r="AE7" s="353"/>
      <c r="AF7" s="353"/>
      <c r="AG7" s="17"/>
      <c r="AH7" s="589" t="s">
        <v>2</v>
      </c>
      <c r="AI7" s="589"/>
      <c r="AJ7" s="589"/>
      <c r="AK7" s="589"/>
      <c r="AL7" s="589"/>
      <c r="AM7" s="589"/>
      <c r="AN7" s="11" t="s">
        <v>3</v>
      </c>
      <c r="AO7" s="18">
        <v>27</v>
      </c>
      <c r="AP7" s="22" t="s">
        <v>1</v>
      </c>
      <c r="AQ7" s="18" t="s">
        <v>72</v>
      </c>
      <c r="AS7" s="589" t="s">
        <v>2</v>
      </c>
      <c r="AT7" s="589"/>
      <c r="AU7" s="589"/>
      <c r="AV7" s="589"/>
      <c r="AW7" s="589"/>
      <c r="AX7" s="589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589" t="s">
        <v>2</v>
      </c>
      <c r="BH7" s="589"/>
      <c r="BI7" s="589"/>
      <c r="BJ7" s="589"/>
      <c r="BK7" s="589"/>
      <c r="BL7" s="589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589" t="s">
        <v>2</v>
      </c>
      <c r="BT7" s="589"/>
      <c r="BU7" s="589"/>
      <c r="BV7" s="589"/>
      <c r="BW7" s="589"/>
      <c r="BX7" s="589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589" t="s">
        <v>2</v>
      </c>
      <c r="CM7" s="589"/>
      <c r="CN7" s="589"/>
      <c r="CO7" s="589"/>
      <c r="CP7" s="589"/>
      <c r="CQ7" s="589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589" t="s">
        <v>2</v>
      </c>
      <c r="DE7" s="589"/>
      <c r="DF7" s="589"/>
      <c r="DG7" s="589"/>
      <c r="DH7" s="589"/>
      <c r="DI7" s="589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589" t="s">
        <v>2</v>
      </c>
      <c r="DY7" s="589"/>
      <c r="DZ7" s="589"/>
      <c r="EA7" s="589"/>
      <c r="EB7" s="589"/>
      <c r="EC7" s="589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589" t="s">
        <v>2</v>
      </c>
      <c r="ES7" s="589"/>
      <c r="ET7" s="589"/>
      <c r="EU7" s="589"/>
      <c r="EV7" s="589"/>
      <c r="EW7" s="589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589" t="s">
        <v>2</v>
      </c>
      <c r="FX7" s="589"/>
      <c r="FY7" s="589"/>
      <c r="FZ7" s="589"/>
      <c r="GA7" s="589"/>
      <c r="GB7" s="589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589" t="s">
        <v>2</v>
      </c>
      <c r="GU7" s="589"/>
      <c r="GV7" s="589"/>
      <c r="GW7" s="589"/>
      <c r="GX7" s="589"/>
      <c r="GY7" s="589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589" t="s">
        <v>2</v>
      </c>
      <c r="HP7" s="589"/>
      <c r="HQ7" s="589"/>
      <c r="HR7" s="589"/>
      <c r="HS7" s="589"/>
      <c r="HT7" s="589"/>
      <c r="HU7" s="11" t="s">
        <v>3</v>
      </c>
      <c r="HV7" s="18">
        <v>25</v>
      </c>
      <c r="HW7" s="22" t="s">
        <v>1</v>
      </c>
      <c r="HX7" s="18" t="s">
        <v>72</v>
      </c>
      <c r="HZ7" s="589" t="s">
        <v>2</v>
      </c>
      <c r="IA7" s="589"/>
      <c r="IB7" s="589"/>
      <c r="IC7" s="589"/>
      <c r="ID7" s="589"/>
      <c r="IE7" s="589"/>
      <c r="IF7" s="11" t="s">
        <v>3</v>
      </c>
      <c r="IG7" s="18">
        <v>26</v>
      </c>
      <c r="IH7" s="22" t="s">
        <v>291</v>
      </c>
      <c r="II7" s="22">
        <v>28</v>
      </c>
      <c r="IJ7" s="22">
        <v>29</v>
      </c>
      <c r="IK7" s="22">
        <v>30</v>
      </c>
      <c r="IL7" s="22" t="s">
        <v>290</v>
      </c>
      <c r="IM7" s="22" t="s">
        <v>1</v>
      </c>
      <c r="IN7" s="18" t="s">
        <v>72</v>
      </c>
      <c r="IP7" s="589" t="s">
        <v>2</v>
      </c>
      <c r="IQ7" s="589"/>
      <c r="IR7" s="589"/>
      <c r="IS7" s="589"/>
      <c r="IT7" s="589"/>
      <c r="IU7" s="589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589" t="s">
        <v>2</v>
      </c>
      <c r="JC7" s="589"/>
      <c r="JD7" s="589"/>
      <c r="JE7" s="589"/>
      <c r="JF7" s="589"/>
      <c r="JG7" s="589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589" t="s">
        <v>2</v>
      </c>
      <c r="KI7" s="589"/>
      <c r="KJ7" s="589"/>
      <c r="KK7" s="589"/>
      <c r="KL7" s="589"/>
      <c r="KM7" s="589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589" t="s">
        <v>2</v>
      </c>
      <c r="KW7" s="589"/>
      <c r="KX7" s="589"/>
      <c r="KY7" s="589"/>
      <c r="KZ7" s="589"/>
      <c r="LA7" s="589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589" t="s">
        <v>2</v>
      </c>
      <c r="LJ7" s="589"/>
      <c r="LK7" s="589"/>
      <c r="LL7" s="589"/>
      <c r="LM7" s="589"/>
      <c r="LN7" s="589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589" t="s">
        <v>2</v>
      </c>
      <c r="MI7" s="589"/>
      <c r="MJ7" s="589"/>
      <c r="MK7" s="589"/>
      <c r="ML7" s="589"/>
      <c r="MM7" s="589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589" t="s">
        <v>2</v>
      </c>
      <c r="NH7" s="589"/>
      <c r="NI7" s="589"/>
      <c r="NJ7" s="589"/>
      <c r="NK7" s="589"/>
      <c r="NL7" s="589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58"/>
      <c r="B8" s="12"/>
      <c r="C8" s="532" t="s">
        <v>55</v>
      </c>
      <c r="D8" s="532"/>
      <c r="E8" s="532"/>
      <c r="F8" s="532"/>
      <c r="G8" s="532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580" t="s">
        <v>55</v>
      </c>
      <c r="Q8" s="581"/>
      <c r="R8" s="581"/>
      <c r="S8" s="581"/>
      <c r="T8" s="581"/>
      <c r="U8" s="582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532" t="s">
        <v>55</v>
      </c>
      <c r="AI8" s="532"/>
      <c r="AJ8" s="532"/>
      <c r="AK8" s="532"/>
      <c r="AL8" s="532"/>
      <c r="AM8" s="11"/>
      <c r="AN8" s="13"/>
      <c r="AO8" s="19"/>
      <c r="AP8" s="23">
        <f>SUM(AO8)</f>
        <v>0</v>
      </c>
      <c r="AQ8" s="19">
        <f>AP8*AN8</f>
        <v>0</v>
      </c>
      <c r="AS8" s="569" t="s">
        <v>55</v>
      </c>
      <c r="AT8" s="570"/>
      <c r="AU8" s="570"/>
      <c r="AV8" s="570"/>
      <c r="AW8" s="570"/>
      <c r="AX8" s="571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569" t="s">
        <v>55</v>
      </c>
      <c r="BH8" s="570"/>
      <c r="BI8" s="570"/>
      <c r="BJ8" s="570"/>
      <c r="BK8" s="570"/>
      <c r="BL8" s="571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569" t="s">
        <v>55</v>
      </c>
      <c r="BT8" s="570"/>
      <c r="BU8" s="570"/>
      <c r="BV8" s="570"/>
      <c r="BW8" s="570"/>
      <c r="BX8" s="571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569" t="s">
        <v>55</v>
      </c>
      <c r="CM8" s="570"/>
      <c r="CN8" s="570"/>
      <c r="CO8" s="570"/>
      <c r="CP8" s="570"/>
      <c r="CQ8" s="571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569" t="s">
        <v>55</v>
      </c>
      <c r="DE8" s="570"/>
      <c r="DF8" s="570"/>
      <c r="DG8" s="570"/>
      <c r="DH8" s="570"/>
      <c r="DI8" s="571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569" t="s">
        <v>55</v>
      </c>
      <c r="DY8" s="570"/>
      <c r="DZ8" s="570"/>
      <c r="EA8" s="570"/>
      <c r="EB8" s="570"/>
      <c r="EC8" s="571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569" t="s">
        <v>55</v>
      </c>
      <c r="ES8" s="570"/>
      <c r="ET8" s="570"/>
      <c r="EU8" s="570"/>
      <c r="EV8" s="570"/>
      <c r="EW8" s="571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569" t="s">
        <v>55</v>
      </c>
      <c r="FX8" s="570"/>
      <c r="FY8" s="570"/>
      <c r="FZ8" s="570"/>
      <c r="GA8" s="570"/>
      <c r="GB8" s="571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569" t="s">
        <v>55</v>
      </c>
      <c r="GU8" s="570"/>
      <c r="GV8" s="570"/>
      <c r="GW8" s="570"/>
      <c r="GX8" s="570"/>
      <c r="GY8" s="571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569" t="s">
        <v>55</v>
      </c>
      <c r="HP8" s="570"/>
      <c r="HQ8" s="570"/>
      <c r="HR8" s="570"/>
      <c r="HS8" s="570"/>
      <c r="HT8" s="571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569" t="s">
        <v>55</v>
      </c>
      <c r="IA8" s="570"/>
      <c r="IB8" s="570"/>
      <c r="IC8" s="570"/>
      <c r="ID8" s="570"/>
      <c r="IE8" s="571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569" t="s">
        <v>55</v>
      </c>
      <c r="IQ8" s="570"/>
      <c r="IR8" s="570"/>
      <c r="IS8" s="570"/>
      <c r="IT8" s="570"/>
      <c r="IU8" s="571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569" t="s">
        <v>55</v>
      </c>
      <c r="JC8" s="570"/>
      <c r="JD8" s="570"/>
      <c r="JE8" s="570"/>
      <c r="JF8" s="570"/>
      <c r="JG8" s="571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569" t="s">
        <v>55</v>
      </c>
      <c r="KI8" s="570"/>
      <c r="KJ8" s="570"/>
      <c r="KK8" s="570"/>
      <c r="KL8" s="570"/>
      <c r="KM8" s="571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569" t="s">
        <v>55</v>
      </c>
      <c r="KW8" s="570"/>
      <c r="KX8" s="570"/>
      <c r="KY8" s="570"/>
      <c r="KZ8" s="570"/>
      <c r="LA8" s="571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569" t="s">
        <v>55</v>
      </c>
      <c r="LJ8" s="570"/>
      <c r="LK8" s="570"/>
      <c r="LL8" s="570"/>
      <c r="LM8" s="570"/>
      <c r="LN8" s="571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569" t="s">
        <v>55</v>
      </c>
      <c r="MI8" s="570"/>
      <c r="MJ8" s="570"/>
      <c r="MK8" s="570"/>
      <c r="ML8" s="570"/>
      <c r="MM8" s="571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569" t="s">
        <v>55</v>
      </c>
      <c r="NH8" s="570"/>
      <c r="NI8" s="570"/>
      <c r="NJ8" s="570"/>
      <c r="NK8" s="570"/>
      <c r="NL8" s="571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58"/>
      <c r="B9" s="12"/>
      <c r="C9" s="532" t="s">
        <v>4</v>
      </c>
      <c r="D9" s="532"/>
      <c r="E9" s="532"/>
      <c r="F9" s="532"/>
      <c r="G9" s="532"/>
      <c r="H9" s="532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532" t="s">
        <v>4</v>
      </c>
      <c r="Q9" s="532"/>
      <c r="R9" s="532"/>
      <c r="S9" s="532"/>
      <c r="T9" s="532"/>
      <c r="U9" s="532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532" t="s">
        <v>4</v>
      </c>
      <c r="AI9" s="532"/>
      <c r="AJ9" s="532"/>
      <c r="AK9" s="532"/>
      <c r="AL9" s="532"/>
      <c r="AM9" s="532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532" t="s">
        <v>4</v>
      </c>
      <c r="AT9" s="532"/>
      <c r="AU9" s="532"/>
      <c r="AV9" s="532"/>
      <c r="AW9" s="532"/>
      <c r="AX9" s="532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532" t="s">
        <v>4</v>
      </c>
      <c r="BH9" s="532"/>
      <c r="BI9" s="532"/>
      <c r="BJ9" s="532"/>
      <c r="BK9" s="532"/>
      <c r="BL9" s="532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532" t="s">
        <v>4</v>
      </c>
      <c r="BT9" s="532"/>
      <c r="BU9" s="532"/>
      <c r="BV9" s="532"/>
      <c r="BW9" s="532"/>
      <c r="BX9" s="532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532" t="s">
        <v>4</v>
      </c>
      <c r="CM9" s="532"/>
      <c r="CN9" s="532"/>
      <c r="CO9" s="532"/>
      <c r="CP9" s="532"/>
      <c r="CQ9" s="532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532" t="s">
        <v>4</v>
      </c>
      <c r="DE9" s="532"/>
      <c r="DF9" s="532"/>
      <c r="DG9" s="532"/>
      <c r="DH9" s="532"/>
      <c r="DI9" s="532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532" t="s">
        <v>4</v>
      </c>
      <c r="DY9" s="532"/>
      <c r="DZ9" s="532"/>
      <c r="EA9" s="532"/>
      <c r="EB9" s="532"/>
      <c r="EC9" s="532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532" t="s">
        <v>4</v>
      </c>
      <c r="ES9" s="532"/>
      <c r="ET9" s="532"/>
      <c r="EU9" s="532"/>
      <c r="EV9" s="532"/>
      <c r="EW9" s="532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532" t="s">
        <v>4</v>
      </c>
      <c r="FX9" s="532"/>
      <c r="FY9" s="532"/>
      <c r="FZ9" s="532"/>
      <c r="GA9" s="532"/>
      <c r="GB9" s="532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532" t="s">
        <v>4</v>
      </c>
      <c r="GU9" s="532"/>
      <c r="GV9" s="532"/>
      <c r="GW9" s="532"/>
      <c r="GX9" s="532"/>
      <c r="GY9" s="532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532" t="s">
        <v>4</v>
      </c>
      <c r="HP9" s="532"/>
      <c r="HQ9" s="532"/>
      <c r="HR9" s="532"/>
      <c r="HS9" s="532"/>
      <c r="HT9" s="532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532" t="s">
        <v>4</v>
      </c>
      <c r="IA9" s="532"/>
      <c r="IB9" s="532"/>
      <c r="IC9" s="532"/>
      <c r="ID9" s="532"/>
      <c r="IE9" s="532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532" t="s">
        <v>4</v>
      </c>
      <c r="IQ9" s="532"/>
      <c r="IR9" s="532"/>
      <c r="IS9" s="532"/>
      <c r="IT9" s="532"/>
      <c r="IU9" s="532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532" t="s">
        <v>4</v>
      </c>
      <c r="JC9" s="532"/>
      <c r="JD9" s="532"/>
      <c r="JE9" s="532"/>
      <c r="JF9" s="532"/>
      <c r="JG9" s="532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532" t="s">
        <v>4</v>
      </c>
      <c r="KI9" s="532"/>
      <c r="KJ9" s="532"/>
      <c r="KK9" s="532"/>
      <c r="KL9" s="532"/>
      <c r="KM9" s="532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532" t="s">
        <v>4</v>
      </c>
      <c r="KW9" s="532"/>
      <c r="KX9" s="532"/>
      <c r="KY9" s="532"/>
      <c r="KZ9" s="532"/>
      <c r="LA9" s="532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532" t="s">
        <v>4</v>
      </c>
      <c r="LJ9" s="532"/>
      <c r="LK9" s="532"/>
      <c r="LL9" s="532"/>
      <c r="LM9" s="532"/>
      <c r="LN9" s="532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532" t="s">
        <v>4</v>
      </c>
      <c r="MI9" s="532"/>
      <c r="MJ9" s="532"/>
      <c r="MK9" s="532"/>
      <c r="ML9" s="532"/>
      <c r="MM9" s="532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532" t="s">
        <v>4</v>
      </c>
      <c r="NH9" s="532"/>
      <c r="NI9" s="532"/>
      <c r="NJ9" s="532"/>
      <c r="NK9" s="532"/>
      <c r="NL9" s="532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58"/>
      <c r="B10" s="12"/>
      <c r="C10" s="532" t="s">
        <v>5</v>
      </c>
      <c r="D10" s="532"/>
      <c r="E10" s="532"/>
      <c r="F10" s="532"/>
      <c r="G10" s="532"/>
      <c r="H10" s="532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532" t="s">
        <v>5</v>
      </c>
      <c r="Q10" s="532"/>
      <c r="R10" s="532"/>
      <c r="S10" s="532"/>
      <c r="T10" s="532"/>
      <c r="U10" s="532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532" t="s">
        <v>5</v>
      </c>
      <c r="AI10" s="532"/>
      <c r="AJ10" s="532"/>
      <c r="AK10" s="532"/>
      <c r="AL10" s="532"/>
      <c r="AM10" s="532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572" t="s">
        <v>5</v>
      </c>
      <c r="AT10" s="572"/>
      <c r="AU10" s="572"/>
      <c r="AV10" s="572"/>
      <c r="AW10" s="572"/>
      <c r="AX10" s="572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572" t="s">
        <v>5</v>
      </c>
      <c r="BH10" s="572"/>
      <c r="BI10" s="572"/>
      <c r="BJ10" s="572"/>
      <c r="BK10" s="572"/>
      <c r="BL10" s="572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572" t="s">
        <v>5</v>
      </c>
      <c r="BT10" s="572"/>
      <c r="BU10" s="572"/>
      <c r="BV10" s="572"/>
      <c r="BW10" s="572"/>
      <c r="BX10" s="572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572" t="s">
        <v>5</v>
      </c>
      <c r="CM10" s="572"/>
      <c r="CN10" s="572"/>
      <c r="CO10" s="572"/>
      <c r="CP10" s="572"/>
      <c r="CQ10" s="572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572" t="s">
        <v>5</v>
      </c>
      <c r="DE10" s="572"/>
      <c r="DF10" s="572"/>
      <c r="DG10" s="572"/>
      <c r="DH10" s="572"/>
      <c r="DI10" s="572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572" t="s">
        <v>5</v>
      </c>
      <c r="DY10" s="572"/>
      <c r="DZ10" s="572"/>
      <c r="EA10" s="572"/>
      <c r="EB10" s="572"/>
      <c r="EC10" s="572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572" t="s">
        <v>5</v>
      </c>
      <c r="ES10" s="572"/>
      <c r="ET10" s="572"/>
      <c r="EU10" s="572"/>
      <c r="EV10" s="572"/>
      <c r="EW10" s="572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572" t="s">
        <v>5</v>
      </c>
      <c r="FX10" s="572"/>
      <c r="FY10" s="572"/>
      <c r="FZ10" s="572"/>
      <c r="GA10" s="572"/>
      <c r="GB10" s="572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572" t="s">
        <v>5</v>
      </c>
      <c r="GU10" s="572"/>
      <c r="GV10" s="572"/>
      <c r="GW10" s="572"/>
      <c r="GX10" s="572"/>
      <c r="GY10" s="572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572" t="s">
        <v>5</v>
      </c>
      <c r="HP10" s="572"/>
      <c r="HQ10" s="572"/>
      <c r="HR10" s="572"/>
      <c r="HS10" s="572"/>
      <c r="HT10" s="572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572" t="s">
        <v>5</v>
      </c>
      <c r="IA10" s="572"/>
      <c r="IB10" s="572"/>
      <c r="IC10" s="572"/>
      <c r="ID10" s="572"/>
      <c r="IE10" s="572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572" t="s">
        <v>5</v>
      </c>
      <c r="IQ10" s="572"/>
      <c r="IR10" s="572"/>
      <c r="IS10" s="572"/>
      <c r="IT10" s="572"/>
      <c r="IU10" s="572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572" t="s">
        <v>5</v>
      </c>
      <c r="JC10" s="572"/>
      <c r="JD10" s="572"/>
      <c r="JE10" s="572"/>
      <c r="JF10" s="572"/>
      <c r="JG10" s="572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572" t="s">
        <v>5</v>
      </c>
      <c r="KI10" s="572"/>
      <c r="KJ10" s="572"/>
      <c r="KK10" s="572"/>
      <c r="KL10" s="572"/>
      <c r="KM10" s="572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572" t="s">
        <v>5</v>
      </c>
      <c r="KW10" s="572"/>
      <c r="KX10" s="572"/>
      <c r="KY10" s="572"/>
      <c r="KZ10" s="572"/>
      <c r="LA10" s="572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572" t="s">
        <v>5</v>
      </c>
      <c r="LJ10" s="572"/>
      <c r="LK10" s="572"/>
      <c r="LL10" s="572"/>
      <c r="LM10" s="572"/>
      <c r="LN10" s="572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572" t="s">
        <v>5</v>
      </c>
      <c r="MI10" s="572"/>
      <c r="MJ10" s="572"/>
      <c r="MK10" s="572"/>
      <c r="ML10" s="572"/>
      <c r="MM10" s="572"/>
      <c r="MN10" s="28">
        <v>39</v>
      </c>
      <c r="MO10" s="28">
        <v>8</v>
      </c>
      <c r="MP10" s="359"/>
      <c r="MQ10" s="359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572" t="s">
        <v>5</v>
      </c>
      <c r="NH10" s="572"/>
      <c r="NI10" s="572"/>
      <c r="NJ10" s="572"/>
      <c r="NK10" s="572"/>
      <c r="NL10" s="572"/>
      <c r="NM10" s="28">
        <v>39</v>
      </c>
      <c r="NN10" s="30">
        <v>16</v>
      </c>
      <c r="NO10" s="359">
        <v>1</v>
      </c>
      <c r="NP10" s="359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58"/>
      <c r="B11" s="12"/>
      <c r="C11" s="510" t="s">
        <v>56</v>
      </c>
      <c r="D11" s="510"/>
      <c r="E11" s="510"/>
      <c r="F11" s="510"/>
      <c r="G11" s="510"/>
      <c r="H11" s="510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510" t="s">
        <v>56</v>
      </c>
      <c r="Q11" s="510"/>
      <c r="R11" s="510"/>
      <c r="S11" s="510"/>
      <c r="T11" s="510"/>
      <c r="U11" s="510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510" t="s">
        <v>56</v>
      </c>
      <c r="AI11" s="510"/>
      <c r="AJ11" s="510"/>
      <c r="AK11" s="510"/>
      <c r="AL11" s="510"/>
      <c r="AM11" s="510"/>
      <c r="AN11" s="13"/>
      <c r="AO11" s="19"/>
      <c r="AP11" s="23">
        <f t="shared" si="12"/>
        <v>0</v>
      </c>
      <c r="AQ11" s="19">
        <f t="shared" si="13"/>
        <v>0</v>
      </c>
      <c r="AS11" s="510" t="s">
        <v>56</v>
      </c>
      <c r="AT11" s="510"/>
      <c r="AU11" s="510"/>
      <c r="AV11" s="510"/>
      <c r="AW11" s="510"/>
      <c r="AX11" s="510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510" t="s">
        <v>56</v>
      </c>
      <c r="BH11" s="510"/>
      <c r="BI11" s="510"/>
      <c r="BJ11" s="510"/>
      <c r="BK11" s="510"/>
      <c r="BL11" s="510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510" t="s">
        <v>56</v>
      </c>
      <c r="BT11" s="510"/>
      <c r="BU11" s="510"/>
      <c r="BV11" s="510"/>
      <c r="BW11" s="510"/>
      <c r="BX11" s="510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510" t="s">
        <v>56</v>
      </c>
      <c r="CM11" s="510"/>
      <c r="CN11" s="510"/>
      <c r="CO11" s="510"/>
      <c r="CP11" s="510"/>
      <c r="CQ11" s="510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510" t="s">
        <v>56</v>
      </c>
      <c r="DE11" s="510"/>
      <c r="DF11" s="510"/>
      <c r="DG11" s="510"/>
      <c r="DH11" s="510"/>
      <c r="DI11" s="510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510" t="s">
        <v>56</v>
      </c>
      <c r="DY11" s="510"/>
      <c r="DZ11" s="510"/>
      <c r="EA11" s="510"/>
      <c r="EB11" s="510"/>
      <c r="EC11" s="510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510" t="s">
        <v>56</v>
      </c>
      <c r="ES11" s="510"/>
      <c r="ET11" s="510"/>
      <c r="EU11" s="510"/>
      <c r="EV11" s="510"/>
      <c r="EW11" s="510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510" t="s">
        <v>56</v>
      </c>
      <c r="FX11" s="510"/>
      <c r="FY11" s="510"/>
      <c r="FZ11" s="510"/>
      <c r="GA11" s="510"/>
      <c r="GB11" s="510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510" t="s">
        <v>56</v>
      </c>
      <c r="GU11" s="510"/>
      <c r="GV11" s="510"/>
      <c r="GW11" s="510"/>
      <c r="GX11" s="510"/>
      <c r="GY11" s="510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510" t="s">
        <v>56</v>
      </c>
      <c r="HP11" s="510"/>
      <c r="HQ11" s="510"/>
      <c r="HR11" s="510"/>
      <c r="HS11" s="510"/>
      <c r="HT11" s="510"/>
      <c r="HU11" s="13">
        <v>14</v>
      </c>
      <c r="HV11" s="19"/>
      <c r="HW11" s="30">
        <f t="shared" si="33"/>
        <v>0</v>
      </c>
      <c r="HX11" s="28">
        <f t="shared" si="0"/>
        <v>0</v>
      </c>
      <c r="HZ11" s="510" t="s">
        <v>56</v>
      </c>
      <c r="IA11" s="510"/>
      <c r="IB11" s="510"/>
      <c r="IC11" s="510"/>
      <c r="ID11" s="510"/>
      <c r="IE11" s="510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510" t="s">
        <v>56</v>
      </c>
      <c r="IQ11" s="510"/>
      <c r="IR11" s="510"/>
      <c r="IS11" s="510"/>
      <c r="IT11" s="510"/>
      <c r="IU11" s="510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510" t="s">
        <v>56</v>
      </c>
      <c r="JC11" s="510"/>
      <c r="JD11" s="510"/>
      <c r="JE11" s="510"/>
      <c r="JF11" s="510"/>
      <c r="JG11" s="510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510" t="s">
        <v>56</v>
      </c>
      <c r="KI11" s="510"/>
      <c r="KJ11" s="510"/>
      <c r="KK11" s="510"/>
      <c r="KL11" s="510"/>
      <c r="KM11" s="510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510" t="s">
        <v>56</v>
      </c>
      <c r="KW11" s="510"/>
      <c r="KX11" s="510"/>
      <c r="KY11" s="510"/>
      <c r="KZ11" s="510"/>
      <c r="LA11" s="510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510" t="s">
        <v>56</v>
      </c>
      <c r="LJ11" s="510"/>
      <c r="LK11" s="510"/>
      <c r="LL11" s="510"/>
      <c r="LM11" s="510"/>
      <c r="LN11" s="510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510" t="s">
        <v>56</v>
      </c>
      <c r="MI11" s="510"/>
      <c r="MJ11" s="510"/>
      <c r="MK11" s="510"/>
      <c r="ML11" s="510"/>
      <c r="MM11" s="510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510" t="s">
        <v>56</v>
      </c>
      <c r="NH11" s="510"/>
      <c r="NI11" s="510"/>
      <c r="NJ11" s="510"/>
      <c r="NK11" s="510"/>
      <c r="NL11" s="510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58"/>
      <c r="B12" s="14"/>
      <c r="C12" s="510" t="s">
        <v>49</v>
      </c>
      <c r="D12" s="510"/>
      <c r="E12" s="510"/>
      <c r="F12" s="510"/>
      <c r="G12" s="510"/>
      <c r="H12" s="510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510" t="s">
        <v>49</v>
      </c>
      <c r="Q12" s="510"/>
      <c r="R12" s="510"/>
      <c r="S12" s="510"/>
      <c r="T12" s="510"/>
      <c r="U12" s="510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510" t="s">
        <v>49</v>
      </c>
      <c r="AI12" s="510"/>
      <c r="AJ12" s="510"/>
      <c r="AK12" s="510"/>
      <c r="AL12" s="510"/>
      <c r="AM12" s="510"/>
      <c r="AN12" s="13"/>
      <c r="AO12" s="19"/>
      <c r="AP12" s="23">
        <f t="shared" si="12"/>
        <v>0</v>
      </c>
      <c r="AQ12" s="19">
        <f t="shared" si="13"/>
        <v>0</v>
      </c>
      <c r="AS12" s="572" t="s">
        <v>49</v>
      </c>
      <c r="AT12" s="572"/>
      <c r="AU12" s="572"/>
      <c r="AV12" s="572"/>
      <c r="AW12" s="572"/>
      <c r="AX12" s="572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572" t="s">
        <v>49</v>
      </c>
      <c r="BH12" s="572"/>
      <c r="BI12" s="572"/>
      <c r="BJ12" s="572"/>
      <c r="BK12" s="572"/>
      <c r="BL12" s="572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572" t="s">
        <v>49</v>
      </c>
      <c r="BT12" s="572"/>
      <c r="BU12" s="572"/>
      <c r="BV12" s="572"/>
      <c r="BW12" s="572"/>
      <c r="BX12" s="572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572" t="s">
        <v>49</v>
      </c>
      <c r="CM12" s="572"/>
      <c r="CN12" s="572"/>
      <c r="CO12" s="572"/>
      <c r="CP12" s="572"/>
      <c r="CQ12" s="572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572" t="s">
        <v>49</v>
      </c>
      <c r="DE12" s="572"/>
      <c r="DF12" s="572"/>
      <c r="DG12" s="572"/>
      <c r="DH12" s="572"/>
      <c r="DI12" s="572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572" t="s">
        <v>49</v>
      </c>
      <c r="DY12" s="572"/>
      <c r="DZ12" s="572"/>
      <c r="EA12" s="572"/>
      <c r="EB12" s="572"/>
      <c r="EC12" s="572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572" t="s">
        <v>49</v>
      </c>
      <c r="ES12" s="572"/>
      <c r="ET12" s="572"/>
      <c r="EU12" s="572"/>
      <c r="EV12" s="572"/>
      <c r="EW12" s="572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572" t="s">
        <v>49</v>
      </c>
      <c r="FX12" s="572"/>
      <c r="FY12" s="572"/>
      <c r="FZ12" s="572"/>
      <c r="GA12" s="572"/>
      <c r="GB12" s="572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572" t="s">
        <v>49</v>
      </c>
      <c r="GU12" s="572"/>
      <c r="GV12" s="572"/>
      <c r="GW12" s="572"/>
      <c r="GX12" s="572"/>
      <c r="GY12" s="572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572" t="s">
        <v>49</v>
      </c>
      <c r="HP12" s="572"/>
      <c r="HQ12" s="572"/>
      <c r="HR12" s="572"/>
      <c r="HS12" s="572"/>
      <c r="HT12" s="572"/>
      <c r="HU12" s="28">
        <v>31</v>
      </c>
      <c r="HV12" s="28"/>
      <c r="HW12" s="30">
        <f t="shared" si="33"/>
        <v>0</v>
      </c>
      <c r="HX12" s="28">
        <f t="shared" si="0"/>
        <v>0</v>
      </c>
      <c r="HZ12" s="572" t="s">
        <v>49</v>
      </c>
      <c r="IA12" s="572"/>
      <c r="IB12" s="572"/>
      <c r="IC12" s="572"/>
      <c r="ID12" s="572"/>
      <c r="IE12" s="572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572" t="s">
        <v>49</v>
      </c>
      <c r="IQ12" s="572"/>
      <c r="IR12" s="572"/>
      <c r="IS12" s="572"/>
      <c r="IT12" s="572"/>
      <c r="IU12" s="572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572" t="s">
        <v>49</v>
      </c>
      <c r="JC12" s="572"/>
      <c r="JD12" s="572"/>
      <c r="JE12" s="572"/>
      <c r="JF12" s="572"/>
      <c r="JG12" s="572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572" t="s">
        <v>49</v>
      </c>
      <c r="KI12" s="572"/>
      <c r="KJ12" s="572"/>
      <c r="KK12" s="572"/>
      <c r="KL12" s="572"/>
      <c r="KM12" s="572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572" t="s">
        <v>49</v>
      </c>
      <c r="KW12" s="572"/>
      <c r="KX12" s="572"/>
      <c r="KY12" s="572"/>
      <c r="KZ12" s="572"/>
      <c r="LA12" s="572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572" t="s">
        <v>49</v>
      </c>
      <c r="LJ12" s="572"/>
      <c r="LK12" s="572"/>
      <c r="LL12" s="572"/>
      <c r="LM12" s="572"/>
      <c r="LN12" s="572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572" t="s">
        <v>49</v>
      </c>
      <c r="MI12" s="572"/>
      <c r="MJ12" s="572"/>
      <c r="MK12" s="572"/>
      <c r="ML12" s="572"/>
      <c r="MM12" s="572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572" t="s">
        <v>49</v>
      </c>
      <c r="NH12" s="572"/>
      <c r="NI12" s="572"/>
      <c r="NJ12" s="572"/>
      <c r="NK12" s="572"/>
      <c r="NL12" s="572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58"/>
      <c r="B13" s="14"/>
      <c r="C13" s="510" t="s">
        <v>50</v>
      </c>
      <c r="D13" s="510"/>
      <c r="E13" s="510"/>
      <c r="F13" s="510"/>
      <c r="G13" s="510"/>
      <c r="H13" s="510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510" t="s">
        <v>50</v>
      </c>
      <c r="Q13" s="510"/>
      <c r="R13" s="510"/>
      <c r="S13" s="510"/>
      <c r="T13" s="510"/>
      <c r="U13" s="510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510" t="s">
        <v>50</v>
      </c>
      <c r="AI13" s="510"/>
      <c r="AJ13" s="510"/>
      <c r="AK13" s="510"/>
      <c r="AL13" s="510"/>
      <c r="AM13" s="510"/>
      <c r="AN13" s="13"/>
      <c r="AO13" s="19"/>
      <c r="AP13" s="23">
        <f t="shared" si="12"/>
        <v>0</v>
      </c>
      <c r="AQ13" s="19">
        <f t="shared" si="13"/>
        <v>0</v>
      </c>
      <c r="AS13" s="510" t="s">
        <v>50</v>
      </c>
      <c r="AT13" s="510"/>
      <c r="AU13" s="510"/>
      <c r="AV13" s="510"/>
      <c r="AW13" s="510"/>
      <c r="AX13" s="510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510" t="s">
        <v>50</v>
      </c>
      <c r="BH13" s="510"/>
      <c r="BI13" s="510"/>
      <c r="BJ13" s="510"/>
      <c r="BK13" s="510"/>
      <c r="BL13" s="510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510" t="s">
        <v>50</v>
      </c>
      <c r="BT13" s="510"/>
      <c r="BU13" s="510"/>
      <c r="BV13" s="510"/>
      <c r="BW13" s="510"/>
      <c r="BX13" s="510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510" t="s">
        <v>50</v>
      </c>
      <c r="CM13" s="510"/>
      <c r="CN13" s="510"/>
      <c r="CO13" s="510"/>
      <c r="CP13" s="510"/>
      <c r="CQ13" s="510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510" t="s">
        <v>50</v>
      </c>
      <c r="DE13" s="510"/>
      <c r="DF13" s="510"/>
      <c r="DG13" s="510"/>
      <c r="DH13" s="510"/>
      <c r="DI13" s="510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510" t="s">
        <v>50</v>
      </c>
      <c r="DY13" s="510"/>
      <c r="DZ13" s="510"/>
      <c r="EA13" s="510"/>
      <c r="EB13" s="510"/>
      <c r="EC13" s="510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510" t="s">
        <v>50</v>
      </c>
      <c r="ES13" s="510"/>
      <c r="ET13" s="510"/>
      <c r="EU13" s="510"/>
      <c r="EV13" s="510"/>
      <c r="EW13" s="510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510" t="s">
        <v>50</v>
      </c>
      <c r="FX13" s="510"/>
      <c r="FY13" s="510"/>
      <c r="FZ13" s="510"/>
      <c r="GA13" s="510"/>
      <c r="GB13" s="510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510" t="s">
        <v>50</v>
      </c>
      <c r="GU13" s="510"/>
      <c r="GV13" s="510"/>
      <c r="GW13" s="510"/>
      <c r="GX13" s="510"/>
      <c r="GY13" s="510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510" t="s">
        <v>50</v>
      </c>
      <c r="HP13" s="510"/>
      <c r="HQ13" s="510"/>
      <c r="HR13" s="510"/>
      <c r="HS13" s="510"/>
      <c r="HT13" s="510"/>
      <c r="HU13" s="13">
        <v>8</v>
      </c>
      <c r="HV13" s="19"/>
      <c r="HW13" s="30">
        <f t="shared" si="33"/>
        <v>0</v>
      </c>
      <c r="HX13" s="28">
        <f t="shared" si="0"/>
        <v>0</v>
      </c>
      <c r="HZ13" s="510" t="s">
        <v>50</v>
      </c>
      <c r="IA13" s="510"/>
      <c r="IB13" s="510"/>
      <c r="IC13" s="510"/>
      <c r="ID13" s="510"/>
      <c r="IE13" s="510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510" t="s">
        <v>50</v>
      </c>
      <c r="IQ13" s="510"/>
      <c r="IR13" s="510"/>
      <c r="IS13" s="510"/>
      <c r="IT13" s="510"/>
      <c r="IU13" s="510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510" t="s">
        <v>50</v>
      </c>
      <c r="JC13" s="510"/>
      <c r="JD13" s="510"/>
      <c r="JE13" s="510"/>
      <c r="JF13" s="510"/>
      <c r="JG13" s="510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510" t="s">
        <v>50</v>
      </c>
      <c r="KI13" s="510"/>
      <c r="KJ13" s="510"/>
      <c r="KK13" s="510"/>
      <c r="KL13" s="510"/>
      <c r="KM13" s="510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510" t="s">
        <v>50</v>
      </c>
      <c r="KW13" s="510"/>
      <c r="KX13" s="510"/>
      <c r="KY13" s="510"/>
      <c r="KZ13" s="510"/>
      <c r="LA13" s="510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510" t="s">
        <v>50</v>
      </c>
      <c r="LJ13" s="510"/>
      <c r="LK13" s="510"/>
      <c r="LL13" s="510"/>
      <c r="LM13" s="510"/>
      <c r="LN13" s="510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510" t="s">
        <v>50</v>
      </c>
      <c r="MI13" s="510"/>
      <c r="MJ13" s="510"/>
      <c r="MK13" s="510"/>
      <c r="ML13" s="510"/>
      <c r="MM13" s="510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510" t="s">
        <v>50</v>
      </c>
      <c r="NH13" s="510"/>
      <c r="NI13" s="510"/>
      <c r="NJ13" s="510"/>
      <c r="NK13" s="510"/>
      <c r="NL13" s="510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58"/>
      <c r="B14" s="14"/>
      <c r="C14" s="510" t="s">
        <v>6</v>
      </c>
      <c r="D14" s="510"/>
      <c r="E14" s="510"/>
      <c r="F14" s="510"/>
      <c r="G14" s="510"/>
      <c r="H14" s="510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510" t="s">
        <v>6</v>
      </c>
      <c r="Q14" s="510"/>
      <c r="R14" s="510"/>
      <c r="S14" s="510"/>
      <c r="T14" s="510"/>
      <c r="U14" s="510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510" t="s">
        <v>6</v>
      </c>
      <c r="AI14" s="510"/>
      <c r="AJ14" s="510"/>
      <c r="AK14" s="510"/>
      <c r="AL14" s="510"/>
      <c r="AM14" s="510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572" t="s">
        <v>6</v>
      </c>
      <c r="AT14" s="572"/>
      <c r="AU14" s="572"/>
      <c r="AV14" s="572"/>
      <c r="AW14" s="572"/>
      <c r="AX14" s="572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572" t="s">
        <v>6</v>
      </c>
      <c r="BH14" s="572"/>
      <c r="BI14" s="572"/>
      <c r="BJ14" s="572"/>
      <c r="BK14" s="572"/>
      <c r="BL14" s="572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572" t="s">
        <v>6</v>
      </c>
      <c r="BT14" s="572"/>
      <c r="BU14" s="572"/>
      <c r="BV14" s="572"/>
      <c r="BW14" s="572"/>
      <c r="BX14" s="572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572" t="s">
        <v>6</v>
      </c>
      <c r="CM14" s="572"/>
      <c r="CN14" s="572"/>
      <c r="CO14" s="572"/>
      <c r="CP14" s="572"/>
      <c r="CQ14" s="572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572" t="s">
        <v>6</v>
      </c>
      <c r="DE14" s="572"/>
      <c r="DF14" s="572"/>
      <c r="DG14" s="572"/>
      <c r="DH14" s="572"/>
      <c r="DI14" s="572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572" t="s">
        <v>6</v>
      </c>
      <c r="DY14" s="572"/>
      <c r="DZ14" s="572"/>
      <c r="EA14" s="572"/>
      <c r="EB14" s="572"/>
      <c r="EC14" s="572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572" t="s">
        <v>6</v>
      </c>
      <c r="ES14" s="572"/>
      <c r="ET14" s="572"/>
      <c r="EU14" s="572"/>
      <c r="EV14" s="572"/>
      <c r="EW14" s="572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572" t="s">
        <v>6</v>
      </c>
      <c r="FX14" s="572"/>
      <c r="FY14" s="572"/>
      <c r="FZ14" s="572"/>
      <c r="GA14" s="572"/>
      <c r="GB14" s="572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572" t="s">
        <v>6</v>
      </c>
      <c r="GU14" s="572"/>
      <c r="GV14" s="572"/>
      <c r="GW14" s="572"/>
      <c r="GX14" s="572"/>
      <c r="GY14" s="572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572" t="s">
        <v>6</v>
      </c>
      <c r="HP14" s="572"/>
      <c r="HQ14" s="572"/>
      <c r="HR14" s="572"/>
      <c r="HS14" s="572"/>
      <c r="HT14" s="572"/>
      <c r="HU14" s="28">
        <v>12</v>
      </c>
      <c r="HV14" s="28"/>
      <c r="HW14" s="30">
        <f t="shared" si="33"/>
        <v>0</v>
      </c>
      <c r="HX14" s="28">
        <f t="shared" si="0"/>
        <v>0</v>
      </c>
      <c r="HZ14" s="572" t="s">
        <v>6</v>
      </c>
      <c r="IA14" s="572"/>
      <c r="IB14" s="572"/>
      <c r="IC14" s="572"/>
      <c r="ID14" s="572"/>
      <c r="IE14" s="572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572" t="s">
        <v>6</v>
      </c>
      <c r="IQ14" s="572"/>
      <c r="IR14" s="572"/>
      <c r="IS14" s="572"/>
      <c r="IT14" s="572"/>
      <c r="IU14" s="572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572" t="s">
        <v>6</v>
      </c>
      <c r="JC14" s="572"/>
      <c r="JD14" s="572"/>
      <c r="JE14" s="572"/>
      <c r="JF14" s="572"/>
      <c r="JG14" s="572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572" t="s">
        <v>6</v>
      </c>
      <c r="KI14" s="572"/>
      <c r="KJ14" s="572"/>
      <c r="KK14" s="572"/>
      <c r="KL14" s="572"/>
      <c r="KM14" s="572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572" t="s">
        <v>6</v>
      </c>
      <c r="KW14" s="572"/>
      <c r="KX14" s="572"/>
      <c r="KY14" s="572"/>
      <c r="KZ14" s="572"/>
      <c r="LA14" s="572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572" t="s">
        <v>6</v>
      </c>
      <c r="LJ14" s="572"/>
      <c r="LK14" s="572"/>
      <c r="LL14" s="572"/>
      <c r="LM14" s="572"/>
      <c r="LN14" s="572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572" t="s">
        <v>6</v>
      </c>
      <c r="MI14" s="572"/>
      <c r="MJ14" s="572"/>
      <c r="MK14" s="572"/>
      <c r="ML14" s="572"/>
      <c r="MM14" s="572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572" t="s">
        <v>6</v>
      </c>
      <c r="NH14" s="572"/>
      <c r="NI14" s="572"/>
      <c r="NJ14" s="572"/>
      <c r="NK14" s="572"/>
      <c r="NL14" s="572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58"/>
      <c r="B15" s="14"/>
      <c r="C15" s="510" t="s">
        <v>7</v>
      </c>
      <c r="D15" s="510"/>
      <c r="E15" s="510"/>
      <c r="F15" s="510"/>
      <c r="G15" s="510"/>
      <c r="H15" s="510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510" t="s">
        <v>7</v>
      </c>
      <c r="Q15" s="510"/>
      <c r="R15" s="510"/>
      <c r="S15" s="510"/>
      <c r="T15" s="510"/>
      <c r="U15" s="510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510" t="s">
        <v>7</v>
      </c>
      <c r="AI15" s="510"/>
      <c r="AJ15" s="510"/>
      <c r="AK15" s="510"/>
      <c r="AL15" s="510"/>
      <c r="AM15" s="510"/>
      <c r="AN15" s="13"/>
      <c r="AO15" s="19"/>
      <c r="AP15" s="23">
        <f t="shared" si="12"/>
        <v>0</v>
      </c>
      <c r="AQ15" s="19">
        <f t="shared" si="13"/>
        <v>0</v>
      </c>
      <c r="AS15" s="510" t="s">
        <v>7</v>
      </c>
      <c r="AT15" s="510"/>
      <c r="AU15" s="510"/>
      <c r="AV15" s="510"/>
      <c r="AW15" s="510"/>
      <c r="AX15" s="510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510" t="s">
        <v>7</v>
      </c>
      <c r="BH15" s="510"/>
      <c r="BI15" s="510"/>
      <c r="BJ15" s="510"/>
      <c r="BK15" s="510"/>
      <c r="BL15" s="510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510" t="s">
        <v>7</v>
      </c>
      <c r="BT15" s="510"/>
      <c r="BU15" s="510"/>
      <c r="BV15" s="510"/>
      <c r="BW15" s="510"/>
      <c r="BX15" s="510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510" t="s">
        <v>7</v>
      </c>
      <c r="CM15" s="510"/>
      <c r="CN15" s="510"/>
      <c r="CO15" s="510"/>
      <c r="CP15" s="510"/>
      <c r="CQ15" s="510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510" t="s">
        <v>7</v>
      </c>
      <c r="DE15" s="510"/>
      <c r="DF15" s="510"/>
      <c r="DG15" s="510"/>
      <c r="DH15" s="510"/>
      <c r="DI15" s="510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510" t="s">
        <v>7</v>
      </c>
      <c r="DY15" s="510"/>
      <c r="DZ15" s="510"/>
      <c r="EA15" s="510"/>
      <c r="EB15" s="510"/>
      <c r="EC15" s="510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510" t="s">
        <v>7</v>
      </c>
      <c r="ES15" s="510"/>
      <c r="ET15" s="510"/>
      <c r="EU15" s="510"/>
      <c r="EV15" s="510"/>
      <c r="EW15" s="510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510" t="s">
        <v>7</v>
      </c>
      <c r="FX15" s="510"/>
      <c r="FY15" s="510"/>
      <c r="FZ15" s="510"/>
      <c r="GA15" s="510"/>
      <c r="GB15" s="510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510" t="s">
        <v>7</v>
      </c>
      <c r="GU15" s="510"/>
      <c r="GV15" s="510"/>
      <c r="GW15" s="510"/>
      <c r="GX15" s="510"/>
      <c r="GY15" s="510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510" t="s">
        <v>7</v>
      </c>
      <c r="HP15" s="510"/>
      <c r="HQ15" s="510"/>
      <c r="HR15" s="510"/>
      <c r="HS15" s="510"/>
      <c r="HT15" s="510"/>
      <c r="HU15" s="13">
        <v>35</v>
      </c>
      <c r="HV15" s="19"/>
      <c r="HW15" s="30">
        <f t="shared" si="33"/>
        <v>0</v>
      </c>
      <c r="HX15" s="28">
        <f t="shared" si="0"/>
        <v>0</v>
      </c>
      <c r="HZ15" s="510" t="s">
        <v>7</v>
      </c>
      <c r="IA15" s="510"/>
      <c r="IB15" s="510"/>
      <c r="IC15" s="510"/>
      <c r="ID15" s="510"/>
      <c r="IE15" s="510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510" t="s">
        <v>7</v>
      </c>
      <c r="IQ15" s="510"/>
      <c r="IR15" s="510"/>
      <c r="IS15" s="510"/>
      <c r="IT15" s="510"/>
      <c r="IU15" s="510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510" t="s">
        <v>7</v>
      </c>
      <c r="JC15" s="510"/>
      <c r="JD15" s="510"/>
      <c r="JE15" s="510"/>
      <c r="JF15" s="510"/>
      <c r="JG15" s="510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510" t="s">
        <v>7</v>
      </c>
      <c r="KI15" s="510"/>
      <c r="KJ15" s="510"/>
      <c r="KK15" s="510"/>
      <c r="KL15" s="510"/>
      <c r="KM15" s="510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510" t="s">
        <v>7</v>
      </c>
      <c r="KW15" s="510"/>
      <c r="KX15" s="510"/>
      <c r="KY15" s="510"/>
      <c r="KZ15" s="510"/>
      <c r="LA15" s="510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510" t="s">
        <v>7</v>
      </c>
      <c r="LJ15" s="510"/>
      <c r="LK15" s="510"/>
      <c r="LL15" s="510"/>
      <c r="LM15" s="510"/>
      <c r="LN15" s="510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510" t="s">
        <v>7</v>
      </c>
      <c r="MI15" s="510"/>
      <c r="MJ15" s="510"/>
      <c r="MK15" s="510"/>
      <c r="ML15" s="510"/>
      <c r="MM15" s="510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510" t="s">
        <v>7</v>
      </c>
      <c r="NH15" s="510"/>
      <c r="NI15" s="510"/>
      <c r="NJ15" s="510"/>
      <c r="NK15" s="510"/>
      <c r="NL15" s="510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58"/>
      <c r="B16" s="14"/>
      <c r="C16" s="510" t="s">
        <v>8</v>
      </c>
      <c r="D16" s="510"/>
      <c r="E16" s="510"/>
      <c r="F16" s="510"/>
      <c r="G16" s="510"/>
      <c r="H16" s="510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510" t="s">
        <v>8</v>
      </c>
      <c r="Q16" s="510"/>
      <c r="R16" s="510"/>
      <c r="S16" s="510"/>
      <c r="T16" s="510"/>
      <c r="U16" s="510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510" t="s">
        <v>8</v>
      </c>
      <c r="AI16" s="510"/>
      <c r="AJ16" s="510"/>
      <c r="AK16" s="510"/>
      <c r="AL16" s="510"/>
      <c r="AM16" s="510"/>
      <c r="AN16" s="13">
        <v>12</v>
      </c>
      <c r="AO16" s="19"/>
      <c r="AP16" s="23">
        <f t="shared" si="12"/>
        <v>0</v>
      </c>
      <c r="AQ16" s="19">
        <f t="shared" si="13"/>
        <v>0</v>
      </c>
      <c r="AS16" s="572" t="s">
        <v>8</v>
      </c>
      <c r="AT16" s="572"/>
      <c r="AU16" s="572"/>
      <c r="AV16" s="572"/>
      <c r="AW16" s="572"/>
      <c r="AX16" s="572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572" t="s">
        <v>8</v>
      </c>
      <c r="BH16" s="572"/>
      <c r="BI16" s="572"/>
      <c r="BJ16" s="572"/>
      <c r="BK16" s="572"/>
      <c r="BL16" s="572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572" t="s">
        <v>8</v>
      </c>
      <c r="BT16" s="572"/>
      <c r="BU16" s="572"/>
      <c r="BV16" s="572"/>
      <c r="BW16" s="572"/>
      <c r="BX16" s="572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572" t="s">
        <v>8</v>
      </c>
      <c r="CM16" s="572"/>
      <c r="CN16" s="572"/>
      <c r="CO16" s="572"/>
      <c r="CP16" s="572"/>
      <c r="CQ16" s="572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572" t="s">
        <v>8</v>
      </c>
      <c r="DE16" s="572"/>
      <c r="DF16" s="572"/>
      <c r="DG16" s="572"/>
      <c r="DH16" s="572"/>
      <c r="DI16" s="572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572" t="s">
        <v>8</v>
      </c>
      <c r="DY16" s="572"/>
      <c r="DZ16" s="572"/>
      <c r="EA16" s="572"/>
      <c r="EB16" s="572"/>
      <c r="EC16" s="572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572" t="s">
        <v>8</v>
      </c>
      <c r="ES16" s="572"/>
      <c r="ET16" s="572"/>
      <c r="EU16" s="572"/>
      <c r="EV16" s="572"/>
      <c r="EW16" s="572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572" t="s">
        <v>8</v>
      </c>
      <c r="FX16" s="572"/>
      <c r="FY16" s="572"/>
      <c r="FZ16" s="572"/>
      <c r="GA16" s="572"/>
      <c r="GB16" s="572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572" t="s">
        <v>8</v>
      </c>
      <c r="GU16" s="572"/>
      <c r="GV16" s="572"/>
      <c r="GW16" s="572"/>
      <c r="GX16" s="572"/>
      <c r="GY16" s="572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572" t="s">
        <v>8</v>
      </c>
      <c r="HP16" s="572"/>
      <c r="HQ16" s="572"/>
      <c r="HR16" s="572"/>
      <c r="HS16" s="572"/>
      <c r="HT16" s="572"/>
      <c r="HU16" s="28">
        <v>16</v>
      </c>
      <c r="HV16" s="28"/>
      <c r="HW16" s="30">
        <f t="shared" si="33"/>
        <v>0</v>
      </c>
      <c r="HX16" s="28">
        <f t="shared" si="0"/>
        <v>0</v>
      </c>
      <c r="HZ16" s="572" t="s">
        <v>8</v>
      </c>
      <c r="IA16" s="572"/>
      <c r="IB16" s="572"/>
      <c r="IC16" s="572"/>
      <c r="ID16" s="572"/>
      <c r="IE16" s="572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572" t="s">
        <v>8</v>
      </c>
      <c r="IQ16" s="572"/>
      <c r="IR16" s="572"/>
      <c r="IS16" s="572"/>
      <c r="IT16" s="572"/>
      <c r="IU16" s="572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572" t="s">
        <v>8</v>
      </c>
      <c r="JC16" s="572"/>
      <c r="JD16" s="572"/>
      <c r="JE16" s="572"/>
      <c r="JF16" s="572"/>
      <c r="JG16" s="572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572" t="s">
        <v>8</v>
      </c>
      <c r="KI16" s="572"/>
      <c r="KJ16" s="572"/>
      <c r="KK16" s="572"/>
      <c r="KL16" s="572"/>
      <c r="KM16" s="572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572" t="s">
        <v>8</v>
      </c>
      <c r="KW16" s="572"/>
      <c r="KX16" s="572"/>
      <c r="KY16" s="572"/>
      <c r="KZ16" s="572"/>
      <c r="LA16" s="572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572" t="s">
        <v>8</v>
      </c>
      <c r="LJ16" s="572"/>
      <c r="LK16" s="572"/>
      <c r="LL16" s="572"/>
      <c r="LM16" s="572"/>
      <c r="LN16" s="572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572" t="s">
        <v>8</v>
      </c>
      <c r="MI16" s="572"/>
      <c r="MJ16" s="572"/>
      <c r="MK16" s="572"/>
      <c r="ML16" s="572"/>
      <c r="MM16" s="572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572" t="s">
        <v>8</v>
      </c>
      <c r="NH16" s="572"/>
      <c r="NI16" s="572"/>
      <c r="NJ16" s="572"/>
      <c r="NK16" s="572"/>
      <c r="NL16" s="572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58"/>
      <c r="B17" s="14"/>
      <c r="C17" s="510" t="s">
        <v>9</v>
      </c>
      <c r="D17" s="510"/>
      <c r="E17" s="510"/>
      <c r="F17" s="510"/>
      <c r="G17" s="510"/>
      <c r="H17" s="510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510" t="s">
        <v>9</v>
      </c>
      <c r="Q17" s="510"/>
      <c r="R17" s="510"/>
      <c r="S17" s="510"/>
      <c r="T17" s="510"/>
      <c r="U17" s="510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510" t="s">
        <v>9</v>
      </c>
      <c r="AI17" s="510"/>
      <c r="AJ17" s="510"/>
      <c r="AK17" s="510"/>
      <c r="AL17" s="510"/>
      <c r="AM17" s="510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510" t="s">
        <v>9</v>
      </c>
      <c r="AT17" s="510"/>
      <c r="AU17" s="510"/>
      <c r="AV17" s="510"/>
      <c r="AW17" s="510"/>
      <c r="AX17" s="510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510" t="s">
        <v>9</v>
      </c>
      <c r="BH17" s="510"/>
      <c r="BI17" s="510"/>
      <c r="BJ17" s="510"/>
      <c r="BK17" s="510"/>
      <c r="BL17" s="510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510" t="s">
        <v>9</v>
      </c>
      <c r="BT17" s="510"/>
      <c r="BU17" s="510"/>
      <c r="BV17" s="510"/>
      <c r="BW17" s="510"/>
      <c r="BX17" s="510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510" t="s">
        <v>9</v>
      </c>
      <c r="CM17" s="510"/>
      <c r="CN17" s="510"/>
      <c r="CO17" s="510"/>
      <c r="CP17" s="510"/>
      <c r="CQ17" s="510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510" t="s">
        <v>9</v>
      </c>
      <c r="DE17" s="510"/>
      <c r="DF17" s="510"/>
      <c r="DG17" s="510"/>
      <c r="DH17" s="510"/>
      <c r="DI17" s="510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510" t="s">
        <v>9</v>
      </c>
      <c r="DY17" s="510"/>
      <c r="DZ17" s="510"/>
      <c r="EA17" s="510"/>
      <c r="EB17" s="510"/>
      <c r="EC17" s="510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510" t="s">
        <v>9</v>
      </c>
      <c r="ES17" s="510"/>
      <c r="ET17" s="510"/>
      <c r="EU17" s="510"/>
      <c r="EV17" s="510"/>
      <c r="EW17" s="510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510" t="s">
        <v>9</v>
      </c>
      <c r="FX17" s="510"/>
      <c r="FY17" s="510"/>
      <c r="FZ17" s="510"/>
      <c r="GA17" s="510"/>
      <c r="GB17" s="510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510" t="s">
        <v>9</v>
      </c>
      <c r="GU17" s="510"/>
      <c r="GV17" s="510"/>
      <c r="GW17" s="510"/>
      <c r="GX17" s="510"/>
      <c r="GY17" s="510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510" t="s">
        <v>9</v>
      </c>
      <c r="HP17" s="510"/>
      <c r="HQ17" s="510"/>
      <c r="HR17" s="510"/>
      <c r="HS17" s="510"/>
      <c r="HT17" s="510"/>
      <c r="HU17" s="13">
        <v>35</v>
      </c>
      <c r="HV17" s="19"/>
      <c r="HW17" s="30">
        <f t="shared" si="33"/>
        <v>0</v>
      </c>
      <c r="HX17" s="28">
        <f t="shared" si="0"/>
        <v>0</v>
      </c>
      <c r="HZ17" s="510" t="s">
        <v>9</v>
      </c>
      <c r="IA17" s="510"/>
      <c r="IB17" s="510"/>
      <c r="IC17" s="510"/>
      <c r="ID17" s="510"/>
      <c r="IE17" s="510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510" t="s">
        <v>9</v>
      </c>
      <c r="IQ17" s="510"/>
      <c r="IR17" s="510"/>
      <c r="IS17" s="510"/>
      <c r="IT17" s="510"/>
      <c r="IU17" s="510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510" t="s">
        <v>9</v>
      </c>
      <c r="JC17" s="510"/>
      <c r="JD17" s="510"/>
      <c r="JE17" s="510"/>
      <c r="JF17" s="510"/>
      <c r="JG17" s="510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510" t="s">
        <v>9</v>
      </c>
      <c r="KI17" s="510"/>
      <c r="KJ17" s="510"/>
      <c r="KK17" s="510"/>
      <c r="KL17" s="510"/>
      <c r="KM17" s="510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510" t="s">
        <v>9</v>
      </c>
      <c r="KW17" s="510"/>
      <c r="KX17" s="510"/>
      <c r="KY17" s="510"/>
      <c r="KZ17" s="510"/>
      <c r="LA17" s="510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510" t="s">
        <v>9</v>
      </c>
      <c r="LJ17" s="510"/>
      <c r="LK17" s="510"/>
      <c r="LL17" s="510"/>
      <c r="LM17" s="510"/>
      <c r="LN17" s="510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510" t="s">
        <v>9</v>
      </c>
      <c r="MI17" s="510"/>
      <c r="MJ17" s="510"/>
      <c r="MK17" s="510"/>
      <c r="ML17" s="510"/>
      <c r="MM17" s="510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510" t="s">
        <v>9</v>
      </c>
      <c r="NH17" s="510"/>
      <c r="NI17" s="510"/>
      <c r="NJ17" s="510"/>
      <c r="NK17" s="510"/>
      <c r="NL17" s="510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58"/>
      <c r="B18" s="14"/>
      <c r="C18" s="510" t="s">
        <v>10</v>
      </c>
      <c r="D18" s="510"/>
      <c r="E18" s="510"/>
      <c r="F18" s="510"/>
      <c r="G18" s="510"/>
      <c r="H18" s="510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510" t="s">
        <v>10</v>
      </c>
      <c r="Q18" s="510"/>
      <c r="R18" s="510"/>
      <c r="S18" s="510"/>
      <c r="T18" s="510"/>
      <c r="U18" s="510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510" t="s">
        <v>10</v>
      </c>
      <c r="AI18" s="510"/>
      <c r="AJ18" s="510"/>
      <c r="AK18" s="510"/>
      <c r="AL18" s="510"/>
      <c r="AM18" s="510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572" t="s">
        <v>10</v>
      </c>
      <c r="AT18" s="572"/>
      <c r="AU18" s="572"/>
      <c r="AV18" s="572"/>
      <c r="AW18" s="572"/>
      <c r="AX18" s="572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572" t="s">
        <v>10</v>
      </c>
      <c r="BH18" s="572"/>
      <c r="BI18" s="572"/>
      <c r="BJ18" s="572"/>
      <c r="BK18" s="572"/>
      <c r="BL18" s="572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572" t="s">
        <v>10</v>
      </c>
      <c r="BT18" s="572"/>
      <c r="BU18" s="572"/>
      <c r="BV18" s="572"/>
      <c r="BW18" s="572"/>
      <c r="BX18" s="572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572" t="s">
        <v>10</v>
      </c>
      <c r="CM18" s="572"/>
      <c r="CN18" s="572"/>
      <c r="CO18" s="572"/>
      <c r="CP18" s="572"/>
      <c r="CQ18" s="572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572" t="s">
        <v>10</v>
      </c>
      <c r="DE18" s="572"/>
      <c r="DF18" s="572"/>
      <c r="DG18" s="572"/>
      <c r="DH18" s="572"/>
      <c r="DI18" s="572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572" t="s">
        <v>10</v>
      </c>
      <c r="DY18" s="572"/>
      <c r="DZ18" s="572"/>
      <c r="EA18" s="572"/>
      <c r="EB18" s="572"/>
      <c r="EC18" s="572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572" t="s">
        <v>10</v>
      </c>
      <c r="ES18" s="572"/>
      <c r="ET18" s="572"/>
      <c r="EU18" s="572"/>
      <c r="EV18" s="572"/>
      <c r="EW18" s="572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572" t="s">
        <v>10</v>
      </c>
      <c r="FX18" s="572"/>
      <c r="FY18" s="572"/>
      <c r="FZ18" s="572"/>
      <c r="GA18" s="572"/>
      <c r="GB18" s="572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572" t="s">
        <v>10</v>
      </c>
      <c r="GU18" s="572"/>
      <c r="GV18" s="572"/>
      <c r="GW18" s="572"/>
      <c r="GX18" s="572"/>
      <c r="GY18" s="572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572" t="s">
        <v>10</v>
      </c>
      <c r="HP18" s="572"/>
      <c r="HQ18" s="572"/>
      <c r="HR18" s="572"/>
      <c r="HS18" s="572"/>
      <c r="HT18" s="572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572" t="s">
        <v>10</v>
      </c>
      <c r="IA18" s="572"/>
      <c r="IB18" s="572"/>
      <c r="IC18" s="572"/>
      <c r="ID18" s="572"/>
      <c r="IE18" s="572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572" t="s">
        <v>10</v>
      </c>
      <c r="IQ18" s="572"/>
      <c r="IR18" s="572"/>
      <c r="IS18" s="572"/>
      <c r="IT18" s="572"/>
      <c r="IU18" s="572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572" t="s">
        <v>10</v>
      </c>
      <c r="JC18" s="572"/>
      <c r="JD18" s="572"/>
      <c r="JE18" s="572"/>
      <c r="JF18" s="572"/>
      <c r="JG18" s="572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572" t="s">
        <v>10</v>
      </c>
      <c r="KI18" s="572"/>
      <c r="KJ18" s="572"/>
      <c r="KK18" s="572"/>
      <c r="KL18" s="572"/>
      <c r="KM18" s="572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572" t="s">
        <v>10</v>
      </c>
      <c r="KW18" s="572"/>
      <c r="KX18" s="572"/>
      <c r="KY18" s="572"/>
      <c r="KZ18" s="572"/>
      <c r="LA18" s="572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572" t="s">
        <v>10</v>
      </c>
      <c r="LJ18" s="572"/>
      <c r="LK18" s="572"/>
      <c r="LL18" s="572"/>
      <c r="LM18" s="572"/>
      <c r="LN18" s="572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572" t="s">
        <v>10</v>
      </c>
      <c r="MI18" s="572"/>
      <c r="MJ18" s="572"/>
      <c r="MK18" s="572"/>
      <c r="ML18" s="572"/>
      <c r="MM18" s="572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572" t="s">
        <v>10</v>
      </c>
      <c r="NH18" s="572"/>
      <c r="NI18" s="572"/>
      <c r="NJ18" s="572"/>
      <c r="NK18" s="572"/>
      <c r="NL18" s="572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58"/>
      <c r="B19" s="14"/>
      <c r="C19" s="510" t="s">
        <v>11</v>
      </c>
      <c r="D19" s="510"/>
      <c r="E19" s="510"/>
      <c r="F19" s="510"/>
      <c r="G19" s="510"/>
      <c r="H19" s="510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510" t="s">
        <v>11</v>
      </c>
      <c r="Q19" s="510"/>
      <c r="R19" s="510"/>
      <c r="S19" s="510"/>
      <c r="T19" s="510"/>
      <c r="U19" s="510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510" t="s">
        <v>11</v>
      </c>
      <c r="AI19" s="510"/>
      <c r="AJ19" s="510"/>
      <c r="AK19" s="510"/>
      <c r="AL19" s="510"/>
      <c r="AM19" s="510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510" t="s">
        <v>11</v>
      </c>
      <c r="AT19" s="510"/>
      <c r="AU19" s="510"/>
      <c r="AV19" s="510"/>
      <c r="AW19" s="510"/>
      <c r="AX19" s="510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510" t="s">
        <v>11</v>
      </c>
      <c r="BH19" s="510"/>
      <c r="BI19" s="510"/>
      <c r="BJ19" s="510"/>
      <c r="BK19" s="510"/>
      <c r="BL19" s="510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510" t="s">
        <v>11</v>
      </c>
      <c r="BT19" s="510"/>
      <c r="BU19" s="510"/>
      <c r="BV19" s="510"/>
      <c r="BW19" s="510"/>
      <c r="BX19" s="510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510" t="s">
        <v>11</v>
      </c>
      <c r="CM19" s="510"/>
      <c r="CN19" s="510"/>
      <c r="CO19" s="510"/>
      <c r="CP19" s="510"/>
      <c r="CQ19" s="510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510" t="s">
        <v>11</v>
      </c>
      <c r="DE19" s="510"/>
      <c r="DF19" s="510"/>
      <c r="DG19" s="510"/>
      <c r="DH19" s="510"/>
      <c r="DI19" s="510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510" t="s">
        <v>11</v>
      </c>
      <c r="DY19" s="510"/>
      <c r="DZ19" s="510"/>
      <c r="EA19" s="510"/>
      <c r="EB19" s="510"/>
      <c r="EC19" s="510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510" t="s">
        <v>11</v>
      </c>
      <c r="ES19" s="510"/>
      <c r="ET19" s="510"/>
      <c r="EU19" s="510"/>
      <c r="EV19" s="510"/>
      <c r="EW19" s="510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510" t="s">
        <v>11</v>
      </c>
      <c r="FX19" s="510"/>
      <c r="FY19" s="510"/>
      <c r="FZ19" s="510"/>
      <c r="GA19" s="510"/>
      <c r="GB19" s="510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510" t="s">
        <v>11</v>
      </c>
      <c r="GU19" s="510"/>
      <c r="GV19" s="510"/>
      <c r="GW19" s="510"/>
      <c r="GX19" s="510"/>
      <c r="GY19" s="510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510" t="s">
        <v>11</v>
      </c>
      <c r="HP19" s="510"/>
      <c r="HQ19" s="510"/>
      <c r="HR19" s="510"/>
      <c r="HS19" s="510"/>
      <c r="HT19" s="510"/>
      <c r="HU19" s="13">
        <v>122</v>
      </c>
      <c r="HV19" s="19"/>
      <c r="HW19" s="30">
        <f t="shared" si="33"/>
        <v>0</v>
      </c>
      <c r="HX19" s="28">
        <f t="shared" si="0"/>
        <v>0</v>
      </c>
      <c r="HZ19" s="510" t="s">
        <v>11</v>
      </c>
      <c r="IA19" s="510"/>
      <c r="IB19" s="510"/>
      <c r="IC19" s="510"/>
      <c r="ID19" s="510"/>
      <c r="IE19" s="510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510" t="s">
        <v>11</v>
      </c>
      <c r="IQ19" s="510"/>
      <c r="IR19" s="510"/>
      <c r="IS19" s="510"/>
      <c r="IT19" s="510"/>
      <c r="IU19" s="510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510" t="s">
        <v>11</v>
      </c>
      <c r="JC19" s="510"/>
      <c r="JD19" s="510"/>
      <c r="JE19" s="510"/>
      <c r="JF19" s="510"/>
      <c r="JG19" s="510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510" t="s">
        <v>11</v>
      </c>
      <c r="KI19" s="510"/>
      <c r="KJ19" s="510"/>
      <c r="KK19" s="510"/>
      <c r="KL19" s="510"/>
      <c r="KM19" s="510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510" t="s">
        <v>11</v>
      </c>
      <c r="KW19" s="510"/>
      <c r="KX19" s="510"/>
      <c r="KY19" s="510"/>
      <c r="KZ19" s="510"/>
      <c r="LA19" s="510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510" t="s">
        <v>11</v>
      </c>
      <c r="LJ19" s="510"/>
      <c r="LK19" s="510"/>
      <c r="LL19" s="510"/>
      <c r="LM19" s="510"/>
      <c r="LN19" s="510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510" t="s">
        <v>11</v>
      </c>
      <c r="MI19" s="510"/>
      <c r="MJ19" s="510"/>
      <c r="MK19" s="510"/>
      <c r="ML19" s="510"/>
      <c r="MM19" s="510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510" t="s">
        <v>11</v>
      </c>
      <c r="NH19" s="510"/>
      <c r="NI19" s="510"/>
      <c r="NJ19" s="510"/>
      <c r="NK19" s="510"/>
      <c r="NL19" s="510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58"/>
      <c r="B20" s="14"/>
      <c r="C20" s="510" t="s">
        <v>57</v>
      </c>
      <c r="D20" s="510"/>
      <c r="E20" s="510"/>
      <c r="F20" s="510"/>
      <c r="G20" s="510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566" t="s">
        <v>57</v>
      </c>
      <c r="Q20" s="567"/>
      <c r="R20" s="567"/>
      <c r="S20" s="567"/>
      <c r="T20" s="567"/>
      <c r="U20" s="568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510" t="s">
        <v>57</v>
      </c>
      <c r="AI20" s="510"/>
      <c r="AJ20" s="510"/>
      <c r="AK20" s="510"/>
      <c r="AL20" s="510"/>
      <c r="AM20" s="15"/>
      <c r="AN20" s="13"/>
      <c r="AO20" s="19"/>
      <c r="AP20" s="23">
        <f t="shared" si="12"/>
        <v>0</v>
      </c>
      <c r="AQ20" s="19">
        <f t="shared" si="13"/>
        <v>0</v>
      </c>
      <c r="AS20" s="569" t="s">
        <v>57</v>
      </c>
      <c r="AT20" s="570"/>
      <c r="AU20" s="570"/>
      <c r="AV20" s="570"/>
      <c r="AW20" s="570"/>
      <c r="AX20" s="571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569" t="s">
        <v>57</v>
      </c>
      <c r="BH20" s="570"/>
      <c r="BI20" s="570"/>
      <c r="BJ20" s="570"/>
      <c r="BK20" s="570"/>
      <c r="BL20" s="571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569" t="s">
        <v>57</v>
      </c>
      <c r="BT20" s="570"/>
      <c r="BU20" s="570"/>
      <c r="BV20" s="570"/>
      <c r="BW20" s="570"/>
      <c r="BX20" s="571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569" t="s">
        <v>57</v>
      </c>
      <c r="CM20" s="570"/>
      <c r="CN20" s="570"/>
      <c r="CO20" s="570"/>
      <c r="CP20" s="570"/>
      <c r="CQ20" s="571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569" t="s">
        <v>57</v>
      </c>
      <c r="DE20" s="570"/>
      <c r="DF20" s="570"/>
      <c r="DG20" s="570"/>
      <c r="DH20" s="570"/>
      <c r="DI20" s="571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569" t="s">
        <v>57</v>
      </c>
      <c r="DY20" s="570"/>
      <c r="DZ20" s="570"/>
      <c r="EA20" s="570"/>
      <c r="EB20" s="570"/>
      <c r="EC20" s="571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569" t="s">
        <v>57</v>
      </c>
      <c r="ES20" s="570"/>
      <c r="ET20" s="570"/>
      <c r="EU20" s="570"/>
      <c r="EV20" s="570"/>
      <c r="EW20" s="571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569" t="s">
        <v>57</v>
      </c>
      <c r="FX20" s="570"/>
      <c r="FY20" s="570"/>
      <c r="FZ20" s="570"/>
      <c r="GA20" s="570"/>
      <c r="GB20" s="571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569" t="s">
        <v>57</v>
      </c>
      <c r="GU20" s="570"/>
      <c r="GV20" s="570"/>
      <c r="GW20" s="570"/>
      <c r="GX20" s="570"/>
      <c r="GY20" s="571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569" t="s">
        <v>57</v>
      </c>
      <c r="HP20" s="570"/>
      <c r="HQ20" s="570"/>
      <c r="HR20" s="570"/>
      <c r="HS20" s="570"/>
      <c r="HT20" s="571"/>
      <c r="HU20" s="28">
        <v>58</v>
      </c>
      <c r="HV20" s="28"/>
      <c r="HW20" s="30">
        <f t="shared" si="33"/>
        <v>0</v>
      </c>
      <c r="HX20" s="28">
        <f t="shared" si="0"/>
        <v>0</v>
      </c>
      <c r="HZ20" s="569" t="s">
        <v>57</v>
      </c>
      <c r="IA20" s="570"/>
      <c r="IB20" s="570"/>
      <c r="IC20" s="570"/>
      <c r="ID20" s="570"/>
      <c r="IE20" s="571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569" t="s">
        <v>57</v>
      </c>
      <c r="IQ20" s="570"/>
      <c r="IR20" s="570"/>
      <c r="IS20" s="570"/>
      <c r="IT20" s="570"/>
      <c r="IU20" s="571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569" t="s">
        <v>57</v>
      </c>
      <c r="JC20" s="570"/>
      <c r="JD20" s="570"/>
      <c r="JE20" s="570"/>
      <c r="JF20" s="570"/>
      <c r="JG20" s="571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569" t="s">
        <v>57</v>
      </c>
      <c r="KI20" s="570"/>
      <c r="KJ20" s="570"/>
      <c r="KK20" s="570"/>
      <c r="KL20" s="570"/>
      <c r="KM20" s="571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569" t="s">
        <v>57</v>
      </c>
      <c r="KW20" s="570"/>
      <c r="KX20" s="570"/>
      <c r="KY20" s="570"/>
      <c r="KZ20" s="570"/>
      <c r="LA20" s="571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569" t="s">
        <v>57</v>
      </c>
      <c r="LJ20" s="570"/>
      <c r="LK20" s="570"/>
      <c r="LL20" s="570"/>
      <c r="LM20" s="570"/>
      <c r="LN20" s="571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569" t="s">
        <v>57</v>
      </c>
      <c r="MI20" s="570"/>
      <c r="MJ20" s="570"/>
      <c r="MK20" s="570"/>
      <c r="ML20" s="570"/>
      <c r="MM20" s="571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569" t="s">
        <v>57</v>
      </c>
      <c r="NH20" s="570"/>
      <c r="NI20" s="570"/>
      <c r="NJ20" s="570"/>
      <c r="NK20" s="570"/>
      <c r="NL20" s="571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58"/>
      <c r="B21" s="14"/>
      <c r="C21" s="510" t="s">
        <v>51</v>
      </c>
      <c r="D21" s="510"/>
      <c r="E21" s="510"/>
      <c r="F21" s="510"/>
      <c r="G21" s="510"/>
      <c r="H21" s="510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510" t="s">
        <v>51</v>
      </c>
      <c r="Q21" s="510"/>
      <c r="R21" s="510"/>
      <c r="S21" s="510"/>
      <c r="T21" s="510"/>
      <c r="U21" s="510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510" t="s">
        <v>51</v>
      </c>
      <c r="AI21" s="510"/>
      <c r="AJ21" s="510"/>
      <c r="AK21" s="510"/>
      <c r="AL21" s="510"/>
      <c r="AM21" s="510"/>
      <c r="AN21" s="13"/>
      <c r="AO21" s="19"/>
      <c r="AP21" s="23">
        <f t="shared" si="12"/>
        <v>0</v>
      </c>
      <c r="AQ21" s="19">
        <f t="shared" si="13"/>
        <v>0</v>
      </c>
      <c r="AS21" s="510" t="s">
        <v>51</v>
      </c>
      <c r="AT21" s="510"/>
      <c r="AU21" s="510"/>
      <c r="AV21" s="510"/>
      <c r="AW21" s="510"/>
      <c r="AX21" s="510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510" t="s">
        <v>51</v>
      </c>
      <c r="BH21" s="510"/>
      <c r="BI21" s="510"/>
      <c r="BJ21" s="510"/>
      <c r="BK21" s="510"/>
      <c r="BL21" s="510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510" t="s">
        <v>51</v>
      </c>
      <c r="BT21" s="510"/>
      <c r="BU21" s="510"/>
      <c r="BV21" s="510"/>
      <c r="BW21" s="510"/>
      <c r="BX21" s="510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510" t="s">
        <v>51</v>
      </c>
      <c r="CM21" s="510"/>
      <c r="CN21" s="510"/>
      <c r="CO21" s="510"/>
      <c r="CP21" s="510"/>
      <c r="CQ21" s="510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510" t="s">
        <v>51</v>
      </c>
      <c r="DE21" s="510"/>
      <c r="DF21" s="510"/>
      <c r="DG21" s="510"/>
      <c r="DH21" s="510"/>
      <c r="DI21" s="510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510" t="s">
        <v>51</v>
      </c>
      <c r="DY21" s="510"/>
      <c r="DZ21" s="510"/>
      <c r="EA21" s="510"/>
      <c r="EB21" s="510"/>
      <c r="EC21" s="510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510" t="s">
        <v>51</v>
      </c>
      <c r="ES21" s="510"/>
      <c r="ET21" s="510"/>
      <c r="EU21" s="510"/>
      <c r="EV21" s="510"/>
      <c r="EW21" s="510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510" t="s">
        <v>51</v>
      </c>
      <c r="FX21" s="510"/>
      <c r="FY21" s="510"/>
      <c r="FZ21" s="510"/>
      <c r="GA21" s="510"/>
      <c r="GB21" s="510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510" t="s">
        <v>51</v>
      </c>
      <c r="GU21" s="510"/>
      <c r="GV21" s="510"/>
      <c r="GW21" s="510"/>
      <c r="GX21" s="510"/>
      <c r="GY21" s="510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510" t="s">
        <v>51</v>
      </c>
      <c r="HP21" s="510"/>
      <c r="HQ21" s="510"/>
      <c r="HR21" s="510"/>
      <c r="HS21" s="510"/>
      <c r="HT21" s="510"/>
      <c r="HU21" s="13">
        <v>55</v>
      </c>
      <c r="HV21" s="19"/>
      <c r="HW21" s="30">
        <f t="shared" si="33"/>
        <v>0</v>
      </c>
      <c r="HX21" s="28">
        <f t="shared" si="0"/>
        <v>0</v>
      </c>
      <c r="HZ21" s="510" t="s">
        <v>51</v>
      </c>
      <c r="IA21" s="510"/>
      <c r="IB21" s="510"/>
      <c r="IC21" s="510"/>
      <c r="ID21" s="510"/>
      <c r="IE21" s="510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510" t="s">
        <v>51</v>
      </c>
      <c r="IQ21" s="510"/>
      <c r="IR21" s="510"/>
      <c r="IS21" s="510"/>
      <c r="IT21" s="510"/>
      <c r="IU21" s="510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510" t="s">
        <v>51</v>
      </c>
      <c r="JC21" s="510"/>
      <c r="JD21" s="510"/>
      <c r="JE21" s="510"/>
      <c r="JF21" s="510"/>
      <c r="JG21" s="510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510" t="s">
        <v>51</v>
      </c>
      <c r="KI21" s="510"/>
      <c r="KJ21" s="510"/>
      <c r="KK21" s="510"/>
      <c r="KL21" s="510"/>
      <c r="KM21" s="510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510" t="s">
        <v>51</v>
      </c>
      <c r="KW21" s="510"/>
      <c r="KX21" s="510"/>
      <c r="KY21" s="510"/>
      <c r="KZ21" s="510"/>
      <c r="LA21" s="510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510" t="s">
        <v>51</v>
      </c>
      <c r="LJ21" s="510"/>
      <c r="LK21" s="510"/>
      <c r="LL21" s="510"/>
      <c r="LM21" s="510"/>
      <c r="LN21" s="510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510" t="s">
        <v>51</v>
      </c>
      <c r="MI21" s="510"/>
      <c r="MJ21" s="510"/>
      <c r="MK21" s="510"/>
      <c r="ML21" s="510"/>
      <c r="MM21" s="510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510" t="s">
        <v>51</v>
      </c>
      <c r="NH21" s="510"/>
      <c r="NI21" s="510"/>
      <c r="NJ21" s="510"/>
      <c r="NK21" s="510"/>
      <c r="NL21" s="510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58"/>
      <c r="B22" s="14"/>
      <c r="C22" s="510" t="s">
        <v>52</v>
      </c>
      <c r="D22" s="510"/>
      <c r="E22" s="510"/>
      <c r="F22" s="510"/>
      <c r="G22" s="510"/>
      <c r="H22" s="510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510" t="s">
        <v>52</v>
      </c>
      <c r="Q22" s="510"/>
      <c r="R22" s="510"/>
      <c r="S22" s="510"/>
      <c r="T22" s="510"/>
      <c r="U22" s="510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510" t="s">
        <v>52</v>
      </c>
      <c r="AI22" s="510"/>
      <c r="AJ22" s="510"/>
      <c r="AK22" s="510"/>
      <c r="AL22" s="510"/>
      <c r="AM22" s="510"/>
      <c r="AN22" s="13"/>
      <c r="AO22" s="19"/>
      <c r="AP22" s="23">
        <f t="shared" si="12"/>
        <v>0</v>
      </c>
      <c r="AQ22" s="19">
        <f t="shared" si="13"/>
        <v>0</v>
      </c>
      <c r="AS22" s="572" t="s">
        <v>52</v>
      </c>
      <c r="AT22" s="572"/>
      <c r="AU22" s="572"/>
      <c r="AV22" s="572"/>
      <c r="AW22" s="572"/>
      <c r="AX22" s="572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572" t="s">
        <v>52</v>
      </c>
      <c r="BH22" s="572"/>
      <c r="BI22" s="572"/>
      <c r="BJ22" s="572"/>
      <c r="BK22" s="572"/>
      <c r="BL22" s="572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572" t="s">
        <v>52</v>
      </c>
      <c r="BT22" s="572"/>
      <c r="BU22" s="572"/>
      <c r="BV22" s="572"/>
      <c r="BW22" s="572"/>
      <c r="BX22" s="572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572" t="s">
        <v>52</v>
      </c>
      <c r="CM22" s="572"/>
      <c r="CN22" s="572"/>
      <c r="CO22" s="572"/>
      <c r="CP22" s="572"/>
      <c r="CQ22" s="572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572" t="s">
        <v>52</v>
      </c>
      <c r="DE22" s="572"/>
      <c r="DF22" s="572"/>
      <c r="DG22" s="572"/>
      <c r="DH22" s="572"/>
      <c r="DI22" s="572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572" t="s">
        <v>52</v>
      </c>
      <c r="DY22" s="572"/>
      <c r="DZ22" s="572"/>
      <c r="EA22" s="572"/>
      <c r="EB22" s="572"/>
      <c r="EC22" s="572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572" t="s">
        <v>52</v>
      </c>
      <c r="ES22" s="572"/>
      <c r="ET22" s="572"/>
      <c r="EU22" s="572"/>
      <c r="EV22" s="572"/>
      <c r="EW22" s="572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572" t="s">
        <v>52</v>
      </c>
      <c r="FX22" s="572"/>
      <c r="FY22" s="572"/>
      <c r="FZ22" s="572"/>
      <c r="GA22" s="572"/>
      <c r="GB22" s="572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572" t="s">
        <v>52</v>
      </c>
      <c r="GU22" s="572"/>
      <c r="GV22" s="572"/>
      <c r="GW22" s="572"/>
      <c r="GX22" s="572"/>
      <c r="GY22" s="572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572" t="s">
        <v>52</v>
      </c>
      <c r="HP22" s="572"/>
      <c r="HQ22" s="572"/>
      <c r="HR22" s="572"/>
      <c r="HS22" s="572"/>
      <c r="HT22" s="572"/>
      <c r="HU22" s="28">
        <v>73</v>
      </c>
      <c r="HV22" s="28"/>
      <c r="HW22" s="30">
        <f t="shared" si="33"/>
        <v>0</v>
      </c>
      <c r="HX22" s="28">
        <f t="shared" si="0"/>
        <v>0</v>
      </c>
      <c r="HZ22" s="572" t="s">
        <v>52</v>
      </c>
      <c r="IA22" s="572"/>
      <c r="IB22" s="572"/>
      <c r="IC22" s="572"/>
      <c r="ID22" s="572"/>
      <c r="IE22" s="572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572" t="s">
        <v>52</v>
      </c>
      <c r="IQ22" s="572"/>
      <c r="IR22" s="572"/>
      <c r="IS22" s="572"/>
      <c r="IT22" s="572"/>
      <c r="IU22" s="572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572" t="s">
        <v>52</v>
      </c>
      <c r="JC22" s="572"/>
      <c r="JD22" s="572"/>
      <c r="JE22" s="572"/>
      <c r="JF22" s="572"/>
      <c r="JG22" s="572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572" t="s">
        <v>52</v>
      </c>
      <c r="KI22" s="572"/>
      <c r="KJ22" s="572"/>
      <c r="KK22" s="572"/>
      <c r="KL22" s="572"/>
      <c r="KM22" s="572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572" t="s">
        <v>52</v>
      </c>
      <c r="KW22" s="572"/>
      <c r="KX22" s="572"/>
      <c r="KY22" s="572"/>
      <c r="KZ22" s="572"/>
      <c r="LA22" s="572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572" t="s">
        <v>52</v>
      </c>
      <c r="LJ22" s="572"/>
      <c r="LK22" s="572"/>
      <c r="LL22" s="572"/>
      <c r="LM22" s="572"/>
      <c r="LN22" s="572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572" t="s">
        <v>52</v>
      </c>
      <c r="MI22" s="572"/>
      <c r="MJ22" s="572"/>
      <c r="MK22" s="572"/>
      <c r="ML22" s="572"/>
      <c r="MM22" s="572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572" t="s">
        <v>52</v>
      </c>
      <c r="NH22" s="572"/>
      <c r="NI22" s="572"/>
      <c r="NJ22" s="572"/>
      <c r="NK22" s="572"/>
      <c r="NL22" s="572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58"/>
      <c r="B23" s="14"/>
      <c r="C23" s="510" t="s">
        <v>12</v>
      </c>
      <c r="D23" s="510"/>
      <c r="E23" s="510"/>
      <c r="F23" s="510"/>
      <c r="G23" s="510"/>
      <c r="H23" s="510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510" t="s">
        <v>12</v>
      </c>
      <c r="Q23" s="510"/>
      <c r="R23" s="510"/>
      <c r="S23" s="510"/>
      <c r="T23" s="510"/>
      <c r="U23" s="510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510" t="s">
        <v>12</v>
      </c>
      <c r="AI23" s="510"/>
      <c r="AJ23" s="510"/>
      <c r="AK23" s="510"/>
      <c r="AL23" s="510"/>
      <c r="AM23" s="510"/>
      <c r="AN23" s="13">
        <v>26</v>
      </c>
      <c r="AO23" s="19"/>
      <c r="AP23" s="23">
        <f t="shared" si="12"/>
        <v>0</v>
      </c>
      <c r="AQ23" s="19">
        <f t="shared" si="13"/>
        <v>0</v>
      </c>
      <c r="AS23" s="510" t="s">
        <v>12</v>
      </c>
      <c r="AT23" s="510"/>
      <c r="AU23" s="510"/>
      <c r="AV23" s="510"/>
      <c r="AW23" s="510"/>
      <c r="AX23" s="510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510" t="s">
        <v>12</v>
      </c>
      <c r="BH23" s="510"/>
      <c r="BI23" s="510"/>
      <c r="BJ23" s="510"/>
      <c r="BK23" s="510"/>
      <c r="BL23" s="510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510" t="s">
        <v>12</v>
      </c>
      <c r="BT23" s="510"/>
      <c r="BU23" s="510"/>
      <c r="BV23" s="510"/>
      <c r="BW23" s="510"/>
      <c r="BX23" s="510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510" t="s">
        <v>12</v>
      </c>
      <c r="CM23" s="510"/>
      <c r="CN23" s="510"/>
      <c r="CO23" s="510"/>
      <c r="CP23" s="510"/>
      <c r="CQ23" s="510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510" t="s">
        <v>12</v>
      </c>
      <c r="DE23" s="510"/>
      <c r="DF23" s="510"/>
      <c r="DG23" s="510"/>
      <c r="DH23" s="510"/>
      <c r="DI23" s="510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510" t="s">
        <v>12</v>
      </c>
      <c r="DY23" s="510"/>
      <c r="DZ23" s="510"/>
      <c r="EA23" s="510"/>
      <c r="EB23" s="510"/>
      <c r="EC23" s="510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510" t="s">
        <v>12</v>
      </c>
      <c r="ES23" s="510"/>
      <c r="ET23" s="510"/>
      <c r="EU23" s="510"/>
      <c r="EV23" s="510"/>
      <c r="EW23" s="510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510" t="s">
        <v>12</v>
      </c>
      <c r="FX23" s="510"/>
      <c r="FY23" s="510"/>
      <c r="FZ23" s="510"/>
      <c r="GA23" s="510"/>
      <c r="GB23" s="510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510" t="s">
        <v>12</v>
      </c>
      <c r="GU23" s="510"/>
      <c r="GV23" s="510"/>
      <c r="GW23" s="510"/>
      <c r="GX23" s="510"/>
      <c r="GY23" s="510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510" t="s">
        <v>12</v>
      </c>
      <c r="HP23" s="510"/>
      <c r="HQ23" s="510"/>
      <c r="HR23" s="510"/>
      <c r="HS23" s="510"/>
      <c r="HT23" s="510"/>
      <c r="HU23" s="13">
        <v>36</v>
      </c>
      <c r="HV23" s="19"/>
      <c r="HW23" s="30">
        <f t="shared" si="33"/>
        <v>0</v>
      </c>
      <c r="HX23" s="28">
        <f t="shared" si="0"/>
        <v>0</v>
      </c>
      <c r="HZ23" s="510" t="s">
        <v>12</v>
      </c>
      <c r="IA23" s="510"/>
      <c r="IB23" s="510"/>
      <c r="IC23" s="510"/>
      <c r="ID23" s="510"/>
      <c r="IE23" s="510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510" t="s">
        <v>12</v>
      </c>
      <c r="IQ23" s="510"/>
      <c r="IR23" s="510"/>
      <c r="IS23" s="510"/>
      <c r="IT23" s="510"/>
      <c r="IU23" s="510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510" t="s">
        <v>12</v>
      </c>
      <c r="JC23" s="510"/>
      <c r="JD23" s="510"/>
      <c r="JE23" s="510"/>
      <c r="JF23" s="510"/>
      <c r="JG23" s="510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510" t="s">
        <v>12</v>
      </c>
      <c r="KI23" s="510"/>
      <c r="KJ23" s="510"/>
      <c r="KK23" s="510"/>
      <c r="KL23" s="510"/>
      <c r="KM23" s="510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510" t="s">
        <v>12</v>
      </c>
      <c r="KW23" s="510"/>
      <c r="KX23" s="510"/>
      <c r="KY23" s="510"/>
      <c r="KZ23" s="510"/>
      <c r="LA23" s="510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510" t="s">
        <v>12</v>
      </c>
      <c r="LJ23" s="510"/>
      <c r="LK23" s="510"/>
      <c r="LL23" s="510"/>
      <c r="LM23" s="510"/>
      <c r="LN23" s="510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510" t="s">
        <v>12</v>
      </c>
      <c r="MI23" s="510"/>
      <c r="MJ23" s="510"/>
      <c r="MK23" s="510"/>
      <c r="ML23" s="510"/>
      <c r="MM23" s="510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510" t="s">
        <v>12</v>
      </c>
      <c r="NH23" s="510"/>
      <c r="NI23" s="510"/>
      <c r="NJ23" s="510"/>
      <c r="NK23" s="510"/>
      <c r="NL23" s="510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58"/>
      <c r="B24" s="14"/>
      <c r="C24" s="510" t="s">
        <v>13</v>
      </c>
      <c r="D24" s="510"/>
      <c r="E24" s="510"/>
      <c r="F24" s="510"/>
      <c r="G24" s="510"/>
      <c r="H24" s="510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510" t="s">
        <v>13</v>
      </c>
      <c r="Q24" s="510"/>
      <c r="R24" s="510"/>
      <c r="S24" s="510"/>
      <c r="T24" s="510"/>
      <c r="U24" s="510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510" t="s">
        <v>13</v>
      </c>
      <c r="AI24" s="510"/>
      <c r="AJ24" s="510"/>
      <c r="AK24" s="510"/>
      <c r="AL24" s="510"/>
      <c r="AM24" s="510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572" t="s">
        <v>13</v>
      </c>
      <c r="AT24" s="572"/>
      <c r="AU24" s="572"/>
      <c r="AV24" s="572"/>
      <c r="AW24" s="572"/>
      <c r="AX24" s="572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572" t="s">
        <v>13</v>
      </c>
      <c r="BH24" s="572"/>
      <c r="BI24" s="572"/>
      <c r="BJ24" s="572"/>
      <c r="BK24" s="572"/>
      <c r="BL24" s="572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572" t="s">
        <v>13</v>
      </c>
      <c r="BT24" s="572"/>
      <c r="BU24" s="572"/>
      <c r="BV24" s="572"/>
      <c r="BW24" s="572"/>
      <c r="BX24" s="572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572" t="s">
        <v>13</v>
      </c>
      <c r="CM24" s="572"/>
      <c r="CN24" s="572"/>
      <c r="CO24" s="572"/>
      <c r="CP24" s="572"/>
      <c r="CQ24" s="572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572" t="s">
        <v>13</v>
      </c>
      <c r="DE24" s="572"/>
      <c r="DF24" s="572"/>
      <c r="DG24" s="572"/>
      <c r="DH24" s="572"/>
      <c r="DI24" s="572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572" t="s">
        <v>13</v>
      </c>
      <c r="DY24" s="572"/>
      <c r="DZ24" s="572"/>
      <c r="EA24" s="572"/>
      <c r="EB24" s="572"/>
      <c r="EC24" s="572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572" t="s">
        <v>13</v>
      </c>
      <c r="ES24" s="572"/>
      <c r="ET24" s="572"/>
      <c r="EU24" s="572"/>
      <c r="EV24" s="572"/>
      <c r="EW24" s="572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572" t="s">
        <v>13</v>
      </c>
      <c r="FX24" s="572"/>
      <c r="FY24" s="572"/>
      <c r="FZ24" s="572"/>
      <c r="GA24" s="572"/>
      <c r="GB24" s="572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572" t="s">
        <v>13</v>
      </c>
      <c r="GU24" s="572"/>
      <c r="GV24" s="572"/>
      <c r="GW24" s="572"/>
      <c r="GX24" s="572"/>
      <c r="GY24" s="572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572" t="s">
        <v>13</v>
      </c>
      <c r="HP24" s="572"/>
      <c r="HQ24" s="572"/>
      <c r="HR24" s="572"/>
      <c r="HS24" s="572"/>
      <c r="HT24" s="572"/>
      <c r="HU24" s="28">
        <v>39</v>
      </c>
      <c r="HV24" s="28"/>
      <c r="HW24" s="30">
        <f t="shared" si="33"/>
        <v>0</v>
      </c>
      <c r="HX24" s="28">
        <f t="shared" si="0"/>
        <v>0</v>
      </c>
      <c r="HZ24" s="572" t="s">
        <v>13</v>
      </c>
      <c r="IA24" s="572"/>
      <c r="IB24" s="572"/>
      <c r="IC24" s="572"/>
      <c r="ID24" s="572"/>
      <c r="IE24" s="572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572" t="s">
        <v>13</v>
      </c>
      <c r="IQ24" s="572"/>
      <c r="IR24" s="572"/>
      <c r="IS24" s="572"/>
      <c r="IT24" s="572"/>
      <c r="IU24" s="572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572" t="s">
        <v>13</v>
      </c>
      <c r="JC24" s="572"/>
      <c r="JD24" s="572"/>
      <c r="JE24" s="572"/>
      <c r="JF24" s="572"/>
      <c r="JG24" s="572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572" t="s">
        <v>13</v>
      </c>
      <c r="KI24" s="572"/>
      <c r="KJ24" s="572"/>
      <c r="KK24" s="572"/>
      <c r="KL24" s="572"/>
      <c r="KM24" s="572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572" t="s">
        <v>13</v>
      </c>
      <c r="KW24" s="572"/>
      <c r="KX24" s="572"/>
      <c r="KY24" s="572"/>
      <c r="KZ24" s="572"/>
      <c r="LA24" s="572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572" t="s">
        <v>13</v>
      </c>
      <c r="LJ24" s="572"/>
      <c r="LK24" s="572"/>
      <c r="LL24" s="572"/>
      <c r="LM24" s="572"/>
      <c r="LN24" s="572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572" t="s">
        <v>13</v>
      </c>
      <c r="MI24" s="572"/>
      <c r="MJ24" s="572"/>
      <c r="MK24" s="572"/>
      <c r="ML24" s="572"/>
      <c r="MM24" s="572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572" t="s">
        <v>13</v>
      </c>
      <c r="NH24" s="572"/>
      <c r="NI24" s="572"/>
      <c r="NJ24" s="572"/>
      <c r="NK24" s="572"/>
      <c r="NL24" s="572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58"/>
      <c r="B25" s="14"/>
      <c r="C25" s="531" t="s">
        <v>67</v>
      </c>
      <c r="D25" s="531"/>
      <c r="E25" s="531"/>
      <c r="F25" s="531"/>
      <c r="G25" s="531"/>
      <c r="H25" s="539"/>
      <c r="I25" s="13"/>
      <c r="J25" s="13"/>
      <c r="K25" s="19"/>
      <c r="L25" s="19"/>
      <c r="M25" s="19"/>
      <c r="N25" s="19">
        <f t="shared" si="9"/>
        <v>0</v>
      </c>
      <c r="O25" s="12"/>
      <c r="P25" s="531" t="s">
        <v>67</v>
      </c>
      <c r="Q25" s="531"/>
      <c r="R25" s="531"/>
      <c r="S25" s="531"/>
      <c r="T25" s="531"/>
      <c r="U25" s="531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531" t="s">
        <v>67</v>
      </c>
      <c r="AI25" s="531"/>
      <c r="AJ25" s="531"/>
      <c r="AK25" s="531"/>
      <c r="AL25" s="531"/>
      <c r="AM25" s="531"/>
      <c r="AN25" s="13"/>
      <c r="AO25" s="19"/>
      <c r="AP25" s="23"/>
      <c r="AQ25" s="19">
        <f t="shared" si="13"/>
        <v>0</v>
      </c>
      <c r="AS25" s="531" t="s">
        <v>67</v>
      </c>
      <c r="AT25" s="531"/>
      <c r="AU25" s="531"/>
      <c r="AV25" s="531"/>
      <c r="AW25" s="531"/>
      <c r="AX25" s="531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531" t="s">
        <v>67</v>
      </c>
      <c r="BH25" s="531"/>
      <c r="BI25" s="531"/>
      <c r="BJ25" s="531"/>
      <c r="BK25" s="531"/>
      <c r="BL25" s="531"/>
      <c r="BM25" s="28"/>
      <c r="BN25" s="28"/>
      <c r="BO25" s="28"/>
      <c r="BP25" s="30"/>
      <c r="BQ25" s="28">
        <f t="shared" si="17"/>
        <v>0</v>
      </c>
      <c r="BR25" s="14"/>
      <c r="BS25" s="531" t="s">
        <v>67</v>
      </c>
      <c r="BT25" s="531"/>
      <c r="BU25" s="531"/>
      <c r="BV25" s="531"/>
      <c r="BW25" s="531"/>
      <c r="BX25" s="531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531" t="s">
        <v>67</v>
      </c>
      <c r="CM25" s="531"/>
      <c r="CN25" s="531"/>
      <c r="CO25" s="531"/>
      <c r="CP25" s="531"/>
      <c r="CQ25" s="531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531" t="s">
        <v>67</v>
      </c>
      <c r="DE25" s="531"/>
      <c r="DF25" s="531"/>
      <c r="DG25" s="531"/>
      <c r="DH25" s="531"/>
      <c r="DI25" s="531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531" t="s">
        <v>67</v>
      </c>
      <c r="DY25" s="531"/>
      <c r="DZ25" s="531"/>
      <c r="EA25" s="531"/>
      <c r="EB25" s="531"/>
      <c r="EC25" s="531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186"/>
      <c r="EN25" s="186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531" t="s">
        <v>67</v>
      </c>
      <c r="ES25" s="531"/>
      <c r="ET25" s="531"/>
      <c r="EU25" s="531"/>
      <c r="EV25" s="531"/>
      <c r="EW25" s="531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86"/>
      <c r="FJ25" s="186"/>
      <c r="FK25" s="186"/>
      <c r="FL25" s="186"/>
      <c r="FM25" s="186"/>
      <c r="FN25" s="186"/>
      <c r="FO25" s="186"/>
      <c r="FP25" s="186"/>
      <c r="FQ25" s="186"/>
      <c r="FR25" s="186"/>
      <c r="FS25" s="186"/>
      <c r="FT25" s="30">
        <f t="shared" si="27"/>
        <v>0</v>
      </c>
      <c r="FU25" s="28">
        <f t="shared" si="28"/>
        <v>0</v>
      </c>
      <c r="FW25" s="531" t="s">
        <v>67</v>
      </c>
      <c r="FX25" s="531"/>
      <c r="FY25" s="531"/>
      <c r="FZ25" s="531"/>
      <c r="GA25" s="531"/>
      <c r="GB25" s="531"/>
      <c r="GC25" s="1">
        <v>28</v>
      </c>
      <c r="GD25" s="186"/>
      <c r="GE25" s="1"/>
      <c r="GF25" s="1"/>
      <c r="GG25" s="1"/>
      <c r="GH25" s="1"/>
      <c r="GI25" s="1"/>
      <c r="GJ25" s="1"/>
      <c r="GK25" s="1"/>
      <c r="GL25" s="1"/>
      <c r="GM25" s="1"/>
      <c r="GN25" s="186"/>
      <c r="GO25" s="186"/>
      <c r="GP25" s="186"/>
      <c r="GQ25" s="30">
        <f t="shared" si="29"/>
        <v>0</v>
      </c>
      <c r="GR25" s="28">
        <f t="shared" si="30"/>
        <v>0</v>
      </c>
      <c r="GT25" s="531" t="s">
        <v>67</v>
      </c>
      <c r="GU25" s="531"/>
      <c r="GV25" s="531"/>
      <c r="GW25" s="531"/>
      <c r="GX25" s="531"/>
      <c r="GY25" s="531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186"/>
      <c r="HK25" s="186"/>
      <c r="HL25" s="30">
        <f t="shared" si="31"/>
        <v>2</v>
      </c>
      <c r="HM25" s="28">
        <f t="shared" si="32"/>
        <v>50</v>
      </c>
      <c r="HO25" s="531" t="s">
        <v>67</v>
      </c>
      <c r="HP25" s="531"/>
      <c r="HQ25" s="531"/>
      <c r="HR25" s="531"/>
      <c r="HS25" s="531"/>
      <c r="HT25" s="531"/>
      <c r="HV25" s="1"/>
      <c r="HW25" s="30">
        <f t="shared" si="33"/>
        <v>0</v>
      </c>
      <c r="HX25" s="28">
        <f t="shared" si="0"/>
        <v>0</v>
      </c>
      <c r="HZ25" s="531" t="s">
        <v>67</v>
      </c>
      <c r="IA25" s="531"/>
      <c r="IB25" s="531"/>
      <c r="IC25" s="531"/>
      <c r="ID25" s="531"/>
      <c r="IE25" s="531"/>
      <c r="IF25" s="6">
        <v>0</v>
      </c>
      <c r="IG25" s="1"/>
      <c r="IH25" s="186"/>
      <c r="II25" s="186"/>
      <c r="IJ25" s="186"/>
      <c r="IK25" s="186"/>
      <c r="IL25" s="186"/>
      <c r="IM25" s="30">
        <f t="shared" si="41"/>
        <v>0</v>
      </c>
      <c r="IN25" s="28">
        <f t="shared" si="1"/>
        <v>0</v>
      </c>
      <c r="IP25" s="531" t="s">
        <v>67</v>
      </c>
      <c r="IQ25" s="531"/>
      <c r="IR25" s="531"/>
      <c r="IS25" s="531"/>
      <c r="IT25" s="531"/>
      <c r="IU25" s="531"/>
      <c r="IV25" s="6">
        <v>0</v>
      </c>
      <c r="IW25" s="1"/>
      <c r="IX25" s="186"/>
      <c r="IY25" s="30">
        <f t="shared" si="2"/>
        <v>0</v>
      </c>
      <c r="IZ25" s="28">
        <f t="shared" si="3"/>
        <v>0</v>
      </c>
      <c r="JB25" s="531" t="s">
        <v>67</v>
      </c>
      <c r="JC25" s="531"/>
      <c r="JD25" s="531"/>
      <c r="JE25" s="531"/>
      <c r="JF25" s="531"/>
      <c r="JG25" s="531"/>
      <c r="JH25" s="6">
        <v>0</v>
      </c>
      <c r="JI25" s="1"/>
      <c r="JJ25" s="186"/>
      <c r="JK25" s="186"/>
      <c r="JL25" s="186"/>
      <c r="JM25" s="186"/>
      <c r="JN25" s="186"/>
      <c r="JO25" s="186"/>
      <c r="JP25" s="186"/>
      <c r="JQ25" s="186"/>
      <c r="JR25" s="186"/>
      <c r="JS25" s="186"/>
      <c r="JT25" s="186"/>
      <c r="JU25" s="186"/>
      <c r="JV25" s="186"/>
      <c r="JW25" s="186"/>
      <c r="JX25" s="186"/>
      <c r="JY25" s="186"/>
      <c r="JZ25" s="186"/>
      <c r="KA25" s="186"/>
      <c r="KB25" s="186"/>
      <c r="KC25" s="186"/>
      <c r="KD25" s="186"/>
      <c r="KE25" s="30">
        <f t="shared" si="34"/>
        <v>0</v>
      </c>
      <c r="KF25" s="28">
        <f t="shared" si="42"/>
        <v>0</v>
      </c>
      <c r="KH25" s="531" t="s">
        <v>67</v>
      </c>
      <c r="KI25" s="531"/>
      <c r="KJ25" s="531"/>
      <c r="KK25" s="531"/>
      <c r="KL25" s="531"/>
      <c r="KM25" s="531"/>
      <c r="KN25" s="6">
        <v>0</v>
      </c>
      <c r="KO25" s="1"/>
      <c r="KP25" s="186"/>
      <c r="KQ25" s="186"/>
      <c r="KR25" s="186"/>
      <c r="KS25" s="30">
        <f t="shared" si="4"/>
        <v>0</v>
      </c>
      <c r="KT25" s="28">
        <f t="shared" si="5"/>
        <v>0</v>
      </c>
      <c r="KV25" s="531" t="s">
        <v>67</v>
      </c>
      <c r="KW25" s="531"/>
      <c r="KX25" s="531"/>
      <c r="KY25" s="531"/>
      <c r="KZ25" s="531"/>
      <c r="LA25" s="531"/>
      <c r="LB25" s="6">
        <v>0</v>
      </c>
      <c r="LC25" s="1"/>
      <c r="LD25" s="186"/>
      <c r="LE25" s="186"/>
      <c r="LF25" s="30">
        <f t="shared" si="6"/>
        <v>0</v>
      </c>
      <c r="LG25" s="28">
        <f t="shared" si="7"/>
        <v>0</v>
      </c>
      <c r="LI25" s="531" t="s">
        <v>67</v>
      </c>
      <c r="LJ25" s="531"/>
      <c r="LK25" s="531"/>
      <c r="LL25" s="531"/>
      <c r="LM25" s="531"/>
      <c r="LN25" s="531"/>
      <c r="LO25" s="6">
        <v>0</v>
      </c>
      <c r="LP25" s="1"/>
      <c r="LQ25" s="186"/>
      <c r="LR25" s="186"/>
      <c r="LS25" s="186"/>
      <c r="LT25" s="186"/>
      <c r="LU25" s="186"/>
      <c r="LV25" s="186"/>
      <c r="LW25" s="186"/>
      <c r="LX25" s="186"/>
      <c r="LY25" s="186"/>
      <c r="LZ25" s="186"/>
      <c r="MA25" s="186"/>
      <c r="MB25" s="186"/>
      <c r="MC25" s="186"/>
      <c r="MD25" s="186"/>
      <c r="ME25" s="30">
        <f t="shared" si="35"/>
        <v>0</v>
      </c>
      <c r="MF25" s="28">
        <f t="shared" si="8"/>
        <v>0</v>
      </c>
      <c r="MH25" s="531" t="s">
        <v>67</v>
      </c>
      <c r="MI25" s="531"/>
      <c r="MJ25" s="531"/>
      <c r="MK25" s="531"/>
      <c r="ML25" s="531"/>
      <c r="MM25" s="531"/>
      <c r="MN25" s="6">
        <v>0</v>
      </c>
      <c r="MO25" s="1"/>
      <c r="MP25" s="186"/>
      <c r="MQ25" s="186"/>
      <c r="MR25" s="186"/>
      <c r="MS25" s="186"/>
      <c r="MT25" s="186"/>
      <c r="MU25" s="186"/>
      <c r="MV25" s="186"/>
      <c r="MW25" s="186"/>
      <c r="MX25" s="186"/>
      <c r="MY25" s="186"/>
      <c r="MZ25" s="186"/>
      <c r="NA25" s="186"/>
      <c r="NB25" s="186"/>
      <c r="NC25" s="186"/>
      <c r="ND25" s="30">
        <f t="shared" si="36"/>
        <v>0</v>
      </c>
      <c r="NE25" s="28">
        <f t="shared" si="37"/>
        <v>0</v>
      </c>
      <c r="NG25" s="531" t="s">
        <v>67</v>
      </c>
      <c r="NH25" s="531"/>
      <c r="NI25" s="531"/>
      <c r="NJ25" s="531"/>
      <c r="NK25" s="531"/>
      <c r="NL25" s="531"/>
      <c r="NM25" s="6">
        <v>0</v>
      </c>
      <c r="NN25" s="186"/>
      <c r="NO25" s="186"/>
      <c r="NP25" s="186"/>
      <c r="NQ25" s="186"/>
      <c r="NR25" s="186"/>
      <c r="NS25" s="186"/>
      <c r="NT25" s="186"/>
      <c r="NU25" s="186"/>
      <c r="NV25" s="186"/>
      <c r="NW25" s="186"/>
      <c r="NX25" s="186"/>
      <c r="NY25" s="186"/>
      <c r="NZ25" s="186"/>
      <c r="OA25" s="186"/>
      <c r="OB25" s="186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58"/>
      <c r="B26" s="14"/>
      <c r="C26" s="629" t="s">
        <v>106</v>
      </c>
      <c r="D26" s="567"/>
      <c r="E26" s="567"/>
      <c r="F26" s="567"/>
      <c r="G26" s="568"/>
      <c r="H26" s="189"/>
      <c r="I26" s="13"/>
      <c r="J26" s="13"/>
      <c r="K26" s="19"/>
      <c r="L26" s="19"/>
      <c r="M26" s="19"/>
      <c r="N26" s="19"/>
      <c r="O26" s="12"/>
      <c r="P26" s="510" t="s">
        <v>106</v>
      </c>
      <c r="Q26" s="510"/>
      <c r="R26" s="510"/>
      <c r="S26" s="510"/>
      <c r="T26" s="510"/>
      <c r="U26" s="510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510" t="s">
        <v>106</v>
      </c>
      <c r="AI26" s="510"/>
      <c r="AJ26" s="510"/>
      <c r="AK26" s="510"/>
      <c r="AL26" s="510"/>
      <c r="AM26" s="510"/>
      <c r="AN26" s="13"/>
      <c r="AO26" s="19"/>
      <c r="AP26" s="23"/>
      <c r="AQ26" s="19"/>
      <c r="AS26" s="510" t="s">
        <v>106</v>
      </c>
      <c r="AT26" s="510"/>
      <c r="AU26" s="510"/>
      <c r="AV26" s="510"/>
      <c r="AW26" s="510"/>
      <c r="AX26" s="510"/>
      <c r="AY26" s="28"/>
      <c r="AZ26" s="28"/>
      <c r="BA26" s="28"/>
      <c r="BB26" s="28"/>
      <c r="BC26" s="28"/>
      <c r="BD26" s="30"/>
      <c r="BE26" s="28"/>
      <c r="BF26" s="14"/>
      <c r="BG26" s="510" t="s">
        <v>106</v>
      </c>
      <c r="BH26" s="510"/>
      <c r="BI26" s="510"/>
      <c r="BJ26" s="510"/>
      <c r="BK26" s="510"/>
      <c r="BL26" s="510"/>
      <c r="BM26" s="28"/>
      <c r="BN26" s="28"/>
      <c r="BO26" s="28"/>
      <c r="BP26" s="30"/>
      <c r="BQ26" s="28"/>
      <c r="BR26" s="14"/>
      <c r="BS26" s="510" t="s">
        <v>106</v>
      </c>
      <c r="BT26" s="510"/>
      <c r="BU26" s="510"/>
      <c r="BV26" s="510"/>
      <c r="BW26" s="510"/>
      <c r="BX26" s="510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510" t="s">
        <v>106</v>
      </c>
      <c r="CM26" s="510"/>
      <c r="CN26" s="510"/>
      <c r="CO26" s="510"/>
      <c r="CP26" s="510"/>
      <c r="CQ26" s="510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510" t="s">
        <v>106</v>
      </c>
      <c r="DE26" s="510"/>
      <c r="DF26" s="510"/>
      <c r="DG26" s="510"/>
      <c r="DH26" s="510"/>
      <c r="DI26" s="510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572" t="s">
        <v>106</v>
      </c>
      <c r="DY26" s="572"/>
      <c r="DZ26" s="572"/>
      <c r="EA26" s="572"/>
      <c r="EB26" s="572"/>
      <c r="EC26" s="572"/>
      <c r="ED26" s="106">
        <v>115</v>
      </c>
      <c r="EE26" s="106"/>
      <c r="EF26" s="106"/>
      <c r="EG26" s="106"/>
      <c r="EH26" s="106"/>
      <c r="EI26" s="106"/>
      <c r="EJ26" s="106"/>
      <c r="EK26" s="106"/>
      <c r="EL26" s="106"/>
      <c r="EM26" s="192"/>
      <c r="EN26" s="192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572" t="s">
        <v>106</v>
      </c>
      <c r="ES26" s="572"/>
      <c r="ET26" s="572"/>
      <c r="EU26" s="572"/>
      <c r="EV26" s="572"/>
      <c r="EW26" s="572"/>
      <c r="EX26" s="106">
        <v>115</v>
      </c>
      <c r="EY26" s="106"/>
      <c r="EZ26" s="106"/>
      <c r="FA26" s="106"/>
      <c r="FB26" s="106"/>
      <c r="FC26" s="106"/>
      <c r="FD26" s="106"/>
      <c r="FE26" s="106"/>
      <c r="FF26" s="106"/>
      <c r="FG26" s="106"/>
      <c r="FH26" s="106"/>
      <c r="FI26" s="192"/>
      <c r="FJ26" s="192"/>
      <c r="FK26" s="192"/>
      <c r="FL26" s="192"/>
      <c r="FM26" s="192"/>
      <c r="FN26" s="192"/>
      <c r="FO26" s="192"/>
      <c r="FP26" s="192"/>
      <c r="FQ26" s="192"/>
      <c r="FR26" s="192"/>
      <c r="FS26" s="192"/>
      <c r="FT26" s="30">
        <f t="shared" si="27"/>
        <v>0</v>
      </c>
      <c r="FU26" s="28">
        <f t="shared" si="28"/>
        <v>0</v>
      </c>
      <c r="FW26" s="572" t="s">
        <v>106</v>
      </c>
      <c r="FX26" s="572"/>
      <c r="FY26" s="572"/>
      <c r="FZ26" s="572"/>
      <c r="GA26" s="572"/>
      <c r="GB26" s="572"/>
      <c r="GC26" s="106">
        <v>115</v>
      </c>
      <c r="GD26" s="192"/>
      <c r="GE26" s="106"/>
      <c r="GF26" s="106"/>
      <c r="GG26" s="106"/>
      <c r="GH26" s="106"/>
      <c r="GI26" s="106"/>
      <c r="GJ26" s="106"/>
      <c r="GK26" s="106"/>
      <c r="GL26" s="106"/>
      <c r="GM26" s="106"/>
      <c r="GN26" s="192"/>
      <c r="GO26" s="192"/>
      <c r="GP26" s="192"/>
      <c r="GQ26" s="30">
        <f t="shared" si="29"/>
        <v>0</v>
      </c>
      <c r="GR26" s="28">
        <f t="shared" si="30"/>
        <v>0</v>
      </c>
      <c r="GT26" s="572" t="s">
        <v>106</v>
      </c>
      <c r="GU26" s="572"/>
      <c r="GV26" s="572"/>
      <c r="GW26" s="572"/>
      <c r="GX26" s="572"/>
      <c r="GY26" s="572"/>
      <c r="GZ26" s="106">
        <v>115</v>
      </c>
      <c r="HA26" s="106"/>
      <c r="HB26" s="106"/>
      <c r="HC26" s="106"/>
      <c r="HD26" s="106"/>
      <c r="HE26" s="106"/>
      <c r="HF26" s="106"/>
      <c r="HG26" s="106"/>
      <c r="HH26" s="106"/>
      <c r="HI26" s="106"/>
      <c r="HJ26" s="192"/>
      <c r="HK26" s="192"/>
      <c r="HL26" s="30">
        <f t="shared" si="31"/>
        <v>0</v>
      </c>
      <c r="HM26" s="28">
        <f t="shared" si="32"/>
        <v>0</v>
      </c>
      <c r="HO26" s="572" t="s">
        <v>106</v>
      </c>
      <c r="HP26" s="572"/>
      <c r="HQ26" s="572"/>
      <c r="HR26" s="572"/>
      <c r="HS26" s="572"/>
      <c r="HT26" s="572"/>
      <c r="HU26" s="106">
        <v>130</v>
      </c>
      <c r="HV26" s="106"/>
      <c r="HW26" s="30">
        <f t="shared" si="33"/>
        <v>0</v>
      </c>
      <c r="HX26" s="28">
        <f t="shared" si="0"/>
        <v>0</v>
      </c>
      <c r="HZ26" s="572" t="s">
        <v>106</v>
      </c>
      <c r="IA26" s="572"/>
      <c r="IB26" s="572"/>
      <c r="IC26" s="572"/>
      <c r="ID26" s="572"/>
      <c r="IE26" s="572"/>
      <c r="IF26" s="106">
        <v>130</v>
      </c>
      <c r="IG26" s="106"/>
      <c r="IH26" s="192"/>
      <c r="II26" s="192"/>
      <c r="IJ26" s="192"/>
      <c r="IK26" s="192"/>
      <c r="IL26" s="192"/>
      <c r="IM26" s="30">
        <f t="shared" si="41"/>
        <v>0</v>
      </c>
      <c r="IN26" s="28">
        <f t="shared" si="1"/>
        <v>0</v>
      </c>
      <c r="IP26" s="572" t="s">
        <v>106</v>
      </c>
      <c r="IQ26" s="572"/>
      <c r="IR26" s="572"/>
      <c r="IS26" s="572"/>
      <c r="IT26" s="572"/>
      <c r="IU26" s="572"/>
      <c r="IV26" s="106">
        <v>130</v>
      </c>
      <c r="IW26" s="106"/>
      <c r="IX26" s="192"/>
      <c r="IY26" s="30">
        <f t="shared" si="2"/>
        <v>0</v>
      </c>
      <c r="IZ26" s="28">
        <f t="shared" si="3"/>
        <v>0</v>
      </c>
      <c r="JB26" s="572" t="s">
        <v>106</v>
      </c>
      <c r="JC26" s="572"/>
      <c r="JD26" s="572"/>
      <c r="JE26" s="572"/>
      <c r="JF26" s="572"/>
      <c r="JG26" s="572"/>
      <c r="JH26" s="106">
        <v>125</v>
      </c>
      <c r="JI26" s="106"/>
      <c r="JJ26" s="192"/>
      <c r="JK26" s="192"/>
      <c r="JL26" s="192"/>
      <c r="JM26" s="192"/>
      <c r="JN26" s="192"/>
      <c r="JO26" s="192"/>
      <c r="JP26" s="192"/>
      <c r="JQ26" s="192"/>
      <c r="JR26" s="192"/>
      <c r="JS26" s="192"/>
      <c r="JT26" s="192"/>
      <c r="JU26" s="192"/>
      <c r="JV26" s="192"/>
      <c r="JW26" s="192"/>
      <c r="JX26" s="192"/>
      <c r="JY26" s="192"/>
      <c r="JZ26" s="192"/>
      <c r="KA26" s="192"/>
      <c r="KB26" s="192"/>
      <c r="KC26" s="192"/>
      <c r="KD26" s="192"/>
      <c r="KE26" s="30">
        <f t="shared" si="34"/>
        <v>0</v>
      </c>
      <c r="KF26" s="28">
        <f t="shared" si="42"/>
        <v>0</v>
      </c>
      <c r="KH26" s="572" t="s">
        <v>106</v>
      </c>
      <c r="KI26" s="572"/>
      <c r="KJ26" s="572"/>
      <c r="KK26" s="572"/>
      <c r="KL26" s="572"/>
      <c r="KM26" s="572"/>
      <c r="KN26" s="106">
        <v>125</v>
      </c>
      <c r="KO26" s="106"/>
      <c r="KP26" s="192"/>
      <c r="KQ26" s="192"/>
      <c r="KR26" s="192"/>
      <c r="KS26" s="30">
        <f t="shared" si="4"/>
        <v>0</v>
      </c>
      <c r="KT26" s="28">
        <f t="shared" si="5"/>
        <v>0</v>
      </c>
      <c r="KV26" s="572" t="s">
        <v>106</v>
      </c>
      <c r="KW26" s="572"/>
      <c r="KX26" s="572"/>
      <c r="KY26" s="572"/>
      <c r="KZ26" s="572"/>
      <c r="LA26" s="572"/>
      <c r="LB26" s="106">
        <v>115</v>
      </c>
      <c r="LC26" s="106"/>
      <c r="LD26" s="192"/>
      <c r="LE26" s="192"/>
      <c r="LF26" s="30">
        <f t="shared" si="6"/>
        <v>0</v>
      </c>
      <c r="LG26" s="28">
        <f t="shared" si="7"/>
        <v>0</v>
      </c>
      <c r="LI26" s="572" t="s">
        <v>106</v>
      </c>
      <c r="LJ26" s="572"/>
      <c r="LK26" s="572"/>
      <c r="LL26" s="572"/>
      <c r="LM26" s="572"/>
      <c r="LN26" s="572"/>
      <c r="LO26" s="106">
        <v>115</v>
      </c>
      <c r="LP26" s="106"/>
      <c r="LQ26" s="192"/>
      <c r="LR26" s="192"/>
      <c r="LS26" s="192"/>
      <c r="LT26" s="192"/>
      <c r="LU26" s="192"/>
      <c r="LV26" s="192"/>
      <c r="LW26" s="192"/>
      <c r="LX26" s="192"/>
      <c r="LY26" s="192"/>
      <c r="LZ26" s="192"/>
      <c r="MA26" s="192"/>
      <c r="MB26" s="192"/>
      <c r="MC26" s="192"/>
      <c r="MD26" s="192"/>
      <c r="ME26" s="30">
        <f t="shared" si="35"/>
        <v>0</v>
      </c>
      <c r="MF26" s="28">
        <f t="shared" si="8"/>
        <v>0</v>
      </c>
      <c r="MH26" s="572" t="s">
        <v>106</v>
      </c>
      <c r="MI26" s="572"/>
      <c r="MJ26" s="572"/>
      <c r="MK26" s="572"/>
      <c r="ML26" s="572"/>
      <c r="MM26" s="572"/>
      <c r="MN26" s="106">
        <v>115</v>
      </c>
      <c r="MO26" s="106"/>
      <c r="MP26" s="192"/>
      <c r="MQ26" s="192"/>
      <c r="MR26" s="192"/>
      <c r="MS26" s="192"/>
      <c r="MT26" s="192"/>
      <c r="MU26" s="192"/>
      <c r="MV26" s="192"/>
      <c r="MW26" s="192"/>
      <c r="MX26" s="192"/>
      <c r="MY26" s="192"/>
      <c r="MZ26" s="192"/>
      <c r="NA26" s="192"/>
      <c r="NB26" s="192"/>
      <c r="NC26" s="192"/>
      <c r="ND26" s="30">
        <f t="shared" si="36"/>
        <v>0</v>
      </c>
      <c r="NE26" s="28">
        <f t="shared" si="37"/>
        <v>0</v>
      </c>
      <c r="NG26" s="572" t="s">
        <v>106</v>
      </c>
      <c r="NH26" s="572"/>
      <c r="NI26" s="572"/>
      <c r="NJ26" s="572"/>
      <c r="NK26" s="572"/>
      <c r="NL26" s="572"/>
      <c r="NM26" s="106">
        <v>115</v>
      </c>
      <c r="NN26" s="192"/>
      <c r="NO26" s="192"/>
      <c r="NP26" s="192"/>
      <c r="NQ26" s="192"/>
      <c r="NR26" s="192"/>
      <c r="NS26" s="192"/>
      <c r="NT26" s="192"/>
      <c r="NU26" s="192"/>
      <c r="NV26" s="192"/>
      <c r="NW26" s="192"/>
      <c r="NX26" s="192"/>
      <c r="NY26" s="192"/>
      <c r="NZ26" s="192"/>
      <c r="OA26" s="192"/>
      <c r="OB26" s="192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58"/>
      <c r="B27" s="14"/>
      <c r="C27" s="629" t="s">
        <v>107</v>
      </c>
      <c r="D27" s="567"/>
      <c r="E27" s="567"/>
      <c r="F27" s="567"/>
      <c r="G27" s="568"/>
      <c r="H27" s="189"/>
      <c r="I27" s="13"/>
      <c r="J27" s="13"/>
      <c r="K27" s="19"/>
      <c r="L27" s="19"/>
      <c r="M27" s="19"/>
      <c r="N27" s="19"/>
      <c r="O27" s="12"/>
      <c r="P27" s="510" t="s">
        <v>107</v>
      </c>
      <c r="Q27" s="510"/>
      <c r="R27" s="510"/>
      <c r="S27" s="510"/>
      <c r="T27" s="510"/>
      <c r="U27" s="510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510" t="s">
        <v>107</v>
      </c>
      <c r="AI27" s="510"/>
      <c r="AJ27" s="510"/>
      <c r="AK27" s="510"/>
      <c r="AL27" s="510"/>
      <c r="AM27" s="510"/>
      <c r="AN27" s="13"/>
      <c r="AO27" s="19"/>
      <c r="AP27" s="23"/>
      <c r="AQ27" s="19"/>
      <c r="AS27" s="510" t="s">
        <v>107</v>
      </c>
      <c r="AT27" s="510"/>
      <c r="AU27" s="510"/>
      <c r="AV27" s="510"/>
      <c r="AW27" s="510"/>
      <c r="AX27" s="510"/>
      <c r="AY27" s="28"/>
      <c r="AZ27" s="28"/>
      <c r="BA27" s="28"/>
      <c r="BB27" s="28"/>
      <c r="BC27" s="28"/>
      <c r="BD27" s="30"/>
      <c r="BE27" s="28"/>
      <c r="BF27" s="14"/>
      <c r="BG27" s="510" t="s">
        <v>107</v>
      </c>
      <c r="BH27" s="510"/>
      <c r="BI27" s="510"/>
      <c r="BJ27" s="510"/>
      <c r="BK27" s="510"/>
      <c r="BL27" s="510"/>
      <c r="BM27" s="28"/>
      <c r="BN27" s="28"/>
      <c r="BO27" s="28"/>
      <c r="BP27" s="30"/>
      <c r="BQ27" s="28"/>
      <c r="BR27" s="14"/>
      <c r="BS27" s="510" t="s">
        <v>107</v>
      </c>
      <c r="BT27" s="510"/>
      <c r="BU27" s="510"/>
      <c r="BV27" s="510"/>
      <c r="BW27" s="510"/>
      <c r="BX27" s="510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510" t="s">
        <v>107</v>
      </c>
      <c r="CM27" s="510"/>
      <c r="CN27" s="510"/>
      <c r="CO27" s="510"/>
      <c r="CP27" s="510"/>
      <c r="CQ27" s="510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510" t="s">
        <v>107</v>
      </c>
      <c r="DE27" s="510"/>
      <c r="DF27" s="510"/>
      <c r="DG27" s="510"/>
      <c r="DH27" s="510"/>
      <c r="DI27" s="510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510" t="s">
        <v>107</v>
      </c>
      <c r="DY27" s="510"/>
      <c r="DZ27" s="510"/>
      <c r="EA27" s="510"/>
      <c r="EB27" s="510"/>
      <c r="EC27" s="510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186"/>
      <c r="EN27" s="186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510" t="s">
        <v>107</v>
      </c>
      <c r="ES27" s="510"/>
      <c r="ET27" s="510"/>
      <c r="EU27" s="510"/>
      <c r="EV27" s="510"/>
      <c r="EW27" s="510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86"/>
      <c r="FJ27" s="186"/>
      <c r="FK27" s="186"/>
      <c r="FL27" s="186"/>
      <c r="FM27" s="186"/>
      <c r="FN27" s="186"/>
      <c r="FO27" s="186"/>
      <c r="FP27" s="186"/>
      <c r="FQ27" s="186"/>
      <c r="FR27" s="186"/>
      <c r="FS27" s="186"/>
      <c r="FT27" s="30">
        <f t="shared" si="27"/>
        <v>0</v>
      </c>
      <c r="FU27" s="28">
        <f t="shared" si="28"/>
        <v>0</v>
      </c>
      <c r="FW27" s="510" t="s">
        <v>107</v>
      </c>
      <c r="FX27" s="510"/>
      <c r="FY27" s="510"/>
      <c r="FZ27" s="510"/>
      <c r="GA27" s="510"/>
      <c r="GB27" s="510"/>
      <c r="GC27" s="1">
        <v>125</v>
      </c>
      <c r="GD27" s="186"/>
      <c r="GE27" s="1"/>
      <c r="GF27" s="1"/>
      <c r="GG27" s="1"/>
      <c r="GH27" s="1"/>
      <c r="GI27" s="1"/>
      <c r="GJ27" s="1"/>
      <c r="GK27" s="1"/>
      <c r="GL27" s="1"/>
      <c r="GM27" s="1"/>
      <c r="GN27" s="186"/>
      <c r="GO27" s="186"/>
      <c r="GP27" s="186"/>
      <c r="GQ27" s="30">
        <f t="shared" si="29"/>
        <v>0</v>
      </c>
      <c r="GR27" s="28">
        <f t="shared" si="30"/>
        <v>0</v>
      </c>
      <c r="GT27" s="510" t="s">
        <v>107</v>
      </c>
      <c r="GU27" s="510"/>
      <c r="GV27" s="510"/>
      <c r="GW27" s="510"/>
      <c r="GX27" s="510"/>
      <c r="GY27" s="510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186"/>
      <c r="HK27" s="186"/>
      <c r="HL27" s="30">
        <f t="shared" si="31"/>
        <v>0</v>
      </c>
      <c r="HM27" s="28">
        <f t="shared" si="32"/>
        <v>0</v>
      </c>
      <c r="HO27" s="510" t="s">
        <v>107</v>
      </c>
      <c r="HP27" s="510"/>
      <c r="HQ27" s="510"/>
      <c r="HR27" s="510"/>
      <c r="HS27" s="510"/>
      <c r="HT27" s="510"/>
      <c r="HU27" s="2">
        <v>145</v>
      </c>
      <c r="HV27" s="1"/>
      <c r="HW27" s="30">
        <f t="shared" si="33"/>
        <v>0</v>
      </c>
      <c r="HX27" s="28">
        <f t="shared" si="0"/>
        <v>0</v>
      </c>
      <c r="HZ27" s="510" t="s">
        <v>107</v>
      </c>
      <c r="IA27" s="510"/>
      <c r="IB27" s="510"/>
      <c r="IC27" s="510"/>
      <c r="ID27" s="510"/>
      <c r="IE27" s="510"/>
      <c r="IF27" s="2">
        <v>145</v>
      </c>
      <c r="IG27" s="1"/>
      <c r="IH27" s="186"/>
      <c r="II27" s="186"/>
      <c r="IJ27" s="186"/>
      <c r="IK27" s="186"/>
      <c r="IL27" s="186"/>
      <c r="IM27" s="30">
        <f t="shared" si="41"/>
        <v>0</v>
      </c>
      <c r="IN27" s="28">
        <f t="shared" si="1"/>
        <v>0</v>
      </c>
      <c r="IP27" s="510" t="s">
        <v>107</v>
      </c>
      <c r="IQ27" s="510"/>
      <c r="IR27" s="510"/>
      <c r="IS27" s="510"/>
      <c r="IT27" s="510"/>
      <c r="IU27" s="510"/>
      <c r="IV27" s="2">
        <v>145</v>
      </c>
      <c r="IW27" s="1"/>
      <c r="IX27" s="186"/>
      <c r="IY27" s="30">
        <f t="shared" si="2"/>
        <v>0</v>
      </c>
      <c r="IZ27" s="28">
        <f t="shared" si="3"/>
        <v>0</v>
      </c>
      <c r="JB27" s="510" t="s">
        <v>107</v>
      </c>
      <c r="JC27" s="510"/>
      <c r="JD27" s="510"/>
      <c r="JE27" s="510"/>
      <c r="JF27" s="510"/>
      <c r="JG27" s="510"/>
      <c r="JH27" s="2">
        <v>135</v>
      </c>
      <c r="JI27" s="1"/>
      <c r="JJ27" s="186"/>
      <c r="JK27" s="186"/>
      <c r="JL27" s="186"/>
      <c r="JM27" s="186"/>
      <c r="JN27" s="186"/>
      <c r="JO27" s="186"/>
      <c r="JP27" s="186"/>
      <c r="JQ27" s="186"/>
      <c r="JR27" s="186"/>
      <c r="JS27" s="186">
        <v>1</v>
      </c>
      <c r="JT27" s="186"/>
      <c r="JU27" s="186"/>
      <c r="JV27" s="186"/>
      <c r="JW27" s="186"/>
      <c r="JX27" s="186"/>
      <c r="JY27" s="186"/>
      <c r="JZ27" s="186"/>
      <c r="KA27" s="186"/>
      <c r="KB27" s="186"/>
      <c r="KC27" s="186"/>
      <c r="KD27" s="186"/>
      <c r="KE27" s="30">
        <f t="shared" si="34"/>
        <v>1</v>
      </c>
      <c r="KF27" s="28">
        <f t="shared" si="42"/>
        <v>135</v>
      </c>
      <c r="KH27" s="510" t="s">
        <v>107</v>
      </c>
      <c r="KI27" s="510"/>
      <c r="KJ27" s="510"/>
      <c r="KK27" s="510"/>
      <c r="KL27" s="510"/>
      <c r="KM27" s="510"/>
      <c r="KN27" s="2">
        <v>135</v>
      </c>
      <c r="KO27" s="1"/>
      <c r="KP27" s="186"/>
      <c r="KQ27" s="186"/>
      <c r="KR27" s="186"/>
      <c r="KS27" s="30">
        <f t="shared" si="4"/>
        <v>0</v>
      </c>
      <c r="KT27" s="28">
        <f t="shared" si="5"/>
        <v>0</v>
      </c>
      <c r="KV27" s="510" t="s">
        <v>107</v>
      </c>
      <c r="KW27" s="510"/>
      <c r="KX27" s="510"/>
      <c r="KY27" s="510"/>
      <c r="KZ27" s="510"/>
      <c r="LA27" s="510"/>
      <c r="LB27" s="2">
        <v>125</v>
      </c>
      <c r="LC27" s="1"/>
      <c r="LD27" s="186"/>
      <c r="LE27" s="186"/>
      <c r="LF27" s="30">
        <f t="shared" si="6"/>
        <v>0</v>
      </c>
      <c r="LG27" s="28">
        <f t="shared" si="7"/>
        <v>0</v>
      </c>
      <c r="LI27" s="510" t="s">
        <v>107</v>
      </c>
      <c r="LJ27" s="510"/>
      <c r="LK27" s="510"/>
      <c r="LL27" s="510"/>
      <c r="LM27" s="510"/>
      <c r="LN27" s="510"/>
      <c r="LO27" s="2">
        <v>125</v>
      </c>
      <c r="LP27" s="1"/>
      <c r="LQ27" s="186"/>
      <c r="LR27" s="186"/>
      <c r="LS27" s="186"/>
      <c r="LT27" s="186"/>
      <c r="LU27" s="186"/>
      <c r="LV27" s="186"/>
      <c r="LW27" s="186"/>
      <c r="LX27" s="186"/>
      <c r="LY27" s="186"/>
      <c r="LZ27" s="186"/>
      <c r="MA27" s="186"/>
      <c r="MB27" s="186"/>
      <c r="MC27" s="186"/>
      <c r="MD27" s="186"/>
      <c r="ME27" s="30">
        <f t="shared" si="35"/>
        <v>0</v>
      </c>
      <c r="MF27" s="28">
        <f t="shared" si="8"/>
        <v>0</v>
      </c>
      <c r="MH27" s="510" t="s">
        <v>107</v>
      </c>
      <c r="MI27" s="510"/>
      <c r="MJ27" s="510"/>
      <c r="MK27" s="510"/>
      <c r="ML27" s="510"/>
      <c r="MM27" s="510"/>
      <c r="MN27" s="2">
        <v>125</v>
      </c>
      <c r="MO27" s="1"/>
      <c r="MP27" s="186"/>
      <c r="MQ27" s="186"/>
      <c r="MR27" s="186"/>
      <c r="MS27" s="186"/>
      <c r="MT27" s="186"/>
      <c r="MU27" s="186"/>
      <c r="MV27" s="186"/>
      <c r="MW27" s="186"/>
      <c r="MX27" s="186"/>
      <c r="MY27" s="186"/>
      <c r="MZ27" s="186"/>
      <c r="NA27" s="186"/>
      <c r="NB27" s="186"/>
      <c r="NC27" s="186"/>
      <c r="ND27" s="30">
        <f t="shared" si="36"/>
        <v>0</v>
      </c>
      <c r="NE27" s="28">
        <f t="shared" si="37"/>
        <v>0</v>
      </c>
      <c r="NG27" s="510" t="s">
        <v>107</v>
      </c>
      <c r="NH27" s="510"/>
      <c r="NI27" s="510"/>
      <c r="NJ27" s="510"/>
      <c r="NK27" s="510"/>
      <c r="NL27" s="510"/>
      <c r="NM27" s="2">
        <v>125</v>
      </c>
      <c r="NN27" s="186">
        <v>1</v>
      </c>
      <c r="NO27" s="186"/>
      <c r="NP27" s="186"/>
      <c r="NQ27" s="186"/>
      <c r="NR27" s="186"/>
      <c r="NS27" s="186"/>
      <c r="NT27" s="186"/>
      <c r="NU27" s="186"/>
      <c r="NV27" s="186"/>
      <c r="NW27" s="186"/>
      <c r="NX27" s="186"/>
      <c r="NY27" s="186"/>
      <c r="NZ27" s="186"/>
      <c r="OA27" s="186"/>
      <c r="OB27" s="186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58"/>
      <c r="B28" s="14"/>
      <c r="C28" s="629" t="s">
        <v>108</v>
      </c>
      <c r="D28" s="567"/>
      <c r="E28" s="567"/>
      <c r="F28" s="567"/>
      <c r="G28" s="568"/>
      <c r="H28" s="189"/>
      <c r="I28" s="13"/>
      <c r="J28" s="13"/>
      <c r="K28" s="19"/>
      <c r="L28" s="19"/>
      <c r="M28" s="19"/>
      <c r="N28" s="19"/>
      <c r="O28" s="12"/>
      <c r="P28" s="510" t="s">
        <v>108</v>
      </c>
      <c r="Q28" s="510"/>
      <c r="R28" s="510"/>
      <c r="S28" s="510"/>
      <c r="T28" s="510"/>
      <c r="U28" s="510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510" t="s">
        <v>108</v>
      </c>
      <c r="AI28" s="510"/>
      <c r="AJ28" s="510"/>
      <c r="AK28" s="510"/>
      <c r="AL28" s="510"/>
      <c r="AM28" s="510"/>
      <c r="AN28" s="13"/>
      <c r="AO28" s="19"/>
      <c r="AP28" s="23"/>
      <c r="AQ28" s="19"/>
      <c r="AS28" s="510" t="s">
        <v>108</v>
      </c>
      <c r="AT28" s="510"/>
      <c r="AU28" s="510"/>
      <c r="AV28" s="510"/>
      <c r="AW28" s="510"/>
      <c r="AX28" s="510"/>
      <c r="AY28" s="28"/>
      <c r="AZ28" s="28"/>
      <c r="BA28" s="28"/>
      <c r="BB28" s="28"/>
      <c r="BC28" s="28"/>
      <c r="BD28" s="30"/>
      <c r="BE28" s="28"/>
      <c r="BF28" s="14"/>
      <c r="BG28" s="510" t="s">
        <v>108</v>
      </c>
      <c r="BH28" s="510"/>
      <c r="BI28" s="510"/>
      <c r="BJ28" s="510"/>
      <c r="BK28" s="510"/>
      <c r="BL28" s="510"/>
      <c r="BM28" s="28"/>
      <c r="BN28" s="28"/>
      <c r="BO28" s="28"/>
      <c r="BP28" s="30"/>
      <c r="BQ28" s="28"/>
      <c r="BR28" s="14"/>
      <c r="BS28" s="510" t="s">
        <v>108</v>
      </c>
      <c r="BT28" s="510"/>
      <c r="BU28" s="510"/>
      <c r="BV28" s="510"/>
      <c r="BW28" s="510"/>
      <c r="BX28" s="510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510" t="s">
        <v>108</v>
      </c>
      <c r="CM28" s="510"/>
      <c r="CN28" s="510"/>
      <c r="CO28" s="510"/>
      <c r="CP28" s="510"/>
      <c r="CQ28" s="510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510" t="s">
        <v>108</v>
      </c>
      <c r="DE28" s="510"/>
      <c r="DF28" s="510"/>
      <c r="DG28" s="510"/>
      <c r="DH28" s="510"/>
      <c r="DI28" s="510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572" t="s">
        <v>108</v>
      </c>
      <c r="DY28" s="572"/>
      <c r="DZ28" s="572"/>
      <c r="EA28" s="572"/>
      <c r="EB28" s="572"/>
      <c r="EC28" s="572"/>
      <c r="ED28" s="106">
        <v>120</v>
      </c>
      <c r="EE28" s="106"/>
      <c r="EF28" s="106"/>
      <c r="EG28" s="106"/>
      <c r="EH28" s="106"/>
      <c r="EI28" s="106"/>
      <c r="EJ28" s="106"/>
      <c r="EK28" s="106"/>
      <c r="EL28" s="106"/>
      <c r="EM28" s="192"/>
      <c r="EN28" s="192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572" t="s">
        <v>108</v>
      </c>
      <c r="ES28" s="572"/>
      <c r="ET28" s="572"/>
      <c r="EU28" s="572"/>
      <c r="EV28" s="572"/>
      <c r="EW28" s="572"/>
      <c r="EX28" s="106">
        <v>120</v>
      </c>
      <c r="EY28" s="106"/>
      <c r="EZ28" s="106"/>
      <c r="FA28" s="106"/>
      <c r="FB28" s="106"/>
      <c r="FC28" s="106"/>
      <c r="FD28" s="106"/>
      <c r="FE28" s="106"/>
      <c r="FF28" s="106"/>
      <c r="FG28" s="106"/>
      <c r="FH28" s="106"/>
      <c r="FI28" s="192"/>
      <c r="FJ28" s="192"/>
      <c r="FK28" s="192"/>
      <c r="FL28" s="192"/>
      <c r="FM28" s="192"/>
      <c r="FN28" s="192"/>
      <c r="FO28" s="192"/>
      <c r="FP28" s="192"/>
      <c r="FQ28" s="192"/>
      <c r="FR28" s="192"/>
      <c r="FS28" s="192"/>
      <c r="FT28" s="30">
        <f t="shared" si="27"/>
        <v>0</v>
      </c>
      <c r="FU28" s="28">
        <f t="shared" si="28"/>
        <v>0</v>
      </c>
      <c r="FW28" s="572" t="s">
        <v>108</v>
      </c>
      <c r="FX28" s="572"/>
      <c r="FY28" s="572"/>
      <c r="FZ28" s="572"/>
      <c r="GA28" s="572"/>
      <c r="GB28" s="572"/>
      <c r="GC28" s="106">
        <v>120</v>
      </c>
      <c r="GD28" s="192"/>
      <c r="GE28" s="106"/>
      <c r="GF28" s="106"/>
      <c r="GG28" s="106"/>
      <c r="GH28" s="106"/>
      <c r="GI28" s="106"/>
      <c r="GJ28" s="106"/>
      <c r="GK28" s="106"/>
      <c r="GL28" s="106"/>
      <c r="GM28" s="106"/>
      <c r="GN28" s="192"/>
      <c r="GO28" s="192"/>
      <c r="GP28" s="192"/>
      <c r="GQ28" s="30">
        <f t="shared" si="29"/>
        <v>0</v>
      </c>
      <c r="GR28" s="28">
        <f t="shared" si="30"/>
        <v>0</v>
      </c>
      <c r="GT28" s="572" t="s">
        <v>108</v>
      </c>
      <c r="GU28" s="572"/>
      <c r="GV28" s="572"/>
      <c r="GW28" s="572"/>
      <c r="GX28" s="572"/>
      <c r="GY28" s="572"/>
      <c r="GZ28" s="106">
        <v>120</v>
      </c>
      <c r="HA28" s="106"/>
      <c r="HB28" s="106"/>
      <c r="HC28" s="106"/>
      <c r="HD28" s="106"/>
      <c r="HE28" s="106"/>
      <c r="HF28" s="106"/>
      <c r="HG28" s="106"/>
      <c r="HH28" s="106"/>
      <c r="HI28" s="106"/>
      <c r="HJ28" s="192"/>
      <c r="HK28" s="192"/>
      <c r="HL28" s="30">
        <f t="shared" si="31"/>
        <v>0</v>
      </c>
      <c r="HM28" s="28">
        <f t="shared" si="32"/>
        <v>0</v>
      </c>
      <c r="HO28" s="572" t="s">
        <v>108</v>
      </c>
      <c r="HP28" s="572"/>
      <c r="HQ28" s="572"/>
      <c r="HR28" s="572"/>
      <c r="HS28" s="572"/>
      <c r="HT28" s="572"/>
      <c r="HU28" s="106">
        <v>140</v>
      </c>
      <c r="HV28" s="106"/>
      <c r="HW28" s="30">
        <f t="shared" si="33"/>
        <v>0</v>
      </c>
      <c r="HX28" s="28">
        <f t="shared" si="0"/>
        <v>0</v>
      </c>
      <c r="HZ28" s="572" t="s">
        <v>108</v>
      </c>
      <c r="IA28" s="572"/>
      <c r="IB28" s="572"/>
      <c r="IC28" s="572"/>
      <c r="ID28" s="572"/>
      <c r="IE28" s="572"/>
      <c r="IF28" s="106">
        <v>140</v>
      </c>
      <c r="IG28" s="106"/>
      <c r="IH28" s="192"/>
      <c r="II28" s="192"/>
      <c r="IJ28" s="192"/>
      <c r="IK28" s="192"/>
      <c r="IL28" s="192"/>
      <c r="IM28" s="30">
        <f t="shared" si="41"/>
        <v>0</v>
      </c>
      <c r="IN28" s="28">
        <f t="shared" si="1"/>
        <v>0</v>
      </c>
      <c r="IP28" s="572" t="s">
        <v>108</v>
      </c>
      <c r="IQ28" s="572"/>
      <c r="IR28" s="572"/>
      <c r="IS28" s="572"/>
      <c r="IT28" s="572"/>
      <c r="IU28" s="572"/>
      <c r="IV28" s="106">
        <v>140</v>
      </c>
      <c r="IW28" s="106"/>
      <c r="IX28" s="192"/>
      <c r="IY28" s="30">
        <f t="shared" si="2"/>
        <v>0</v>
      </c>
      <c r="IZ28" s="28">
        <f t="shared" si="3"/>
        <v>0</v>
      </c>
      <c r="JB28" s="572" t="s">
        <v>108</v>
      </c>
      <c r="JC28" s="572"/>
      <c r="JD28" s="572"/>
      <c r="JE28" s="572"/>
      <c r="JF28" s="572"/>
      <c r="JG28" s="572"/>
      <c r="JH28" s="106">
        <v>130</v>
      </c>
      <c r="JI28" s="106"/>
      <c r="JJ28" s="192"/>
      <c r="JK28" s="192"/>
      <c r="JL28" s="192"/>
      <c r="JM28" s="192"/>
      <c r="JN28" s="192"/>
      <c r="JO28" s="192"/>
      <c r="JP28" s="192"/>
      <c r="JQ28" s="192"/>
      <c r="JR28" s="192"/>
      <c r="JS28" s="192"/>
      <c r="JT28" s="192"/>
      <c r="JU28" s="192"/>
      <c r="JV28" s="192"/>
      <c r="JW28" s="192"/>
      <c r="JX28" s="192"/>
      <c r="JY28" s="192"/>
      <c r="JZ28" s="192"/>
      <c r="KA28" s="192"/>
      <c r="KB28" s="192"/>
      <c r="KC28" s="192"/>
      <c r="KD28" s="192"/>
      <c r="KE28" s="30">
        <f t="shared" si="34"/>
        <v>0</v>
      </c>
      <c r="KF28" s="28">
        <f t="shared" si="42"/>
        <v>0</v>
      </c>
      <c r="KH28" s="572" t="s">
        <v>108</v>
      </c>
      <c r="KI28" s="572"/>
      <c r="KJ28" s="572"/>
      <c r="KK28" s="572"/>
      <c r="KL28" s="572"/>
      <c r="KM28" s="572"/>
      <c r="KN28" s="106">
        <v>130</v>
      </c>
      <c r="KO28" s="106"/>
      <c r="KP28" s="192"/>
      <c r="KQ28" s="192"/>
      <c r="KR28" s="192"/>
      <c r="KS28" s="30">
        <f t="shared" si="4"/>
        <v>0</v>
      </c>
      <c r="KT28" s="28">
        <f t="shared" si="5"/>
        <v>0</v>
      </c>
      <c r="KV28" s="572" t="s">
        <v>108</v>
      </c>
      <c r="KW28" s="572"/>
      <c r="KX28" s="572"/>
      <c r="KY28" s="572"/>
      <c r="KZ28" s="572"/>
      <c r="LA28" s="572"/>
      <c r="LB28" s="106">
        <v>120</v>
      </c>
      <c r="LC28" s="106"/>
      <c r="LD28" s="192"/>
      <c r="LE28" s="192"/>
      <c r="LF28" s="30">
        <f t="shared" si="6"/>
        <v>0</v>
      </c>
      <c r="LG28" s="28">
        <f t="shared" si="7"/>
        <v>0</v>
      </c>
      <c r="LI28" s="572" t="s">
        <v>108</v>
      </c>
      <c r="LJ28" s="572"/>
      <c r="LK28" s="572"/>
      <c r="LL28" s="572"/>
      <c r="LM28" s="572"/>
      <c r="LN28" s="572"/>
      <c r="LO28" s="106">
        <v>120</v>
      </c>
      <c r="LP28" s="106"/>
      <c r="LQ28" s="192"/>
      <c r="LR28" s="192"/>
      <c r="LS28" s="192"/>
      <c r="LT28" s="192"/>
      <c r="LU28" s="192"/>
      <c r="LV28" s="192"/>
      <c r="LW28" s="192"/>
      <c r="LX28" s="192"/>
      <c r="LY28" s="192"/>
      <c r="LZ28" s="192">
        <v>2</v>
      </c>
      <c r="MA28" s="192"/>
      <c r="MB28" s="192"/>
      <c r="MC28" s="192"/>
      <c r="MD28" s="192">
        <v>2</v>
      </c>
      <c r="ME28" s="30">
        <f t="shared" si="35"/>
        <v>4</v>
      </c>
      <c r="MF28" s="28">
        <f t="shared" si="8"/>
        <v>480</v>
      </c>
      <c r="MH28" s="572" t="s">
        <v>108</v>
      </c>
      <c r="MI28" s="572"/>
      <c r="MJ28" s="572"/>
      <c r="MK28" s="572"/>
      <c r="ML28" s="572"/>
      <c r="MM28" s="572"/>
      <c r="MN28" s="106">
        <v>120</v>
      </c>
      <c r="MO28" s="106"/>
      <c r="MP28" s="192"/>
      <c r="MQ28" s="192"/>
      <c r="MR28" s="192"/>
      <c r="MS28" s="192"/>
      <c r="MT28" s="192"/>
      <c r="MU28" s="192"/>
      <c r="MV28" s="192"/>
      <c r="MW28" s="192"/>
      <c r="MX28" s="192"/>
      <c r="MY28" s="192"/>
      <c r="MZ28" s="192"/>
      <c r="NA28" s="192"/>
      <c r="NB28" s="192"/>
      <c r="NC28" s="192"/>
      <c r="ND28" s="30">
        <f t="shared" si="36"/>
        <v>0</v>
      </c>
      <c r="NE28" s="28">
        <f t="shared" si="37"/>
        <v>0</v>
      </c>
      <c r="NG28" s="572" t="s">
        <v>108</v>
      </c>
      <c r="NH28" s="572"/>
      <c r="NI28" s="572"/>
      <c r="NJ28" s="572"/>
      <c r="NK28" s="572"/>
      <c r="NL28" s="572"/>
      <c r="NM28" s="106">
        <v>120</v>
      </c>
      <c r="NN28" s="192"/>
      <c r="NO28" s="192">
        <v>1</v>
      </c>
      <c r="NP28" s="192"/>
      <c r="NQ28" s="192"/>
      <c r="NR28" s="192"/>
      <c r="NS28" s="192"/>
      <c r="NT28" s="192"/>
      <c r="NU28" s="192"/>
      <c r="NV28" s="192"/>
      <c r="NW28" s="192"/>
      <c r="NX28" s="192"/>
      <c r="NY28" s="192"/>
      <c r="NZ28" s="192"/>
      <c r="OA28" s="192"/>
      <c r="OB28" s="192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58"/>
      <c r="B29" s="14"/>
      <c r="C29" s="629" t="s">
        <v>109</v>
      </c>
      <c r="D29" s="567"/>
      <c r="E29" s="567"/>
      <c r="F29" s="567"/>
      <c r="G29" s="568"/>
      <c r="H29" s="189"/>
      <c r="I29" s="13"/>
      <c r="J29" s="13"/>
      <c r="K29" s="19"/>
      <c r="L29" s="19"/>
      <c r="M29" s="19"/>
      <c r="N29" s="19"/>
      <c r="O29" s="12"/>
      <c r="P29" s="510" t="s">
        <v>109</v>
      </c>
      <c r="Q29" s="510"/>
      <c r="R29" s="510"/>
      <c r="S29" s="510"/>
      <c r="T29" s="510"/>
      <c r="U29" s="510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510" t="s">
        <v>109</v>
      </c>
      <c r="AI29" s="510"/>
      <c r="AJ29" s="510"/>
      <c r="AK29" s="510"/>
      <c r="AL29" s="510"/>
      <c r="AM29" s="510"/>
      <c r="AN29" s="13"/>
      <c r="AO29" s="19"/>
      <c r="AP29" s="23"/>
      <c r="AQ29" s="19"/>
      <c r="AS29" s="510" t="s">
        <v>109</v>
      </c>
      <c r="AT29" s="510"/>
      <c r="AU29" s="510"/>
      <c r="AV29" s="510"/>
      <c r="AW29" s="510"/>
      <c r="AX29" s="510"/>
      <c r="AY29" s="28"/>
      <c r="AZ29" s="28"/>
      <c r="BA29" s="28"/>
      <c r="BB29" s="28"/>
      <c r="BC29" s="28"/>
      <c r="BD29" s="30"/>
      <c r="BE29" s="28"/>
      <c r="BF29" s="14"/>
      <c r="BG29" s="510" t="s">
        <v>109</v>
      </c>
      <c r="BH29" s="510"/>
      <c r="BI29" s="510"/>
      <c r="BJ29" s="510"/>
      <c r="BK29" s="510"/>
      <c r="BL29" s="510"/>
      <c r="BM29" s="28"/>
      <c r="BN29" s="28"/>
      <c r="BO29" s="28"/>
      <c r="BP29" s="30"/>
      <c r="BQ29" s="28"/>
      <c r="BR29" s="14"/>
      <c r="BS29" s="510" t="s">
        <v>109</v>
      </c>
      <c r="BT29" s="510"/>
      <c r="BU29" s="510"/>
      <c r="BV29" s="510"/>
      <c r="BW29" s="510"/>
      <c r="BX29" s="510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510" t="s">
        <v>109</v>
      </c>
      <c r="CM29" s="510"/>
      <c r="CN29" s="510"/>
      <c r="CO29" s="510"/>
      <c r="CP29" s="510"/>
      <c r="CQ29" s="510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510" t="s">
        <v>109</v>
      </c>
      <c r="DE29" s="510"/>
      <c r="DF29" s="510"/>
      <c r="DG29" s="510"/>
      <c r="DH29" s="510"/>
      <c r="DI29" s="510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510" t="s">
        <v>109</v>
      </c>
      <c r="DY29" s="510"/>
      <c r="DZ29" s="510"/>
      <c r="EA29" s="510"/>
      <c r="EB29" s="510"/>
      <c r="EC29" s="510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186"/>
      <c r="EN29" s="186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510" t="s">
        <v>109</v>
      </c>
      <c r="ES29" s="510"/>
      <c r="ET29" s="510"/>
      <c r="EU29" s="510"/>
      <c r="EV29" s="510"/>
      <c r="EW29" s="510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86"/>
      <c r="FJ29" s="186"/>
      <c r="FK29" s="186"/>
      <c r="FL29" s="186"/>
      <c r="FM29" s="186"/>
      <c r="FN29" s="186"/>
      <c r="FO29" s="186"/>
      <c r="FP29" s="186"/>
      <c r="FQ29" s="186"/>
      <c r="FR29" s="186"/>
      <c r="FS29" s="186"/>
      <c r="FT29" s="30">
        <f t="shared" si="27"/>
        <v>0</v>
      </c>
      <c r="FU29" s="28">
        <f t="shared" si="28"/>
        <v>0</v>
      </c>
      <c r="FW29" s="510" t="s">
        <v>109</v>
      </c>
      <c r="FX29" s="510"/>
      <c r="FY29" s="510"/>
      <c r="FZ29" s="510"/>
      <c r="GA29" s="510"/>
      <c r="GB29" s="510"/>
      <c r="GC29" s="1">
        <v>115</v>
      </c>
      <c r="GD29" s="186"/>
      <c r="GE29" s="1"/>
      <c r="GF29" s="1"/>
      <c r="GG29" s="1"/>
      <c r="GH29" s="1"/>
      <c r="GI29" s="1"/>
      <c r="GJ29" s="1"/>
      <c r="GK29" s="1"/>
      <c r="GL29" s="1"/>
      <c r="GM29" s="1"/>
      <c r="GN29" s="186"/>
      <c r="GO29" s="186"/>
      <c r="GP29" s="186"/>
      <c r="GQ29" s="30">
        <f t="shared" si="29"/>
        <v>0</v>
      </c>
      <c r="GR29" s="28">
        <f t="shared" si="30"/>
        <v>0</v>
      </c>
      <c r="GT29" s="510" t="s">
        <v>109</v>
      </c>
      <c r="GU29" s="510"/>
      <c r="GV29" s="510"/>
      <c r="GW29" s="510"/>
      <c r="GX29" s="510"/>
      <c r="GY29" s="510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186"/>
      <c r="HK29" s="186"/>
      <c r="HL29" s="30">
        <f t="shared" si="31"/>
        <v>0</v>
      </c>
      <c r="HM29" s="28">
        <f t="shared" si="32"/>
        <v>0</v>
      </c>
      <c r="HO29" s="510" t="s">
        <v>109</v>
      </c>
      <c r="HP29" s="510"/>
      <c r="HQ29" s="510"/>
      <c r="HR29" s="510"/>
      <c r="HS29" s="510"/>
      <c r="HT29" s="510"/>
      <c r="HU29" s="2">
        <v>130</v>
      </c>
      <c r="HV29" s="1"/>
      <c r="HW29" s="30">
        <f t="shared" si="33"/>
        <v>0</v>
      </c>
      <c r="HX29" s="28">
        <f t="shared" si="0"/>
        <v>0</v>
      </c>
      <c r="HZ29" s="510" t="s">
        <v>109</v>
      </c>
      <c r="IA29" s="510"/>
      <c r="IB29" s="510"/>
      <c r="IC29" s="510"/>
      <c r="ID29" s="510"/>
      <c r="IE29" s="510"/>
      <c r="IF29" s="2">
        <v>130</v>
      </c>
      <c r="IG29" s="1"/>
      <c r="IH29" s="186"/>
      <c r="II29" s="186"/>
      <c r="IJ29" s="186"/>
      <c r="IK29" s="186"/>
      <c r="IL29" s="186"/>
      <c r="IM29" s="30">
        <f t="shared" si="41"/>
        <v>0</v>
      </c>
      <c r="IN29" s="28">
        <f t="shared" si="1"/>
        <v>0</v>
      </c>
      <c r="IP29" s="510" t="s">
        <v>109</v>
      </c>
      <c r="IQ29" s="510"/>
      <c r="IR29" s="510"/>
      <c r="IS29" s="510"/>
      <c r="IT29" s="510"/>
      <c r="IU29" s="510"/>
      <c r="IV29" s="2">
        <v>130</v>
      </c>
      <c r="IW29" s="1"/>
      <c r="IX29" s="186"/>
      <c r="IY29" s="30">
        <f t="shared" si="2"/>
        <v>0</v>
      </c>
      <c r="IZ29" s="28">
        <f t="shared" si="3"/>
        <v>0</v>
      </c>
      <c r="JB29" s="510" t="s">
        <v>109</v>
      </c>
      <c r="JC29" s="510"/>
      <c r="JD29" s="510"/>
      <c r="JE29" s="510"/>
      <c r="JF29" s="510"/>
      <c r="JG29" s="510"/>
      <c r="JH29" s="2">
        <v>125</v>
      </c>
      <c r="JI29" s="1"/>
      <c r="JJ29" s="186"/>
      <c r="JK29" s="186"/>
      <c r="JL29" s="186"/>
      <c r="JM29" s="186"/>
      <c r="JN29" s="186"/>
      <c r="JO29" s="186"/>
      <c r="JP29" s="186"/>
      <c r="JQ29" s="186"/>
      <c r="JR29" s="186"/>
      <c r="JS29" s="186"/>
      <c r="JT29" s="186"/>
      <c r="JU29" s="186"/>
      <c r="JV29" s="186"/>
      <c r="JW29" s="186"/>
      <c r="JX29" s="186"/>
      <c r="JY29" s="186"/>
      <c r="JZ29" s="186"/>
      <c r="KA29" s="186"/>
      <c r="KB29" s="186"/>
      <c r="KC29" s="186"/>
      <c r="KD29" s="186"/>
      <c r="KE29" s="30">
        <f t="shared" si="34"/>
        <v>0</v>
      </c>
      <c r="KF29" s="28">
        <f t="shared" si="42"/>
        <v>0</v>
      </c>
      <c r="KH29" s="510" t="s">
        <v>109</v>
      </c>
      <c r="KI29" s="510"/>
      <c r="KJ29" s="510"/>
      <c r="KK29" s="510"/>
      <c r="KL29" s="510"/>
      <c r="KM29" s="510"/>
      <c r="KN29" s="2">
        <v>125</v>
      </c>
      <c r="KO29" s="1"/>
      <c r="KP29" s="186"/>
      <c r="KQ29" s="186"/>
      <c r="KR29" s="186"/>
      <c r="KS29" s="30">
        <f t="shared" si="4"/>
        <v>0</v>
      </c>
      <c r="KT29" s="28">
        <f t="shared" si="5"/>
        <v>0</v>
      </c>
      <c r="KV29" s="510" t="s">
        <v>109</v>
      </c>
      <c r="KW29" s="510"/>
      <c r="KX29" s="510"/>
      <c r="KY29" s="510"/>
      <c r="KZ29" s="510"/>
      <c r="LA29" s="510"/>
      <c r="LB29" s="2">
        <v>115</v>
      </c>
      <c r="LC29" s="1"/>
      <c r="LD29" s="186"/>
      <c r="LE29" s="186"/>
      <c r="LF29" s="30">
        <f t="shared" si="6"/>
        <v>0</v>
      </c>
      <c r="LG29" s="28">
        <f t="shared" si="7"/>
        <v>0</v>
      </c>
      <c r="LI29" s="510" t="s">
        <v>109</v>
      </c>
      <c r="LJ29" s="510"/>
      <c r="LK29" s="510"/>
      <c r="LL29" s="510"/>
      <c r="LM29" s="510"/>
      <c r="LN29" s="510"/>
      <c r="LO29" s="2">
        <v>115</v>
      </c>
      <c r="LP29" s="1"/>
      <c r="LQ29" s="186"/>
      <c r="LR29" s="186"/>
      <c r="LS29" s="186"/>
      <c r="LT29" s="186"/>
      <c r="LU29" s="186"/>
      <c r="LV29" s="186"/>
      <c r="LW29" s="186"/>
      <c r="LX29" s="186"/>
      <c r="LY29" s="186"/>
      <c r="LZ29" s="186"/>
      <c r="MA29" s="186"/>
      <c r="MB29" s="186"/>
      <c r="MC29" s="186"/>
      <c r="MD29" s="186"/>
      <c r="ME29" s="30">
        <f t="shared" si="35"/>
        <v>0</v>
      </c>
      <c r="MF29" s="28">
        <f t="shared" si="8"/>
        <v>0</v>
      </c>
      <c r="MH29" s="510" t="s">
        <v>109</v>
      </c>
      <c r="MI29" s="510"/>
      <c r="MJ29" s="510"/>
      <c r="MK29" s="510"/>
      <c r="ML29" s="510"/>
      <c r="MM29" s="510"/>
      <c r="MN29" s="2">
        <v>115</v>
      </c>
      <c r="MO29" s="1"/>
      <c r="MP29" s="186"/>
      <c r="MQ29" s="186"/>
      <c r="MR29" s="186"/>
      <c r="MS29" s="186"/>
      <c r="MT29" s="186"/>
      <c r="MU29" s="186"/>
      <c r="MV29" s="186"/>
      <c r="MW29" s="186"/>
      <c r="MX29" s="186"/>
      <c r="MY29" s="186">
        <v>1</v>
      </c>
      <c r="MZ29" s="186"/>
      <c r="NA29" s="186"/>
      <c r="NB29" s="186"/>
      <c r="NC29" s="186"/>
      <c r="ND29" s="30">
        <f t="shared" si="36"/>
        <v>1</v>
      </c>
      <c r="NE29" s="28">
        <f t="shared" si="37"/>
        <v>115</v>
      </c>
      <c r="NG29" s="510" t="s">
        <v>109</v>
      </c>
      <c r="NH29" s="510"/>
      <c r="NI29" s="510"/>
      <c r="NJ29" s="510"/>
      <c r="NK29" s="510"/>
      <c r="NL29" s="510"/>
      <c r="NM29" s="2">
        <v>115</v>
      </c>
      <c r="NN29" s="186"/>
      <c r="NO29" s="186">
        <v>1</v>
      </c>
      <c r="NP29" s="186"/>
      <c r="NQ29" s="186"/>
      <c r="NR29" s="186"/>
      <c r="NS29" s="186"/>
      <c r="NT29" s="186"/>
      <c r="NU29" s="186"/>
      <c r="NV29" s="186"/>
      <c r="NW29" s="186"/>
      <c r="NX29" s="186"/>
      <c r="NY29" s="186"/>
      <c r="NZ29" s="186"/>
      <c r="OA29" s="186"/>
      <c r="OB29" s="186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58"/>
      <c r="B30" s="14"/>
      <c r="C30" s="510" t="s">
        <v>53</v>
      </c>
      <c r="D30" s="510"/>
      <c r="E30" s="510"/>
      <c r="F30" s="510"/>
      <c r="G30" s="510"/>
      <c r="H30" s="510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510" t="s">
        <v>53</v>
      </c>
      <c r="Q30" s="510"/>
      <c r="R30" s="510"/>
      <c r="S30" s="510"/>
      <c r="T30" s="510"/>
      <c r="U30" s="510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510" t="s">
        <v>53</v>
      </c>
      <c r="AI30" s="510"/>
      <c r="AJ30" s="510"/>
      <c r="AK30" s="510"/>
      <c r="AL30" s="510"/>
      <c r="AM30" s="510"/>
      <c r="AN30" s="13"/>
      <c r="AO30" s="19"/>
      <c r="AP30" s="23">
        <f t="shared" si="12"/>
        <v>0</v>
      </c>
      <c r="AQ30" s="19">
        <f t="shared" si="13"/>
        <v>0</v>
      </c>
      <c r="AS30" s="510" t="s">
        <v>53</v>
      </c>
      <c r="AT30" s="510"/>
      <c r="AU30" s="510"/>
      <c r="AV30" s="510"/>
      <c r="AW30" s="510"/>
      <c r="AX30" s="510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510" t="s">
        <v>53</v>
      </c>
      <c r="BH30" s="510"/>
      <c r="BI30" s="510"/>
      <c r="BJ30" s="510"/>
      <c r="BK30" s="510"/>
      <c r="BL30" s="510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510" t="s">
        <v>53</v>
      </c>
      <c r="BT30" s="510"/>
      <c r="BU30" s="510"/>
      <c r="BV30" s="510"/>
      <c r="BW30" s="510"/>
      <c r="BX30" s="510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510" t="s">
        <v>53</v>
      </c>
      <c r="CM30" s="510"/>
      <c r="CN30" s="510"/>
      <c r="CO30" s="510"/>
      <c r="CP30" s="510"/>
      <c r="CQ30" s="510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510" t="s">
        <v>53</v>
      </c>
      <c r="DE30" s="510"/>
      <c r="DF30" s="510"/>
      <c r="DG30" s="510"/>
      <c r="DH30" s="510"/>
      <c r="DI30" s="510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510" t="s">
        <v>53</v>
      </c>
      <c r="DY30" s="510"/>
      <c r="DZ30" s="510"/>
      <c r="EA30" s="510"/>
      <c r="EB30" s="510"/>
      <c r="EC30" s="510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510" t="s">
        <v>53</v>
      </c>
      <c r="ES30" s="510"/>
      <c r="ET30" s="510"/>
      <c r="EU30" s="510"/>
      <c r="EV30" s="510"/>
      <c r="EW30" s="510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510" t="s">
        <v>53</v>
      </c>
      <c r="FX30" s="510"/>
      <c r="FY30" s="510"/>
      <c r="FZ30" s="510"/>
      <c r="GA30" s="510"/>
      <c r="GB30" s="510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510" t="s">
        <v>53</v>
      </c>
      <c r="GU30" s="510"/>
      <c r="GV30" s="510"/>
      <c r="GW30" s="510"/>
      <c r="GX30" s="510"/>
      <c r="GY30" s="510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510" t="s">
        <v>53</v>
      </c>
      <c r="HP30" s="510"/>
      <c r="HQ30" s="510"/>
      <c r="HR30" s="510"/>
      <c r="HS30" s="510"/>
      <c r="HT30" s="510"/>
      <c r="HU30" s="1">
        <v>29</v>
      </c>
      <c r="HV30" s="19"/>
      <c r="HW30" s="30">
        <f t="shared" si="33"/>
        <v>0</v>
      </c>
      <c r="HX30" s="28">
        <f t="shared" si="0"/>
        <v>0</v>
      </c>
      <c r="HZ30" s="510" t="s">
        <v>53</v>
      </c>
      <c r="IA30" s="510"/>
      <c r="IB30" s="510"/>
      <c r="IC30" s="510"/>
      <c r="ID30" s="510"/>
      <c r="IE30" s="510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510" t="s">
        <v>53</v>
      </c>
      <c r="IQ30" s="510"/>
      <c r="IR30" s="510"/>
      <c r="IS30" s="510"/>
      <c r="IT30" s="510"/>
      <c r="IU30" s="510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510" t="s">
        <v>53</v>
      </c>
      <c r="JC30" s="510"/>
      <c r="JD30" s="510"/>
      <c r="JE30" s="510"/>
      <c r="JF30" s="510"/>
      <c r="JG30" s="510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510" t="s">
        <v>53</v>
      </c>
      <c r="KI30" s="510"/>
      <c r="KJ30" s="510"/>
      <c r="KK30" s="510"/>
      <c r="KL30" s="510"/>
      <c r="KM30" s="510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510" t="s">
        <v>53</v>
      </c>
      <c r="KW30" s="510"/>
      <c r="KX30" s="510"/>
      <c r="KY30" s="510"/>
      <c r="KZ30" s="510"/>
      <c r="LA30" s="510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510" t="s">
        <v>53</v>
      </c>
      <c r="LJ30" s="510"/>
      <c r="LK30" s="510"/>
      <c r="LL30" s="510"/>
      <c r="LM30" s="510"/>
      <c r="LN30" s="510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510" t="s">
        <v>53</v>
      </c>
      <c r="MI30" s="510"/>
      <c r="MJ30" s="510"/>
      <c r="MK30" s="510"/>
      <c r="ML30" s="510"/>
      <c r="MM30" s="510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510" t="s">
        <v>53</v>
      </c>
      <c r="NH30" s="510"/>
      <c r="NI30" s="510"/>
      <c r="NJ30" s="510"/>
      <c r="NK30" s="510"/>
      <c r="NL30" s="510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58"/>
      <c r="B31" s="12"/>
      <c r="C31" s="532" t="s">
        <v>14</v>
      </c>
      <c r="D31" s="532"/>
      <c r="E31" s="532"/>
      <c r="F31" s="532"/>
      <c r="G31" s="532"/>
      <c r="H31" s="532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532" t="s">
        <v>14</v>
      </c>
      <c r="Q31" s="532"/>
      <c r="R31" s="532"/>
      <c r="S31" s="532"/>
      <c r="T31" s="532"/>
      <c r="U31" s="532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532" t="s">
        <v>14</v>
      </c>
      <c r="AI31" s="532"/>
      <c r="AJ31" s="532"/>
      <c r="AK31" s="532"/>
      <c r="AL31" s="532"/>
      <c r="AM31" s="532"/>
      <c r="AN31" s="13"/>
      <c r="AO31" s="19"/>
      <c r="AP31" s="23">
        <f t="shared" si="12"/>
        <v>0</v>
      </c>
      <c r="AQ31" s="19">
        <f t="shared" si="13"/>
        <v>0</v>
      </c>
      <c r="AS31" s="572" t="s">
        <v>14</v>
      </c>
      <c r="AT31" s="572"/>
      <c r="AU31" s="572"/>
      <c r="AV31" s="572"/>
      <c r="AW31" s="572"/>
      <c r="AX31" s="572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572" t="s">
        <v>14</v>
      </c>
      <c r="BH31" s="572"/>
      <c r="BI31" s="572"/>
      <c r="BJ31" s="572"/>
      <c r="BK31" s="572"/>
      <c r="BL31" s="572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572" t="s">
        <v>14</v>
      </c>
      <c r="BT31" s="572"/>
      <c r="BU31" s="572"/>
      <c r="BV31" s="572"/>
      <c r="BW31" s="572"/>
      <c r="BX31" s="572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572" t="s">
        <v>14</v>
      </c>
      <c r="CM31" s="572"/>
      <c r="CN31" s="572"/>
      <c r="CO31" s="572"/>
      <c r="CP31" s="572"/>
      <c r="CQ31" s="572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572" t="s">
        <v>14</v>
      </c>
      <c r="DE31" s="572"/>
      <c r="DF31" s="572"/>
      <c r="DG31" s="572"/>
      <c r="DH31" s="572"/>
      <c r="DI31" s="572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572" t="s">
        <v>14</v>
      </c>
      <c r="DY31" s="572"/>
      <c r="DZ31" s="572"/>
      <c r="EA31" s="572"/>
      <c r="EB31" s="572"/>
      <c r="EC31" s="572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572" t="s">
        <v>14</v>
      </c>
      <c r="ES31" s="572"/>
      <c r="ET31" s="572"/>
      <c r="EU31" s="572"/>
      <c r="EV31" s="572"/>
      <c r="EW31" s="572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572" t="s">
        <v>14</v>
      </c>
      <c r="FX31" s="572"/>
      <c r="FY31" s="572"/>
      <c r="FZ31" s="572"/>
      <c r="GA31" s="572"/>
      <c r="GB31" s="572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572" t="s">
        <v>14</v>
      </c>
      <c r="GU31" s="572"/>
      <c r="GV31" s="572"/>
      <c r="GW31" s="572"/>
      <c r="GX31" s="572"/>
      <c r="GY31" s="572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572" t="s">
        <v>14</v>
      </c>
      <c r="HP31" s="572"/>
      <c r="HQ31" s="572"/>
      <c r="HR31" s="572"/>
      <c r="HS31" s="572"/>
      <c r="HT31" s="572"/>
      <c r="HU31" s="28">
        <v>95</v>
      </c>
      <c r="HV31" s="28"/>
      <c r="HW31" s="30">
        <f t="shared" si="33"/>
        <v>0</v>
      </c>
      <c r="HX31" s="28">
        <f t="shared" si="0"/>
        <v>0</v>
      </c>
      <c r="HZ31" s="572" t="s">
        <v>14</v>
      </c>
      <c r="IA31" s="572"/>
      <c r="IB31" s="572"/>
      <c r="IC31" s="572"/>
      <c r="ID31" s="572"/>
      <c r="IE31" s="572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572" t="s">
        <v>14</v>
      </c>
      <c r="IQ31" s="572"/>
      <c r="IR31" s="572"/>
      <c r="IS31" s="572"/>
      <c r="IT31" s="572"/>
      <c r="IU31" s="572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572" t="s">
        <v>14</v>
      </c>
      <c r="JC31" s="572"/>
      <c r="JD31" s="572"/>
      <c r="JE31" s="572"/>
      <c r="JF31" s="572"/>
      <c r="JG31" s="572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572" t="s">
        <v>14</v>
      </c>
      <c r="KI31" s="572"/>
      <c r="KJ31" s="572"/>
      <c r="KK31" s="572"/>
      <c r="KL31" s="572"/>
      <c r="KM31" s="572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572" t="s">
        <v>14</v>
      </c>
      <c r="KW31" s="572"/>
      <c r="KX31" s="572"/>
      <c r="KY31" s="572"/>
      <c r="KZ31" s="572"/>
      <c r="LA31" s="572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572" t="s">
        <v>14</v>
      </c>
      <c r="LJ31" s="572"/>
      <c r="LK31" s="572"/>
      <c r="LL31" s="572"/>
      <c r="LM31" s="572"/>
      <c r="LN31" s="572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572" t="s">
        <v>14</v>
      </c>
      <c r="MI31" s="572"/>
      <c r="MJ31" s="572"/>
      <c r="MK31" s="572"/>
      <c r="ML31" s="572"/>
      <c r="MM31" s="572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572" t="s">
        <v>14</v>
      </c>
      <c r="NH31" s="572"/>
      <c r="NI31" s="572"/>
      <c r="NJ31" s="572"/>
      <c r="NK31" s="572"/>
      <c r="NL31" s="572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58"/>
      <c r="B32" s="12"/>
      <c r="C32" s="532" t="s">
        <v>15</v>
      </c>
      <c r="D32" s="532"/>
      <c r="E32" s="532"/>
      <c r="F32" s="532"/>
      <c r="G32" s="532"/>
      <c r="H32" s="532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532" t="s">
        <v>15</v>
      </c>
      <c r="Q32" s="532"/>
      <c r="R32" s="532"/>
      <c r="S32" s="532"/>
      <c r="T32" s="532"/>
      <c r="U32" s="532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532" t="s">
        <v>15</v>
      </c>
      <c r="AI32" s="532"/>
      <c r="AJ32" s="532"/>
      <c r="AK32" s="532"/>
      <c r="AL32" s="532"/>
      <c r="AM32" s="532"/>
      <c r="AN32" s="13"/>
      <c r="AO32" s="19"/>
      <c r="AP32" s="23">
        <f t="shared" si="12"/>
        <v>0</v>
      </c>
      <c r="AQ32" s="19">
        <f t="shared" si="13"/>
        <v>0</v>
      </c>
      <c r="AS32" s="532" t="s">
        <v>15</v>
      </c>
      <c r="AT32" s="532"/>
      <c r="AU32" s="532"/>
      <c r="AV32" s="532"/>
      <c r="AW32" s="532"/>
      <c r="AX32" s="532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532" t="s">
        <v>15</v>
      </c>
      <c r="BH32" s="532"/>
      <c r="BI32" s="532"/>
      <c r="BJ32" s="532"/>
      <c r="BK32" s="532"/>
      <c r="BL32" s="532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532" t="s">
        <v>15</v>
      </c>
      <c r="BT32" s="532"/>
      <c r="BU32" s="532"/>
      <c r="BV32" s="532"/>
      <c r="BW32" s="532"/>
      <c r="BX32" s="532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532" t="s">
        <v>15</v>
      </c>
      <c r="CM32" s="532"/>
      <c r="CN32" s="532"/>
      <c r="CO32" s="532"/>
      <c r="CP32" s="532"/>
      <c r="CQ32" s="532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532" t="s">
        <v>15</v>
      </c>
      <c r="DE32" s="532"/>
      <c r="DF32" s="532"/>
      <c r="DG32" s="532"/>
      <c r="DH32" s="532"/>
      <c r="DI32" s="532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532" t="s">
        <v>15</v>
      </c>
      <c r="DY32" s="532"/>
      <c r="DZ32" s="532"/>
      <c r="EA32" s="532"/>
      <c r="EB32" s="532"/>
      <c r="EC32" s="532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532" t="s">
        <v>15</v>
      </c>
      <c r="ES32" s="532"/>
      <c r="ET32" s="532"/>
      <c r="EU32" s="532"/>
      <c r="EV32" s="532"/>
      <c r="EW32" s="532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532" t="s">
        <v>15</v>
      </c>
      <c r="FX32" s="532"/>
      <c r="FY32" s="532"/>
      <c r="FZ32" s="532"/>
      <c r="GA32" s="532"/>
      <c r="GB32" s="532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532" t="s">
        <v>15</v>
      </c>
      <c r="GU32" s="532"/>
      <c r="GV32" s="532"/>
      <c r="GW32" s="532"/>
      <c r="GX32" s="532"/>
      <c r="GY32" s="532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532" t="s">
        <v>15</v>
      </c>
      <c r="HP32" s="532"/>
      <c r="HQ32" s="532"/>
      <c r="HR32" s="532"/>
      <c r="HS32" s="532"/>
      <c r="HT32" s="532"/>
      <c r="HU32" s="13">
        <v>100</v>
      </c>
      <c r="HV32" s="19"/>
      <c r="HW32" s="30">
        <f t="shared" si="33"/>
        <v>0</v>
      </c>
      <c r="HX32" s="28">
        <f t="shared" si="0"/>
        <v>0</v>
      </c>
      <c r="HZ32" s="532" t="s">
        <v>15</v>
      </c>
      <c r="IA32" s="532"/>
      <c r="IB32" s="532"/>
      <c r="IC32" s="532"/>
      <c r="ID32" s="532"/>
      <c r="IE32" s="532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532" t="s">
        <v>15</v>
      </c>
      <c r="IQ32" s="532"/>
      <c r="IR32" s="532"/>
      <c r="IS32" s="532"/>
      <c r="IT32" s="532"/>
      <c r="IU32" s="532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532" t="s">
        <v>15</v>
      </c>
      <c r="JC32" s="532"/>
      <c r="JD32" s="532"/>
      <c r="JE32" s="532"/>
      <c r="JF32" s="532"/>
      <c r="JG32" s="532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532" t="s">
        <v>15</v>
      </c>
      <c r="KI32" s="532"/>
      <c r="KJ32" s="532"/>
      <c r="KK32" s="532"/>
      <c r="KL32" s="532"/>
      <c r="KM32" s="532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532" t="s">
        <v>15</v>
      </c>
      <c r="KW32" s="532"/>
      <c r="KX32" s="532"/>
      <c r="KY32" s="532"/>
      <c r="KZ32" s="532"/>
      <c r="LA32" s="532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532" t="s">
        <v>15</v>
      </c>
      <c r="LJ32" s="532"/>
      <c r="LK32" s="532"/>
      <c r="LL32" s="532"/>
      <c r="LM32" s="532"/>
      <c r="LN32" s="532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532" t="s">
        <v>15</v>
      </c>
      <c r="MI32" s="532"/>
      <c r="MJ32" s="532"/>
      <c r="MK32" s="532"/>
      <c r="ML32" s="532"/>
      <c r="MM32" s="532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532" t="s">
        <v>15</v>
      </c>
      <c r="NH32" s="532"/>
      <c r="NI32" s="532"/>
      <c r="NJ32" s="532"/>
      <c r="NK32" s="532"/>
      <c r="NL32" s="532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58"/>
      <c r="B33" s="12"/>
      <c r="C33" s="532" t="s">
        <v>16</v>
      </c>
      <c r="D33" s="532"/>
      <c r="E33" s="532"/>
      <c r="F33" s="532"/>
      <c r="G33" s="532"/>
      <c r="H33" s="532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532" t="s">
        <v>16</v>
      </c>
      <c r="Q33" s="532"/>
      <c r="R33" s="532"/>
      <c r="S33" s="532"/>
      <c r="T33" s="532"/>
      <c r="U33" s="532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532" t="s">
        <v>16</v>
      </c>
      <c r="AI33" s="532"/>
      <c r="AJ33" s="532"/>
      <c r="AK33" s="532"/>
      <c r="AL33" s="532"/>
      <c r="AM33" s="532"/>
      <c r="AN33" s="13"/>
      <c r="AO33" s="19"/>
      <c r="AP33" s="23">
        <f t="shared" si="12"/>
        <v>0</v>
      </c>
      <c r="AQ33" s="19">
        <f t="shared" si="13"/>
        <v>0</v>
      </c>
      <c r="AS33" s="572" t="s">
        <v>16</v>
      </c>
      <c r="AT33" s="572"/>
      <c r="AU33" s="572"/>
      <c r="AV33" s="572"/>
      <c r="AW33" s="572"/>
      <c r="AX33" s="572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572" t="s">
        <v>16</v>
      </c>
      <c r="BH33" s="572"/>
      <c r="BI33" s="572"/>
      <c r="BJ33" s="572"/>
      <c r="BK33" s="572"/>
      <c r="BL33" s="572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572" t="s">
        <v>16</v>
      </c>
      <c r="BT33" s="572"/>
      <c r="BU33" s="572"/>
      <c r="BV33" s="572"/>
      <c r="BW33" s="572"/>
      <c r="BX33" s="572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572" t="s">
        <v>16</v>
      </c>
      <c r="CM33" s="572"/>
      <c r="CN33" s="572"/>
      <c r="CO33" s="572"/>
      <c r="CP33" s="572"/>
      <c r="CQ33" s="572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572" t="s">
        <v>16</v>
      </c>
      <c r="DE33" s="572"/>
      <c r="DF33" s="572"/>
      <c r="DG33" s="572"/>
      <c r="DH33" s="572"/>
      <c r="DI33" s="572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572" t="s">
        <v>16</v>
      </c>
      <c r="DY33" s="572"/>
      <c r="DZ33" s="572"/>
      <c r="EA33" s="572"/>
      <c r="EB33" s="572"/>
      <c r="EC33" s="572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572" t="s">
        <v>16</v>
      </c>
      <c r="ES33" s="572"/>
      <c r="ET33" s="572"/>
      <c r="EU33" s="572"/>
      <c r="EV33" s="572"/>
      <c r="EW33" s="572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572" t="s">
        <v>16</v>
      </c>
      <c r="FX33" s="572"/>
      <c r="FY33" s="572"/>
      <c r="FZ33" s="572"/>
      <c r="GA33" s="572"/>
      <c r="GB33" s="572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572" t="s">
        <v>16</v>
      </c>
      <c r="GU33" s="572"/>
      <c r="GV33" s="572"/>
      <c r="GW33" s="572"/>
      <c r="GX33" s="572"/>
      <c r="GY33" s="572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572" t="s">
        <v>16</v>
      </c>
      <c r="HP33" s="572"/>
      <c r="HQ33" s="572"/>
      <c r="HR33" s="572"/>
      <c r="HS33" s="572"/>
      <c r="HT33" s="572"/>
      <c r="HU33" s="28"/>
      <c r="HV33" s="28"/>
      <c r="HW33" s="30">
        <f t="shared" si="33"/>
        <v>0</v>
      </c>
      <c r="HX33" s="28">
        <f t="shared" si="0"/>
        <v>0</v>
      </c>
      <c r="HZ33" s="572" t="s">
        <v>16</v>
      </c>
      <c r="IA33" s="572"/>
      <c r="IB33" s="572"/>
      <c r="IC33" s="572"/>
      <c r="ID33" s="572"/>
      <c r="IE33" s="572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572" t="s">
        <v>16</v>
      </c>
      <c r="IQ33" s="572"/>
      <c r="IR33" s="572"/>
      <c r="IS33" s="572"/>
      <c r="IT33" s="572"/>
      <c r="IU33" s="572"/>
      <c r="IV33" s="28"/>
      <c r="IW33" s="28"/>
      <c r="IX33" s="30"/>
      <c r="IY33" s="30">
        <f t="shared" si="2"/>
        <v>0</v>
      </c>
      <c r="IZ33" s="28">
        <f t="shared" si="3"/>
        <v>0</v>
      </c>
      <c r="JB33" s="572" t="s">
        <v>16</v>
      </c>
      <c r="JC33" s="572"/>
      <c r="JD33" s="572"/>
      <c r="JE33" s="572"/>
      <c r="JF33" s="572"/>
      <c r="JG33" s="572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572" t="s">
        <v>16</v>
      </c>
      <c r="KI33" s="572"/>
      <c r="KJ33" s="572"/>
      <c r="KK33" s="572"/>
      <c r="KL33" s="572"/>
      <c r="KM33" s="572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572" t="s">
        <v>16</v>
      </c>
      <c r="KW33" s="572"/>
      <c r="KX33" s="572"/>
      <c r="KY33" s="572"/>
      <c r="KZ33" s="572"/>
      <c r="LA33" s="572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572" t="s">
        <v>16</v>
      </c>
      <c r="LJ33" s="572"/>
      <c r="LK33" s="572"/>
      <c r="LL33" s="572"/>
      <c r="LM33" s="572"/>
      <c r="LN33" s="572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572" t="s">
        <v>16</v>
      </c>
      <c r="MI33" s="572"/>
      <c r="MJ33" s="572"/>
      <c r="MK33" s="572"/>
      <c r="ML33" s="572"/>
      <c r="MM33" s="572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572" t="s">
        <v>16</v>
      </c>
      <c r="NH33" s="572"/>
      <c r="NI33" s="572"/>
      <c r="NJ33" s="572"/>
      <c r="NK33" s="572"/>
      <c r="NL33" s="572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58"/>
      <c r="B34" s="12"/>
      <c r="C34" s="532" t="s">
        <v>54</v>
      </c>
      <c r="D34" s="532"/>
      <c r="E34" s="532"/>
      <c r="F34" s="532"/>
      <c r="G34" s="532"/>
      <c r="H34" s="532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532" t="s">
        <v>54</v>
      </c>
      <c r="Q34" s="532"/>
      <c r="R34" s="532"/>
      <c r="S34" s="532"/>
      <c r="T34" s="532"/>
      <c r="U34" s="532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532" t="s">
        <v>54</v>
      </c>
      <c r="AI34" s="532"/>
      <c r="AJ34" s="532"/>
      <c r="AK34" s="532"/>
      <c r="AL34" s="532"/>
      <c r="AM34" s="532"/>
      <c r="AN34" s="13"/>
      <c r="AO34" s="19"/>
      <c r="AP34" s="23">
        <f t="shared" si="12"/>
        <v>0</v>
      </c>
      <c r="AQ34" s="19">
        <f t="shared" si="13"/>
        <v>0</v>
      </c>
      <c r="AS34" s="532" t="s">
        <v>54</v>
      </c>
      <c r="AT34" s="532"/>
      <c r="AU34" s="532"/>
      <c r="AV34" s="532"/>
      <c r="AW34" s="532"/>
      <c r="AX34" s="532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532" t="s">
        <v>54</v>
      </c>
      <c r="BH34" s="532"/>
      <c r="BI34" s="532"/>
      <c r="BJ34" s="532"/>
      <c r="BK34" s="532"/>
      <c r="BL34" s="532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532" t="s">
        <v>54</v>
      </c>
      <c r="BT34" s="532"/>
      <c r="BU34" s="532"/>
      <c r="BV34" s="532"/>
      <c r="BW34" s="532"/>
      <c r="BX34" s="532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532" t="s">
        <v>54</v>
      </c>
      <c r="CM34" s="532"/>
      <c r="CN34" s="532"/>
      <c r="CO34" s="532"/>
      <c r="CP34" s="532"/>
      <c r="CQ34" s="532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532" t="s">
        <v>54</v>
      </c>
      <c r="DE34" s="532"/>
      <c r="DF34" s="532"/>
      <c r="DG34" s="532"/>
      <c r="DH34" s="532"/>
      <c r="DI34" s="532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532" t="s">
        <v>54</v>
      </c>
      <c r="DY34" s="532"/>
      <c r="DZ34" s="532"/>
      <c r="EA34" s="532"/>
      <c r="EB34" s="532"/>
      <c r="EC34" s="532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532" t="s">
        <v>54</v>
      </c>
      <c r="ES34" s="532"/>
      <c r="ET34" s="532"/>
      <c r="EU34" s="532"/>
      <c r="EV34" s="532"/>
      <c r="EW34" s="532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532" t="s">
        <v>54</v>
      </c>
      <c r="FX34" s="532"/>
      <c r="FY34" s="532"/>
      <c r="FZ34" s="532"/>
      <c r="GA34" s="532"/>
      <c r="GB34" s="532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532" t="s">
        <v>54</v>
      </c>
      <c r="GU34" s="532"/>
      <c r="GV34" s="532"/>
      <c r="GW34" s="532"/>
      <c r="GX34" s="532"/>
      <c r="GY34" s="532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532" t="s">
        <v>54</v>
      </c>
      <c r="HP34" s="532"/>
      <c r="HQ34" s="532"/>
      <c r="HR34" s="532"/>
      <c r="HS34" s="532"/>
      <c r="HT34" s="532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532" t="s">
        <v>54</v>
      </c>
      <c r="IA34" s="532"/>
      <c r="IB34" s="532"/>
      <c r="IC34" s="532"/>
      <c r="ID34" s="532"/>
      <c r="IE34" s="532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532" t="s">
        <v>54</v>
      </c>
      <c r="IQ34" s="532"/>
      <c r="IR34" s="532"/>
      <c r="IS34" s="532"/>
      <c r="IT34" s="532"/>
      <c r="IU34" s="532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532" t="s">
        <v>310</v>
      </c>
      <c r="JC34" s="532"/>
      <c r="JD34" s="532"/>
      <c r="JE34" s="532"/>
      <c r="JF34" s="532"/>
      <c r="JG34" s="532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532" t="s">
        <v>310</v>
      </c>
      <c r="KI34" s="532"/>
      <c r="KJ34" s="532"/>
      <c r="KK34" s="532"/>
      <c r="KL34" s="532"/>
      <c r="KM34" s="532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532" t="s">
        <v>310</v>
      </c>
      <c r="KW34" s="532"/>
      <c r="KX34" s="532"/>
      <c r="KY34" s="532"/>
      <c r="KZ34" s="532"/>
      <c r="LA34" s="532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532" t="s">
        <v>310</v>
      </c>
      <c r="LJ34" s="532"/>
      <c r="LK34" s="532"/>
      <c r="LL34" s="532"/>
      <c r="LM34" s="532"/>
      <c r="LN34" s="532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532" t="s">
        <v>310</v>
      </c>
      <c r="MI34" s="532"/>
      <c r="MJ34" s="532"/>
      <c r="MK34" s="532"/>
      <c r="ML34" s="532"/>
      <c r="MM34" s="532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532" t="s">
        <v>310</v>
      </c>
      <c r="NH34" s="532"/>
      <c r="NI34" s="532"/>
      <c r="NJ34" s="532"/>
      <c r="NK34" s="532"/>
      <c r="NL34" s="532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58"/>
      <c r="B35" s="12"/>
      <c r="C35" s="532" t="s">
        <v>17</v>
      </c>
      <c r="D35" s="532"/>
      <c r="E35" s="532"/>
      <c r="F35" s="532"/>
      <c r="G35" s="532"/>
      <c r="H35" s="532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532" t="s">
        <v>17</v>
      </c>
      <c r="Q35" s="532"/>
      <c r="R35" s="532"/>
      <c r="S35" s="532"/>
      <c r="T35" s="532"/>
      <c r="U35" s="532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532" t="s">
        <v>17</v>
      </c>
      <c r="AI35" s="532"/>
      <c r="AJ35" s="532"/>
      <c r="AK35" s="532"/>
      <c r="AL35" s="532"/>
      <c r="AM35" s="532"/>
      <c r="AN35" s="13"/>
      <c r="AO35" s="19"/>
      <c r="AP35" s="23">
        <f t="shared" si="12"/>
        <v>0</v>
      </c>
      <c r="AQ35" s="19">
        <f t="shared" si="13"/>
        <v>0</v>
      </c>
      <c r="AS35" s="572" t="s">
        <v>17</v>
      </c>
      <c r="AT35" s="572"/>
      <c r="AU35" s="572"/>
      <c r="AV35" s="572"/>
      <c r="AW35" s="572"/>
      <c r="AX35" s="572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572" t="s">
        <v>17</v>
      </c>
      <c r="BH35" s="572"/>
      <c r="BI35" s="572"/>
      <c r="BJ35" s="572"/>
      <c r="BK35" s="572"/>
      <c r="BL35" s="572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572" t="s">
        <v>17</v>
      </c>
      <c r="BT35" s="572"/>
      <c r="BU35" s="572"/>
      <c r="BV35" s="572"/>
      <c r="BW35" s="572"/>
      <c r="BX35" s="572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572" t="s">
        <v>17</v>
      </c>
      <c r="CM35" s="572"/>
      <c r="CN35" s="572"/>
      <c r="CO35" s="572"/>
      <c r="CP35" s="572"/>
      <c r="CQ35" s="572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572" t="s">
        <v>17</v>
      </c>
      <c r="DE35" s="572"/>
      <c r="DF35" s="572"/>
      <c r="DG35" s="572"/>
      <c r="DH35" s="572"/>
      <c r="DI35" s="572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572" t="s">
        <v>17</v>
      </c>
      <c r="DY35" s="572"/>
      <c r="DZ35" s="572"/>
      <c r="EA35" s="572"/>
      <c r="EB35" s="572"/>
      <c r="EC35" s="572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572" t="s">
        <v>17</v>
      </c>
      <c r="ES35" s="572"/>
      <c r="ET35" s="572"/>
      <c r="EU35" s="572"/>
      <c r="EV35" s="572"/>
      <c r="EW35" s="572"/>
      <c r="EX35" s="28"/>
      <c r="EY35" s="28"/>
      <c r="EZ35" s="197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572" t="s">
        <v>17</v>
      </c>
      <c r="FX35" s="572"/>
      <c r="FY35" s="572"/>
      <c r="FZ35" s="572"/>
      <c r="GA35" s="572"/>
      <c r="GB35" s="572"/>
      <c r="GC35" s="28"/>
      <c r="GD35" s="30"/>
      <c r="GE35" s="197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572" t="s">
        <v>17</v>
      </c>
      <c r="GU35" s="572"/>
      <c r="GV35" s="572"/>
      <c r="GW35" s="572"/>
      <c r="GX35" s="572"/>
      <c r="GY35" s="572"/>
      <c r="GZ35" s="28"/>
      <c r="HA35" s="197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572" t="s">
        <v>17</v>
      </c>
      <c r="HP35" s="572"/>
      <c r="HQ35" s="572"/>
      <c r="HR35" s="572"/>
      <c r="HS35" s="572"/>
      <c r="HT35" s="572"/>
      <c r="HU35" s="28"/>
      <c r="HV35" s="197"/>
      <c r="HW35" s="30">
        <f t="shared" si="33"/>
        <v>0</v>
      </c>
      <c r="HX35" s="28">
        <f t="shared" si="0"/>
        <v>0</v>
      </c>
      <c r="HZ35" s="572" t="s">
        <v>17</v>
      </c>
      <c r="IA35" s="572"/>
      <c r="IB35" s="572"/>
      <c r="IC35" s="572"/>
      <c r="ID35" s="572"/>
      <c r="IE35" s="572"/>
      <c r="IF35" s="28"/>
      <c r="IG35" s="197"/>
      <c r="IH35" s="264"/>
      <c r="II35" s="264"/>
      <c r="IJ35" s="264"/>
      <c r="IK35" s="264"/>
      <c r="IL35" s="264"/>
      <c r="IM35" s="30">
        <f t="shared" si="41"/>
        <v>0</v>
      </c>
      <c r="IN35" s="28">
        <f t="shared" si="1"/>
        <v>0</v>
      </c>
      <c r="IP35" s="572" t="s">
        <v>17</v>
      </c>
      <c r="IQ35" s="572"/>
      <c r="IR35" s="572"/>
      <c r="IS35" s="572"/>
      <c r="IT35" s="572"/>
      <c r="IU35" s="572"/>
      <c r="IV35" s="28"/>
      <c r="IW35" s="197"/>
      <c r="IX35" s="264"/>
      <c r="IY35" s="30">
        <f t="shared" si="2"/>
        <v>0</v>
      </c>
      <c r="IZ35" s="28">
        <f t="shared" si="3"/>
        <v>0</v>
      </c>
      <c r="JB35" s="572" t="s">
        <v>17</v>
      </c>
      <c r="JC35" s="572"/>
      <c r="JD35" s="572"/>
      <c r="JE35" s="572"/>
      <c r="JF35" s="572"/>
      <c r="JG35" s="572"/>
      <c r="JH35" s="28">
        <v>100</v>
      </c>
      <c r="JI35" s="197"/>
      <c r="JJ35" s="264"/>
      <c r="JK35" s="264"/>
      <c r="JL35" s="264"/>
      <c r="JM35" s="264"/>
      <c r="JN35" s="264"/>
      <c r="JO35" s="264"/>
      <c r="JP35" s="264"/>
      <c r="JQ35" s="264"/>
      <c r="JR35" s="264"/>
      <c r="JS35" s="264"/>
      <c r="JT35" s="264"/>
      <c r="JU35" s="264"/>
      <c r="JV35" s="264"/>
      <c r="JW35" s="264"/>
      <c r="JX35" s="264"/>
      <c r="JY35" s="264"/>
      <c r="JZ35" s="264"/>
      <c r="KA35" s="264"/>
      <c r="KB35" s="264"/>
      <c r="KC35" s="264"/>
      <c r="KD35" s="264"/>
      <c r="KE35" s="30">
        <f t="shared" si="34"/>
        <v>0</v>
      </c>
      <c r="KF35" s="28">
        <f t="shared" si="42"/>
        <v>0</v>
      </c>
      <c r="KH35" s="572" t="s">
        <v>17</v>
      </c>
      <c r="KI35" s="572"/>
      <c r="KJ35" s="572"/>
      <c r="KK35" s="572"/>
      <c r="KL35" s="572"/>
      <c r="KM35" s="572"/>
      <c r="KN35" s="28">
        <v>100</v>
      </c>
      <c r="KO35" s="197"/>
      <c r="KP35" s="264"/>
      <c r="KQ35" s="264"/>
      <c r="KR35" s="264"/>
      <c r="KS35" s="30">
        <f t="shared" si="4"/>
        <v>0</v>
      </c>
      <c r="KT35" s="28">
        <f t="shared" si="5"/>
        <v>0</v>
      </c>
      <c r="KV35" s="572" t="s">
        <v>17</v>
      </c>
      <c r="KW35" s="572"/>
      <c r="KX35" s="572"/>
      <c r="KY35" s="572"/>
      <c r="KZ35" s="572"/>
      <c r="LA35" s="572"/>
      <c r="LB35" s="28">
        <v>100</v>
      </c>
      <c r="LC35" s="197"/>
      <c r="LD35" s="264"/>
      <c r="LE35" s="264"/>
      <c r="LF35" s="30">
        <f t="shared" si="6"/>
        <v>0</v>
      </c>
      <c r="LG35" s="28">
        <f t="shared" si="7"/>
        <v>0</v>
      </c>
      <c r="LI35" s="572" t="s">
        <v>17</v>
      </c>
      <c r="LJ35" s="572"/>
      <c r="LK35" s="572"/>
      <c r="LL35" s="572"/>
      <c r="LM35" s="572"/>
      <c r="LN35" s="572"/>
      <c r="LO35" s="28">
        <v>100</v>
      </c>
      <c r="LP35" s="197"/>
      <c r="LQ35" s="264"/>
      <c r="LR35" s="264"/>
      <c r="LS35" s="264"/>
      <c r="LT35" s="264"/>
      <c r="LU35" s="264"/>
      <c r="LV35" s="264"/>
      <c r="LW35" s="264"/>
      <c r="LX35" s="264"/>
      <c r="LY35" s="264"/>
      <c r="LZ35" s="264"/>
      <c r="MA35" s="264"/>
      <c r="MB35" s="264"/>
      <c r="MC35" s="264"/>
      <c r="MD35" s="264"/>
      <c r="ME35" s="30">
        <f t="shared" si="35"/>
        <v>0</v>
      </c>
      <c r="MF35" s="28">
        <f t="shared" si="8"/>
        <v>0</v>
      </c>
      <c r="MH35" s="572" t="s">
        <v>17</v>
      </c>
      <c r="MI35" s="572"/>
      <c r="MJ35" s="572"/>
      <c r="MK35" s="572"/>
      <c r="ML35" s="572"/>
      <c r="MM35" s="572"/>
      <c r="MN35" s="28">
        <v>100</v>
      </c>
      <c r="MO35" s="197"/>
      <c r="MP35" s="264"/>
      <c r="MQ35" s="264"/>
      <c r="MR35" s="264"/>
      <c r="MS35" s="264"/>
      <c r="MT35" s="264"/>
      <c r="MU35" s="264"/>
      <c r="MV35" s="264"/>
      <c r="MW35" s="264"/>
      <c r="MX35" s="264"/>
      <c r="MY35" s="264"/>
      <c r="MZ35" s="264"/>
      <c r="NA35" s="264"/>
      <c r="NB35" s="264"/>
      <c r="NC35" s="264"/>
      <c r="ND35" s="30">
        <f t="shared" si="36"/>
        <v>0</v>
      </c>
      <c r="NE35" s="28">
        <f t="shared" si="37"/>
        <v>0</v>
      </c>
      <c r="NG35" s="572" t="s">
        <v>17</v>
      </c>
      <c r="NH35" s="572"/>
      <c r="NI35" s="572"/>
      <c r="NJ35" s="572"/>
      <c r="NK35" s="572"/>
      <c r="NL35" s="572"/>
      <c r="NM35" s="28">
        <v>100</v>
      </c>
      <c r="NN35" s="264"/>
      <c r="NO35" s="264"/>
      <c r="NP35" s="264"/>
      <c r="NQ35" s="264"/>
      <c r="NR35" s="264"/>
      <c r="NS35" s="264"/>
      <c r="NT35" s="264"/>
      <c r="NU35" s="264"/>
      <c r="NV35" s="264"/>
      <c r="NW35" s="264"/>
      <c r="NX35" s="264"/>
      <c r="NY35" s="264"/>
      <c r="NZ35" s="264"/>
      <c r="OA35" s="264"/>
      <c r="OB35" s="264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58"/>
      <c r="B36" s="12"/>
      <c r="C36" s="532" t="s">
        <v>59</v>
      </c>
      <c r="D36" s="532"/>
      <c r="E36" s="532"/>
      <c r="F36" s="532"/>
      <c r="G36" s="532"/>
      <c r="H36" s="532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532" t="s">
        <v>59</v>
      </c>
      <c r="Q36" s="532"/>
      <c r="R36" s="532"/>
      <c r="S36" s="532"/>
      <c r="T36" s="532"/>
      <c r="U36" s="532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532" t="s">
        <v>59</v>
      </c>
      <c r="AI36" s="532"/>
      <c r="AJ36" s="532"/>
      <c r="AK36" s="532"/>
      <c r="AL36" s="532"/>
      <c r="AM36" s="532"/>
      <c r="AN36" s="13"/>
      <c r="AO36" s="19"/>
      <c r="AP36" s="23">
        <f t="shared" si="12"/>
        <v>0</v>
      </c>
      <c r="AQ36" s="19">
        <f t="shared" si="13"/>
        <v>0</v>
      </c>
      <c r="AS36" s="532" t="s">
        <v>59</v>
      </c>
      <c r="AT36" s="532"/>
      <c r="AU36" s="532"/>
      <c r="AV36" s="532"/>
      <c r="AW36" s="532"/>
      <c r="AX36" s="532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532" t="s">
        <v>59</v>
      </c>
      <c r="BH36" s="532"/>
      <c r="BI36" s="532"/>
      <c r="BJ36" s="532"/>
      <c r="BK36" s="532"/>
      <c r="BL36" s="532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532" t="s">
        <v>59</v>
      </c>
      <c r="BT36" s="532"/>
      <c r="BU36" s="532"/>
      <c r="BV36" s="532"/>
      <c r="BW36" s="532"/>
      <c r="BX36" s="532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532" t="s">
        <v>59</v>
      </c>
      <c r="CM36" s="532"/>
      <c r="CN36" s="532"/>
      <c r="CO36" s="532"/>
      <c r="CP36" s="532"/>
      <c r="CQ36" s="532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532" t="s">
        <v>59</v>
      </c>
      <c r="DE36" s="532"/>
      <c r="DF36" s="532"/>
      <c r="DG36" s="532"/>
      <c r="DH36" s="532"/>
      <c r="DI36" s="532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532" t="s">
        <v>59</v>
      </c>
      <c r="DY36" s="532"/>
      <c r="DZ36" s="532"/>
      <c r="EA36" s="532"/>
      <c r="EB36" s="532"/>
      <c r="EC36" s="532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532" t="s">
        <v>59</v>
      </c>
      <c r="ES36" s="532"/>
      <c r="ET36" s="532"/>
      <c r="EU36" s="532"/>
      <c r="EV36" s="532"/>
      <c r="EW36" s="532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532" t="s">
        <v>59</v>
      </c>
      <c r="FX36" s="532"/>
      <c r="FY36" s="532"/>
      <c r="FZ36" s="532"/>
      <c r="GA36" s="532"/>
      <c r="GB36" s="532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532" t="s">
        <v>59</v>
      </c>
      <c r="GU36" s="532"/>
      <c r="GV36" s="532"/>
      <c r="GW36" s="532"/>
      <c r="GX36" s="532"/>
      <c r="GY36" s="532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532" t="s">
        <v>59</v>
      </c>
      <c r="HP36" s="532"/>
      <c r="HQ36" s="532"/>
      <c r="HR36" s="532"/>
      <c r="HS36" s="532"/>
      <c r="HT36" s="532"/>
      <c r="HU36" s="13">
        <v>100</v>
      </c>
      <c r="HV36" s="19"/>
      <c r="HW36" s="30">
        <f t="shared" si="33"/>
        <v>0</v>
      </c>
      <c r="HX36" s="28">
        <f t="shared" si="0"/>
        <v>0</v>
      </c>
      <c r="HZ36" s="532" t="s">
        <v>59</v>
      </c>
      <c r="IA36" s="532"/>
      <c r="IB36" s="532"/>
      <c r="IC36" s="532"/>
      <c r="ID36" s="532"/>
      <c r="IE36" s="532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532" t="s">
        <v>59</v>
      </c>
      <c r="IQ36" s="532"/>
      <c r="IR36" s="532"/>
      <c r="IS36" s="532"/>
      <c r="IT36" s="532"/>
      <c r="IU36" s="532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532" t="s">
        <v>59</v>
      </c>
      <c r="JC36" s="532"/>
      <c r="JD36" s="532"/>
      <c r="JE36" s="532"/>
      <c r="JF36" s="532"/>
      <c r="JG36" s="532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532" t="s">
        <v>59</v>
      </c>
      <c r="KI36" s="532"/>
      <c r="KJ36" s="532"/>
      <c r="KK36" s="532"/>
      <c r="KL36" s="532"/>
      <c r="KM36" s="532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532" t="s">
        <v>59</v>
      </c>
      <c r="KW36" s="532"/>
      <c r="KX36" s="532"/>
      <c r="KY36" s="532"/>
      <c r="KZ36" s="532"/>
      <c r="LA36" s="532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532" t="s">
        <v>59</v>
      </c>
      <c r="LJ36" s="532"/>
      <c r="LK36" s="532"/>
      <c r="LL36" s="532"/>
      <c r="LM36" s="532"/>
      <c r="LN36" s="532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532" t="s">
        <v>59</v>
      </c>
      <c r="MI36" s="532"/>
      <c r="MJ36" s="532"/>
      <c r="MK36" s="532"/>
      <c r="ML36" s="532"/>
      <c r="MM36" s="532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532" t="s">
        <v>59</v>
      </c>
      <c r="NH36" s="532"/>
      <c r="NI36" s="532"/>
      <c r="NJ36" s="532"/>
      <c r="NK36" s="532"/>
      <c r="NL36" s="532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58"/>
      <c r="B37" s="12"/>
      <c r="C37" s="532" t="s">
        <v>18</v>
      </c>
      <c r="D37" s="532"/>
      <c r="E37" s="532"/>
      <c r="F37" s="532"/>
      <c r="G37" s="532"/>
      <c r="H37" s="532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532" t="s">
        <v>18</v>
      </c>
      <c r="Q37" s="532"/>
      <c r="R37" s="532"/>
      <c r="S37" s="532"/>
      <c r="T37" s="532"/>
      <c r="U37" s="532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532" t="s">
        <v>18</v>
      </c>
      <c r="AI37" s="532"/>
      <c r="AJ37" s="532"/>
      <c r="AK37" s="532"/>
      <c r="AL37" s="532"/>
      <c r="AM37" s="532"/>
      <c r="AN37" s="13"/>
      <c r="AO37" s="19"/>
      <c r="AP37" s="23">
        <f t="shared" si="12"/>
        <v>0</v>
      </c>
      <c r="AQ37" s="19">
        <f t="shared" si="13"/>
        <v>0</v>
      </c>
      <c r="AS37" s="572" t="s">
        <v>18</v>
      </c>
      <c r="AT37" s="572"/>
      <c r="AU37" s="572"/>
      <c r="AV37" s="572"/>
      <c r="AW37" s="572"/>
      <c r="AX37" s="572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572" t="s">
        <v>18</v>
      </c>
      <c r="BH37" s="572"/>
      <c r="BI37" s="572"/>
      <c r="BJ37" s="572"/>
      <c r="BK37" s="572"/>
      <c r="BL37" s="572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572" t="s">
        <v>18</v>
      </c>
      <c r="BT37" s="572"/>
      <c r="BU37" s="572"/>
      <c r="BV37" s="572"/>
      <c r="BW37" s="572"/>
      <c r="BX37" s="572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572" t="s">
        <v>18</v>
      </c>
      <c r="CM37" s="572"/>
      <c r="CN37" s="572"/>
      <c r="CO37" s="572"/>
      <c r="CP37" s="572"/>
      <c r="CQ37" s="572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572" t="s">
        <v>18</v>
      </c>
      <c r="DE37" s="572"/>
      <c r="DF37" s="572"/>
      <c r="DG37" s="572"/>
      <c r="DH37" s="572"/>
      <c r="DI37" s="572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572" t="s">
        <v>18</v>
      </c>
      <c r="DY37" s="572"/>
      <c r="DZ37" s="572"/>
      <c r="EA37" s="572"/>
      <c r="EB37" s="572"/>
      <c r="EC37" s="572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572" t="s">
        <v>18</v>
      </c>
      <c r="ES37" s="572"/>
      <c r="ET37" s="572"/>
      <c r="EU37" s="572"/>
      <c r="EV37" s="572"/>
      <c r="EW37" s="572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572" t="s">
        <v>18</v>
      </c>
      <c r="FX37" s="572"/>
      <c r="FY37" s="572"/>
      <c r="FZ37" s="572"/>
      <c r="GA37" s="572"/>
      <c r="GB37" s="572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572" t="s">
        <v>18</v>
      </c>
      <c r="GU37" s="572"/>
      <c r="GV37" s="572"/>
      <c r="GW37" s="572"/>
      <c r="GX37" s="572"/>
      <c r="GY37" s="572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572" t="s">
        <v>18</v>
      </c>
      <c r="HP37" s="572"/>
      <c r="HQ37" s="572"/>
      <c r="HR37" s="572"/>
      <c r="HS37" s="572"/>
      <c r="HT37" s="572"/>
      <c r="HU37" s="28">
        <v>250</v>
      </c>
      <c r="HV37" s="28"/>
      <c r="HW37" s="30">
        <f t="shared" si="33"/>
        <v>0</v>
      </c>
      <c r="HX37" s="28">
        <f t="shared" si="0"/>
        <v>0</v>
      </c>
      <c r="HZ37" s="572" t="s">
        <v>18</v>
      </c>
      <c r="IA37" s="572"/>
      <c r="IB37" s="572"/>
      <c r="IC37" s="572"/>
      <c r="ID37" s="572"/>
      <c r="IE37" s="572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572" t="s">
        <v>18</v>
      </c>
      <c r="IQ37" s="572"/>
      <c r="IR37" s="572"/>
      <c r="IS37" s="572"/>
      <c r="IT37" s="572"/>
      <c r="IU37" s="572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572" t="s">
        <v>18</v>
      </c>
      <c r="JC37" s="572"/>
      <c r="JD37" s="572"/>
      <c r="JE37" s="572"/>
      <c r="JF37" s="572"/>
      <c r="JG37" s="572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572" t="s">
        <v>18</v>
      </c>
      <c r="KI37" s="572"/>
      <c r="KJ37" s="572"/>
      <c r="KK37" s="572"/>
      <c r="KL37" s="572"/>
      <c r="KM37" s="572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572" t="s">
        <v>18</v>
      </c>
      <c r="KW37" s="572"/>
      <c r="KX37" s="572"/>
      <c r="KY37" s="572"/>
      <c r="KZ37" s="572"/>
      <c r="LA37" s="572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572" t="s">
        <v>18</v>
      </c>
      <c r="LJ37" s="572"/>
      <c r="LK37" s="572"/>
      <c r="LL37" s="572"/>
      <c r="LM37" s="572"/>
      <c r="LN37" s="572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572" t="s">
        <v>18</v>
      </c>
      <c r="MI37" s="572"/>
      <c r="MJ37" s="572"/>
      <c r="MK37" s="572"/>
      <c r="ML37" s="572"/>
      <c r="MM37" s="572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572" t="s">
        <v>18</v>
      </c>
      <c r="NH37" s="572"/>
      <c r="NI37" s="572"/>
      <c r="NJ37" s="572"/>
      <c r="NK37" s="572"/>
      <c r="NL37" s="572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58"/>
      <c r="B38" s="12"/>
      <c r="C38" s="532" t="s">
        <v>19</v>
      </c>
      <c r="D38" s="532"/>
      <c r="E38" s="532"/>
      <c r="F38" s="532"/>
      <c r="G38" s="532"/>
      <c r="H38" s="532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532" t="s">
        <v>19</v>
      </c>
      <c r="Q38" s="532"/>
      <c r="R38" s="532"/>
      <c r="S38" s="532"/>
      <c r="T38" s="532"/>
      <c r="U38" s="532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532" t="s">
        <v>19</v>
      </c>
      <c r="AI38" s="532"/>
      <c r="AJ38" s="532"/>
      <c r="AK38" s="532"/>
      <c r="AL38" s="532"/>
      <c r="AM38" s="532"/>
      <c r="AN38" s="13"/>
      <c r="AO38" s="19"/>
      <c r="AP38" s="23">
        <f t="shared" si="12"/>
        <v>0</v>
      </c>
      <c r="AQ38" s="19">
        <f t="shared" si="13"/>
        <v>0</v>
      </c>
      <c r="AS38" s="532" t="s">
        <v>19</v>
      </c>
      <c r="AT38" s="532"/>
      <c r="AU38" s="532"/>
      <c r="AV38" s="532"/>
      <c r="AW38" s="532"/>
      <c r="AX38" s="532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532" t="s">
        <v>19</v>
      </c>
      <c r="BH38" s="532"/>
      <c r="BI38" s="532"/>
      <c r="BJ38" s="532"/>
      <c r="BK38" s="532"/>
      <c r="BL38" s="532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532" t="s">
        <v>19</v>
      </c>
      <c r="BT38" s="532"/>
      <c r="BU38" s="532"/>
      <c r="BV38" s="532"/>
      <c r="BW38" s="532"/>
      <c r="BX38" s="532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532" t="s">
        <v>19</v>
      </c>
      <c r="CM38" s="532"/>
      <c r="CN38" s="532"/>
      <c r="CO38" s="532"/>
      <c r="CP38" s="532"/>
      <c r="CQ38" s="532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532" t="s">
        <v>19</v>
      </c>
      <c r="DE38" s="532"/>
      <c r="DF38" s="532"/>
      <c r="DG38" s="532"/>
      <c r="DH38" s="532"/>
      <c r="DI38" s="532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532" t="s">
        <v>19</v>
      </c>
      <c r="DY38" s="532"/>
      <c r="DZ38" s="532"/>
      <c r="EA38" s="532"/>
      <c r="EB38" s="532"/>
      <c r="EC38" s="532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532" t="s">
        <v>19</v>
      </c>
      <c r="ES38" s="532"/>
      <c r="ET38" s="532"/>
      <c r="EU38" s="532"/>
      <c r="EV38" s="532"/>
      <c r="EW38" s="532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532" t="s">
        <v>19</v>
      </c>
      <c r="FX38" s="532"/>
      <c r="FY38" s="532"/>
      <c r="FZ38" s="532"/>
      <c r="GA38" s="532"/>
      <c r="GB38" s="532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532" t="s">
        <v>19</v>
      </c>
      <c r="GU38" s="532"/>
      <c r="GV38" s="532"/>
      <c r="GW38" s="532"/>
      <c r="GX38" s="532"/>
      <c r="GY38" s="532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532" t="s">
        <v>19</v>
      </c>
      <c r="HP38" s="532"/>
      <c r="HQ38" s="532"/>
      <c r="HR38" s="532"/>
      <c r="HS38" s="532"/>
      <c r="HT38" s="532"/>
      <c r="HU38" s="13"/>
      <c r="HV38" s="19"/>
      <c r="HW38" s="30">
        <f t="shared" si="33"/>
        <v>0</v>
      </c>
      <c r="HX38" s="28">
        <f t="shared" si="0"/>
        <v>0</v>
      </c>
      <c r="HZ38" s="532" t="s">
        <v>19</v>
      </c>
      <c r="IA38" s="532"/>
      <c r="IB38" s="532"/>
      <c r="IC38" s="532"/>
      <c r="ID38" s="532"/>
      <c r="IE38" s="532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532" t="s">
        <v>19</v>
      </c>
      <c r="IQ38" s="532"/>
      <c r="IR38" s="532"/>
      <c r="IS38" s="532"/>
      <c r="IT38" s="532"/>
      <c r="IU38" s="532"/>
      <c r="IV38" s="13"/>
      <c r="IW38" s="19"/>
      <c r="IX38" s="23"/>
      <c r="IY38" s="30">
        <f t="shared" si="2"/>
        <v>0</v>
      </c>
      <c r="IZ38" s="28">
        <f t="shared" si="3"/>
        <v>0</v>
      </c>
      <c r="JB38" s="532" t="s">
        <v>19</v>
      </c>
      <c r="JC38" s="532"/>
      <c r="JD38" s="532"/>
      <c r="JE38" s="532"/>
      <c r="JF38" s="532"/>
      <c r="JG38" s="532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532" t="s">
        <v>19</v>
      </c>
      <c r="KI38" s="532"/>
      <c r="KJ38" s="532"/>
      <c r="KK38" s="532"/>
      <c r="KL38" s="532"/>
      <c r="KM38" s="532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532" t="s">
        <v>19</v>
      </c>
      <c r="KW38" s="532"/>
      <c r="KX38" s="532"/>
      <c r="KY38" s="532"/>
      <c r="KZ38" s="532"/>
      <c r="LA38" s="532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532" t="s">
        <v>19</v>
      </c>
      <c r="LJ38" s="532"/>
      <c r="LK38" s="532"/>
      <c r="LL38" s="532"/>
      <c r="LM38" s="532"/>
      <c r="LN38" s="532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532" t="s">
        <v>19</v>
      </c>
      <c r="MI38" s="532"/>
      <c r="MJ38" s="532"/>
      <c r="MK38" s="532"/>
      <c r="ML38" s="532"/>
      <c r="MM38" s="532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532" t="s">
        <v>19</v>
      </c>
      <c r="NH38" s="532"/>
      <c r="NI38" s="532"/>
      <c r="NJ38" s="532"/>
      <c r="NK38" s="532"/>
      <c r="NL38" s="532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58"/>
      <c r="B39" s="12"/>
      <c r="C39" s="532" t="s">
        <v>20</v>
      </c>
      <c r="D39" s="532"/>
      <c r="E39" s="532"/>
      <c r="F39" s="532"/>
      <c r="G39" s="532"/>
      <c r="H39" s="532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532" t="s">
        <v>20</v>
      </c>
      <c r="Q39" s="532"/>
      <c r="R39" s="532"/>
      <c r="S39" s="532"/>
      <c r="T39" s="532"/>
      <c r="U39" s="532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532" t="s">
        <v>20</v>
      </c>
      <c r="AI39" s="532"/>
      <c r="AJ39" s="532"/>
      <c r="AK39" s="532"/>
      <c r="AL39" s="532"/>
      <c r="AM39" s="532"/>
      <c r="AN39" s="13"/>
      <c r="AO39" s="19"/>
      <c r="AP39" s="23">
        <f t="shared" si="12"/>
        <v>0</v>
      </c>
      <c r="AQ39" s="19">
        <f t="shared" si="13"/>
        <v>0</v>
      </c>
      <c r="AS39" s="572" t="s">
        <v>20</v>
      </c>
      <c r="AT39" s="572"/>
      <c r="AU39" s="572"/>
      <c r="AV39" s="572"/>
      <c r="AW39" s="572"/>
      <c r="AX39" s="572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572" t="s">
        <v>20</v>
      </c>
      <c r="BH39" s="572"/>
      <c r="BI39" s="572"/>
      <c r="BJ39" s="572"/>
      <c r="BK39" s="572"/>
      <c r="BL39" s="572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572" t="s">
        <v>20</v>
      </c>
      <c r="BT39" s="572"/>
      <c r="BU39" s="572"/>
      <c r="BV39" s="572"/>
      <c r="BW39" s="572"/>
      <c r="BX39" s="572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572" t="s">
        <v>20</v>
      </c>
      <c r="CM39" s="572"/>
      <c r="CN39" s="572"/>
      <c r="CO39" s="572"/>
      <c r="CP39" s="572"/>
      <c r="CQ39" s="572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572" t="s">
        <v>20</v>
      </c>
      <c r="DE39" s="572"/>
      <c r="DF39" s="572"/>
      <c r="DG39" s="572"/>
      <c r="DH39" s="572"/>
      <c r="DI39" s="572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572" t="s">
        <v>20</v>
      </c>
      <c r="DY39" s="572"/>
      <c r="DZ39" s="572"/>
      <c r="EA39" s="572"/>
      <c r="EB39" s="572"/>
      <c r="EC39" s="572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572" t="s">
        <v>20</v>
      </c>
      <c r="ES39" s="572"/>
      <c r="ET39" s="572"/>
      <c r="EU39" s="572"/>
      <c r="EV39" s="572"/>
      <c r="EW39" s="572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572" t="s">
        <v>20</v>
      </c>
      <c r="FX39" s="572"/>
      <c r="FY39" s="572"/>
      <c r="FZ39" s="572"/>
      <c r="GA39" s="572"/>
      <c r="GB39" s="572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572" t="s">
        <v>20</v>
      </c>
      <c r="GU39" s="572"/>
      <c r="GV39" s="572"/>
      <c r="GW39" s="572"/>
      <c r="GX39" s="572"/>
      <c r="GY39" s="572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572" t="s">
        <v>20</v>
      </c>
      <c r="HP39" s="572"/>
      <c r="HQ39" s="572"/>
      <c r="HR39" s="572"/>
      <c r="HS39" s="572"/>
      <c r="HT39" s="572"/>
      <c r="HU39" s="28">
        <v>5.5</v>
      </c>
      <c r="HV39" s="28"/>
      <c r="HW39" s="30">
        <f t="shared" si="33"/>
        <v>0</v>
      </c>
      <c r="HX39" s="28">
        <f t="shared" si="0"/>
        <v>0</v>
      </c>
      <c r="HZ39" s="572" t="s">
        <v>20</v>
      </c>
      <c r="IA39" s="572"/>
      <c r="IB39" s="572"/>
      <c r="IC39" s="572"/>
      <c r="ID39" s="572"/>
      <c r="IE39" s="572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572" t="s">
        <v>20</v>
      </c>
      <c r="IQ39" s="572"/>
      <c r="IR39" s="572"/>
      <c r="IS39" s="572"/>
      <c r="IT39" s="572"/>
      <c r="IU39" s="572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572" t="s">
        <v>20</v>
      </c>
      <c r="JC39" s="572"/>
      <c r="JD39" s="572"/>
      <c r="JE39" s="572"/>
      <c r="JF39" s="572"/>
      <c r="JG39" s="572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572" t="s">
        <v>20</v>
      </c>
      <c r="KI39" s="572"/>
      <c r="KJ39" s="572"/>
      <c r="KK39" s="572"/>
      <c r="KL39" s="572"/>
      <c r="KM39" s="572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572" t="s">
        <v>20</v>
      </c>
      <c r="KW39" s="572"/>
      <c r="KX39" s="572"/>
      <c r="KY39" s="572"/>
      <c r="KZ39" s="572"/>
      <c r="LA39" s="572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572" t="s">
        <v>20</v>
      </c>
      <c r="LJ39" s="572"/>
      <c r="LK39" s="572"/>
      <c r="LL39" s="572"/>
      <c r="LM39" s="572"/>
      <c r="LN39" s="572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572" t="s">
        <v>20</v>
      </c>
      <c r="MI39" s="572"/>
      <c r="MJ39" s="572"/>
      <c r="MK39" s="572"/>
      <c r="ML39" s="572"/>
      <c r="MM39" s="572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572" t="s">
        <v>20</v>
      </c>
      <c r="NH39" s="572"/>
      <c r="NI39" s="572"/>
      <c r="NJ39" s="572"/>
      <c r="NK39" s="572"/>
      <c r="NL39" s="572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58"/>
      <c r="B40" s="12"/>
      <c r="C40" s="532" t="s">
        <v>21</v>
      </c>
      <c r="D40" s="532"/>
      <c r="E40" s="532"/>
      <c r="F40" s="532"/>
      <c r="G40" s="532"/>
      <c r="H40" s="532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532" t="s">
        <v>21</v>
      </c>
      <c r="Q40" s="532"/>
      <c r="R40" s="532"/>
      <c r="S40" s="532"/>
      <c r="T40" s="532"/>
      <c r="U40" s="532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532" t="s">
        <v>21</v>
      </c>
      <c r="AI40" s="532"/>
      <c r="AJ40" s="532"/>
      <c r="AK40" s="532"/>
      <c r="AL40" s="532"/>
      <c r="AM40" s="532"/>
      <c r="AN40" s="13"/>
      <c r="AO40" s="19"/>
      <c r="AP40" s="23">
        <f t="shared" si="12"/>
        <v>0</v>
      </c>
      <c r="AQ40" s="19">
        <f t="shared" si="13"/>
        <v>0</v>
      </c>
      <c r="AS40" s="532" t="s">
        <v>21</v>
      </c>
      <c r="AT40" s="532"/>
      <c r="AU40" s="532"/>
      <c r="AV40" s="532"/>
      <c r="AW40" s="532"/>
      <c r="AX40" s="532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532" t="s">
        <v>21</v>
      </c>
      <c r="BH40" s="532"/>
      <c r="BI40" s="532"/>
      <c r="BJ40" s="532"/>
      <c r="BK40" s="532"/>
      <c r="BL40" s="532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532" t="s">
        <v>21</v>
      </c>
      <c r="BT40" s="532"/>
      <c r="BU40" s="532"/>
      <c r="BV40" s="532"/>
      <c r="BW40" s="532"/>
      <c r="BX40" s="532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532" t="s">
        <v>21</v>
      </c>
      <c r="CM40" s="532"/>
      <c r="CN40" s="532"/>
      <c r="CO40" s="532"/>
      <c r="CP40" s="532"/>
      <c r="CQ40" s="532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532" t="s">
        <v>21</v>
      </c>
      <c r="DE40" s="532"/>
      <c r="DF40" s="532"/>
      <c r="DG40" s="532"/>
      <c r="DH40" s="532"/>
      <c r="DI40" s="532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532" t="s">
        <v>21</v>
      </c>
      <c r="DY40" s="532"/>
      <c r="DZ40" s="532"/>
      <c r="EA40" s="532"/>
      <c r="EB40" s="532"/>
      <c r="EC40" s="532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532" t="s">
        <v>21</v>
      </c>
      <c r="ES40" s="532"/>
      <c r="ET40" s="532"/>
      <c r="EU40" s="532"/>
      <c r="EV40" s="532"/>
      <c r="EW40" s="532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532" t="s">
        <v>21</v>
      </c>
      <c r="FX40" s="532"/>
      <c r="FY40" s="532"/>
      <c r="FZ40" s="532"/>
      <c r="GA40" s="532"/>
      <c r="GB40" s="532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532" t="s">
        <v>21</v>
      </c>
      <c r="GU40" s="532"/>
      <c r="GV40" s="532"/>
      <c r="GW40" s="532"/>
      <c r="GX40" s="532"/>
      <c r="GY40" s="532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532" t="s">
        <v>21</v>
      </c>
      <c r="HP40" s="532"/>
      <c r="HQ40" s="532"/>
      <c r="HR40" s="532"/>
      <c r="HS40" s="532"/>
      <c r="HT40" s="532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532" t="s">
        <v>21</v>
      </c>
      <c r="IA40" s="532"/>
      <c r="IB40" s="532"/>
      <c r="IC40" s="532"/>
      <c r="ID40" s="532"/>
      <c r="IE40" s="532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532" t="s">
        <v>21</v>
      </c>
      <c r="IQ40" s="532"/>
      <c r="IR40" s="532"/>
      <c r="IS40" s="532"/>
      <c r="IT40" s="532"/>
      <c r="IU40" s="532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532" t="s">
        <v>21</v>
      </c>
      <c r="JC40" s="532"/>
      <c r="JD40" s="532"/>
      <c r="JE40" s="532"/>
      <c r="JF40" s="532"/>
      <c r="JG40" s="532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532" t="s">
        <v>21</v>
      </c>
      <c r="KI40" s="532"/>
      <c r="KJ40" s="532"/>
      <c r="KK40" s="532"/>
      <c r="KL40" s="532"/>
      <c r="KM40" s="532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532" t="s">
        <v>21</v>
      </c>
      <c r="KW40" s="532"/>
      <c r="KX40" s="532"/>
      <c r="KY40" s="532"/>
      <c r="KZ40" s="532"/>
      <c r="LA40" s="532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532" t="s">
        <v>21</v>
      </c>
      <c r="LJ40" s="532"/>
      <c r="LK40" s="532"/>
      <c r="LL40" s="532"/>
      <c r="LM40" s="532"/>
      <c r="LN40" s="532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532" t="s">
        <v>21</v>
      </c>
      <c r="MI40" s="532"/>
      <c r="MJ40" s="532"/>
      <c r="MK40" s="532"/>
      <c r="ML40" s="532"/>
      <c r="MM40" s="532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532" t="s">
        <v>21</v>
      </c>
      <c r="NH40" s="532"/>
      <c r="NI40" s="532"/>
      <c r="NJ40" s="532"/>
      <c r="NK40" s="532"/>
      <c r="NL40" s="532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58"/>
      <c r="B41" s="12"/>
      <c r="C41" s="532" t="s">
        <v>22</v>
      </c>
      <c r="D41" s="532"/>
      <c r="E41" s="532"/>
      <c r="F41" s="532"/>
      <c r="G41" s="532"/>
      <c r="H41" s="532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532" t="s">
        <v>22</v>
      </c>
      <c r="Q41" s="532"/>
      <c r="R41" s="532"/>
      <c r="S41" s="532"/>
      <c r="T41" s="532"/>
      <c r="U41" s="532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532" t="s">
        <v>22</v>
      </c>
      <c r="AI41" s="532"/>
      <c r="AJ41" s="532"/>
      <c r="AK41" s="532"/>
      <c r="AL41" s="532"/>
      <c r="AM41" s="532"/>
      <c r="AN41" s="13"/>
      <c r="AO41" s="19"/>
      <c r="AP41" s="23">
        <f t="shared" si="12"/>
        <v>0</v>
      </c>
      <c r="AQ41" s="19">
        <f t="shared" si="13"/>
        <v>0</v>
      </c>
      <c r="AS41" s="572" t="s">
        <v>22</v>
      </c>
      <c r="AT41" s="572"/>
      <c r="AU41" s="572"/>
      <c r="AV41" s="572"/>
      <c r="AW41" s="572"/>
      <c r="AX41" s="572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572" t="s">
        <v>22</v>
      </c>
      <c r="BH41" s="572"/>
      <c r="BI41" s="572"/>
      <c r="BJ41" s="572"/>
      <c r="BK41" s="572"/>
      <c r="BL41" s="572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572" t="s">
        <v>22</v>
      </c>
      <c r="BT41" s="572"/>
      <c r="BU41" s="572"/>
      <c r="BV41" s="572"/>
      <c r="BW41" s="572"/>
      <c r="BX41" s="572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572" t="s">
        <v>22</v>
      </c>
      <c r="CM41" s="572"/>
      <c r="CN41" s="572"/>
      <c r="CO41" s="572"/>
      <c r="CP41" s="572"/>
      <c r="CQ41" s="572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572" t="s">
        <v>22</v>
      </c>
      <c r="DE41" s="572"/>
      <c r="DF41" s="572"/>
      <c r="DG41" s="572"/>
      <c r="DH41" s="572"/>
      <c r="DI41" s="572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572" t="s">
        <v>22</v>
      </c>
      <c r="DY41" s="572"/>
      <c r="DZ41" s="572"/>
      <c r="EA41" s="572"/>
      <c r="EB41" s="572"/>
      <c r="EC41" s="572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572" t="s">
        <v>22</v>
      </c>
      <c r="ES41" s="572"/>
      <c r="ET41" s="572"/>
      <c r="EU41" s="572"/>
      <c r="EV41" s="572"/>
      <c r="EW41" s="572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572" t="s">
        <v>22</v>
      </c>
      <c r="FX41" s="572"/>
      <c r="FY41" s="572"/>
      <c r="FZ41" s="572"/>
      <c r="GA41" s="572"/>
      <c r="GB41" s="572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572" t="s">
        <v>22</v>
      </c>
      <c r="GU41" s="572"/>
      <c r="GV41" s="572"/>
      <c r="GW41" s="572"/>
      <c r="GX41" s="572"/>
      <c r="GY41" s="572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572" t="s">
        <v>22</v>
      </c>
      <c r="HP41" s="572"/>
      <c r="HQ41" s="572"/>
      <c r="HR41" s="572"/>
      <c r="HS41" s="572"/>
      <c r="HT41" s="572"/>
      <c r="HU41" s="28"/>
      <c r="HV41" s="28"/>
      <c r="HW41" s="30">
        <f t="shared" si="44"/>
        <v>0</v>
      </c>
      <c r="HX41" s="28">
        <f t="shared" si="45"/>
        <v>0</v>
      </c>
      <c r="HZ41" s="572" t="s">
        <v>22</v>
      </c>
      <c r="IA41" s="572"/>
      <c r="IB41" s="572"/>
      <c r="IC41" s="572"/>
      <c r="ID41" s="572"/>
      <c r="IE41" s="572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572" t="s">
        <v>22</v>
      </c>
      <c r="IQ41" s="572"/>
      <c r="IR41" s="572"/>
      <c r="IS41" s="572"/>
      <c r="IT41" s="572"/>
      <c r="IU41" s="572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572" t="s">
        <v>22</v>
      </c>
      <c r="JC41" s="572"/>
      <c r="JD41" s="572"/>
      <c r="JE41" s="572"/>
      <c r="JF41" s="572"/>
      <c r="JG41" s="572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572" t="s">
        <v>22</v>
      </c>
      <c r="KI41" s="572"/>
      <c r="KJ41" s="572"/>
      <c r="KK41" s="572"/>
      <c r="KL41" s="572"/>
      <c r="KM41" s="572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572" t="s">
        <v>22</v>
      </c>
      <c r="KW41" s="572"/>
      <c r="KX41" s="572"/>
      <c r="KY41" s="572"/>
      <c r="KZ41" s="572"/>
      <c r="LA41" s="572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572" t="s">
        <v>22</v>
      </c>
      <c r="LJ41" s="572"/>
      <c r="LK41" s="572"/>
      <c r="LL41" s="572"/>
      <c r="LM41" s="572"/>
      <c r="LN41" s="572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572" t="s">
        <v>22</v>
      </c>
      <c r="MI41" s="572"/>
      <c r="MJ41" s="572"/>
      <c r="MK41" s="572"/>
      <c r="ML41" s="572"/>
      <c r="MM41" s="572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572" t="s">
        <v>22</v>
      </c>
      <c r="NH41" s="572"/>
      <c r="NI41" s="572"/>
      <c r="NJ41" s="572"/>
      <c r="NK41" s="572"/>
      <c r="NL41" s="572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58"/>
      <c r="B42" s="12"/>
      <c r="C42" s="532" t="s">
        <v>23</v>
      </c>
      <c r="D42" s="532"/>
      <c r="E42" s="532"/>
      <c r="F42" s="532"/>
      <c r="G42" s="532"/>
      <c r="H42" s="532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532" t="s">
        <v>23</v>
      </c>
      <c r="Q42" s="532"/>
      <c r="R42" s="532"/>
      <c r="S42" s="532"/>
      <c r="T42" s="532"/>
      <c r="U42" s="532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532" t="s">
        <v>23</v>
      </c>
      <c r="AI42" s="532"/>
      <c r="AJ42" s="532"/>
      <c r="AK42" s="532"/>
      <c r="AL42" s="532"/>
      <c r="AM42" s="532"/>
      <c r="AN42" s="13"/>
      <c r="AO42" s="19"/>
      <c r="AP42" s="23">
        <f t="shared" si="12"/>
        <v>0</v>
      </c>
      <c r="AQ42" s="19">
        <f t="shared" si="13"/>
        <v>0</v>
      </c>
      <c r="AS42" s="532" t="s">
        <v>23</v>
      </c>
      <c r="AT42" s="532"/>
      <c r="AU42" s="532"/>
      <c r="AV42" s="532"/>
      <c r="AW42" s="532"/>
      <c r="AX42" s="532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532" t="s">
        <v>23</v>
      </c>
      <c r="BH42" s="532"/>
      <c r="BI42" s="532"/>
      <c r="BJ42" s="532"/>
      <c r="BK42" s="532"/>
      <c r="BL42" s="532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532" t="s">
        <v>23</v>
      </c>
      <c r="BT42" s="532"/>
      <c r="BU42" s="532"/>
      <c r="BV42" s="532"/>
      <c r="BW42" s="532"/>
      <c r="BX42" s="532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532" t="s">
        <v>23</v>
      </c>
      <c r="CM42" s="532"/>
      <c r="CN42" s="532"/>
      <c r="CO42" s="532"/>
      <c r="CP42" s="532"/>
      <c r="CQ42" s="532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532" t="s">
        <v>23</v>
      </c>
      <c r="DE42" s="532"/>
      <c r="DF42" s="532"/>
      <c r="DG42" s="532"/>
      <c r="DH42" s="532"/>
      <c r="DI42" s="532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532" t="s">
        <v>23</v>
      </c>
      <c r="DY42" s="532"/>
      <c r="DZ42" s="532"/>
      <c r="EA42" s="532"/>
      <c r="EB42" s="532"/>
      <c r="EC42" s="532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532" t="s">
        <v>23</v>
      </c>
      <c r="ES42" s="532"/>
      <c r="ET42" s="532"/>
      <c r="EU42" s="532"/>
      <c r="EV42" s="532"/>
      <c r="EW42" s="532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532" t="s">
        <v>23</v>
      </c>
      <c r="FX42" s="532"/>
      <c r="FY42" s="532"/>
      <c r="FZ42" s="532"/>
      <c r="GA42" s="532"/>
      <c r="GB42" s="532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532" t="s">
        <v>23</v>
      </c>
      <c r="GU42" s="532"/>
      <c r="GV42" s="532"/>
      <c r="GW42" s="532"/>
      <c r="GX42" s="532"/>
      <c r="GY42" s="532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532" t="s">
        <v>23</v>
      </c>
      <c r="HP42" s="532"/>
      <c r="HQ42" s="532"/>
      <c r="HR42" s="532"/>
      <c r="HS42" s="532"/>
      <c r="HT42" s="532"/>
      <c r="HU42" s="13"/>
      <c r="HV42" s="19"/>
      <c r="HW42" s="30">
        <f t="shared" si="44"/>
        <v>0</v>
      </c>
      <c r="HX42" s="28">
        <f t="shared" si="45"/>
        <v>0</v>
      </c>
      <c r="HZ42" s="532" t="s">
        <v>23</v>
      </c>
      <c r="IA42" s="532"/>
      <c r="IB42" s="532"/>
      <c r="IC42" s="532"/>
      <c r="ID42" s="532"/>
      <c r="IE42" s="532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532" t="s">
        <v>23</v>
      </c>
      <c r="IQ42" s="532"/>
      <c r="IR42" s="532"/>
      <c r="IS42" s="532"/>
      <c r="IT42" s="532"/>
      <c r="IU42" s="532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532" t="s">
        <v>23</v>
      </c>
      <c r="JC42" s="532"/>
      <c r="JD42" s="532"/>
      <c r="JE42" s="532"/>
      <c r="JF42" s="532"/>
      <c r="JG42" s="532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532" t="s">
        <v>23</v>
      </c>
      <c r="KI42" s="532"/>
      <c r="KJ42" s="532"/>
      <c r="KK42" s="532"/>
      <c r="KL42" s="532"/>
      <c r="KM42" s="532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532" t="s">
        <v>23</v>
      </c>
      <c r="KW42" s="532"/>
      <c r="KX42" s="532"/>
      <c r="KY42" s="532"/>
      <c r="KZ42" s="532"/>
      <c r="LA42" s="532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532" t="s">
        <v>23</v>
      </c>
      <c r="LJ42" s="532"/>
      <c r="LK42" s="532"/>
      <c r="LL42" s="532"/>
      <c r="LM42" s="532"/>
      <c r="LN42" s="532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532" t="s">
        <v>23</v>
      </c>
      <c r="MI42" s="532"/>
      <c r="MJ42" s="532"/>
      <c r="MK42" s="532"/>
      <c r="ML42" s="532"/>
      <c r="MM42" s="532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532" t="s">
        <v>23</v>
      </c>
      <c r="NH42" s="532"/>
      <c r="NI42" s="532"/>
      <c r="NJ42" s="532"/>
      <c r="NK42" s="532"/>
      <c r="NL42" s="532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58"/>
      <c r="B43" s="12"/>
      <c r="C43" s="532" t="s">
        <v>24</v>
      </c>
      <c r="D43" s="532"/>
      <c r="E43" s="532"/>
      <c r="F43" s="532"/>
      <c r="G43" s="532"/>
      <c r="H43" s="532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532" t="s">
        <v>24</v>
      </c>
      <c r="Q43" s="532"/>
      <c r="R43" s="532"/>
      <c r="S43" s="532"/>
      <c r="T43" s="532"/>
      <c r="U43" s="532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532" t="s">
        <v>24</v>
      </c>
      <c r="AI43" s="532"/>
      <c r="AJ43" s="532"/>
      <c r="AK43" s="532"/>
      <c r="AL43" s="532"/>
      <c r="AM43" s="532"/>
      <c r="AN43" s="13"/>
      <c r="AO43" s="19"/>
      <c r="AP43" s="23">
        <f t="shared" si="12"/>
        <v>0</v>
      </c>
      <c r="AQ43" s="19">
        <f t="shared" si="13"/>
        <v>0</v>
      </c>
      <c r="AS43" s="572" t="s">
        <v>24</v>
      </c>
      <c r="AT43" s="572"/>
      <c r="AU43" s="572"/>
      <c r="AV43" s="572"/>
      <c r="AW43" s="572"/>
      <c r="AX43" s="572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572" t="s">
        <v>24</v>
      </c>
      <c r="BH43" s="572"/>
      <c r="BI43" s="572"/>
      <c r="BJ43" s="572"/>
      <c r="BK43" s="572"/>
      <c r="BL43" s="572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572" t="s">
        <v>24</v>
      </c>
      <c r="BT43" s="572"/>
      <c r="BU43" s="572"/>
      <c r="BV43" s="572"/>
      <c r="BW43" s="572"/>
      <c r="BX43" s="572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572" t="s">
        <v>24</v>
      </c>
      <c r="CM43" s="572"/>
      <c r="CN43" s="572"/>
      <c r="CO43" s="572"/>
      <c r="CP43" s="572"/>
      <c r="CQ43" s="572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572" t="s">
        <v>24</v>
      </c>
      <c r="DE43" s="572"/>
      <c r="DF43" s="572"/>
      <c r="DG43" s="572"/>
      <c r="DH43" s="572"/>
      <c r="DI43" s="572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572" t="s">
        <v>24</v>
      </c>
      <c r="DY43" s="572"/>
      <c r="DZ43" s="572"/>
      <c r="EA43" s="572"/>
      <c r="EB43" s="572"/>
      <c r="EC43" s="572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572" t="s">
        <v>24</v>
      </c>
      <c r="ES43" s="572"/>
      <c r="ET43" s="572"/>
      <c r="EU43" s="572"/>
      <c r="EV43" s="572"/>
      <c r="EW43" s="572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572" t="s">
        <v>24</v>
      </c>
      <c r="FX43" s="572"/>
      <c r="FY43" s="572"/>
      <c r="FZ43" s="572"/>
      <c r="GA43" s="572"/>
      <c r="GB43" s="572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572" t="s">
        <v>24</v>
      </c>
      <c r="GU43" s="572"/>
      <c r="GV43" s="572"/>
      <c r="GW43" s="572"/>
      <c r="GX43" s="572"/>
      <c r="GY43" s="572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572" t="s">
        <v>24</v>
      </c>
      <c r="HP43" s="572"/>
      <c r="HQ43" s="572"/>
      <c r="HR43" s="572"/>
      <c r="HS43" s="572"/>
      <c r="HT43" s="572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572" t="s">
        <v>24</v>
      </c>
      <c r="IA43" s="572"/>
      <c r="IB43" s="572"/>
      <c r="IC43" s="572"/>
      <c r="ID43" s="572"/>
      <c r="IE43" s="572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572" t="s">
        <v>24</v>
      </c>
      <c r="IQ43" s="572"/>
      <c r="IR43" s="572"/>
      <c r="IS43" s="572"/>
      <c r="IT43" s="572"/>
      <c r="IU43" s="572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572" t="s">
        <v>24</v>
      </c>
      <c r="JC43" s="572"/>
      <c r="JD43" s="572"/>
      <c r="JE43" s="572"/>
      <c r="JF43" s="572"/>
      <c r="JG43" s="572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572" t="s">
        <v>24</v>
      </c>
      <c r="KI43" s="572"/>
      <c r="KJ43" s="572"/>
      <c r="KK43" s="572"/>
      <c r="KL43" s="572"/>
      <c r="KM43" s="572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572" t="s">
        <v>24</v>
      </c>
      <c r="KW43" s="572"/>
      <c r="KX43" s="572"/>
      <c r="KY43" s="572"/>
      <c r="KZ43" s="572"/>
      <c r="LA43" s="572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572" t="s">
        <v>24</v>
      </c>
      <c r="LJ43" s="572"/>
      <c r="LK43" s="572"/>
      <c r="LL43" s="572"/>
      <c r="LM43" s="572"/>
      <c r="LN43" s="572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572" t="s">
        <v>24</v>
      </c>
      <c r="MI43" s="572"/>
      <c r="MJ43" s="572"/>
      <c r="MK43" s="572"/>
      <c r="ML43" s="572"/>
      <c r="MM43" s="572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572" t="s">
        <v>24</v>
      </c>
      <c r="NH43" s="572"/>
      <c r="NI43" s="572"/>
      <c r="NJ43" s="572"/>
      <c r="NK43" s="572"/>
      <c r="NL43" s="572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58"/>
      <c r="B44" s="12"/>
      <c r="C44" s="532" t="s">
        <v>25</v>
      </c>
      <c r="D44" s="532"/>
      <c r="E44" s="532"/>
      <c r="F44" s="532"/>
      <c r="G44" s="532"/>
      <c r="H44" s="532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532" t="s">
        <v>25</v>
      </c>
      <c r="Q44" s="532"/>
      <c r="R44" s="532"/>
      <c r="S44" s="532"/>
      <c r="T44" s="532"/>
      <c r="U44" s="532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532" t="s">
        <v>25</v>
      </c>
      <c r="AI44" s="532"/>
      <c r="AJ44" s="532"/>
      <c r="AK44" s="532"/>
      <c r="AL44" s="532"/>
      <c r="AM44" s="532"/>
      <c r="AN44" s="13"/>
      <c r="AO44" s="19"/>
      <c r="AP44" s="23">
        <f t="shared" si="12"/>
        <v>0</v>
      </c>
      <c r="AQ44" s="19">
        <f t="shared" si="13"/>
        <v>0</v>
      </c>
      <c r="AS44" s="532" t="s">
        <v>25</v>
      </c>
      <c r="AT44" s="532"/>
      <c r="AU44" s="532"/>
      <c r="AV44" s="532"/>
      <c r="AW44" s="532"/>
      <c r="AX44" s="532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532" t="s">
        <v>25</v>
      </c>
      <c r="BH44" s="532"/>
      <c r="BI44" s="532"/>
      <c r="BJ44" s="532"/>
      <c r="BK44" s="532"/>
      <c r="BL44" s="532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532" t="s">
        <v>25</v>
      </c>
      <c r="BT44" s="532"/>
      <c r="BU44" s="532"/>
      <c r="BV44" s="532"/>
      <c r="BW44" s="532"/>
      <c r="BX44" s="532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532" t="s">
        <v>25</v>
      </c>
      <c r="CM44" s="532"/>
      <c r="CN44" s="532"/>
      <c r="CO44" s="532"/>
      <c r="CP44" s="532"/>
      <c r="CQ44" s="532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532" t="s">
        <v>25</v>
      </c>
      <c r="DE44" s="532"/>
      <c r="DF44" s="532"/>
      <c r="DG44" s="532"/>
      <c r="DH44" s="532"/>
      <c r="DI44" s="532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532" t="s">
        <v>25</v>
      </c>
      <c r="DY44" s="532"/>
      <c r="DZ44" s="532"/>
      <c r="EA44" s="532"/>
      <c r="EB44" s="532"/>
      <c r="EC44" s="532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532" t="s">
        <v>25</v>
      </c>
      <c r="ES44" s="532"/>
      <c r="ET44" s="532"/>
      <c r="EU44" s="532"/>
      <c r="EV44" s="532"/>
      <c r="EW44" s="532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532" t="s">
        <v>25</v>
      </c>
      <c r="FX44" s="532"/>
      <c r="FY44" s="532"/>
      <c r="FZ44" s="532"/>
      <c r="GA44" s="532"/>
      <c r="GB44" s="532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532" t="s">
        <v>25</v>
      </c>
      <c r="GU44" s="532"/>
      <c r="GV44" s="532"/>
      <c r="GW44" s="532"/>
      <c r="GX44" s="532"/>
      <c r="GY44" s="532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532" t="s">
        <v>25</v>
      </c>
      <c r="HP44" s="532"/>
      <c r="HQ44" s="532"/>
      <c r="HR44" s="532"/>
      <c r="HS44" s="532"/>
      <c r="HT44" s="532"/>
      <c r="HU44" s="13"/>
      <c r="HV44" s="19"/>
      <c r="HW44" s="30">
        <f t="shared" si="44"/>
        <v>0</v>
      </c>
      <c r="HX44" s="28">
        <f t="shared" si="45"/>
        <v>0</v>
      </c>
      <c r="HZ44" s="532" t="s">
        <v>25</v>
      </c>
      <c r="IA44" s="532"/>
      <c r="IB44" s="532"/>
      <c r="IC44" s="532"/>
      <c r="ID44" s="532"/>
      <c r="IE44" s="532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532" t="s">
        <v>25</v>
      </c>
      <c r="IQ44" s="532"/>
      <c r="IR44" s="532"/>
      <c r="IS44" s="532"/>
      <c r="IT44" s="532"/>
      <c r="IU44" s="532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532" t="s">
        <v>25</v>
      </c>
      <c r="JC44" s="532"/>
      <c r="JD44" s="532"/>
      <c r="JE44" s="532"/>
      <c r="JF44" s="532"/>
      <c r="JG44" s="532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532" t="s">
        <v>25</v>
      </c>
      <c r="KI44" s="532"/>
      <c r="KJ44" s="532"/>
      <c r="KK44" s="532"/>
      <c r="KL44" s="532"/>
      <c r="KM44" s="532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532" t="s">
        <v>25</v>
      </c>
      <c r="KW44" s="532"/>
      <c r="KX44" s="532"/>
      <c r="KY44" s="532"/>
      <c r="KZ44" s="532"/>
      <c r="LA44" s="532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532" t="s">
        <v>25</v>
      </c>
      <c r="LJ44" s="532"/>
      <c r="LK44" s="532"/>
      <c r="LL44" s="532"/>
      <c r="LM44" s="532"/>
      <c r="LN44" s="532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532" t="s">
        <v>25</v>
      </c>
      <c r="MI44" s="532"/>
      <c r="MJ44" s="532"/>
      <c r="MK44" s="532"/>
      <c r="ML44" s="532"/>
      <c r="MM44" s="532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532" t="s">
        <v>25</v>
      </c>
      <c r="NH44" s="532"/>
      <c r="NI44" s="532"/>
      <c r="NJ44" s="532"/>
      <c r="NK44" s="532"/>
      <c r="NL44" s="532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58"/>
      <c r="B45" s="12"/>
      <c r="C45" s="532" t="s">
        <v>26</v>
      </c>
      <c r="D45" s="532"/>
      <c r="E45" s="532"/>
      <c r="F45" s="532"/>
      <c r="G45" s="532"/>
      <c r="H45" s="532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532" t="s">
        <v>26</v>
      </c>
      <c r="Q45" s="532"/>
      <c r="R45" s="532"/>
      <c r="S45" s="532"/>
      <c r="T45" s="532"/>
      <c r="U45" s="532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532" t="s">
        <v>26</v>
      </c>
      <c r="AI45" s="532"/>
      <c r="AJ45" s="532"/>
      <c r="AK45" s="532"/>
      <c r="AL45" s="532"/>
      <c r="AM45" s="532"/>
      <c r="AN45" s="13"/>
      <c r="AO45" s="19"/>
      <c r="AP45" s="23">
        <f t="shared" si="12"/>
        <v>0</v>
      </c>
      <c r="AQ45" s="19">
        <f t="shared" si="13"/>
        <v>0</v>
      </c>
      <c r="AS45" s="572" t="s">
        <v>26</v>
      </c>
      <c r="AT45" s="572"/>
      <c r="AU45" s="572"/>
      <c r="AV45" s="572"/>
      <c r="AW45" s="572"/>
      <c r="AX45" s="572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572" t="s">
        <v>26</v>
      </c>
      <c r="BH45" s="572"/>
      <c r="BI45" s="572"/>
      <c r="BJ45" s="572"/>
      <c r="BK45" s="572"/>
      <c r="BL45" s="572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572" t="s">
        <v>26</v>
      </c>
      <c r="BT45" s="572"/>
      <c r="BU45" s="572"/>
      <c r="BV45" s="572"/>
      <c r="BW45" s="572"/>
      <c r="BX45" s="572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572" t="s">
        <v>26</v>
      </c>
      <c r="CM45" s="572"/>
      <c r="CN45" s="572"/>
      <c r="CO45" s="572"/>
      <c r="CP45" s="572"/>
      <c r="CQ45" s="572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572" t="s">
        <v>26</v>
      </c>
      <c r="DE45" s="572"/>
      <c r="DF45" s="572"/>
      <c r="DG45" s="572"/>
      <c r="DH45" s="572"/>
      <c r="DI45" s="572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572" t="s">
        <v>26</v>
      </c>
      <c r="DY45" s="572"/>
      <c r="DZ45" s="572"/>
      <c r="EA45" s="572"/>
      <c r="EB45" s="572"/>
      <c r="EC45" s="572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572" t="s">
        <v>26</v>
      </c>
      <c r="ES45" s="572"/>
      <c r="ET45" s="572"/>
      <c r="EU45" s="572"/>
      <c r="EV45" s="572"/>
      <c r="EW45" s="572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572" t="s">
        <v>26</v>
      </c>
      <c r="FX45" s="572"/>
      <c r="FY45" s="572"/>
      <c r="FZ45" s="572"/>
      <c r="GA45" s="572"/>
      <c r="GB45" s="572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572" t="s">
        <v>26</v>
      </c>
      <c r="GU45" s="572"/>
      <c r="GV45" s="572"/>
      <c r="GW45" s="572"/>
      <c r="GX45" s="572"/>
      <c r="GY45" s="572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572" t="s">
        <v>26</v>
      </c>
      <c r="HP45" s="572"/>
      <c r="HQ45" s="572"/>
      <c r="HR45" s="572"/>
      <c r="HS45" s="572"/>
      <c r="HT45" s="572"/>
      <c r="HU45" s="28"/>
      <c r="HV45" s="28"/>
      <c r="HW45" s="30">
        <f t="shared" si="44"/>
        <v>0</v>
      </c>
      <c r="HX45" s="28">
        <f t="shared" si="45"/>
        <v>0</v>
      </c>
      <c r="HZ45" s="572" t="s">
        <v>26</v>
      </c>
      <c r="IA45" s="572"/>
      <c r="IB45" s="572"/>
      <c r="IC45" s="572"/>
      <c r="ID45" s="572"/>
      <c r="IE45" s="572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572" t="s">
        <v>26</v>
      </c>
      <c r="IQ45" s="572"/>
      <c r="IR45" s="572"/>
      <c r="IS45" s="572"/>
      <c r="IT45" s="572"/>
      <c r="IU45" s="572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572" t="s">
        <v>26</v>
      </c>
      <c r="JC45" s="572"/>
      <c r="JD45" s="572"/>
      <c r="JE45" s="572"/>
      <c r="JF45" s="572"/>
      <c r="JG45" s="572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572" t="s">
        <v>26</v>
      </c>
      <c r="KI45" s="572"/>
      <c r="KJ45" s="572"/>
      <c r="KK45" s="572"/>
      <c r="KL45" s="572"/>
      <c r="KM45" s="572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572" t="s">
        <v>26</v>
      </c>
      <c r="KW45" s="572"/>
      <c r="KX45" s="572"/>
      <c r="KY45" s="572"/>
      <c r="KZ45" s="572"/>
      <c r="LA45" s="572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572" t="s">
        <v>26</v>
      </c>
      <c r="LJ45" s="572"/>
      <c r="LK45" s="572"/>
      <c r="LL45" s="572"/>
      <c r="LM45" s="572"/>
      <c r="LN45" s="572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572" t="s">
        <v>26</v>
      </c>
      <c r="MI45" s="572"/>
      <c r="MJ45" s="572"/>
      <c r="MK45" s="572"/>
      <c r="ML45" s="572"/>
      <c r="MM45" s="572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572" t="s">
        <v>26</v>
      </c>
      <c r="NH45" s="572"/>
      <c r="NI45" s="572"/>
      <c r="NJ45" s="572"/>
      <c r="NK45" s="572"/>
      <c r="NL45" s="572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58"/>
      <c r="B46" s="12"/>
      <c r="C46" s="532" t="s">
        <v>27</v>
      </c>
      <c r="D46" s="532"/>
      <c r="E46" s="532"/>
      <c r="F46" s="532"/>
      <c r="G46" s="532"/>
      <c r="H46" s="532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532" t="s">
        <v>27</v>
      </c>
      <c r="Q46" s="532"/>
      <c r="R46" s="532"/>
      <c r="S46" s="532"/>
      <c r="T46" s="532"/>
      <c r="U46" s="532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532" t="s">
        <v>27</v>
      </c>
      <c r="AI46" s="532"/>
      <c r="AJ46" s="532"/>
      <c r="AK46" s="532"/>
      <c r="AL46" s="532"/>
      <c r="AM46" s="532"/>
      <c r="AN46" s="13"/>
      <c r="AO46" s="19"/>
      <c r="AP46" s="23">
        <f t="shared" si="12"/>
        <v>0</v>
      </c>
      <c r="AQ46" s="19">
        <f t="shared" si="13"/>
        <v>0</v>
      </c>
      <c r="AS46" s="532" t="s">
        <v>27</v>
      </c>
      <c r="AT46" s="532"/>
      <c r="AU46" s="532"/>
      <c r="AV46" s="532"/>
      <c r="AW46" s="532"/>
      <c r="AX46" s="532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532" t="s">
        <v>27</v>
      </c>
      <c r="BH46" s="532"/>
      <c r="BI46" s="532"/>
      <c r="BJ46" s="532"/>
      <c r="BK46" s="532"/>
      <c r="BL46" s="532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532" t="s">
        <v>27</v>
      </c>
      <c r="BT46" s="532"/>
      <c r="BU46" s="532"/>
      <c r="BV46" s="532"/>
      <c r="BW46" s="532"/>
      <c r="BX46" s="532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532" t="s">
        <v>27</v>
      </c>
      <c r="CM46" s="532"/>
      <c r="CN46" s="532"/>
      <c r="CO46" s="532"/>
      <c r="CP46" s="532"/>
      <c r="CQ46" s="532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532" t="s">
        <v>27</v>
      </c>
      <c r="DE46" s="532"/>
      <c r="DF46" s="532"/>
      <c r="DG46" s="532"/>
      <c r="DH46" s="532"/>
      <c r="DI46" s="532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532" t="s">
        <v>27</v>
      </c>
      <c r="DY46" s="532"/>
      <c r="DZ46" s="532"/>
      <c r="EA46" s="532"/>
      <c r="EB46" s="532"/>
      <c r="EC46" s="532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532" t="s">
        <v>27</v>
      </c>
      <c r="ES46" s="532"/>
      <c r="ET46" s="532"/>
      <c r="EU46" s="532"/>
      <c r="EV46" s="532"/>
      <c r="EW46" s="532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532" t="s">
        <v>27</v>
      </c>
      <c r="FX46" s="532"/>
      <c r="FY46" s="532"/>
      <c r="FZ46" s="532"/>
      <c r="GA46" s="532"/>
      <c r="GB46" s="532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532" t="s">
        <v>27</v>
      </c>
      <c r="GU46" s="532"/>
      <c r="GV46" s="532"/>
      <c r="GW46" s="532"/>
      <c r="GX46" s="532"/>
      <c r="GY46" s="532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532" t="s">
        <v>27</v>
      </c>
      <c r="HP46" s="532"/>
      <c r="HQ46" s="532"/>
      <c r="HR46" s="532"/>
      <c r="HS46" s="532"/>
      <c r="HT46" s="532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532" t="s">
        <v>27</v>
      </c>
      <c r="IA46" s="532"/>
      <c r="IB46" s="532"/>
      <c r="IC46" s="532"/>
      <c r="ID46" s="532"/>
      <c r="IE46" s="532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532" t="s">
        <v>27</v>
      </c>
      <c r="IQ46" s="532"/>
      <c r="IR46" s="532"/>
      <c r="IS46" s="532"/>
      <c r="IT46" s="532"/>
      <c r="IU46" s="532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532" t="s">
        <v>27</v>
      </c>
      <c r="JC46" s="532"/>
      <c r="JD46" s="532"/>
      <c r="JE46" s="532"/>
      <c r="JF46" s="532"/>
      <c r="JG46" s="532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532" t="s">
        <v>27</v>
      </c>
      <c r="KI46" s="532"/>
      <c r="KJ46" s="532"/>
      <c r="KK46" s="532"/>
      <c r="KL46" s="532"/>
      <c r="KM46" s="532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532" t="s">
        <v>27</v>
      </c>
      <c r="KW46" s="532"/>
      <c r="KX46" s="532"/>
      <c r="KY46" s="532"/>
      <c r="KZ46" s="532"/>
      <c r="LA46" s="532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532" t="s">
        <v>27</v>
      </c>
      <c r="LJ46" s="532"/>
      <c r="LK46" s="532"/>
      <c r="LL46" s="532"/>
      <c r="LM46" s="532"/>
      <c r="LN46" s="532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532" t="s">
        <v>27</v>
      </c>
      <c r="MI46" s="532"/>
      <c r="MJ46" s="532"/>
      <c r="MK46" s="532"/>
      <c r="ML46" s="532"/>
      <c r="MM46" s="532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532" t="s">
        <v>27</v>
      </c>
      <c r="NH46" s="532"/>
      <c r="NI46" s="532"/>
      <c r="NJ46" s="532"/>
      <c r="NK46" s="532"/>
      <c r="NL46" s="532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58"/>
      <c r="B47" s="12"/>
      <c r="C47" s="532" t="s">
        <v>28</v>
      </c>
      <c r="D47" s="532"/>
      <c r="E47" s="532"/>
      <c r="F47" s="532"/>
      <c r="G47" s="532"/>
      <c r="H47" s="532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532" t="s">
        <v>28</v>
      </c>
      <c r="Q47" s="532"/>
      <c r="R47" s="532"/>
      <c r="S47" s="532"/>
      <c r="T47" s="532"/>
      <c r="U47" s="532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532" t="s">
        <v>28</v>
      </c>
      <c r="AI47" s="532"/>
      <c r="AJ47" s="532"/>
      <c r="AK47" s="532"/>
      <c r="AL47" s="532"/>
      <c r="AM47" s="532"/>
      <c r="AN47" s="13"/>
      <c r="AO47" s="19"/>
      <c r="AP47" s="23">
        <f t="shared" si="12"/>
        <v>0</v>
      </c>
      <c r="AQ47" s="19">
        <f t="shared" si="13"/>
        <v>0</v>
      </c>
      <c r="AS47" s="572" t="s">
        <v>28</v>
      </c>
      <c r="AT47" s="572"/>
      <c r="AU47" s="572"/>
      <c r="AV47" s="572"/>
      <c r="AW47" s="572"/>
      <c r="AX47" s="572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572" t="s">
        <v>28</v>
      </c>
      <c r="BH47" s="572"/>
      <c r="BI47" s="572"/>
      <c r="BJ47" s="572"/>
      <c r="BK47" s="572"/>
      <c r="BL47" s="572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572" t="s">
        <v>28</v>
      </c>
      <c r="BT47" s="572"/>
      <c r="BU47" s="572"/>
      <c r="BV47" s="572"/>
      <c r="BW47" s="572"/>
      <c r="BX47" s="572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572" t="s">
        <v>28</v>
      </c>
      <c r="CM47" s="572"/>
      <c r="CN47" s="572"/>
      <c r="CO47" s="572"/>
      <c r="CP47" s="572"/>
      <c r="CQ47" s="572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572" t="s">
        <v>28</v>
      </c>
      <c r="DE47" s="572"/>
      <c r="DF47" s="572"/>
      <c r="DG47" s="572"/>
      <c r="DH47" s="572"/>
      <c r="DI47" s="572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572" t="s">
        <v>28</v>
      </c>
      <c r="DY47" s="572"/>
      <c r="DZ47" s="572"/>
      <c r="EA47" s="572"/>
      <c r="EB47" s="572"/>
      <c r="EC47" s="572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572" t="s">
        <v>28</v>
      </c>
      <c r="ES47" s="572"/>
      <c r="ET47" s="572"/>
      <c r="EU47" s="572"/>
      <c r="EV47" s="572"/>
      <c r="EW47" s="572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572" t="s">
        <v>28</v>
      </c>
      <c r="FX47" s="572"/>
      <c r="FY47" s="572"/>
      <c r="FZ47" s="572"/>
      <c r="GA47" s="572"/>
      <c r="GB47" s="572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572" t="s">
        <v>28</v>
      </c>
      <c r="GU47" s="572"/>
      <c r="GV47" s="572"/>
      <c r="GW47" s="572"/>
      <c r="GX47" s="572"/>
      <c r="GY47" s="572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572" t="s">
        <v>28</v>
      </c>
      <c r="HP47" s="572"/>
      <c r="HQ47" s="572"/>
      <c r="HR47" s="572"/>
      <c r="HS47" s="572"/>
      <c r="HT47" s="572"/>
      <c r="HU47" s="28">
        <v>35</v>
      </c>
      <c r="HV47" s="28"/>
      <c r="HW47" s="30">
        <f t="shared" si="44"/>
        <v>0</v>
      </c>
      <c r="HX47" s="28">
        <f t="shared" si="45"/>
        <v>0</v>
      </c>
      <c r="HZ47" s="572" t="s">
        <v>28</v>
      </c>
      <c r="IA47" s="572"/>
      <c r="IB47" s="572"/>
      <c r="IC47" s="572"/>
      <c r="ID47" s="572"/>
      <c r="IE47" s="572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572" t="s">
        <v>28</v>
      </c>
      <c r="IQ47" s="572"/>
      <c r="IR47" s="572"/>
      <c r="IS47" s="572"/>
      <c r="IT47" s="572"/>
      <c r="IU47" s="572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572" t="s">
        <v>28</v>
      </c>
      <c r="JC47" s="572"/>
      <c r="JD47" s="572"/>
      <c r="JE47" s="572"/>
      <c r="JF47" s="572"/>
      <c r="JG47" s="572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572" t="s">
        <v>28</v>
      </c>
      <c r="KI47" s="572"/>
      <c r="KJ47" s="572"/>
      <c r="KK47" s="572"/>
      <c r="KL47" s="572"/>
      <c r="KM47" s="572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572" t="s">
        <v>28</v>
      </c>
      <c r="KW47" s="572"/>
      <c r="KX47" s="572"/>
      <c r="KY47" s="572"/>
      <c r="KZ47" s="572"/>
      <c r="LA47" s="572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572" t="s">
        <v>28</v>
      </c>
      <c r="LJ47" s="572"/>
      <c r="LK47" s="572"/>
      <c r="LL47" s="572"/>
      <c r="LM47" s="572"/>
      <c r="LN47" s="572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572" t="s">
        <v>28</v>
      </c>
      <c r="MI47" s="572"/>
      <c r="MJ47" s="572"/>
      <c r="MK47" s="572"/>
      <c r="ML47" s="572"/>
      <c r="MM47" s="572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572" t="s">
        <v>28</v>
      </c>
      <c r="NH47" s="572"/>
      <c r="NI47" s="572"/>
      <c r="NJ47" s="572"/>
      <c r="NK47" s="572"/>
      <c r="NL47" s="572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58"/>
      <c r="B48" s="12"/>
      <c r="C48" s="532" t="s">
        <v>29</v>
      </c>
      <c r="D48" s="532"/>
      <c r="E48" s="532"/>
      <c r="F48" s="532"/>
      <c r="G48" s="532"/>
      <c r="H48" s="532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532" t="s">
        <v>29</v>
      </c>
      <c r="Q48" s="532"/>
      <c r="R48" s="532"/>
      <c r="S48" s="532"/>
      <c r="T48" s="532"/>
      <c r="U48" s="532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532" t="s">
        <v>29</v>
      </c>
      <c r="AI48" s="532"/>
      <c r="AJ48" s="532"/>
      <c r="AK48" s="532"/>
      <c r="AL48" s="532"/>
      <c r="AM48" s="532"/>
      <c r="AN48" s="13"/>
      <c r="AO48" s="19"/>
      <c r="AP48" s="23">
        <f t="shared" si="12"/>
        <v>0</v>
      </c>
      <c r="AQ48" s="19">
        <f t="shared" si="13"/>
        <v>0</v>
      </c>
      <c r="AS48" s="532" t="s">
        <v>29</v>
      </c>
      <c r="AT48" s="532"/>
      <c r="AU48" s="532"/>
      <c r="AV48" s="532"/>
      <c r="AW48" s="532"/>
      <c r="AX48" s="532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532" t="s">
        <v>29</v>
      </c>
      <c r="BH48" s="532"/>
      <c r="BI48" s="532"/>
      <c r="BJ48" s="532"/>
      <c r="BK48" s="532"/>
      <c r="BL48" s="532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532" t="s">
        <v>29</v>
      </c>
      <c r="BT48" s="532"/>
      <c r="BU48" s="532"/>
      <c r="BV48" s="532"/>
      <c r="BW48" s="532"/>
      <c r="BX48" s="532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532" t="s">
        <v>29</v>
      </c>
      <c r="CM48" s="532"/>
      <c r="CN48" s="532"/>
      <c r="CO48" s="532"/>
      <c r="CP48" s="532"/>
      <c r="CQ48" s="532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532" t="s">
        <v>29</v>
      </c>
      <c r="DE48" s="532"/>
      <c r="DF48" s="532"/>
      <c r="DG48" s="532"/>
      <c r="DH48" s="532"/>
      <c r="DI48" s="532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532" t="s">
        <v>29</v>
      </c>
      <c r="DY48" s="532"/>
      <c r="DZ48" s="532"/>
      <c r="EA48" s="532"/>
      <c r="EB48" s="532"/>
      <c r="EC48" s="532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532" t="s">
        <v>29</v>
      </c>
      <c r="ES48" s="532"/>
      <c r="ET48" s="532"/>
      <c r="EU48" s="532"/>
      <c r="EV48" s="532"/>
      <c r="EW48" s="532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532" t="s">
        <v>29</v>
      </c>
      <c r="FX48" s="532"/>
      <c r="FY48" s="532"/>
      <c r="FZ48" s="532"/>
      <c r="GA48" s="532"/>
      <c r="GB48" s="532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532" t="s">
        <v>29</v>
      </c>
      <c r="GU48" s="532"/>
      <c r="GV48" s="532"/>
      <c r="GW48" s="532"/>
      <c r="GX48" s="532"/>
      <c r="GY48" s="532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532" t="s">
        <v>29</v>
      </c>
      <c r="HP48" s="532"/>
      <c r="HQ48" s="532"/>
      <c r="HR48" s="532"/>
      <c r="HS48" s="532"/>
      <c r="HT48" s="532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532" t="s">
        <v>29</v>
      </c>
      <c r="IA48" s="532"/>
      <c r="IB48" s="532"/>
      <c r="IC48" s="532"/>
      <c r="ID48" s="532"/>
      <c r="IE48" s="532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532" t="s">
        <v>29</v>
      </c>
      <c r="IQ48" s="532"/>
      <c r="IR48" s="532"/>
      <c r="IS48" s="532"/>
      <c r="IT48" s="532"/>
      <c r="IU48" s="532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532" t="s">
        <v>29</v>
      </c>
      <c r="JC48" s="532"/>
      <c r="JD48" s="532"/>
      <c r="JE48" s="532"/>
      <c r="JF48" s="532"/>
      <c r="JG48" s="532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532" t="s">
        <v>29</v>
      </c>
      <c r="KI48" s="532"/>
      <c r="KJ48" s="532"/>
      <c r="KK48" s="532"/>
      <c r="KL48" s="532"/>
      <c r="KM48" s="532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532" t="s">
        <v>29</v>
      </c>
      <c r="KW48" s="532"/>
      <c r="KX48" s="532"/>
      <c r="KY48" s="532"/>
      <c r="KZ48" s="532"/>
      <c r="LA48" s="532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532" t="s">
        <v>29</v>
      </c>
      <c r="LJ48" s="532"/>
      <c r="LK48" s="532"/>
      <c r="LL48" s="532"/>
      <c r="LM48" s="532"/>
      <c r="LN48" s="532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532" t="s">
        <v>29</v>
      </c>
      <c r="MI48" s="532"/>
      <c r="MJ48" s="532"/>
      <c r="MK48" s="532"/>
      <c r="ML48" s="532"/>
      <c r="MM48" s="532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532" t="s">
        <v>29</v>
      </c>
      <c r="NH48" s="532"/>
      <c r="NI48" s="532"/>
      <c r="NJ48" s="532"/>
      <c r="NK48" s="532"/>
      <c r="NL48" s="532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58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532" t="s">
        <v>161</v>
      </c>
      <c r="ES49" s="532"/>
      <c r="ET49" s="532"/>
      <c r="EU49" s="532"/>
      <c r="EV49" s="532"/>
      <c r="EW49" s="532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532" t="s">
        <v>161</v>
      </c>
      <c r="FX49" s="532"/>
      <c r="FY49" s="532"/>
      <c r="FZ49" s="532"/>
      <c r="GA49" s="532"/>
      <c r="GB49" s="532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532" t="s">
        <v>161</v>
      </c>
      <c r="GU49" s="532"/>
      <c r="GV49" s="532"/>
      <c r="GW49" s="532"/>
      <c r="GX49" s="532"/>
      <c r="GY49" s="532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532" t="s">
        <v>161</v>
      </c>
      <c r="HP49" s="532"/>
      <c r="HQ49" s="532"/>
      <c r="HR49" s="532"/>
      <c r="HS49" s="532"/>
      <c r="HT49" s="532"/>
      <c r="HU49" s="13"/>
      <c r="HV49" s="19"/>
      <c r="HW49" s="30">
        <f t="shared" si="44"/>
        <v>0</v>
      </c>
      <c r="HX49" s="28">
        <f t="shared" si="45"/>
        <v>0</v>
      </c>
      <c r="HZ49" s="532" t="s">
        <v>161</v>
      </c>
      <c r="IA49" s="532"/>
      <c r="IB49" s="532"/>
      <c r="IC49" s="532"/>
      <c r="ID49" s="532"/>
      <c r="IE49" s="532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532" t="s">
        <v>161</v>
      </c>
      <c r="IQ49" s="532"/>
      <c r="IR49" s="532"/>
      <c r="IS49" s="532"/>
      <c r="IT49" s="532"/>
      <c r="IU49" s="532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532" t="s">
        <v>161</v>
      </c>
      <c r="JC49" s="532"/>
      <c r="JD49" s="532"/>
      <c r="JE49" s="532"/>
      <c r="JF49" s="532"/>
      <c r="JG49" s="532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532" t="s">
        <v>161</v>
      </c>
      <c r="KI49" s="532"/>
      <c r="KJ49" s="532"/>
      <c r="KK49" s="532"/>
      <c r="KL49" s="532"/>
      <c r="KM49" s="532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532" t="s">
        <v>161</v>
      </c>
      <c r="KW49" s="532"/>
      <c r="KX49" s="532"/>
      <c r="KY49" s="532"/>
      <c r="KZ49" s="532"/>
      <c r="LA49" s="532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532" t="s">
        <v>161</v>
      </c>
      <c r="LJ49" s="532"/>
      <c r="LK49" s="532"/>
      <c r="LL49" s="532"/>
      <c r="LM49" s="532"/>
      <c r="LN49" s="532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532" t="s">
        <v>161</v>
      </c>
      <c r="MI49" s="532"/>
      <c r="MJ49" s="532"/>
      <c r="MK49" s="532"/>
      <c r="ML49" s="532"/>
      <c r="MM49" s="532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532" t="s">
        <v>161</v>
      </c>
      <c r="NH49" s="532"/>
      <c r="NI49" s="532"/>
      <c r="NJ49" s="532"/>
      <c r="NK49" s="532"/>
      <c r="NL49" s="532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58"/>
      <c r="B50" s="12"/>
      <c r="C50" s="532" t="s">
        <v>30</v>
      </c>
      <c r="D50" s="532"/>
      <c r="E50" s="532"/>
      <c r="F50" s="532"/>
      <c r="G50" s="532"/>
      <c r="H50" s="532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532" t="s">
        <v>30</v>
      </c>
      <c r="Q50" s="532"/>
      <c r="R50" s="532"/>
      <c r="S50" s="532"/>
      <c r="T50" s="532"/>
      <c r="U50" s="532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532" t="s">
        <v>30</v>
      </c>
      <c r="AI50" s="532"/>
      <c r="AJ50" s="532"/>
      <c r="AK50" s="532"/>
      <c r="AL50" s="532"/>
      <c r="AM50" s="532"/>
      <c r="AN50" s="13"/>
      <c r="AO50" s="19"/>
      <c r="AP50" s="23">
        <f t="shared" si="12"/>
        <v>0</v>
      </c>
      <c r="AQ50" s="19">
        <f t="shared" si="13"/>
        <v>0</v>
      </c>
      <c r="AS50" s="572" t="s">
        <v>30</v>
      </c>
      <c r="AT50" s="572"/>
      <c r="AU50" s="572"/>
      <c r="AV50" s="572"/>
      <c r="AW50" s="572"/>
      <c r="AX50" s="572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572" t="s">
        <v>30</v>
      </c>
      <c r="BH50" s="572"/>
      <c r="BI50" s="572"/>
      <c r="BJ50" s="572"/>
      <c r="BK50" s="572"/>
      <c r="BL50" s="572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572" t="s">
        <v>30</v>
      </c>
      <c r="BT50" s="572"/>
      <c r="BU50" s="572"/>
      <c r="BV50" s="572"/>
      <c r="BW50" s="572"/>
      <c r="BX50" s="572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572" t="s">
        <v>30</v>
      </c>
      <c r="CM50" s="572"/>
      <c r="CN50" s="572"/>
      <c r="CO50" s="572"/>
      <c r="CP50" s="572"/>
      <c r="CQ50" s="572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572" t="s">
        <v>30</v>
      </c>
      <c r="DE50" s="572"/>
      <c r="DF50" s="572"/>
      <c r="DG50" s="572"/>
      <c r="DH50" s="572"/>
      <c r="DI50" s="572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572" t="s">
        <v>30</v>
      </c>
      <c r="DY50" s="572"/>
      <c r="DZ50" s="572"/>
      <c r="EA50" s="572"/>
      <c r="EB50" s="572"/>
      <c r="EC50" s="572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572" t="s">
        <v>30</v>
      </c>
      <c r="ES50" s="572"/>
      <c r="ET50" s="572"/>
      <c r="EU50" s="572"/>
      <c r="EV50" s="572"/>
      <c r="EW50" s="572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572" t="s">
        <v>30</v>
      </c>
      <c r="FX50" s="572"/>
      <c r="FY50" s="572"/>
      <c r="FZ50" s="572"/>
      <c r="GA50" s="572"/>
      <c r="GB50" s="572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572" t="s">
        <v>30</v>
      </c>
      <c r="GU50" s="572"/>
      <c r="GV50" s="572"/>
      <c r="GW50" s="572"/>
      <c r="GX50" s="572"/>
      <c r="GY50" s="572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572" t="s">
        <v>30</v>
      </c>
      <c r="HP50" s="572"/>
      <c r="HQ50" s="572"/>
      <c r="HR50" s="572"/>
      <c r="HS50" s="572"/>
      <c r="HT50" s="572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572" t="s">
        <v>30</v>
      </c>
      <c r="IA50" s="572"/>
      <c r="IB50" s="572"/>
      <c r="IC50" s="572"/>
      <c r="ID50" s="572"/>
      <c r="IE50" s="572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572" t="s">
        <v>30</v>
      </c>
      <c r="IQ50" s="572"/>
      <c r="IR50" s="572"/>
      <c r="IS50" s="572"/>
      <c r="IT50" s="572"/>
      <c r="IU50" s="572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572" t="s">
        <v>30</v>
      </c>
      <c r="JC50" s="572"/>
      <c r="JD50" s="572"/>
      <c r="JE50" s="572"/>
      <c r="JF50" s="572"/>
      <c r="JG50" s="572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572" t="s">
        <v>30</v>
      </c>
      <c r="KI50" s="572"/>
      <c r="KJ50" s="572"/>
      <c r="KK50" s="572"/>
      <c r="KL50" s="572"/>
      <c r="KM50" s="572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572" t="s">
        <v>30</v>
      </c>
      <c r="KW50" s="572"/>
      <c r="KX50" s="572"/>
      <c r="KY50" s="572"/>
      <c r="KZ50" s="572"/>
      <c r="LA50" s="572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572" t="s">
        <v>30</v>
      </c>
      <c r="LJ50" s="572"/>
      <c r="LK50" s="572"/>
      <c r="LL50" s="572"/>
      <c r="LM50" s="572"/>
      <c r="LN50" s="572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572" t="s">
        <v>30</v>
      </c>
      <c r="MI50" s="572"/>
      <c r="MJ50" s="572"/>
      <c r="MK50" s="572"/>
      <c r="ML50" s="572"/>
      <c r="MM50" s="572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572" t="s">
        <v>30</v>
      </c>
      <c r="NH50" s="572"/>
      <c r="NI50" s="572"/>
      <c r="NJ50" s="572"/>
      <c r="NK50" s="572"/>
      <c r="NL50" s="572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58"/>
      <c r="B51" s="12"/>
      <c r="C51" s="532" t="s">
        <v>31</v>
      </c>
      <c r="D51" s="532"/>
      <c r="E51" s="532"/>
      <c r="F51" s="532"/>
      <c r="G51" s="532"/>
      <c r="H51" s="532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532" t="s">
        <v>31</v>
      </c>
      <c r="Q51" s="532"/>
      <c r="R51" s="532"/>
      <c r="S51" s="532"/>
      <c r="T51" s="532"/>
      <c r="U51" s="532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532" t="s">
        <v>31</v>
      </c>
      <c r="AI51" s="532"/>
      <c r="AJ51" s="532"/>
      <c r="AK51" s="532"/>
      <c r="AL51" s="532"/>
      <c r="AM51" s="532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532" t="s">
        <v>31</v>
      </c>
      <c r="AT51" s="532"/>
      <c r="AU51" s="532"/>
      <c r="AV51" s="532"/>
      <c r="AW51" s="532"/>
      <c r="AX51" s="532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532" t="s">
        <v>31</v>
      </c>
      <c r="BH51" s="532"/>
      <c r="BI51" s="532"/>
      <c r="BJ51" s="532"/>
      <c r="BK51" s="532"/>
      <c r="BL51" s="532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532" t="s">
        <v>31</v>
      </c>
      <c r="BT51" s="532"/>
      <c r="BU51" s="532"/>
      <c r="BV51" s="532"/>
      <c r="BW51" s="532"/>
      <c r="BX51" s="532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532" t="s">
        <v>31</v>
      </c>
      <c r="CM51" s="532"/>
      <c r="CN51" s="532"/>
      <c r="CO51" s="532"/>
      <c r="CP51" s="532"/>
      <c r="CQ51" s="532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532" t="s">
        <v>31</v>
      </c>
      <c r="DE51" s="532"/>
      <c r="DF51" s="532"/>
      <c r="DG51" s="532"/>
      <c r="DH51" s="532"/>
      <c r="DI51" s="532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532" t="s">
        <v>31</v>
      </c>
      <c r="DY51" s="532"/>
      <c r="DZ51" s="532"/>
      <c r="EA51" s="532"/>
      <c r="EB51" s="532"/>
      <c r="EC51" s="532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532" t="s">
        <v>31</v>
      </c>
      <c r="ES51" s="532"/>
      <c r="ET51" s="532"/>
      <c r="EU51" s="532"/>
      <c r="EV51" s="532"/>
      <c r="EW51" s="532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532" t="s">
        <v>31</v>
      </c>
      <c r="FX51" s="532"/>
      <c r="FY51" s="532"/>
      <c r="FZ51" s="532"/>
      <c r="GA51" s="532"/>
      <c r="GB51" s="532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532" t="s">
        <v>31</v>
      </c>
      <c r="GU51" s="532"/>
      <c r="GV51" s="532"/>
      <c r="GW51" s="532"/>
      <c r="GX51" s="532"/>
      <c r="GY51" s="532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532" t="s">
        <v>31</v>
      </c>
      <c r="HP51" s="532"/>
      <c r="HQ51" s="532"/>
      <c r="HR51" s="532"/>
      <c r="HS51" s="532"/>
      <c r="HT51" s="532"/>
      <c r="HU51" s="13">
        <v>35</v>
      </c>
      <c r="HV51" s="19"/>
      <c r="HW51" s="30">
        <f t="shared" si="44"/>
        <v>0</v>
      </c>
      <c r="HX51" s="28">
        <f t="shared" si="45"/>
        <v>0</v>
      </c>
      <c r="HZ51" s="532" t="s">
        <v>31</v>
      </c>
      <c r="IA51" s="532"/>
      <c r="IB51" s="532"/>
      <c r="IC51" s="532"/>
      <c r="ID51" s="532"/>
      <c r="IE51" s="532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532" t="s">
        <v>31</v>
      </c>
      <c r="IQ51" s="532"/>
      <c r="IR51" s="532"/>
      <c r="IS51" s="532"/>
      <c r="IT51" s="532"/>
      <c r="IU51" s="532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532" t="s">
        <v>31</v>
      </c>
      <c r="JC51" s="532"/>
      <c r="JD51" s="532"/>
      <c r="JE51" s="532"/>
      <c r="JF51" s="532"/>
      <c r="JG51" s="532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532" t="s">
        <v>31</v>
      </c>
      <c r="KI51" s="532"/>
      <c r="KJ51" s="532"/>
      <c r="KK51" s="532"/>
      <c r="KL51" s="532"/>
      <c r="KM51" s="532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532" t="s">
        <v>31</v>
      </c>
      <c r="KW51" s="532"/>
      <c r="KX51" s="532"/>
      <c r="KY51" s="532"/>
      <c r="KZ51" s="532"/>
      <c r="LA51" s="532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532" t="s">
        <v>31</v>
      </c>
      <c r="LJ51" s="532"/>
      <c r="LK51" s="532"/>
      <c r="LL51" s="532"/>
      <c r="LM51" s="532"/>
      <c r="LN51" s="532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532" t="s">
        <v>31</v>
      </c>
      <c r="MI51" s="532"/>
      <c r="MJ51" s="532"/>
      <c r="MK51" s="532"/>
      <c r="ML51" s="532"/>
      <c r="MM51" s="532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532" t="s">
        <v>31</v>
      </c>
      <c r="NH51" s="532"/>
      <c r="NI51" s="532"/>
      <c r="NJ51" s="532"/>
      <c r="NK51" s="532"/>
      <c r="NL51" s="532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58"/>
      <c r="B52" s="12"/>
      <c r="C52" s="532" t="s">
        <v>32</v>
      </c>
      <c r="D52" s="532"/>
      <c r="E52" s="532"/>
      <c r="F52" s="532"/>
      <c r="G52" s="532"/>
      <c r="H52" s="532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532" t="s">
        <v>32</v>
      </c>
      <c r="Q52" s="532"/>
      <c r="R52" s="532"/>
      <c r="S52" s="532"/>
      <c r="T52" s="532"/>
      <c r="U52" s="532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532" t="s">
        <v>32</v>
      </c>
      <c r="AI52" s="532"/>
      <c r="AJ52" s="532"/>
      <c r="AK52" s="532"/>
      <c r="AL52" s="532"/>
      <c r="AM52" s="532"/>
      <c r="AN52" s="13"/>
      <c r="AO52" s="19"/>
      <c r="AP52" s="23">
        <f t="shared" si="12"/>
        <v>0</v>
      </c>
      <c r="AQ52" s="19">
        <f t="shared" si="13"/>
        <v>0</v>
      </c>
      <c r="AS52" s="572" t="s">
        <v>32</v>
      </c>
      <c r="AT52" s="572"/>
      <c r="AU52" s="572"/>
      <c r="AV52" s="572"/>
      <c r="AW52" s="572"/>
      <c r="AX52" s="572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572" t="s">
        <v>32</v>
      </c>
      <c r="BH52" s="572"/>
      <c r="BI52" s="572"/>
      <c r="BJ52" s="572"/>
      <c r="BK52" s="572"/>
      <c r="BL52" s="572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572" t="s">
        <v>32</v>
      </c>
      <c r="BT52" s="572"/>
      <c r="BU52" s="572"/>
      <c r="BV52" s="572"/>
      <c r="BW52" s="572"/>
      <c r="BX52" s="572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572" t="s">
        <v>32</v>
      </c>
      <c r="CM52" s="572"/>
      <c r="CN52" s="572"/>
      <c r="CO52" s="572"/>
      <c r="CP52" s="572"/>
      <c r="CQ52" s="572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572" t="s">
        <v>32</v>
      </c>
      <c r="DE52" s="572"/>
      <c r="DF52" s="572"/>
      <c r="DG52" s="572"/>
      <c r="DH52" s="572"/>
      <c r="DI52" s="572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572" t="s">
        <v>32</v>
      </c>
      <c r="DY52" s="572"/>
      <c r="DZ52" s="572"/>
      <c r="EA52" s="572"/>
      <c r="EB52" s="572"/>
      <c r="EC52" s="572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572" t="s">
        <v>32</v>
      </c>
      <c r="ES52" s="572"/>
      <c r="ET52" s="572"/>
      <c r="EU52" s="572"/>
      <c r="EV52" s="572"/>
      <c r="EW52" s="572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572" t="s">
        <v>32</v>
      </c>
      <c r="FX52" s="572"/>
      <c r="FY52" s="572"/>
      <c r="FZ52" s="572"/>
      <c r="GA52" s="572"/>
      <c r="GB52" s="572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572" t="s">
        <v>32</v>
      </c>
      <c r="GU52" s="572"/>
      <c r="GV52" s="572"/>
      <c r="GW52" s="572"/>
      <c r="GX52" s="572"/>
      <c r="GY52" s="572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572" t="s">
        <v>32</v>
      </c>
      <c r="HP52" s="572"/>
      <c r="HQ52" s="572"/>
      <c r="HR52" s="572"/>
      <c r="HS52" s="572"/>
      <c r="HT52" s="572"/>
      <c r="HU52" s="28">
        <v>18</v>
      </c>
      <c r="HV52" s="28"/>
      <c r="HW52" s="30">
        <f t="shared" si="44"/>
        <v>0</v>
      </c>
      <c r="HX52" s="28">
        <f t="shared" si="45"/>
        <v>0</v>
      </c>
      <c r="HZ52" s="572" t="s">
        <v>32</v>
      </c>
      <c r="IA52" s="572"/>
      <c r="IB52" s="572"/>
      <c r="IC52" s="572"/>
      <c r="ID52" s="572"/>
      <c r="IE52" s="572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572" t="s">
        <v>32</v>
      </c>
      <c r="IQ52" s="572"/>
      <c r="IR52" s="572"/>
      <c r="IS52" s="572"/>
      <c r="IT52" s="572"/>
      <c r="IU52" s="572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572" t="s">
        <v>32</v>
      </c>
      <c r="JC52" s="572"/>
      <c r="JD52" s="572"/>
      <c r="JE52" s="572"/>
      <c r="JF52" s="572"/>
      <c r="JG52" s="572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572" t="s">
        <v>32</v>
      </c>
      <c r="KI52" s="572"/>
      <c r="KJ52" s="572"/>
      <c r="KK52" s="572"/>
      <c r="KL52" s="572"/>
      <c r="KM52" s="572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572" t="s">
        <v>32</v>
      </c>
      <c r="KW52" s="572"/>
      <c r="KX52" s="572"/>
      <c r="KY52" s="572"/>
      <c r="KZ52" s="572"/>
      <c r="LA52" s="572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572" t="s">
        <v>32</v>
      </c>
      <c r="LJ52" s="572"/>
      <c r="LK52" s="572"/>
      <c r="LL52" s="572"/>
      <c r="LM52" s="572"/>
      <c r="LN52" s="572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572" t="s">
        <v>32</v>
      </c>
      <c r="MI52" s="572"/>
      <c r="MJ52" s="572"/>
      <c r="MK52" s="572"/>
      <c r="ML52" s="572"/>
      <c r="MM52" s="572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572" t="s">
        <v>32</v>
      </c>
      <c r="NH52" s="572"/>
      <c r="NI52" s="572"/>
      <c r="NJ52" s="572"/>
      <c r="NK52" s="572"/>
      <c r="NL52" s="572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58"/>
      <c r="B53" s="12"/>
      <c r="C53" s="532" t="s">
        <v>33</v>
      </c>
      <c r="D53" s="532"/>
      <c r="E53" s="532"/>
      <c r="F53" s="532"/>
      <c r="G53" s="532"/>
      <c r="H53" s="532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532" t="s">
        <v>33</v>
      </c>
      <c r="Q53" s="532"/>
      <c r="R53" s="532"/>
      <c r="S53" s="532"/>
      <c r="T53" s="532"/>
      <c r="U53" s="532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532" t="s">
        <v>33</v>
      </c>
      <c r="AI53" s="532"/>
      <c r="AJ53" s="532"/>
      <c r="AK53" s="532"/>
      <c r="AL53" s="532"/>
      <c r="AM53" s="532"/>
      <c r="AN53" s="13"/>
      <c r="AO53" s="19"/>
      <c r="AP53" s="23">
        <f t="shared" si="12"/>
        <v>0</v>
      </c>
      <c r="AQ53" s="19">
        <f t="shared" si="13"/>
        <v>0</v>
      </c>
      <c r="AS53" s="532" t="s">
        <v>33</v>
      </c>
      <c r="AT53" s="532"/>
      <c r="AU53" s="532"/>
      <c r="AV53" s="532"/>
      <c r="AW53" s="532"/>
      <c r="AX53" s="532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532" t="s">
        <v>33</v>
      </c>
      <c r="BH53" s="532"/>
      <c r="BI53" s="532"/>
      <c r="BJ53" s="532"/>
      <c r="BK53" s="532"/>
      <c r="BL53" s="532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532" t="s">
        <v>33</v>
      </c>
      <c r="BT53" s="532"/>
      <c r="BU53" s="532"/>
      <c r="BV53" s="532"/>
      <c r="BW53" s="532"/>
      <c r="BX53" s="532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532" t="s">
        <v>33</v>
      </c>
      <c r="CM53" s="532"/>
      <c r="CN53" s="532"/>
      <c r="CO53" s="532"/>
      <c r="CP53" s="532"/>
      <c r="CQ53" s="532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532" t="s">
        <v>33</v>
      </c>
      <c r="DE53" s="532"/>
      <c r="DF53" s="532"/>
      <c r="DG53" s="532"/>
      <c r="DH53" s="532"/>
      <c r="DI53" s="532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532" t="s">
        <v>33</v>
      </c>
      <c r="DY53" s="532"/>
      <c r="DZ53" s="532"/>
      <c r="EA53" s="532"/>
      <c r="EB53" s="532"/>
      <c r="EC53" s="532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532" t="s">
        <v>33</v>
      </c>
      <c r="ES53" s="532"/>
      <c r="ET53" s="532"/>
      <c r="EU53" s="532"/>
      <c r="EV53" s="532"/>
      <c r="EW53" s="532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532" t="s">
        <v>33</v>
      </c>
      <c r="FX53" s="532"/>
      <c r="FY53" s="532"/>
      <c r="FZ53" s="532"/>
      <c r="GA53" s="532"/>
      <c r="GB53" s="532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532" t="s">
        <v>33</v>
      </c>
      <c r="GU53" s="532"/>
      <c r="GV53" s="532"/>
      <c r="GW53" s="532"/>
      <c r="GX53" s="532"/>
      <c r="GY53" s="532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532" t="s">
        <v>33</v>
      </c>
      <c r="HP53" s="532"/>
      <c r="HQ53" s="532"/>
      <c r="HR53" s="532"/>
      <c r="HS53" s="532"/>
      <c r="HT53" s="532"/>
      <c r="HU53" s="13"/>
      <c r="HV53" s="19"/>
      <c r="HW53" s="30">
        <f t="shared" si="44"/>
        <v>0</v>
      </c>
      <c r="HX53" s="28">
        <f t="shared" si="45"/>
        <v>0</v>
      </c>
      <c r="HZ53" s="532" t="s">
        <v>33</v>
      </c>
      <c r="IA53" s="532"/>
      <c r="IB53" s="532"/>
      <c r="IC53" s="532"/>
      <c r="ID53" s="532"/>
      <c r="IE53" s="532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532" t="s">
        <v>33</v>
      </c>
      <c r="IQ53" s="532"/>
      <c r="IR53" s="532"/>
      <c r="IS53" s="532"/>
      <c r="IT53" s="532"/>
      <c r="IU53" s="532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532" t="s">
        <v>33</v>
      </c>
      <c r="JC53" s="532"/>
      <c r="JD53" s="532"/>
      <c r="JE53" s="532"/>
      <c r="JF53" s="532"/>
      <c r="JG53" s="532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532" t="s">
        <v>33</v>
      </c>
      <c r="KI53" s="532"/>
      <c r="KJ53" s="532"/>
      <c r="KK53" s="532"/>
      <c r="KL53" s="532"/>
      <c r="KM53" s="532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532" t="s">
        <v>33</v>
      </c>
      <c r="KW53" s="532"/>
      <c r="KX53" s="532"/>
      <c r="KY53" s="532"/>
      <c r="KZ53" s="532"/>
      <c r="LA53" s="532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532" t="s">
        <v>33</v>
      </c>
      <c r="LJ53" s="532"/>
      <c r="LK53" s="532"/>
      <c r="LL53" s="532"/>
      <c r="LM53" s="532"/>
      <c r="LN53" s="532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532" t="s">
        <v>33</v>
      </c>
      <c r="MI53" s="532"/>
      <c r="MJ53" s="532"/>
      <c r="MK53" s="532"/>
      <c r="ML53" s="532"/>
      <c r="MM53" s="532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532" t="s">
        <v>33</v>
      </c>
      <c r="NH53" s="532"/>
      <c r="NI53" s="532"/>
      <c r="NJ53" s="532"/>
      <c r="NK53" s="532"/>
      <c r="NL53" s="532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58"/>
      <c r="B54" s="12"/>
      <c r="C54" s="532" t="s">
        <v>34</v>
      </c>
      <c r="D54" s="532"/>
      <c r="E54" s="532"/>
      <c r="F54" s="532"/>
      <c r="G54" s="532"/>
      <c r="H54" s="532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532" t="s">
        <v>34</v>
      </c>
      <c r="Q54" s="532"/>
      <c r="R54" s="532"/>
      <c r="S54" s="532"/>
      <c r="T54" s="532"/>
      <c r="U54" s="532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532" t="s">
        <v>34</v>
      </c>
      <c r="AI54" s="532"/>
      <c r="AJ54" s="532"/>
      <c r="AK54" s="532"/>
      <c r="AL54" s="532"/>
      <c r="AM54" s="532"/>
      <c r="AN54" s="13"/>
      <c r="AO54" s="19"/>
      <c r="AP54" s="23">
        <f t="shared" si="12"/>
        <v>0</v>
      </c>
      <c r="AQ54" s="19">
        <f t="shared" si="13"/>
        <v>0</v>
      </c>
      <c r="AS54" s="572" t="s">
        <v>34</v>
      </c>
      <c r="AT54" s="572"/>
      <c r="AU54" s="572"/>
      <c r="AV54" s="572"/>
      <c r="AW54" s="572"/>
      <c r="AX54" s="572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572" t="s">
        <v>34</v>
      </c>
      <c r="BH54" s="572"/>
      <c r="BI54" s="572"/>
      <c r="BJ54" s="572"/>
      <c r="BK54" s="572"/>
      <c r="BL54" s="572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572" t="s">
        <v>34</v>
      </c>
      <c r="BT54" s="572"/>
      <c r="BU54" s="572"/>
      <c r="BV54" s="572"/>
      <c r="BW54" s="572"/>
      <c r="BX54" s="572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572" t="s">
        <v>34</v>
      </c>
      <c r="CM54" s="572"/>
      <c r="CN54" s="572"/>
      <c r="CO54" s="572"/>
      <c r="CP54" s="572"/>
      <c r="CQ54" s="572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572" t="s">
        <v>34</v>
      </c>
      <c r="DE54" s="572"/>
      <c r="DF54" s="572"/>
      <c r="DG54" s="572"/>
      <c r="DH54" s="572"/>
      <c r="DI54" s="572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572" t="s">
        <v>34</v>
      </c>
      <c r="DY54" s="572"/>
      <c r="DZ54" s="572"/>
      <c r="EA54" s="572"/>
      <c r="EB54" s="572"/>
      <c r="EC54" s="572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572" t="s">
        <v>34</v>
      </c>
      <c r="ES54" s="572"/>
      <c r="ET54" s="572"/>
      <c r="EU54" s="572"/>
      <c r="EV54" s="572"/>
      <c r="EW54" s="572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572" t="s">
        <v>34</v>
      </c>
      <c r="FX54" s="572"/>
      <c r="FY54" s="572"/>
      <c r="FZ54" s="572"/>
      <c r="GA54" s="572"/>
      <c r="GB54" s="572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572" t="s">
        <v>34</v>
      </c>
      <c r="GU54" s="572"/>
      <c r="GV54" s="572"/>
      <c r="GW54" s="572"/>
      <c r="GX54" s="572"/>
      <c r="GY54" s="572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572" t="s">
        <v>34</v>
      </c>
      <c r="HP54" s="572"/>
      <c r="HQ54" s="572"/>
      <c r="HR54" s="572"/>
      <c r="HS54" s="572"/>
      <c r="HT54" s="572"/>
      <c r="HU54" s="28">
        <v>17</v>
      </c>
      <c r="HV54" s="28"/>
      <c r="HW54" s="30">
        <f t="shared" si="44"/>
        <v>0</v>
      </c>
      <c r="HX54" s="28">
        <f t="shared" si="45"/>
        <v>0</v>
      </c>
      <c r="HZ54" s="572" t="s">
        <v>34</v>
      </c>
      <c r="IA54" s="572"/>
      <c r="IB54" s="572"/>
      <c r="IC54" s="572"/>
      <c r="ID54" s="572"/>
      <c r="IE54" s="572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572" t="s">
        <v>34</v>
      </c>
      <c r="IQ54" s="572"/>
      <c r="IR54" s="572"/>
      <c r="IS54" s="572"/>
      <c r="IT54" s="572"/>
      <c r="IU54" s="572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572" t="s">
        <v>34</v>
      </c>
      <c r="JC54" s="572"/>
      <c r="JD54" s="572"/>
      <c r="JE54" s="572"/>
      <c r="JF54" s="572"/>
      <c r="JG54" s="572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572" t="s">
        <v>34</v>
      </c>
      <c r="KI54" s="572"/>
      <c r="KJ54" s="572"/>
      <c r="KK54" s="572"/>
      <c r="KL54" s="572"/>
      <c r="KM54" s="572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572" t="s">
        <v>34</v>
      </c>
      <c r="KW54" s="572"/>
      <c r="KX54" s="572"/>
      <c r="KY54" s="572"/>
      <c r="KZ54" s="572"/>
      <c r="LA54" s="572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572" t="s">
        <v>34</v>
      </c>
      <c r="LJ54" s="572"/>
      <c r="LK54" s="572"/>
      <c r="LL54" s="572"/>
      <c r="LM54" s="572"/>
      <c r="LN54" s="572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572" t="s">
        <v>34</v>
      </c>
      <c r="MI54" s="572"/>
      <c r="MJ54" s="572"/>
      <c r="MK54" s="572"/>
      <c r="ML54" s="572"/>
      <c r="MM54" s="572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572" t="s">
        <v>34</v>
      </c>
      <c r="NH54" s="572"/>
      <c r="NI54" s="572"/>
      <c r="NJ54" s="572"/>
      <c r="NK54" s="572"/>
      <c r="NL54" s="572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58"/>
      <c r="B55" s="12"/>
      <c r="C55" s="532" t="s">
        <v>35</v>
      </c>
      <c r="D55" s="532"/>
      <c r="E55" s="532"/>
      <c r="F55" s="532"/>
      <c r="G55" s="532"/>
      <c r="H55" s="532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532" t="s">
        <v>35</v>
      </c>
      <c r="Q55" s="532"/>
      <c r="R55" s="532"/>
      <c r="S55" s="532"/>
      <c r="T55" s="532"/>
      <c r="U55" s="532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532" t="s">
        <v>35</v>
      </c>
      <c r="AI55" s="532"/>
      <c r="AJ55" s="532"/>
      <c r="AK55" s="532"/>
      <c r="AL55" s="532"/>
      <c r="AM55" s="532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532" t="s">
        <v>35</v>
      </c>
      <c r="AT55" s="532"/>
      <c r="AU55" s="532"/>
      <c r="AV55" s="532"/>
      <c r="AW55" s="532"/>
      <c r="AX55" s="532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532" t="s">
        <v>35</v>
      </c>
      <c r="BH55" s="532"/>
      <c r="BI55" s="532"/>
      <c r="BJ55" s="532"/>
      <c r="BK55" s="532"/>
      <c r="BL55" s="532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532" t="s">
        <v>35</v>
      </c>
      <c r="BT55" s="532"/>
      <c r="BU55" s="532"/>
      <c r="BV55" s="532"/>
      <c r="BW55" s="532"/>
      <c r="BX55" s="532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532" t="s">
        <v>35</v>
      </c>
      <c r="CM55" s="532"/>
      <c r="CN55" s="532"/>
      <c r="CO55" s="532"/>
      <c r="CP55" s="532"/>
      <c r="CQ55" s="532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532" t="s">
        <v>35</v>
      </c>
      <c r="DE55" s="532"/>
      <c r="DF55" s="532"/>
      <c r="DG55" s="532"/>
      <c r="DH55" s="532"/>
      <c r="DI55" s="532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532" t="s">
        <v>35</v>
      </c>
      <c r="DY55" s="532"/>
      <c r="DZ55" s="532"/>
      <c r="EA55" s="532"/>
      <c r="EB55" s="532"/>
      <c r="EC55" s="532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532" t="s">
        <v>35</v>
      </c>
      <c r="ES55" s="532"/>
      <c r="ET55" s="532"/>
      <c r="EU55" s="532"/>
      <c r="EV55" s="532"/>
      <c r="EW55" s="532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532" t="s">
        <v>35</v>
      </c>
      <c r="FX55" s="532"/>
      <c r="FY55" s="532"/>
      <c r="FZ55" s="532"/>
      <c r="GA55" s="532"/>
      <c r="GB55" s="532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532" t="s">
        <v>35</v>
      </c>
      <c r="GU55" s="532"/>
      <c r="GV55" s="532"/>
      <c r="GW55" s="532"/>
      <c r="GX55" s="532"/>
      <c r="GY55" s="532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532" t="s">
        <v>35</v>
      </c>
      <c r="HP55" s="532"/>
      <c r="HQ55" s="532"/>
      <c r="HR55" s="532"/>
      <c r="HS55" s="532"/>
      <c r="HT55" s="532"/>
      <c r="HU55" s="13">
        <v>7</v>
      </c>
      <c r="HV55" s="19"/>
      <c r="HW55" s="30">
        <f t="shared" si="44"/>
        <v>0</v>
      </c>
      <c r="HX55" s="28">
        <f t="shared" si="45"/>
        <v>0</v>
      </c>
      <c r="HZ55" s="532" t="s">
        <v>35</v>
      </c>
      <c r="IA55" s="532"/>
      <c r="IB55" s="532"/>
      <c r="IC55" s="532"/>
      <c r="ID55" s="532"/>
      <c r="IE55" s="532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532" t="s">
        <v>35</v>
      </c>
      <c r="IQ55" s="532"/>
      <c r="IR55" s="532"/>
      <c r="IS55" s="532"/>
      <c r="IT55" s="532"/>
      <c r="IU55" s="532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532" t="s">
        <v>35</v>
      </c>
      <c r="JC55" s="532"/>
      <c r="JD55" s="532"/>
      <c r="JE55" s="532"/>
      <c r="JF55" s="532"/>
      <c r="JG55" s="532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532" t="s">
        <v>35</v>
      </c>
      <c r="KI55" s="532"/>
      <c r="KJ55" s="532"/>
      <c r="KK55" s="532"/>
      <c r="KL55" s="532"/>
      <c r="KM55" s="532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532" t="s">
        <v>35</v>
      </c>
      <c r="KW55" s="532"/>
      <c r="KX55" s="532"/>
      <c r="KY55" s="532"/>
      <c r="KZ55" s="532"/>
      <c r="LA55" s="532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532" t="s">
        <v>35</v>
      </c>
      <c r="LJ55" s="532"/>
      <c r="LK55" s="532"/>
      <c r="LL55" s="532"/>
      <c r="LM55" s="532"/>
      <c r="LN55" s="532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532" t="s">
        <v>35</v>
      </c>
      <c r="MI55" s="532"/>
      <c r="MJ55" s="532"/>
      <c r="MK55" s="532"/>
      <c r="ML55" s="532"/>
      <c r="MM55" s="532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532" t="s">
        <v>35</v>
      </c>
      <c r="NH55" s="532"/>
      <c r="NI55" s="532"/>
      <c r="NJ55" s="532"/>
      <c r="NK55" s="532"/>
      <c r="NL55" s="532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58"/>
      <c r="B56" s="12"/>
      <c r="C56" s="532" t="s">
        <v>36</v>
      </c>
      <c r="D56" s="532"/>
      <c r="E56" s="532"/>
      <c r="F56" s="532"/>
      <c r="G56" s="532"/>
      <c r="H56" s="532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532" t="s">
        <v>36</v>
      </c>
      <c r="Q56" s="532"/>
      <c r="R56" s="532"/>
      <c r="S56" s="532"/>
      <c r="T56" s="532"/>
      <c r="U56" s="532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532" t="s">
        <v>36</v>
      </c>
      <c r="AI56" s="532"/>
      <c r="AJ56" s="532"/>
      <c r="AK56" s="532"/>
      <c r="AL56" s="532"/>
      <c r="AM56" s="532"/>
      <c r="AN56" s="13"/>
      <c r="AO56" s="19"/>
      <c r="AP56" s="23">
        <f t="shared" si="12"/>
        <v>0</v>
      </c>
      <c r="AQ56" s="19">
        <f t="shared" si="13"/>
        <v>0</v>
      </c>
      <c r="AS56" s="572" t="s">
        <v>36</v>
      </c>
      <c r="AT56" s="572"/>
      <c r="AU56" s="572"/>
      <c r="AV56" s="572"/>
      <c r="AW56" s="572"/>
      <c r="AX56" s="572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572" t="s">
        <v>36</v>
      </c>
      <c r="BH56" s="572"/>
      <c r="BI56" s="572"/>
      <c r="BJ56" s="572"/>
      <c r="BK56" s="572"/>
      <c r="BL56" s="572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572" t="s">
        <v>36</v>
      </c>
      <c r="BT56" s="572"/>
      <c r="BU56" s="572"/>
      <c r="BV56" s="572"/>
      <c r="BW56" s="572"/>
      <c r="BX56" s="572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572" t="s">
        <v>36</v>
      </c>
      <c r="CM56" s="572"/>
      <c r="CN56" s="572"/>
      <c r="CO56" s="572"/>
      <c r="CP56" s="572"/>
      <c r="CQ56" s="572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572" t="s">
        <v>36</v>
      </c>
      <c r="DE56" s="572"/>
      <c r="DF56" s="572"/>
      <c r="DG56" s="572"/>
      <c r="DH56" s="572"/>
      <c r="DI56" s="572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572" t="s">
        <v>36</v>
      </c>
      <c r="DY56" s="572"/>
      <c r="DZ56" s="572"/>
      <c r="EA56" s="572"/>
      <c r="EB56" s="572"/>
      <c r="EC56" s="572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572" t="s">
        <v>36</v>
      </c>
      <c r="ES56" s="572"/>
      <c r="ET56" s="572"/>
      <c r="EU56" s="572"/>
      <c r="EV56" s="572"/>
      <c r="EW56" s="572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572" t="s">
        <v>36</v>
      </c>
      <c r="FX56" s="572"/>
      <c r="FY56" s="572"/>
      <c r="FZ56" s="572"/>
      <c r="GA56" s="572"/>
      <c r="GB56" s="572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572" t="s">
        <v>36</v>
      </c>
      <c r="GU56" s="572"/>
      <c r="GV56" s="572"/>
      <c r="GW56" s="572"/>
      <c r="GX56" s="572"/>
      <c r="GY56" s="572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572" t="s">
        <v>36</v>
      </c>
      <c r="HP56" s="572"/>
      <c r="HQ56" s="572"/>
      <c r="HR56" s="572"/>
      <c r="HS56" s="572"/>
      <c r="HT56" s="572"/>
      <c r="HU56" s="28"/>
      <c r="HV56" s="28"/>
      <c r="HW56" s="30">
        <f t="shared" si="44"/>
        <v>0</v>
      </c>
      <c r="HX56" s="28">
        <f t="shared" si="45"/>
        <v>0</v>
      </c>
      <c r="HZ56" s="572" t="s">
        <v>36</v>
      </c>
      <c r="IA56" s="572"/>
      <c r="IB56" s="572"/>
      <c r="IC56" s="572"/>
      <c r="ID56" s="572"/>
      <c r="IE56" s="572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572" t="s">
        <v>36</v>
      </c>
      <c r="IQ56" s="572"/>
      <c r="IR56" s="572"/>
      <c r="IS56" s="572"/>
      <c r="IT56" s="572"/>
      <c r="IU56" s="572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572" t="s">
        <v>36</v>
      </c>
      <c r="JC56" s="572"/>
      <c r="JD56" s="572"/>
      <c r="JE56" s="572"/>
      <c r="JF56" s="572"/>
      <c r="JG56" s="572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572" t="s">
        <v>36</v>
      </c>
      <c r="KI56" s="572"/>
      <c r="KJ56" s="572"/>
      <c r="KK56" s="572"/>
      <c r="KL56" s="572"/>
      <c r="KM56" s="572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572" t="s">
        <v>36</v>
      </c>
      <c r="KW56" s="572"/>
      <c r="KX56" s="572"/>
      <c r="KY56" s="572"/>
      <c r="KZ56" s="572"/>
      <c r="LA56" s="572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572" t="s">
        <v>36</v>
      </c>
      <c r="LJ56" s="572"/>
      <c r="LK56" s="572"/>
      <c r="LL56" s="572"/>
      <c r="LM56" s="572"/>
      <c r="LN56" s="572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572" t="s">
        <v>36</v>
      </c>
      <c r="MI56" s="572"/>
      <c r="MJ56" s="572"/>
      <c r="MK56" s="572"/>
      <c r="ML56" s="572"/>
      <c r="MM56" s="572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572" t="s">
        <v>36</v>
      </c>
      <c r="NH56" s="572"/>
      <c r="NI56" s="572"/>
      <c r="NJ56" s="572"/>
      <c r="NK56" s="572"/>
      <c r="NL56" s="572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58"/>
      <c r="B57" s="12"/>
      <c r="C57" s="532" t="s">
        <v>37</v>
      </c>
      <c r="D57" s="532"/>
      <c r="E57" s="532"/>
      <c r="F57" s="532"/>
      <c r="G57" s="532"/>
      <c r="H57" s="532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532" t="s">
        <v>37</v>
      </c>
      <c r="Q57" s="532"/>
      <c r="R57" s="532"/>
      <c r="S57" s="532"/>
      <c r="T57" s="532"/>
      <c r="U57" s="532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532" t="s">
        <v>37</v>
      </c>
      <c r="AI57" s="532"/>
      <c r="AJ57" s="532"/>
      <c r="AK57" s="532"/>
      <c r="AL57" s="532"/>
      <c r="AM57" s="532"/>
      <c r="AN57" s="13"/>
      <c r="AO57" s="19"/>
      <c r="AP57" s="23">
        <f t="shared" si="12"/>
        <v>0</v>
      </c>
      <c r="AQ57" s="19">
        <f t="shared" si="13"/>
        <v>0</v>
      </c>
      <c r="AS57" s="532" t="s">
        <v>37</v>
      </c>
      <c r="AT57" s="532"/>
      <c r="AU57" s="532"/>
      <c r="AV57" s="532"/>
      <c r="AW57" s="532"/>
      <c r="AX57" s="532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532" t="s">
        <v>37</v>
      </c>
      <c r="BH57" s="532"/>
      <c r="BI57" s="532"/>
      <c r="BJ57" s="532"/>
      <c r="BK57" s="532"/>
      <c r="BL57" s="532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532" t="s">
        <v>37</v>
      </c>
      <c r="BT57" s="532"/>
      <c r="BU57" s="532"/>
      <c r="BV57" s="532"/>
      <c r="BW57" s="532"/>
      <c r="BX57" s="532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532" t="s">
        <v>37</v>
      </c>
      <c r="CM57" s="532"/>
      <c r="CN57" s="532"/>
      <c r="CO57" s="532"/>
      <c r="CP57" s="532"/>
      <c r="CQ57" s="532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532" t="s">
        <v>37</v>
      </c>
      <c r="DE57" s="532"/>
      <c r="DF57" s="532"/>
      <c r="DG57" s="532"/>
      <c r="DH57" s="532"/>
      <c r="DI57" s="532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532" t="s">
        <v>37</v>
      </c>
      <c r="DY57" s="532"/>
      <c r="DZ57" s="532"/>
      <c r="EA57" s="532"/>
      <c r="EB57" s="532"/>
      <c r="EC57" s="532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532" t="s">
        <v>37</v>
      </c>
      <c r="ES57" s="532"/>
      <c r="ET57" s="532"/>
      <c r="EU57" s="532"/>
      <c r="EV57" s="532"/>
      <c r="EW57" s="532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532" t="s">
        <v>37</v>
      </c>
      <c r="FX57" s="532"/>
      <c r="FY57" s="532"/>
      <c r="FZ57" s="532"/>
      <c r="GA57" s="532"/>
      <c r="GB57" s="532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532" t="s">
        <v>37</v>
      </c>
      <c r="GU57" s="532"/>
      <c r="GV57" s="532"/>
      <c r="GW57" s="532"/>
      <c r="GX57" s="532"/>
      <c r="GY57" s="532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532" t="s">
        <v>37</v>
      </c>
      <c r="HP57" s="532"/>
      <c r="HQ57" s="532"/>
      <c r="HR57" s="532"/>
      <c r="HS57" s="532"/>
      <c r="HT57" s="532"/>
      <c r="HU57" s="13"/>
      <c r="HV57" s="19"/>
      <c r="HW57" s="30">
        <f t="shared" si="44"/>
        <v>0</v>
      </c>
      <c r="HX57" s="28">
        <f t="shared" si="45"/>
        <v>0</v>
      </c>
      <c r="HZ57" s="532" t="s">
        <v>37</v>
      </c>
      <c r="IA57" s="532"/>
      <c r="IB57" s="532"/>
      <c r="IC57" s="532"/>
      <c r="ID57" s="532"/>
      <c r="IE57" s="532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532" t="s">
        <v>37</v>
      </c>
      <c r="IQ57" s="532"/>
      <c r="IR57" s="532"/>
      <c r="IS57" s="532"/>
      <c r="IT57" s="532"/>
      <c r="IU57" s="532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532" t="s">
        <v>37</v>
      </c>
      <c r="JC57" s="532"/>
      <c r="JD57" s="532"/>
      <c r="JE57" s="532"/>
      <c r="JF57" s="532"/>
      <c r="JG57" s="532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532" t="s">
        <v>37</v>
      </c>
      <c r="KI57" s="532"/>
      <c r="KJ57" s="532"/>
      <c r="KK57" s="532"/>
      <c r="KL57" s="532"/>
      <c r="KM57" s="532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532" t="s">
        <v>37</v>
      </c>
      <c r="KW57" s="532"/>
      <c r="KX57" s="532"/>
      <c r="KY57" s="532"/>
      <c r="KZ57" s="532"/>
      <c r="LA57" s="532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532" t="s">
        <v>37</v>
      </c>
      <c r="LJ57" s="532"/>
      <c r="LK57" s="532"/>
      <c r="LL57" s="532"/>
      <c r="LM57" s="532"/>
      <c r="LN57" s="532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532" t="s">
        <v>37</v>
      </c>
      <c r="MI57" s="532"/>
      <c r="MJ57" s="532"/>
      <c r="MK57" s="532"/>
      <c r="ML57" s="532"/>
      <c r="MM57" s="532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532" t="s">
        <v>37</v>
      </c>
      <c r="NH57" s="532"/>
      <c r="NI57" s="532"/>
      <c r="NJ57" s="532"/>
      <c r="NK57" s="532"/>
      <c r="NL57" s="532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58"/>
      <c r="B58" s="12"/>
      <c r="C58" s="532" t="s">
        <v>38</v>
      </c>
      <c r="D58" s="532"/>
      <c r="E58" s="532"/>
      <c r="F58" s="532"/>
      <c r="G58" s="532"/>
      <c r="H58" s="532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532" t="s">
        <v>38</v>
      </c>
      <c r="Q58" s="532"/>
      <c r="R58" s="532"/>
      <c r="S58" s="532"/>
      <c r="T58" s="532"/>
      <c r="U58" s="532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532" t="s">
        <v>38</v>
      </c>
      <c r="AI58" s="532"/>
      <c r="AJ58" s="532"/>
      <c r="AK58" s="532"/>
      <c r="AL58" s="532"/>
      <c r="AM58" s="532"/>
      <c r="AN58" s="13"/>
      <c r="AO58" s="19"/>
      <c r="AP58" s="23">
        <f t="shared" si="12"/>
        <v>0</v>
      </c>
      <c r="AQ58" s="19">
        <f t="shared" si="13"/>
        <v>0</v>
      </c>
      <c r="AS58" s="572" t="s">
        <v>38</v>
      </c>
      <c r="AT58" s="572"/>
      <c r="AU58" s="572"/>
      <c r="AV58" s="572"/>
      <c r="AW58" s="572"/>
      <c r="AX58" s="572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572" t="s">
        <v>38</v>
      </c>
      <c r="BH58" s="572"/>
      <c r="BI58" s="572"/>
      <c r="BJ58" s="572"/>
      <c r="BK58" s="572"/>
      <c r="BL58" s="572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572" t="s">
        <v>38</v>
      </c>
      <c r="BT58" s="572"/>
      <c r="BU58" s="572"/>
      <c r="BV58" s="572"/>
      <c r="BW58" s="572"/>
      <c r="BX58" s="572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572" t="s">
        <v>38</v>
      </c>
      <c r="CM58" s="572"/>
      <c r="CN58" s="572"/>
      <c r="CO58" s="572"/>
      <c r="CP58" s="572"/>
      <c r="CQ58" s="572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572" t="s">
        <v>38</v>
      </c>
      <c r="DE58" s="572"/>
      <c r="DF58" s="572"/>
      <c r="DG58" s="572"/>
      <c r="DH58" s="572"/>
      <c r="DI58" s="572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572" t="s">
        <v>38</v>
      </c>
      <c r="DY58" s="572"/>
      <c r="DZ58" s="572"/>
      <c r="EA58" s="572"/>
      <c r="EB58" s="572"/>
      <c r="EC58" s="572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572" t="s">
        <v>38</v>
      </c>
      <c r="ES58" s="572"/>
      <c r="ET58" s="572"/>
      <c r="EU58" s="572"/>
      <c r="EV58" s="572"/>
      <c r="EW58" s="572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572" t="s">
        <v>38</v>
      </c>
      <c r="FX58" s="572"/>
      <c r="FY58" s="572"/>
      <c r="FZ58" s="572"/>
      <c r="GA58" s="572"/>
      <c r="GB58" s="572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572" t="s">
        <v>38</v>
      </c>
      <c r="GU58" s="572"/>
      <c r="GV58" s="572"/>
      <c r="GW58" s="572"/>
      <c r="GX58" s="572"/>
      <c r="GY58" s="572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572" t="s">
        <v>38</v>
      </c>
      <c r="HP58" s="572"/>
      <c r="HQ58" s="572"/>
      <c r="HR58" s="572"/>
      <c r="HS58" s="572"/>
      <c r="HT58" s="572"/>
      <c r="HU58" s="28">
        <v>13</v>
      </c>
      <c r="HV58" s="28"/>
      <c r="HW58" s="30">
        <f t="shared" si="44"/>
        <v>0</v>
      </c>
      <c r="HX58" s="28">
        <f t="shared" si="45"/>
        <v>0</v>
      </c>
      <c r="HZ58" s="572" t="s">
        <v>38</v>
      </c>
      <c r="IA58" s="572"/>
      <c r="IB58" s="572"/>
      <c r="IC58" s="572"/>
      <c r="ID58" s="572"/>
      <c r="IE58" s="572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572" t="s">
        <v>38</v>
      </c>
      <c r="IQ58" s="572"/>
      <c r="IR58" s="572"/>
      <c r="IS58" s="572"/>
      <c r="IT58" s="572"/>
      <c r="IU58" s="572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572" t="s">
        <v>38</v>
      </c>
      <c r="JC58" s="572"/>
      <c r="JD58" s="572"/>
      <c r="JE58" s="572"/>
      <c r="JF58" s="572"/>
      <c r="JG58" s="572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572" t="s">
        <v>38</v>
      </c>
      <c r="KI58" s="572"/>
      <c r="KJ58" s="572"/>
      <c r="KK58" s="572"/>
      <c r="KL58" s="572"/>
      <c r="KM58" s="572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572" t="s">
        <v>38</v>
      </c>
      <c r="KW58" s="572"/>
      <c r="KX58" s="572"/>
      <c r="KY58" s="572"/>
      <c r="KZ58" s="572"/>
      <c r="LA58" s="572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572" t="s">
        <v>38</v>
      </c>
      <c r="LJ58" s="572"/>
      <c r="LK58" s="572"/>
      <c r="LL58" s="572"/>
      <c r="LM58" s="572"/>
      <c r="LN58" s="572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572" t="s">
        <v>38</v>
      </c>
      <c r="MI58" s="572"/>
      <c r="MJ58" s="572"/>
      <c r="MK58" s="572"/>
      <c r="ML58" s="572"/>
      <c r="MM58" s="572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572" t="s">
        <v>38</v>
      </c>
      <c r="NH58" s="572"/>
      <c r="NI58" s="572"/>
      <c r="NJ58" s="572"/>
      <c r="NK58" s="572"/>
      <c r="NL58" s="572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58"/>
      <c r="B59" s="12"/>
      <c r="C59" s="532" t="s">
        <v>39</v>
      </c>
      <c r="D59" s="532"/>
      <c r="E59" s="532"/>
      <c r="F59" s="532"/>
      <c r="G59" s="532"/>
      <c r="H59" s="532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532" t="s">
        <v>39</v>
      </c>
      <c r="Q59" s="532"/>
      <c r="R59" s="532"/>
      <c r="S59" s="532"/>
      <c r="T59" s="532"/>
      <c r="U59" s="532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532" t="s">
        <v>39</v>
      </c>
      <c r="AI59" s="532"/>
      <c r="AJ59" s="532"/>
      <c r="AK59" s="532"/>
      <c r="AL59" s="532"/>
      <c r="AM59" s="532"/>
      <c r="AN59" s="13"/>
      <c r="AO59" s="19"/>
      <c r="AP59" s="23">
        <f t="shared" si="12"/>
        <v>0</v>
      </c>
      <c r="AQ59" s="19">
        <f t="shared" si="13"/>
        <v>0</v>
      </c>
      <c r="AS59" s="532" t="s">
        <v>39</v>
      </c>
      <c r="AT59" s="532"/>
      <c r="AU59" s="532"/>
      <c r="AV59" s="532"/>
      <c r="AW59" s="532"/>
      <c r="AX59" s="532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532" t="s">
        <v>39</v>
      </c>
      <c r="BH59" s="532"/>
      <c r="BI59" s="532"/>
      <c r="BJ59" s="532"/>
      <c r="BK59" s="532"/>
      <c r="BL59" s="532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532" t="s">
        <v>39</v>
      </c>
      <c r="BT59" s="532"/>
      <c r="BU59" s="532"/>
      <c r="BV59" s="532"/>
      <c r="BW59" s="532"/>
      <c r="BX59" s="532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532" t="s">
        <v>39</v>
      </c>
      <c r="CM59" s="532"/>
      <c r="CN59" s="532"/>
      <c r="CO59" s="532"/>
      <c r="CP59" s="532"/>
      <c r="CQ59" s="532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532" t="s">
        <v>39</v>
      </c>
      <c r="DE59" s="532"/>
      <c r="DF59" s="532"/>
      <c r="DG59" s="532"/>
      <c r="DH59" s="532"/>
      <c r="DI59" s="532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532" t="s">
        <v>39</v>
      </c>
      <c r="DY59" s="532"/>
      <c r="DZ59" s="532"/>
      <c r="EA59" s="532"/>
      <c r="EB59" s="532"/>
      <c r="EC59" s="532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532" t="s">
        <v>39</v>
      </c>
      <c r="ES59" s="532"/>
      <c r="ET59" s="532"/>
      <c r="EU59" s="532"/>
      <c r="EV59" s="532"/>
      <c r="EW59" s="532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532" t="s">
        <v>39</v>
      </c>
      <c r="FX59" s="532"/>
      <c r="FY59" s="532"/>
      <c r="FZ59" s="532"/>
      <c r="GA59" s="532"/>
      <c r="GB59" s="532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532" t="s">
        <v>39</v>
      </c>
      <c r="GU59" s="532"/>
      <c r="GV59" s="532"/>
      <c r="GW59" s="532"/>
      <c r="GX59" s="532"/>
      <c r="GY59" s="532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532" t="s">
        <v>39</v>
      </c>
      <c r="HP59" s="532"/>
      <c r="HQ59" s="532"/>
      <c r="HR59" s="532"/>
      <c r="HS59" s="532"/>
      <c r="HT59" s="532"/>
      <c r="HU59" s="13"/>
      <c r="HV59" s="19"/>
      <c r="HW59" s="30">
        <f t="shared" si="44"/>
        <v>0</v>
      </c>
      <c r="HX59" s="28">
        <f t="shared" si="45"/>
        <v>0</v>
      </c>
      <c r="HZ59" s="532" t="s">
        <v>39</v>
      </c>
      <c r="IA59" s="532"/>
      <c r="IB59" s="532"/>
      <c r="IC59" s="532"/>
      <c r="ID59" s="532"/>
      <c r="IE59" s="532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532" t="s">
        <v>39</v>
      </c>
      <c r="IQ59" s="532"/>
      <c r="IR59" s="532"/>
      <c r="IS59" s="532"/>
      <c r="IT59" s="532"/>
      <c r="IU59" s="532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532" t="s">
        <v>39</v>
      </c>
      <c r="JC59" s="532"/>
      <c r="JD59" s="532"/>
      <c r="JE59" s="532"/>
      <c r="JF59" s="532"/>
      <c r="JG59" s="532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532" t="s">
        <v>39</v>
      </c>
      <c r="KI59" s="532"/>
      <c r="KJ59" s="532"/>
      <c r="KK59" s="532"/>
      <c r="KL59" s="532"/>
      <c r="KM59" s="532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532" t="s">
        <v>39</v>
      </c>
      <c r="KW59" s="532"/>
      <c r="KX59" s="532"/>
      <c r="KY59" s="532"/>
      <c r="KZ59" s="532"/>
      <c r="LA59" s="532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532" t="s">
        <v>39</v>
      </c>
      <c r="LJ59" s="532"/>
      <c r="LK59" s="532"/>
      <c r="LL59" s="532"/>
      <c r="LM59" s="532"/>
      <c r="LN59" s="532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532" t="s">
        <v>39</v>
      </c>
      <c r="MI59" s="532"/>
      <c r="MJ59" s="532"/>
      <c r="MK59" s="532"/>
      <c r="ML59" s="532"/>
      <c r="MM59" s="532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532" t="s">
        <v>39</v>
      </c>
      <c r="NH59" s="532"/>
      <c r="NI59" s="532"/>
      <c r="NJ59" s="532"/>
      <c r="NK59" s="532"/>
      <c r="NL59" s="532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58"/>
      <c r="B60" s="12"/>
      <c r="C60" s="532" t="s">
        <v>48</v>
      </c>
      <c r="D60" s="532"/>
      <c r="E60" s="532"/>
      <c r="F60" s="532"/>
      <c r="G60" s="532"/>
      <c r="H60" s="532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532" t="s">
        <v>48</v>
      </c>
      <c r="Q60" s="532"/>
      <c r="R60" s="532"/>
      <c r="S60" s="532"/>
      <c r="T60" s="532"/>
      <c r="U60" s="532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532" t="s">
        <v>48</v>
      </c>
      <c r="AI60" s="532"/>
      <c r="AJ60" s="532"/>
      <c r="AK60" s="532"/>
      <c r="AL60" s="532"/>
      <c r="AM60" s="532"/>
      <c r="AN60" s="13"/>
      <c r="AO60" s="19"/>
      <c r="AP60" s="23">
        <f t="shared" si="12"/>
        <v>0</v>
      </c>
      <c r="AQ60" s="19">
        <f t="shared" si="13"/>
        <v>0</v>
      </c>
      <c r="AS60" s="572" t="s">
        <v>48</v>
      </c>
      <c r="AT60" s="572"/>
      <c r="AU60" s="572"/>
      <c r="AV60" s="572"/>
      <c r="AW60" s="572"/>
      <c r="AX60" s="572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572" t="s">
        <v>48</v>
      </c>
      <c r="BH60" s="572"/>
      <c r="BI60" s="572"/>
      <c r="BJ60" s="572"/>
      <c r="BK60" s="572"/>
      <c r="BL60" s="572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572" t="s">
        <v>48</v>
      </c>
      <c r="BT60" s="572"/>
      <c r="BU60" s="572"/>
      <c r="BV60" s="572"/>
      <c r="BW60" s="572"/>
      <c r="BX60" s="572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572" t="s">
        <v>48</v>
      </c>
      <c r="CM60" s="572"/>
      <c r="CN60" s="572"/>
      <c r="CO60" s="572"/>
      <c r="CP60" s="572"/>
      <c r="CQ60" s="572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572" t="s">
        <v>48</v>
      </c>
      <c r="DE60" s="572"/>
      <c r="DF60" s="572"/>
      <c r="DG60" s="572"/>
      <c r="DH60" s="572"/>
      <c r="DI60" s="572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572" t="s">
        <v>48</v>
      </c>
      <c r="DY60" s="572"/>
      <c r="DZ60" s="572"/>
      <c r="EA60" s="572"/>
      <c r="EB60" s="572"/>
      <c r="EC60" s="572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572" t="s">
        <v>48</v>
      </c>
      <c r="ES60" s="572"/>
      <c r="ET60" s="572"/>
      <c r="EU60" s="572"/>
      <c r="EV60" s="572"/>
      <c r="EW60" s="572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572" t="s">
        <v>48</v>
      </c>
      <c r="FX60" s="572"/>
      <c r="FY60" s="572"/>
      <c r="FZ60" s="572"/>
      <c r="GA60" s="572"/>
      <c r="GB60" s="572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572" t="s">
        <v>48</v>
      </c>
      <c r="GU60" s="572"/>
      <c r="GV60" s="572"/>
      <c r="GW60" s="572"/>
      <c r="GX60" s="572"/>
      <c r="GY60" s="572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572" t="s">
        <v>48</v>
      </c>
      <c r="HP60" s="572"/>
      <c r="HQ60" s="572"/>
      <c r="HR60" s="572"/>
      <c r="HS60" s="572"/>
      <c r="HT60" s="572"/>
      <c r="HU60" s="28"/>
      <c r="HV60" s="28"/>
      <c r="HW60" s="30">
        <f t="shared" si="44"/>
        <v>0</v>
      </c>
      <c r="HX60" s="28">
        <f t="shared" si="45"/>
        <v>0</v>
      </c>
      <c r="HZ60" s="572" t="s">
        <v>48</v>
      </c>
      <c r="IA60" s="572"/>
      <c r="IB60" s="572"/>
      <c r="IC60" s="572"/>
      <c r="ID60" s="572"/>
      <c r="IE60" s="572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572" t="s">
        <v>48</v>
      </c>
      <c r="IQ60" s="572"/>
      <c r="IR60" s="572"/>
      <c r="IS60" s="572"/>
      <c r="IT60" s="572"/>
      <c r="IU60" s="572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572" t="s">
        <v>48</v>
      </c>
      <c r="JC60" s="572"/>
      <c r="JD60" s="572"/>
      <c r="JE60" s="572"/>
      <c r="JF60" s="572"/>
      <c r="JG60" s="572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572" t="s">
        <v>48</v>
      </c>
      <c r="KI60" s="572"/>
      <c r="KJ60" s="572"/>
      <c r="KK60" s="572"/>
      <c r="KL60" s="572"/>
      <c r="KM60" s="572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572" t="s">
        <v>48</v>
      </c>
      <c r="KW60" s="572"/>
      <c r="KX60" s="572"/>
      <c r="KY60" s="572"/>
      <c r="KZ60" s="572"/>
      <c r="LA60" s="572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572" t="s">
        <v>48</v>
      </c>
      <c r="LJ60" s="572"/>
      <c r="LK60" s="572"/>
      <c r="LL60" s="572"/>
      <c r="LM60" s="572"/>
      <c r="LN60" s="572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572" t="s">
        <v>48</v>
      </c>
      <c r="MI60" s="572"/>
      <c r="MJ60" s="572"/>
      <c r="MK60" s="572"/>
      <c r="ML60" s="572"/>
      <c r="MM60" s="572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572" t="s">
        <v>48</v>
      </c>
      <c r="NH60" s="572"/>
      <c r="NI60" s="572"/>
      <c r="NJ60" s="572"/>
      <c r="NK60" s="572"/>
      <c r="NL60" s="572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58"/>
      <c r="B61" s="12"/>
      <c r="C61" s="532" t="s">
        <v>40</v>
      </c>
      <c r="D61" s="532"/>
      <c r="E61" s="532"/>
      <c r="F61" s="532"/>
      <c r="G61" s="532"/>
      <c r="H61" s="532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532" t="s">
        <v>40</v>
      </c>
      <c r="Q61" s="532"/>
      <c r="R61" s="532"/>
      <c r="S61" s="532"/>
      <c r="T61" s="532"/>
      <c r="U61" s="532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532" t="s">
        <v>40</v>
      </c>
      <c r="AI61" s="532"/>
      <c r="AJ61" s="532"/>
      <c r="AK61" s="532"/>
      <c r="AL61" s="532"/>
      <c r="AM61" s="532"/>
      <c r="AN61" s="13"/>
      <c r="AO61" s="19"/>
      <c r="AP61" s="23">
        <f t="shared" si="12"/>
        <v>0</v>
      </c>
      <c r="AQ61" s="19">
        <f t="shared" si="13"/>
        <v>0</v>
      </c>
      <c r="AS61" s="532" t="s">
        <v>40</v>
      </c>
      <c r="AT61" s="532"/>
      <c r="AU61" s="532"/>
      <c r="AV61" s="532"/>
      <c r="AW61" s="532"/>
      <c r="AX61" s="532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532" t="s">
        <v>40</v>
      </c>
      <c r="BH61" s="532"/>
      <c r="BI61" s="532"/>
      <c r="BJ61" s="532"/>
      <c r="BK61" s="532"/>
      <c r="BL61" s="532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532" t="s">
        <v>40</v>
      </c>
      <c r="BT61" s="532"/>
      <c r="BU61" s="532"/>
      <c r="BV61" s="532"/>
      <c r="BW61" s="532"/>
      <c r="BX61" s="532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532" t="s">
        <v>40</v>
      </c>
      <c r="CM61" s="532"/>
      <c r="CN61" s="532"/>
      <c r="CO61" s="532"/>
      <c r="CP61" s="532"/>
      <c r="CQ61" s="532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532" t="s">
        <v>40</v>
      </c>
      <c r="DE61" s="532"/>
      <c r="DF61" s="532"/>
      <c r="DG61" s="532"/>
      <c r="DH61" s="532"/>
      <c r="DI61" s="532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532" t="s">
        <v>40</v>
      </c>
      <c r="DY61" s="532"/>
      <c r="DZ61" s="532"/>
      <c r="EA61" s="532"/>
      <c r="EB61" s="532"/>
      <c r="EC61" s="532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532" t="s">
        <v>40</v>
      </c>
      <c r="ES61" s="532"/>
      <c r="ET61" s="532"/>
      <c r="EU61" s="532"/>
      <c r="EV61" s="532"/>
      <c r="EW61" s="532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532" t="s">
        <v>40</v>
      </c>
      <c r="FX61" s="532"/>
      <c r="FY61" s="532"/>
      <c r="FZ61" s="532"/>
      <c r="GA61" s="532"/>
      <c r="GB61" s="532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532" t="s">
        <v>40</v>
      </c>
      <c r="GU61" s="532"/>
      <c r="GV61" s="532"/>
      <c r="GW61" s="532"/>
      <c r="GX61" s="532"/>
      <c r="GY61" s="532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532" t="s">
        <v>40</v>
      </c>
      <c r="HP61" s="532"/>
      <c r="HQ61" s="532"/>
      <c r="HR61" s="532"/>
      <c r="HS61" s="532"/>
      <c r="HT61" s="532"/>
      <c r="HU61" s="13"/>
      <c r="HV61" s="19"/>
      <c r="HW61" s="30">
        <f t="shared" si="44"/>
        <v>0</v>
      </c>
      <c r="HX61" s="28">
        <f t="shared" si="45"/>
        <v>0</v>
      </c>
      <c r="HZ61" s="532" t="s">
        <v>40</v>
      </c>
      <c r="IA61" s="532"/>
      <c r="IB61" s="532"/>
      <c r="IC61" s="532"/>
      <c r="ID61" s="532"/>
      <c r="IE61" s="532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532" t="s">
        <v>40</v>
      </c>
      <c r="IQ61" s="532"/>
      <c r="IR61" s="532"/>
      <c r="IS61" s="532"/>
      <c r="IT61" s="532"/>
      <c r="IU61" s="532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532" t="s">
        <v>40</v>
      </c>
      <c r="JC61" s="532"/>
      <c r="JD61" s="532"/>
      <c r="JE61" s="532"/>
      <c r="JF61" s="532"/>
      <c r="JG61" s="532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532" t="s">
        <v>40</v>
      </c>
      <c r="KI61" s="532"/>
      <c r="KJ61" s="532"/>
      <c r="KK61" s="532"/>
      <c r="KL61" s="532"/>
      <c r="KM61" s="532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532" t="s">
        <v>40</v>
      </c>
      <c r="KW61" s="532"/>
      <c r="KX61" s="532"/>
      <c r="KY61" s="532"/>
      <c r="KZ61" s="532"/>
      <c r="LA61" s="532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532" t="s">
        <v>40</v>
      </c>
      <c r="LJ61" s="532"/>
      <c r="LK61" s="532"/>
      <c r="LL61" s="532"/>
      <c r="LM61" s="532"/>
      <c r="LN61" s="532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532" t="s">
        <v>40</v>
      </c>
      <c r="MI61" s="532"/>
      <c r="MJ61" s="532"/>
      <c r="MK61" s="532"/>
      <c r="ML61" s="532"/>
      <c r="MM61" s="532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532" t="s">
        <v>40</v>
      </c>
      <c r="NH61" s="532"/>
      <c r="NI61" s="532"/>
      <c r="NJ61" s="532"/>
      <c r="NK61" s="532"/>
      <c r="NL61" s="532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58"/>
      <c r="B62" s="12"/>
      <c r="C62" s="532" t="s">
        <v>41</v>
      </c>
      <c r="D62" s="532"/>
      <c r="E62" s="532"/>
      <c r="F62" s="532"/>
      <c r="G62" s="532"/>
      <c r="H62" s="532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532" t="s">
        <v>41</v>
      </c>
      <c r="Q62" s="532"/>
      <c r="R62" s="532"/>
      <c r="S62" s="532"/>
      <c r="T62" s="532"/>
      <c r="U62" s="532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532" t="s">
        <v>41</v>
      </c>
      <c r="AI62" s="532"/>
      <c r="AJ62" s="532"/>
      <c r="AK62" s="532"/>
      <c r="AL62" s="532"/>
      <c r="AM62" s="532"/>
      <c r="AN62" s="13"/>
      <c r="AO62" s="19"/>
      <c r="AP62" s="23">
        <f t="shared" si="12"/>
        <v>0</v>
      </c>
      <c r="AQ62" s="19">
        <f t="shared" si="13"/>
        <v>0</v>
      </c>
      <c r="AS62" s="572" t="s">
        <v>41</v>
      </c>
      <c r="AT62" s="572"/>
      <c r="AU62" s="572"/>
      <c r="AV62" s="572"/>
      <c r="AW62" s="572"/>
      <c r="AX62" s="572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572" t="s">
        <v>41</v>
      </c>
      <c r="BH62" s="572"/>
      <c r="BI62" s="572"/>
      <c r="BJ62" s="572"/>
      <c r="BK62" s="572"/>
      <c r="BL62" s="572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572" t="s">
        <v>41</v>
      </c>
      <c r="BT62" s="572"/>
      <c r="BU62" s="572"/>
      <c r="BV62" s="572"/>
      <c r="BW62" s="572"/>
      <c r="BX62" s="572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572" t="s">
        <v>41</v>
      </c>
      <c r="CM62" s="572"/>
      <c r="CN62" s="572"/>
      <c r="CO62" s="572"/>
      <c r="CP62" s="572"/>
      <c r="CQ62" s="572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572" t="s">
        <v>41</v>
      </c>
      <c r="DE62" s="572"/>
      <c r="DF62" s="572"/>
      <c r="DG62" s="572"/>
      <c r="DH62" s="572"/>
      <c r="DI62" s="572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572" t="s">
        <v>41</v>
      </c>
      <c r="DY62" s="572"/>
      <c r="DZ62" s="572"/>
      <c r="EA62" s="572"/>
      <c r="EB62" s="572"/>
      <c r="EC62" s="572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572" t="s">
        <v>41</v>
      </c>
      <c r="ES62" s="572"/>
      <c r="ET62" s="572"/>
      <c r="EU62" s="572"/>
      <c r="EV62" s="572"/>
      <c r="EW62" s="572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572" t="s">
        <v>41</v>
      </c>
      <c r="FX62" s="572"/>
      <c r="FY62" s="572"/>
      <c r="FZ62" s="572"/>
      <c r="GA62" s="572"/>
      <c r="GB62" s="572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572" t="s">
        <v>41</v>
      </c>
      <c r="GU62" s="572"/>
      <c r="GV62" s="572"/>
      <c r="GW62" s="572"/>
      <c r="GX62" s="572"/>
      <c r="GY62" s="572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572" t="s">
        <v>41</v>
      </c>
      <c r="HP62" s="572"/>
      <c r="HQ62" s="572"/>
      <c r="HR62" s="572"/>
      <c r="HS62" s="572"/>
      <c r="HT62" s="572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572" t="s">
        <v>41</v>
      </c>
      <c r="IA62" s="572"/>
      <c r="IB62" s="572"/>
      <c r="IC62" s="572"/>
      <c r="ID62" s="572"/>
      <c r="IE62" s="572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572" t="s">
        <v>41</v>
      </c>
      <c r="IQ62" s="572"/>
      <c r="IR62" s="572"/>
      <c r="IS62" s="572"/>
      <c r="IT62" s="572"/>
      <c r="IU62" s="572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572" t="s">
        <v>41</v>
      </c>
      <c r="JC62" s="572"/>
      <c r="JD62" s="572"/>
      <c r="JE62" s="572"/>
      <c r="JF62" s="572"/>
      <c r="JG62" s="572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572" t="s">
        <v>41</v>
      </c>
      <c r="KI62" s="572"/>
      <c r="KJ62" s="572"/>
      <c r="KK62" s="572"/>
      <c r="KL62" s="572"/>
      <c r="KM62" s="572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572" t="s">
        <v>41</v>
      </c>
      <c r="KW62" s="572"/>
      <c r="KX62" s="572"/>
      <c r="KY62" s="572"/>
      <c r="KZ62" s="572"/>
      <c r="LA62" s="572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572" t="s">
        <v>41</v>
      </c>
      <c r="LJ62" s="572"/>
      <c r="LK62" s="572"/>
      <c r="LL62" s="572"/>
      <c r="LM62" s="572"/>
      <c r="LN62" s="572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572" t="s">
        <v>41</v>
      </c>
      <c r="MI62" s="572"/>
      <c r="MJ62" s="572"/>
      <c r="MK62" s="572"/>
      <c r="ML62" s="572"/>
      <c r="MM62" s="572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572" t="s">
        <v>41</v>
      </c>
      <c r="NH62" s="572"/>
      <c r="NI62" s="572"/>
      <c r="NJ62" s="572"/>
      <c r="NK62" s="572"/>
      <c r="NL62" s="572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58"/>
      <c r="B63" s="12"/>
      <c r="C63" s="532" t="s">
        <v>42</v>
      </c>
      <c r="D63" s="532"/>
      <c r="E63" s="532"/>
      <c r="F63" s="532"/>
      <c r="G63" s="532"/>
      <c r="H63" s="532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532" t="s">
        <v>42</v>
      </c>
      <c r="Q63" s="532"/>
      <c r="R63" s="532"/>
      <c r="S63" s="532"/>
      <c r="T63" s="532"/>
      <c r="U63" s="532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532" t="s">
        <v>42</v>
      </c>
      <c r="AI63" s="532"/>
      <c r="AJ63" s="532"/>
      <c r="AK63" s="532"/>
      <c r="AL63" s="532"/>
      <c r="AM63" s="532"/>
      <c r="AN63" s="13"/>
      <c r="AO63" s="19"/>
      <c r="AP63" s="23">
        <f t="shared" si="12"/>
        <v>0</v>
      </c>
      <c r="AQ63" s="19">
        <f t="shared" si="13"/>
        <v>0</v>
      </c>
      <c r="AS63" s="532" t="s">
        <v>42</v>
      </c>
      <c r="AT63" s="532"/>
      <c r="AU63" s="532"/>
      <c r="AV63" s="532"/>
      <c r="AW63" s="532"/>
      <c r="AX63" s="532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532" t="s">
        <v>42</v>
      </c>
      <c r="BH63" s="532"/>
      <c r="BI63" s="532"/>
      <c r="BJ63" s="532"/>
      <c r="BK63" s="532"/>
      <c r="BL63" s="532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532" t="s">
        <v>42</v>
      </c>
      <c r="BT63" s="532"/>
      <c r="BU63" s="532"/>
      <c r="BV63" s="532"/>
      <c r="BW63" s="532"/>
      <c r="BX63" s="532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532" t="s">
        <v>42</v>
      </c>
      <c r="CM63" s="532"/>
      <c r="CN63" s="532"/>
      <c r="CO63" s="532"/>
      <c r="CP63" s="532"/>
      <c r="CQ63" s="532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532" t="s">
        <v>42</v>
      </c>
      <c r="DE63" s="532"/>
      <c r="DF63" s="532"/>
      <c r="DG63" s="532"/>
      <c r="DH63" s="532"/>
      <c r="DI63" s="532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532" t="s">
        <v>42</v>
      </c>
      <c r="DY63" s="532"/>
      <c r="DZ63" s="532"/>
      <c r="EA63" s="532"/>
      <c r="EB63" s="532"/>
      <c r="EC63" s="532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532" t="s">
        <v>42</v>
      </c>
      <c r="ES63" s="532"/>
      <c r="ET63" s="532"/>
      <c r="EU63" s="532"/>
      <c r="EV63" s="532"/>
      <c r="EW63" s="532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532" t="s">
        <v>42</v>
      </c>
      <c r="FX63" s="532"/>
      <c r="FY63" s="532"/>
      <c r="FZ63" s="532"/>
      <c r="GA63" s="532"/>
      <c r="GB63" s="532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532" t="s">
        <v>42</v>
      </c>
      <c r="GU63" s="532"/>
      <c r="GV63" s="532"/>
      <c r="GW63" s="532"/>
      <c r="GX63" s="532"/>
      <c r="GY63" s="532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532" t="s">
        <v>42</v>
      </c>
      <c r="HP63" s="532"/>
      <c r="HQ63" s="532"/>
      <c r="HR63" s="532"/>
      <c r="HS63" s="532"/>
      <c r="HT63" s="532"/>
      <c r="HU63" s="13">
        <v>6</v>
      </c>
      <c r="HV63" s="19"/>
      <c r="HW63" s="30">
        <f t="shared" si="44"/>
        <v>0</v>
      </c>
      <c r="HX63" s="28">
        <f t="shared" si="45"/>
        <v>0</v>
      </c>
      <c r="HZ63" s="532" t="s">
        <v>42</v>
      </c>
      <c r="IA63" s="532"/>
      <c r="IB63" s="532"/>
      <c r="IC63" s="532"/>
      <c r="ID63" s="532"/>
      <c r="IE63" s="532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532" t="s">
        <v>42</v>
      </c>
      <c r="IQ63" s="532"/>
      <c r="IR63" s="532"/>
      <c r="IS63" s="532"/>
      <c r="IT63" s="532"/>
      <c r="IU63" s="532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532" t="s">
        <v>42</v>
      </c>
      <c r="JC63" s="532"/>
      <c r="JD63" s="532"/>
      <c r="JE63" s="532"/>
      <c r="JF63" s="532"/>
      <c r="JG63" s="532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532" t="s">
        <v>42</v>
      </c>
      <c r="KI63" s="532"/>
      <c r="KJ63" s="532"/>
      <c r="KK63" s="532"/>
      <c r="KL63" s="532"/>
      <c r="KM63" s="532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532" t="s">
        <v>42</v>
      </c>
      <c r="KW63" s="532"/>
      <c r="KX63" s="532"/>
      <c r="KY63" s="532"/>
      <c r="KZ63" s="532"/>
      <c r="LA63" s="532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532" t="s">
        <v>42</v>
      </c>
      <c r="LJ63" s="532"/>
      <c r="LK63" s="532"/>
      <c r="LL63" s="532"/>
      <c r="LM63" s="532"/>
      <c r="LN63" s="532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532" t="s">
        <v>42</v>
      </c>
      <c r="MI63" s="532"/>
      <c r="MJ63" s="532"/>
      <c r="MK63" s="532"/>
      <c r="ML63" s="532"/>
      <c r="MM63" s="532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532" t="s">
        <v>42</v>
      </c>
      <c r="NH63" s="532"/>
      <c r="NI63" s="532"/>
      <c r="NJ63" s="532"/>
      <c r="NK63" s="532"/>
      <c r="NL63" s="532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58"/>
      <c r="B64" s="12"/>
      <c r="C64" s="532" t="s">
        <v>45</v>
      </c>
      <c r="D64" s="532"/>
      <c r="E64" s="532"/>
      <c r="F64" s="532"/>
      <c r="G64" s="532"/>
      <c r="H64" s="532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532" t="s">
        <v>45</v>
      </c>
      <c r="Q64" s="532"/>
      <c r="R64" s="532"/>
      <c r="S64" s="532"/>
      <c r="T64" s="532"/>
      <c r="U64" s="532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532" t="s">
        <v>45</v>
      </c>
      <c r="AI64" s="532"/>
      <c r="AJ64" s="532"/>
      <c r="AK64" s="532"/>
      <c r="AL64" s="532"/>
      <c r="AM64" s="532"/>
      <c r="AN64" s="13"/>
      <c r="AO64" s="19"/>
      <c r="AP64" s="23">
        <f t="shared" si="12"/>
        <v>0</v>
      </c>
      <c r="AQ64" s="19">
        <f t="shared" si="13"/>
        <v>0</v>
      </c>
      <c r="AS64" s="572" t="s">
        <v>45</v>
      </c>
      <c r="AT64" s="572"/>
      <c r="AU64" s="572"/>
      <c r="AV64" s="572"/>
      <c r="AW64" s="572"/>
      <c r="AX64" s="572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572" t="s">
        <v>45</v>
      </c>
      <c r="BH64" s="572"/>
      <c r="BI64" s="572"/>
      <c r="BJ64" s="572"/>
      <c r="BK64" s="572"/>
      <c r="BL64" s="572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572" t="s">
        <v>45</v>
      </c>
      <c r="BT64" s="572"/>
      <c r="BU64" s="572"/>
      <c r="BV64" s="572"/>
      <c r="BW64" s="572"/>
      <c r="BX64" s="572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572" t="s">
        <v>45</v>
      </c>
      <c r="CM64" s="572"/>
      <c r="CN64" s="572"/>
      <c r="CO64" s="572"/>
      <c r="CP64" s="572"/>
      <c r="CQ64" s="572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572" t="s">
        <v>45</v>
      </c>
      <c r="DE64" s="572"/>
      <c r="DF64" s="572"/>
      <c r="DG64" s="572"/>
      <c r="DH64" s="572"/>
      <c r="DI64" s="572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572" t="s">
        <v>45</v>
      </c>
      <c r="DY64" s="572"/>
      <c r="DZ64" s="572"/>
      <c r="EA64" s="572"/>
      <c r="EB64" s="572"/>
      <c r="EC64" s="572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572" t="s">
        <v>45</v>
      </c>
      <c r="ES64" s="572"/>
      <c r="ET64" s="572"/>
      <c r="EU64" s="572"/>
      <c r="EV64" s="572"/>
      <c r="EW64" s="572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572" t="s">
        <v>45</v>
      </c>
      <c r="FX64" s="572"/>
      <c r="FY64" s="572"/>
      <c r="FZ64" s="572"/>
      <c r="GA64" s="572"/>
      <c r="GB64" s="572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572" t="s">
        <v>45</v>
      </c>
      <c r="GU64" s="572"/>
      <c r="GV64" s="572"/>
      <c r="GW64" s="572"/>
      <c r="GX64" s="572"/>
      <c r="GY64" s="572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572" t="s">
        <v>45</v>
      </c>
      <c r="HP64" s="572"/>
      <c r="HQ64" s="572"/>
      <c r="HR64" s="572"/>
      <c r="HS64" s="572"/>
      <c r="HT64" s="572"/>
      <c r="HU64" s="28"/>
      <c r="HV64" s="28"/>
      <c r="HW64" s="30">
        <f t="shared" si="44"/>
        <v>0</v>
      </c>
      <c r="HX64" s="28">
        <f t="shared" si="45"/>
        <v>0</v>
      </c>
      <c r="HZ64" s="572" t="s">
        <v>45</v>
      </c>
      <c r="IA64" s="572"/>
      <c r="IB64" s="572"/>
      <c r="IC64" s="572"/>
      <c r="ID64" s="572"/>
      <c r="IE64" s="572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572" t="s">
        <v>45</v>
      </c>
      <c r="IQ64" s="572"/>
      <c r="IR64" s="572"/>
      <c r="IS64" s="572"/>
      <c r="IT64" s="572"/>
      <c r="IU64" s="572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572" t="s">
        <v>45</v>
      </c>
      <c r="JC64" s="572"/>
      <c r="JD64" s="572"/>
      <c r="JE64" s="572"/>
      <c r="JF64" s="572"/>
      <c r="JG64" s="572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572" t="s">
        <v>45</v>
      </c>
      <c r="KI64" s="572"/>
      <c r="KJ64" s="572"/>
      <c r="KK64" s="572"/>
      <c r="KL64" s="572"/>
      <c r="KM64" s="572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572" t="s">
        <v>45</v>
      </c>
      <c r="KW64" s="572"/>
      <c r="KX64" s="572"/>
      <c r="KY64" s="572"/>
      <c r="KZ64" s="572"/>
      <c r="LA64" s="572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572" t="s">
        <v>45</v>
      </c>
      <c r="LJ64" s="572"/>
      <c r="LK64" s="572"/>
      <c r="LL64" s="572"/>
      <c r="LM64" s="572"/>
      <c r="LN64" s="572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572" t="s">
        <v>45</v>
      </c>
      <c r="MI64" s="572"/>
      <c r="MJ64" s="572"/>
      <c r="MK64" s="572"/>
      <c r="ML64" s="572"/>
      <c r="MM64" s="572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572" t="s">
        <v>45</v>
      </c>
      <c r="NH64" s="572"/>
      <c r="NI64" s="572"/>
      <c r="NJ64" s="572"/>
      <c r="NK64" s="572"/>
      <c r="NL64" s="572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58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572" t="s">
        <v>163</v>
      </c>
      <c r="ES65" s="572"/>
      <c r="ET65" s="572"/>
      <c r="EU65" s="572"/>
      <c r="EV65" s="572"/>
      <c r="EW65" s="572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572" t="s">
        <v>163</v>
      </c>
      <c r="FX65" s="572"/>
      <c r="FY65" s="572"/>
      <c r="FZ65" s="572"/>
      <c r="GA65" s="572"/>
      <c r="GB65" s="572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572" t="s">
        <v>163</v>
      </c>
      <c r="GU65" s="572"/>
      <c r="GV65" s="572"/>
      <c r="GW65" s="572"/>
      <c r="GX65" s="572"/>
      <c r="GY65" s="572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572" t="s">
        <v>163</v>
      </c>
      <c r="HP65" s="572"/>
      <c r="HQ65" s="572"/>
      <c r="HR65" s="572"/>
      <c r="HS65" s="572"/>
      <c r="HT65" s="572"/>
      <c r="HU65" s="28"/>
      <c r="HV65" s="28"/>
      <c r="HW65" s="30">
        <f t="shared" si="44"/>
        <v>0</v>
      </c>
      <c r="HX65" s="28">
        <f t="shared" si="45"/>
        <v>0</v>
      </c>
      <c r="HZ65" s="572" t="s">
        <v>163</v>
      </c>
      <c r="IA65" s="572"/>
      <c r="IB65" s="572"/>
      <c r="IC65" s="572"/>
      <c r="ID65" s="572"/>
      <c r="IE65" s="572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572" t="s">
        <v>163</v>
      </c>
      <c r="IQ65" s="572"/>
      <c r="IR65" s="572"/>
      <c r="IS65" s="572"/>
      <c r="IT65" s="572"/>
      <c r="IU65" s="572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572" t="s">
        <v>163</v>
      </c>
      <c r="JC65" s="572"/>
      <c r="JD65" s="572"/>
      <c r="JE65" s="572"/>
      <c r="JF65" s="572"/>
      <c r="JG65" s="572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572" t="s">
        <v>163</v>
      </c>
      <c r="KI65" s="572"/>
      <c r="KJ65" s="572"/>
      <c r="KK65" s="572"/>
      <c r="KL65" s="572"/>
      <c r="KM65" s="572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572" t="s">
        <v>163</v>
      </c>
      <c r="KW65" s="572"/>
      <c r="KX65" s="572"/>
      <c r="KY65" s="572"/>
      <c r="KZ65" s="572"/>
      <c r="LA65" s="572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572" t="s">
        <v>163</v>
      </c>
      <c r="LJ65" s="572"/>
      <c r="LK65" s="572"/>
      <c r="LL65" s="572"/>
      <c r="LM65" s="572"/>
      <c r="LN65" s="572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572" t="s">
        <v>163</v>
      </c>
      <c r="MI65" s="572"/>
      <c r="MJ65" s="572"/>
      <c r="MK65" s="572"/>
      <c r="ML65" s="572"/>
      <c r="MM65" s="572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572" t="s">
        <v>163</v>
      </c>
      <c r="NH65" s="572"/>
      <c r="NI65" s="572"/>
      <c r="NJ65" s="572"/>
      <c r="NK65" s="572"/>
      <c r="NL65" s="572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58"/>
      <c r="B66" s="12"/>
      <c r="C66" s="532" t="s">
        <v>43</v>
      </c>
      <c r="D66" s="532"/>
      <c r="E66" s="532"/>
      <c r="F66" s="532"/>
      <c r="G66" s="532"/>
      <c r="H66" s="532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532" t="s">
        <v>43</v>
      </c>
      <c r="Q66" s="532"/>
      <c r="R66" s="532"/>
      <c r="S66" s="532"/>
      <c r="T66" s="532"/>
      <c r="U66" s="532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532" t="s">
        <v>43</v>
      </c>
      <c r="AI66" s="532"/>
      <c r="AJ66" s="532"/>
      <c r="AK66" s="532"/>
      <c r="AL66" s="532"/>
      <c r="AM66" s="532"/>
      <c r="AN66" s="13"/>
      <c r="AO66" s="19"/>
      <c r="AP66" s="23">
        <f t="shared" si="12"/>
        <v>0</v>
      </c>
      <c r="AQ66" s="19">
        <f t="shared" si="13"/>
        <v>0</v>
      </c>
      <c r="AS66" s="532" t="s">
        <v>43</v>
      </c>
      <c r="AT66" s="532"/>
      <c r="AU66" s="532"/>
      <c r="AV66" s="532"/>
      <c r="AW66" s="532"/>
      <c r="AX66" s="532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532" t="s">
        <v>43</v>
      </c>
      <c r="BH66" s="532"/>
      <c r="BI66" s="532"/>
      <c r="BJ66" s="532"/>
      <c r="BK66" s="532"/>
      <c r="BL66" s="532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532" t="s">
        <v>43</v>
      </c>
      <c r="BT66" s="532"/>
      <c r="BU66" s="532"/>
      <c r="BV66" s="532"/>
      <c r="BW66" s="532"/>
      <c r="BX66" s="532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532" t="s">
        <v>43</v>
      </c>
      <c r="CM66" s="532"/>
      <c r="CN66" s="532"/>
      <c r="CO66" s="532"/>
      <c r="CP66" s="532"/>
      <c r="CQ66" s="532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532" t="s">
        <v>43</v>
      </c>
      <c r="DE66" s="532"/>
      <c r="DF66" s="532"/>
      <c r="DG66" s="532"/>
      <c r="DH66" s="532"/>
      <c r="DI66" s="532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532" t="s">
        <v>43</v>
      </c>
      <c r="DY66" s="532"/>
      <c r="DZ66" s="532"/>
      <c r="EA66" s="532"/>
      <c r="EB66" s="532"/>
      <c r="EC66" s="532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532" t="s">
        <v>43</v>
      </c>
      <c r="ES66" s="532"/>
      <c r="ET66" s="532"/>
      <c r="EU66" s="532"/>
      <c r="EV66" s="532"/>
      <c r="EW66" s="532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532" t="s">
        <v>43</v>
      </c>
      <c r="FX66" s="532"/>
      <c r="FY66" s="532"/>
      <c r="FZ66" s="532"/>
      <c r="GA66" s="532"/>
      <c r="GB66" s="532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532" t="s">
        <v>43</v>
      </c>
      <c r="GU66" s="532"/>
      <c r="GV66" s="532"/>
      <c r="GW66" s="532"/>
      <c r="GX66" s="532"/>
      <c r="GY66" s="532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532" t="s">
        <v>43</v>
      </c>
      <c r="HP66" s="532"/>
      <c r="HQ66" s="532"/>
      <c r="HR66" s="532"/>
      <c r="HS66" s="532"/>
      <c r="HT66" s="532"/>
      <c r="HU66" s="13">
        <v>6</v>
      </c>
      <c r="HV66" s="19"/>
      <c r="HW66" s="30">
        <f t="shared" si="44"/>
        <v>0</v>
      </c>
      <c r="HX66" s="28">
        <f t="shared" si="45"/>
        <v>0</v>
      </c>
      <c r="HZ66" s="532" t="s">
        <v>43</v>
      </c>
      <c r="IA66" s="532"/>
      <c r="IB66" s="532"/>
      <c r="IC66" s="532"/>
      <c r="ID66" s="532"/>
      <c r="IE66" s="532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532" t="s">
        <v>43</v>
      </c>
      <c r="IQ66" s="532"/>
      <c r="IR66" s="532"/>
      <c r="IS66" s="532"/>
      <c r="IT66" s="532"/>
      <c r="IU66" s="532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532" t="s">
        <v>43</v>
      </c>
      <c r="JC66" s="532"/>
      <c r="JD66" s="532"/>
      <c r="JE66" s="532"/>
      <c r="JF66" s="532"/>
      <c r="JG66" s="532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532" t="s">
        <v>43</v>
      </c>
      <c r="KI66" s="532"/>
      <c r="KJ66" s="532"/>
      <c r="KK66" s="532"/>
      <c r="KL66" s="532"/>
      <c r="KM66" s="532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532" t="s">
        <v>43</v>
      </c>
      <c r="KW66" s="532"/>
      <c r="KX66" s="532"/>
      <c r="KY66" s="532"/>
      <c r="KZ66" s="532"/>
      <c r="LA66" s="532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532" t="s">
        <v>43</v>
      </c>
      <c r="LJ66" s="532"/>
      <c r="LK66" s="532"/>
      <c r="LL66" s="532"/>
      <c r="LM66" s="532"/>
      <c r="LN66" s="532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532" t="s">
        <v>43</v>
      </c>
      <c r="MI66" s="532"/>
      <c r="MJ66" s="532"/>
      <c r="MK66" s="532"/>
      <c r="ML66" s="532"/>
      <c r="MM66" s="532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532" t="s">
        <v>43</v>
      </c>
      <c r="NH66" s="532"/>
      <c r="NI66" s="532"/>
      <c r="NJ66" s="532"/>
      <c r="NK66" s="532"/>
      <c r="NL66" s="532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58"/>
      <c r="B67" s="12"/>
      <c r="C67" s="532" t="s">
        <v>46</v>
      </c>
      <c r="D67" s="532"/>
      <c r="E67" s="532"/>
      <c r="F67" s="532"/>
      <c r="G67" s="532"/>
      <c r="H67" s="532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532" t="s">
        <v>46</v>
      </c>
      <c r="Q67" s="532"/>
      <c r="R67" s="532"/>
      <c r="S67" s="532"/>
      <c r="T67" s="532"/>
      <c r="U67" s="532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532" t="s">
        <v>46</v>
      </c>
      <c r="AI67" s="532"/>
      <c r="AJ67" s="532"/>
      <c r="AK67" s="532"/>
      <c r="AL67" s="532"/>
      <c r="AM67" s="532"/>
      <c r="AN67" s="13"/>
      <c r="AO67" s="19"/>
      <c r="AP67" s="23">
        <f t="shared" si="12"/>
        <v>0</v>
      </c>
      <c r="AQ67" s="19">
        <f t="shared" si="13"/>
        <v>0</v>
      </c>
      <c r="AS67" s="572" t="s">
        <v>46</v>
      </c>
      <c r="AT67" s="572"/>
      <c r="AU67" s="572"/>
      <c r="AV67" s="572"/>
      <c r="AW67" s="572"/>
      <c r="AX67" s="572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572" t="s">
        <v>46</v>
      </c>
      <c r="BH67" s="572"/>
      <c r="BI67" s="572"/>
      <c r="BJ67" s="572"/>
      <c r="BK67" s="572"/>
      <c r="BL67" s="572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572" t="s">
        <v>46</v>
      </c>
      <c r="BT67" s="572"/>
      <c r="BU67" s="572"/>
      <c r="BV67" s="572"/>
      <c r="BW67" s="572"/>
      <c r="BX67" s="572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572" t="s">
        <v>46</v>
      </c>
      <c r="CM67" s="572"/>
      <c r="CN67" s="572"/>
      <c r="CO67" s="572"/>
      <c r="CP67" s="572"/>
      <c r="CQ67" s="572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572" t="s">
        <v>46</v>
      </c>
      <c r="DE67" s="572"/>
      <c r="DF67" s="572"/>
      <c r="DG67" s="572"/>
      <c r="DH67" s="572"/>
      <c r="DI67" s="572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572" t="s">
        <v>46</v>
      </c>
      <c r="DY67" s="572"/>
      <c r="DZ67" s="572"/>
      <c r="EA67" s="572"/>
      <c r="EB67" s="572"/>
      <c r="EC67" s="572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572" t="s">
        <v>46</v>
      </c>
      <c r="ES67" s="572"/>
      <c r="ET67" s="572"/>
      <c r="EU67" s="572"/>
      <c r="EV67" s="572"/>
      <c r="EW67" s="572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572" t="s">
        <v>46</v>
      </c>
      <c r="FX67" s="572"/>
      <c r="FY67" s="572"/>
      <c r="FZ67" s="572"/>
      <c r="GA67" s="572"/>
      <c r="GB67" s="572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572" t="s">
        <v>46</v>
      </c>
      <c r="GU67" s="572"/>
      <c r="GV67" s="572"/>
      <c r="GW67" s="572"/>
      <c r="GX67" s="572"/>
      <c r="GY67" s="572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572" t="s">
        <v>46</v>
      </c>
      <c r="HP67" s="572"/>
      <c r="HQ67" s="572"/>
      <c r="HR67" s="572"/>
      <c r="HS67" s="572"/>
      <c r="HT67" s="572"/>
      <c r="HU67" s="28"/>
      <c r="HV67" s="28"/>
      <c r="HW67" s="30">
        <f t="shared" si="44"/>
        <v>0</v>
      </c>
      <c r="HX67" s="28">
        <f t="shared" si="45"/>
        <v>0</v>
      </c>
      <c r="HZ67" s="572" t="s">
        <v>46</v>
      </c>
      <c r="IA67" s="572"/>
      <c r="IB67" s="572"/>
      <c r="IC67" s="572"/>
      <c r="ID67" s="572"/>
      <c r="IE67" s="572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572" t="s">
        <v>46</v>
      </c>
      <c r="IQ67" s="572"/>
      <c r="IR67" s="572"/>
      <c r="IS67" s="572"/>
      <c r="IT67" s="572"/>
      <c r="IU67" s="572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572" t="s">
        <v>46</v>
      </c>
      <c r="JC67" s="572"/>
      <c r="JD67" s="572"/>
      <c r="JE67" s="572"/>
      <c r="JF67" s="572"/>
      <c r="JG67" s="572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572" t="s">
        <v>46</v>
      </c>
      <c r="KI67" s="572"/>
      <c r="KJ67" s="572"/>
      <c r="KK67" s="572"/>
      <c r="KL67" s="572"/>
      <c r="KM67" s="572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572" t="s">
        <v>46</v>
      </c>
      <c r="KW67" s="572"/>
      <c r="KX67" s="572"/>
      <c r="KY67" s="572"/>
      <c r="KZ67" s="572"/>
      <c r="LA67" s="572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572" t="s">
        <v>46</v>
      </c>
      <c r="LJ67" s="572"/>
      <c r="LK67" s="572"/>
      <c r="LL67" s="572"/>
      <c r="LM67" s="572"/>
      <c r="LN67" s="572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572" t="s">
        <v>46</v>
      </c>
      <c r="MI67" s="572"/>
      <c r="MJ67" s="572"/>
      <c r="MK67" s="572"/>
      <c r="ML67" s="572"/>
      <c r="MM67" s="572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572" t="s">
        <v>46</v>
      </c>
      <c r="NH67" s="572"/>
      <c r="NI67" s="572"/>
      <c r="NJ67" s="572"/>
      <c r="NK67" s="572"/>
      <c r="NL67" s="572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58"/>
      <c r="B68" s="12"/>
      <c r="C68" s="532" t="s">
        <v>44</v>
      </c>
      <c r="D68" s="532"/>
      <c r="E68" s="532"/>
      <c r="F68" s="532"/>
      <c r="G68" s="532"/>
      <c r="H68" s="532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532" t="s">
        <v>44</v>
      </c>
      <c r="Q68" s="532"/>
      <c r="R68" s="532"/>
      <c r="S68" s="532"/>
      <c r="T68" s="532"/>
      <c r="U68" s="532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532" t="s">
        <v>44</v>
      </c>
      <c r="AI68" s="532"/>
      <c r="AJ68" s="532"/>
      <c r="AK68" s="532"/>
      <c r="AL68" s="532"/>
      <c r="AM68" s="532"/>
      <c r="AN68" s="13"/>
      <c r="AO68" s="19"/>
      <c r="AP68" s="23">
        <f t="shared" si="12"/>
        <v>0</v>
      </c>
      <c r="AQ68" s="19">
        <f t="shared" si="13"/>
        <v>0</v>
      </c>
      <c r="AS68" s="532" t="s">
        <v>44</v>
      </c>
      <c r="AT68" s="532"/>
      <c r="AU68" s="532"/>
      <c r="AV68" s="532"/>
      <c r="AW68" s="532"/>
      <c r="AX68" s="532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532" t="s">
        <v>44</v>
      </c>
      <c r="BH68" s="532"/>
      <c r="BI68" s="532"/>
      <c r="BJ68" s="532"/>
      <c r="BK68" s="532"/>
      <c r="BL68" s="532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532" t="s">
        <v>44</v>
      </c>
      <c r="BT68" s="532"/>
      <c r="BU68" s="532"/>
      <c r="BV68" s="532"/>
      <c r="BW68" s="532"/>
      <c r="BX68" s="532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532" t="s">
        <v>44</v>
      </c>
      <c r="CM68" s="532"/>
      <c r="CN68" s="532"/>
      <c r="CO68" s="532"/>
      <c r="CP68" s="532"/>
      <c r="CQ68" s="532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532" t="s">
        <v>44</v>
      </c>
      <c r="DE68" s="532"/>
      <c r="DF68" s="532"/>
      <c r="DG68" s="532"/>
      <c r="DH68" s="532"/>
      <c r="DI68" s="532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532" t="s">
        <v>44</v>
      </c>
      <c r="DY68" s="532"/>
      <c r="DZ68" s="532"/>
      <c r="EA68" s="532"/>
      <c r="EB68" s="532"/>
      <c r="EC68" s="532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532" t="s">
        <v>44</v>
      </c>
      <c r="ES68" s="532"/>
      <c r="ET68" s="532"/>
      <c r="EU68" s="532"/>
      <c r="EV68" s="532"/>
      <c r="EW68" s="532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532" t="s">
        <v>44</v>
      </c>
      <c r="FX68" s="532"/>
      <c r="FY68" s="532"/>
      <c r="FZ68" s="532"/>
      <c r="GA68" s="532"/>
      <c r="GB68" s="532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532" t="s">
        <v>44</v>
      </c>
      <c r="GU68" s="532"/>
      <c r="GV68" s="532"/>
      <c r="GW68" s="532"/>
      <c r="GX68" s="532"/>
      <c r="GY68" s="532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532" t="s">
        <v>44</v>
      </c>
      <c r="HP68" s="532"/>
      <c r="HQ68" s="532"/>
      <c r="HR68" s="532"/>
      <c r="HS68" s="532"/>
      <c r="HT68" s="532"/>
      <c r="HU68" s="13">
        <v>6</v>
      </c>
      <c r="HV68" s="19"/>
      <c r="HW68" s="30">
        <f t="shared" si="44"/>
        <v>0</v>
      </c>
      <c r="HX68" s="28">
        <f t="shared" si="45"/>
        <v>0</v>
      </c>
      <c r="HZ68" s="532" t="s">
        <v>286</v>
      </c>
      <c r="IA68" s="532"/>
      <c r="IB68" s="532"/>
      <c r="IC68" s="532"/>
      <c r="ID68" s="532"/>
      <c r="IE68" s="532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532" t="s">
        <v>286</v>
      </c>
      <c r="IQ68" s="532"/>
      <c r="IR68" s="532"/>
      <c r="IS68" s="532"/>
      <c r="IT68" s="532"/>
      <c r="IU68" s="532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532" t="s">
        <v>286</v>
      </c>
      <c r="JC68" s="532"/>
      <c r="JD68" s="532"/>
      <c r="JE68" s="532"/>
      <c r="JF68" s="532"/>
      <c r="JG68" s="532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532" t="s">
        <v>286</v>
      </c>
      <c r="KI68" s="532"/>
      <c r="KJ68" s="532"/>
      <c r="KK68" s="532"/>
      <c r="KL68" s="532"/>
      <c r="KM68" s="532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532" t="s">
        <v>286</v>
      </c>
      <c r="KW68" s="532"/>
      <c r="KX68" s="532"/>
      <c r="KY68" s="532"/>
      <c r="KZ68" s="532"/>
      <c r="LA68" s="532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532" t="s">
        <v>286</v>
      </c>
      <c r="LJ68" s="532"/>
      <c r="LK68" s="532"/>
      <c r="LL68" s="532"/>
      <c r="LM68" s="532"/>
      <c r="LN68" s="532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532" t="s">
        <v>286</v>
      </c>
      <c r="MI68" s="532"/>
      <c r="MJ68" s="532"/>
      <c r="MK68" s="532"/>
      <c r="ML68" s="532"/>
      <c r="MM68" s="532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532" t="s">
        <v>286</v>
      </c>
      <c r="NH68" s="532"/>
      <c r="NI68" s="532"/>
      <c r="NJ68" s="532"/>
      <c r="NK68" s="532"/>
      <c r="NL68" s="532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58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532" t="s">
        <v>162</v>
      </c>
      <c r="ES69" s="532"/>
      <c r="ET69" s="532"/>
      <c r="EU69" s="532"/>
      <c r="EV69" s="532"/>
      <c r="EW69" s="532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532" t="s">
        <v>162</v>
      </c>
      <c r="FX69" s="532"/>
      <c r="FY69" s="532"/>
      <c r="FZ69" s="532"/>
      <c r="GA69" s="532"/>
      <c r="GB69" s="532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532" t="s">
        <v>162</v>
      </c>
      <c r="GU69" s="532"/>
      <c r="GV69" s="532"/>
      <c r="GW69" s="532"/>
      <c r="GX69" s="532"/>
      <c r="GY69" s="532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532" t="s">
        <v>162</v>
      </c>
      <c r="HP69" s="532"/>
      <c r="HQ69" s="532"/>
      <c r="HR69" s="532"/>
      <c r="HS69" s="532"/>
      <c r="HT69" s="532"/>
      <c r="HU69" s="13"/>
      <c r="HV69" s="19"/>
      <c r="HW69" s="30">
        <f t="shared" si="44"/>
        <v>0</v>
      </c>
      <c r="HX69" s="28">
        <f t="shared" si="45"/>
        <v>0</v>
      </c>
      <c r="HZ69" s="532" t="s">
        <v>162</v>
      </c>
      <c r="IA69" s="532"/>
      <c r="IB69" s="532"/>
      <c r="IC69" s="532"/>
      <c r="ID69" s="532"/>
      <c r="IE69" s="532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532" t="s">
        <v>162</v>
      </c>
      <c r="IQ69" s="532"/>
      <c r="IR69" s="532"/>
      <c r="IS69" s="532"/>
      <c r="IT69" s="532"/>
      <c r="IU69" s="532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532" t="s">
        <v>162</v>
      </c>
      <c r="JC69" s="532"/>
      <c r="JD69" s="532"/>
      <c r="JE69" s="532"/>
      <c r="JF69" s="532"/>
      <c r="JG69" s="532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532" t="s">
        <v>162</v>
      </c>
      <c r="KI69" s="532"/>
      <c r="KJ69" s="532"/>
      <c r="KK69" s="532"/>
      <c r="KL69" s="532"/>
      <c r="KM69" s="532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532" t="s">
        <v>162</v>
      </c>
      <c r="KW69" s="532"/>
      <c r="KX69" s="532"/>
      <c r="KY69" s="532"/>
      <c r="KZ69" s="532"/>
      <c r="LA69" s="532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532" t="s">
        <v>162</v>
      </c>
      <c r="LJ69" s="532"/>
      <c r="LK69" s="532"/>
      <c r="LL69" s="532"/>
      <c r="LM69" s="532"/>
      <c r="LN69" s="532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532" t="s">
        <v>162</v>
      </c>
      <c r="MI69" s="532"/>
      <c r="MJ69" s="532"/>
      <c r="MK69" s="532"/>
      <c r="ML69" s="532"/>
      <c r="MM69" s="532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532" t="s">
        <v>162</v>
      </c>
      <c r="NH69" s="532"/>
      <c r="NI69" s="532"/>
      <c r="NJ69" s="532"/>
      <c r="NK69" s="532"/>
      <c r="NL69" s="532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58"/>
      <c r="B70" s="12"/>
      <c r="C70" s="532" t="s">
        <v>47</v>
      </c>
      <c r="D70" s="532"/>
      <c r="E70" s="532"/>
      <c r="F70" s="532"/>
      <c r="G70" s="532"/>
      <c r="H70" s="532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532" t="s">
        <v>47</v>
      </c>
      <c r="Q70" s="532"/>
      <c r="R70" s="532"/>
      <c r="S70" s="532"/>
      <c r="T70" s="532"/>
      <c r="U70" s="532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532" t="s">
        <v>47</v>
      </c>
      <c r="AI70" s="532"/>
      <c r="AJ70" s="532"/>
      <c r="AK70" s="532"/>
      <c r="AL70" s="532"/>
      <c r="AM70" s="532"/>
      <c r="AN70" s="13"/>
      <c r="AO70" s="20"/>
      <c r="AP70" s="23">
        <f t="shared" si="12"/>
        <v>0</v>
      </c>
      <c r="AQ70" s="19">
        <f t="shared" si="13"/>
        <v>0</v>
      </c>
      <c r="AS70" s="572" t="s">
        <v>47</v>
      </c>
      <c r="AT70" s="572"/>
      <c r="AU70" s="572"/>
      <c r="AV70" s="572"/>
      <c r="AW70" s="572"/>
      <c r="AX70" s="572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572" t="s">
        <v>47</v>
      </c>
      <c r="BH70" s="572"/>
      <c r="BI70" s="572"/>
      <c r="BJ70" s="572"/>
      <c r="BK70" s="572"/>
      <c r="BL70" s="572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572" t="s">
        <v>47</v>
      </c>
      <c r="BT70" s="572"/>
      <c r="BU70" s="572"/>
      <c r="BV70" s="572"/>
      <c r="BW70" s="572"/>
      <c r="BX70" s="572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572" t="s">
        <v>47</v>
      </c>
      <c r="CM70" s="572"/>
      <c r="CN70" s="572"/>
      <c r="CO70" s="572"/>
      <c r="CP70" s="572"/>
      <c r="CQ70" s="572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572" t="s">
        <v>47</v>
      </c>
      <c r="DE70" s="572"/>
      <c r="DF70" s="572"/>
      <c r="DG70" s="572"/>
      <c r="DH70" s="572"/>
      <c r="DI70" s="572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572" t="s">
        <v>47</v>
      </c>
      <c r="DY70" s="572"/>
      <c r="DZ70" s="572"/>
      <c r="EA70" s="572"/>
      <c r="EB70" s="572"/>
      <c r="EC70" s="572"/>
      <c r="ED70" s="28"/>
      <c r="EE70" s="29"/>
      <c r="EF70" s="29"/>
      <c r="EG70" s="29"/>
      <c r="EH70" s="29"/>
      <c r="EI70" s="29"/>
      <c r="EJ70" s="29"/>
      <c r="EK70" s="29"/>
      <c r="EL70" s="29"/>
      <c r="EM70" s="193"/>
      <c r="EN70" s="193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572" t="s">
        <v>47</v>
      </c>
      <c r="ES70" s="572"/>
      <c r="ET70" s="572"/>
      <c r="EU70" s="572"/>
      <c r="EV70" s="572"/>
      <c r="EW70" s="572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193"/>
      <c r="FJ70" s="193"/>
      <c r="FK70" s="193"/>
      <c r="FL70" s="193"/>
      <c r="FM70" s="193"/>
      <c r="FN70" s="193"/>
      <c r="FO70" s="193"/>
      <c r="FP70" s="193"/>
      <c r="FQ70" s="193"/>
      <c r="FR70" s="193"/>
      <c r="FS70" s="193"/>
      <c r="FT70" s="30">
        <f t="shared" si="27"/>
        <v>0</v>
      </c>
      <c r="FU70" s="28">
        <f t="shared" si="28"/>
        <v>0</v>
      </c>
      <c r="FW70" s="572" t="s">
        <v>47</v>
      </c>
      <c r="FX70" s="572"/>
      <c r="FY70" s="572"/>
      <c r="FZ70" s="572"/>
      <c r="GA70" s="572"/>
      <c r="GB70" s="572"/>
      <c r="GC70" s="28"/>
      <c r="GD70" s="193"/>
      <c r="GE70" s="29"/>
      <c r="GF70" s="29"/>
      <c r="GG70" s="29"/>
      <c r="GH70" s="29"/>
      <c r="GI70" s="29"/>
      <c r="GJ70" s="29"/>
      <c r="GK70" s="29"/>
      <c r="GL70" s="29"/>
      <c r="GM70" s="29"/>
      <c r="GN70" s="193"/>
      <c r="GO70" s="193"/>
      <c r="GP70" s="193"/>
      <c r="GQ70" s="30">
        <f t="shared" si="29"/>
        <v>0</v>
      </c>
      <c r="GR70" s="28">
        <f t="shared" si="30"/>
        <v>0</v>
      </c>
      <c r="GT70" s="572" t="s">
        <v>47</v>
      </c>
      <c r="GU70" s="572"/>
      <c r="GV70" s="572"/>
      <c r="GW70" s="572"/>
      <c r="GX70" s="572"/>
      <c r="GY70" s="572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193"/>
      <c r="HK70" s="193"/>
      <c r="HL70" s="30">
        <f t="shared" si="43"/>
        <v>0</v>
      </c>
      <c r="HM70" s="28">
        <f t="shared" si="32"/>
        <v>0</v>
      </c>
      <c r="HO70" s="572" t="s">
        <v>47</v>
      </c>
      <c r="HP70" s="572"/>
      <c r="HQ70" s="572"/>
      <c r="HR70" s="572"/>
      <c r="HS70" s="572"/>
      <c r="HT70" s="572"/>
      <c r="HU70" s="28"/>
      <c r="HV70" s="29"/>
      <c r="HW70" s="30">
        <f t="shared" si="44"/>
        <v>0</v>
      </c>
      <c r="HX70" s="28">
        <f t="shared" si="45"/>
        <v>0</v>
      </c>
      <c r="HZ70" s="572" t="s">
        <v>47</v>
      </c>
      <c r="IA70" s="572"/>
      <c r="IB70" s="572"/>
      <c r="IC70" s="572"/>
      <c r="ID70" s="572"/>
      <c r="IE70" s="572"/>
      <c r="IF70" s="28">
        <v>11.5</v>
      </c>
      <c r="IG70" s="29"/>
      <c r="IH70" s="193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572" t="s">
        <v>47</v>
      </c>
      <c r="IQ70" s="572"/>
      <c r="IR70" s="572"/>
      <c r="IS70" s="572"/>
      <c r="IT70" s="572"/>
      <c r="IU70" s="572"/>
      <c r="IV70" s="28">
        <v>11.5</v>
      </c>
      <c r="IW70" s="29"/>
      <c r="IX70" s="193"/>
      <c r="IY70" s="30">
        <f t="shared" si="47"/>
        <v>0</v>
      </c>
      <c r="IZ70" s="28">
        <f t="shared" si="48"/>
        <v>0</v>
      </c>
      <c r="JB70" s="572" t="s">
        <v>47</v>
      </c>
      <c r="JC70" s="572"/>
      <c r="JD70" s="572"/>
      <c r="JE70" s="572"/>
      <c r="JF70" s="572"/>
      <c r="JG70" s="572"/>
      <c r="JH70" s="28">
        <v>11.5</v>
      </c>
      <c r="JI70" s="29"/>
      <c r="JJ70" s="193"/>
      <c r="JK70" s="193"/>
      <c r="JL70" s="193"/>
      <c r="JM70" s="193"/>
      <c r="JN70" s="193"/>
      <c r="JO70" s="193"/>
      <c r="JP70" s="193"/>
      <c r="JQ70" s="193"/>
      <c r="JR70" s="193"/>
      <c r="JS70" s="193"/>
      <c r="JT70" s="193"/>
      <c r="JU70" s="193"/>
      <c r="JV70" s="193"/>
      <c r="JW70" s="193"/>
      <c r="JX70" s="193"/>
      <c r="JY70" s="193"/>
      <c r="JZ70" s="193"/>
      <c r="KA70" s="193"/>
      <c r="KB70" s="193"/>
      <c r="KC70" s="193"/>
      <c r="KD70" s="193"/>
      <c r="KE70" s="30">
        <f t="shared" si="34"/>
        <v>0</v>
      </c>
      <c r="KF70" s="28">
        <f t="shared" si="49"/>
        <v>0</v>
      </c>
      <c r="KH70" s="572" t="s">
        <v>47</v>
      </c>
      <c r="KI70" s="572"/>
      <c r="KJ70" s="572"/>
      <c r="KK70" s="572"/>
      <c r="KL70" s="572"/>
      <c r="KM70" s="572"/>
      <c r="KN70" s="28">
        <v>11.5</v>
      </c>
      <c r="KO70" s="29"/>
      <c r="KP70" s="193"/>
      <c r="KQ70" s="193"/>
      <c r="KR70" s="193"/>
      <c r="KS70" s="30">
        <f t="shared" si="50"/>
        <v>0</v>
      </c>
      <c r="KT70" s="28">
        <f t="shared" si="51"/>
        <v>0</v>
      </c>
      <c r="KV70" s="572" t="s">
        <v>47</v>
      </c>
      <c r="KW70" s="572"/>
      <c r="KX70" s="572"/>
      <c r="KY70" s="572"/>
      <c r="KZ70" s="572"/>
      <c r="LA70" s="572"/>
      <c r="LB70" s="28">
        <v>17</v>
      </c>
      <c r="LC70" s="29"/>
      <c r="LD70" s="193"/>
      <c r="LE70" s="193"/>
      <c r="LF70" s="30">
        <f t="shared" si="52"/>
        <v>0</v>
      </c>
      <c r="LG70" s="28">
        <f t="shared" si="53"/>
        <v>0</v>
      </c>
      <c r="LI70" s="572" t="s">
        <v>47</v>
      </c>
      <c r="LJ70" s="572"/>
      <c r="LK70" s="572"/>
      <c r="LL70" s="572"/>
      <c r="LM70" s="572"/>
      <c r="LN70" s="572"/>
      <c r="LO70" s="28">
        <v>17</v>
      </c>
      <c r="LP70" s="29"/>
      <c r="LQ70" s="193"/>
      <c r="LR70" s="193"/>
      <c r="LS70" s="193"/>
      <c r="LT70" s="193"/>
      <c r="LU70" s="193"/>
      <c r="LV70" s="193"/>
      <c r="LW70" s="193"/>
      <c r="LX70" s="193"/>
      <c r="LY70" s="193"/>
      <c r="LZ70" s="193"/>
      <c r="MA70" s="193"/>
      <c r="MB70" s="193"/>
      <c r="MC70" s="193"/>
      <c r="MD70" s="193"/>
      <c r="ME70" s="30">
        <f t="shared" si="35"/>
        <v>0</v>
      </c>
      <c r="MF70" s="28">
        <f t="shared" si="8"/>
        <v>0</v>
      </c>
      <c r="MH70" s="572" t="s">
        <v>47</v>
      </c>
      <c r="MI70" s="572"/>
      <c r="MJ70" s="572"/>
      <c r="MK70" s="572"/>
      <c r="ML70" s="572"/>
      <c r="MM70" s="572"/>
      <c r="MN70" s="28">
        <v>17</v>
      </c>
      <c r="MO70" s="29"/>
      <c r="MP70" s="193"/>
      <c r="MQ70" s="193"/>
      <c r="MR70" s="193"/>
      <c r="MS70" s="193"/>
      <c r="MT70" s="193"/>
      <c r="MU70" s="193"/>
      <c r="MV70" s="193"/>
      <c r="MW70" s="193"/>
      <c r="MX70" s="193"/>
      <c r="MY70" s="193"/>
      <c r="MZ70" s="193"/>
      <c r="NA70" s="193"/>
      <c r="NB70" s="193"/>
      <c r="NC70" s="193"/>
      <c r="ND70" s="30">
        <f t="shared" si="36"/>
        <v>0</v>
      </c>
      <c r="NE70" s="28">
        <f t="shared" si="37"/>
        <v>0</v>
      </c>
      <c r="NG70" s="572" t="s">
        <v>47</v>
      </c>
      <c r="NH70" s="572"/>
      <c r="NI70" s="572"/>
      <c r="NJ70" s="572"/>
      <c r="NK70" s="572"/>
      <c r="NL70" s="572"/>
      <c r="NM70" s="28">
        <v>17</v>
      </c>
      <c r="NN70" s="193"/>
      <c r="NO70" s="193"/>
      <c r="NP70" s="193"/>
      <c r="NQ70" s="193"/>
      <c r="NR70" s="193"/>
      <c r="NS70" s="193"/>
      <c r="NT70" s="193"/>
      <c r="NU70" s="193"/>
      <c r="NV70" s="193"/>
      <c r="NW70" s="193"/>
      <c r="NX70" s="193"/>
      <c r="NY70" s="193"/>
      <c r="NZ70" s="193"/>
      <c r="OA70" s="193"/>
      <c r="OB70" s="193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58"/>
      <c r="B71" s="12"/>
      <c r="C71" s="532" t="s">
        <v>58</v>
      </c>
      <c r="D71" s="532"/>
      <c r="E71" s="532"/>
      <c r="F71" s="532"/>
      <c r="G71" s="532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532" t="s">
        <v>58</v>
      </c>
      <c r="Q71" s="532"/>
      <c r="R71" s="532"/>
      <c r="S71" s="532"/>
      <c r="T71" s="532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532" t="s">
        <v>58</v>
      </c>
      <c r="AI71" s="532"/>
      <c r="AJ71" s="532"/>
      <c r="AK71" s="532"/>
      <c r="AL71" s="532"/>
      <c r="AM71" s="13"/>
      <c r="AN71" s="13"/>
      <c r="AO71" s="20"/>
      <c r="AP71" s="23">
        <f t="shared" si="12"/>
        <v>0</v>
      </c>
      <c r="AQ71" s="19">
        <f t="shared" si="13"/>
        <v>0</v>
      </c>
      <c r="AS71" s="580" t="s">
        <v>58</v>
      </c>
      <c r="AT71" s="581"/>
      <c r="AU71" s="581"/>
      <c r="AV71" s="581"/>
      <c r="AW71" s="581"/>
      <c r="AX71" s="582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580" t="s">
        <v>58</v>
      </c>
      <c r="BH71" s="581"/>
      <c r="BI71" s="581"/>
      <c r="BJ71" s="581"/>
      <c r="BK71" s="581"/>
      <c r="BL71" s="582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580" t="s">
        <v>58</v>
      </c>
      <c r="BT71" s="581"/>
      <c r="BU71" s="581"/>
      <c r="BV71" s="581"/>
      <c r="BW71" s="581"/>
      <c r="BX71" s="582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580" t="s">
        <v>58</v>
      </c>
      <c r="CM71" s="581"/>
      <c r="CN71" s="581"/>
      <c r="CO71" s="581"/>
      <c r="CP71" s="581"/>
      <c r="CQ71" s="582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580" t="s">
        <v>58</v>
      </c>
      <c r="DE71" s="581"/>
      <c r="DF71" s="581"/>
      <c r="DG71" s="581"/>
      <c r="DH71" s="581"/>
      <c r="DI71" s="582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580" t="s">
        <v>58</v>
      </c>
      <c r="DY71" s="581"/>
      <c r="DZ71" s="581"/>
      <c r="EA71" s="581"/>
      <c r="EB71" s="581"/>
      <c r="EC71" s="582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194"/>
      <c r="EN71" s="194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580" t="s">
        <v>58</v>
      </c>
      <c r="ES71" s="581"/>
      <c r="ET71" s="581"/>
      <c r="EU71" s="581"/>
      <c r="EV71" s="581"/>
      <c r="EW71" s="582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194"/>
      <c r="FJ71" s="194"/>
      <c r="FK71" s="194"/>
      <c r="FL71" s="194"/>
      <c r="FM71" s="194"/>
      <c r="FN71" s="194"/>
      <c r="FO71" s="194"/>
      <c r="FP71" s="194"/>
      <c r="FQ71" s="194"/>
      <c r="FR71" s="194"/>
      <c r="FS71" s="194"/>
      <c r="FT71" s="30">
        <f t="shared" si="27"/>
        <v>15</v>
      </c>
      <c r="FU71" s="28">
        <f t="shared" si="28"/>
        <v>225</v>
      </c>
      <c r="FW71" s="580" t="s">
        <v>58</v>
      </c>
      <c r="FX71" s="581"/>
      <c r="FY71" s="581"/>
      <c r="FZ71" s="581"/>
      <c r="GA71" s="581"/>
      <c r="GB71" s="582"/>
      <c r="GC71" s="13">
        <v>17</v>
      </c>
      <c r="GD71" s="194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194"/>
      <c r="GO71" s="194"/>
      <c r="GP71" s="194"/>
      <c r="GQ71" s="30">
        <f t="shared" si="29"/>
        <v>1</v>
      </c>
      <c r="GR71" s="28">
        <f t="shared" si="30"/>
        <v>17</v>
      </c>
      <c r="GT71" s="580" t="s">
        <v>58</v>
      </c>
      <c r="GU71" s="581"/>
      <c r="GV71" s="581"/>
      <c r="GW71" s="581"/>
      <c r="GX71" s="581"/>
      <c r="GY71" s="582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194"/>
      <c r="HK71" s="194"/>
      <c r="HL71" s="30">
        <f t="shared" si="43"/>
        <v>0</v>
      </c>
      <c r="HM71" s="28">
        <f t="shared" si="32"/>
        <v>0</v>
      </c>
      <c r="HO71" s="580" t="s">
        <v>58</v>
      </c>
      <c r="HP71" s="581"/>
      <c r="HQ71" s="581"/>
      <c r="HR71" s="581"/>
      <c r="HS71" s="581"/>
      <c r="HT71" s="582"/>
      <c r="HU71" s="13">
        <v>17</v>
      </c>
      <c r="HV71" s="32"/>
      <c r="HW71" s="30">
        <f t="shared" si="44"/>
        <v>0</v>
      </c>
      <c r="HX71" s="28">
        <f t="shared" si="45"/>
        <v>0</v>
      </c>
      <c r="HZ71" s="580" t="s">
        <v>58</v>
      </c>
      <c r="IA71" s="581"/>
      <c r="IB71" s="581"/>
      <c r="IC71" s="581"/>
      <c r="ID71" s="581"/>
      <c r="IE71" s="582"/>
      <c r="IF71" s="13">
        <v>16.5</v>
      </c>
      <c r="IG71" s="32"/>
      <c r="IH71" s="194"/>
      <c r="II71" s="194"/>
      <c r="IJ71" s="23"/>
      <c r="IK71" s="23"/>
      <c r="IL71" s="23"/>
      <c r="IM71" s="30">
        <f t="shared" si="41"/>
        <v>0</v>
      </c>
      <c r="IN71" s="28">
        <f t="shared" si="46"/>
        <v>0</v>
      </c>
      <c r="IP71" s="580" t="s">
        <v>58</v>
      </c>
      <c r="IQ71" s="581"/>
      <c r="IR71" s="581"/>
      <c r="IS71" s="581"/>
      <c r="IT71" s="581"/>
      <c r="IU71" s="582"/>
      <c r="IV71" s="13">
        <v>16.5</v>
      </c>
      <c r="IW71" s="32"/>
      <c r="IX71" s="194">
        <v>35</v>
      </c>
      <c r="IY71" s="30">
        <f t="shared" si="47"/>
        <v>35</v>
      </c>
      <c r="IZ71" s="28">
        <f t="shared" si="48"/>
        <v>577.5</v>
      </c>
      <c r="JB71" s="580" t="s">
        <v>58</v>
      </c>
      <c r="JC71" s="581"/>
      <c r="JD71" s="581"/>
      <c r="JE71" s="581"/>
      <c r="JF71" s="581"/>
      <c r="JG71" s="582"/>
      <c r="JH71" s="13">
        <v>17</v>
      </c>
      <c r="JI71" s="32"/>
      <c r="JJ71" s="194"/>
      <c r="JK71" s="194"/>
      <c r="JL71" s="194"/>
      <c r="JM71" s="194"/>
      <c r="JN71" s="194"/>
      <c r="JO71" s="194"/>
      <c r="JP71" s="194"/>
      <c r="JQ71" s="194"/>
      <c r="JR71" s="194"/>
      <c r="JS71" s="194"/>
      <c r="JT71" s="194"/>
      <c r="JU71" s="194"/>
      <c r="JV71" s="194"/>
      <c r="JW71" s="194"/>
      <c r="JX71" s="194"/>
      <c r="JY71" s="194"/>
      <c r="JZ71" s="194"/>
      <c r="KA71" s="194"/>
      <c r="KB71" s="194"/>
      <c r="KC71" s="194"/>
      <c r="KD71" s="194"/>
      <c r="KE71" s="30">
        <f t="shared" si="34"/>
        <v>0</v>
      </c>
      <c r="KF71" s="28">
        <f t="shared" si="49"/>
        <v>0</v>
      </c>
      <c r="KH71" s="580" t="s">
        <v>58</v>
      </c>
      <c r="KI71" s="581"/>
      <c r="KJ71" s="581"/>
      <c r="KK71" s="581"/>
      <c r="KL71" s="581"/>
      <c r="KM71" s="582"/>
      <c r="KN71" s="13">
        <v>17</v>
      </c>
      <c r="KO71" s="32"/>
      <c r="KP71" s="194"/>
      <c r="KQ71" s="194"/>
      <c r="KR71" s="194"/>
      <c r="KS71" s="30">
        <f t="shared" si="50"/>
        <v>0</v>
      </c>
      <c r="KT71" s="28">
        <f t="shared" si="51"/>
        <v>0</v>
      </c>
      <c r="KV71" s="580" t="s">
        <v>58</v>
      </c>
      <c r="KW71" s="581"/>
      <c r="KX71" s="581"/>
      <c r="KY71" s="581"/>
      <c r="KZ71" s="581"/>
      <c r="LA71" s="582"/>
      <c r="LB71" s="13">
        <v>17</v>
      </c>
      <c r="LC71" s="32"/>
      <c r="LD71" s="194"/>
      <c r="LE71" s="194"/>
      <c r="LF71" s="30">
        <f t="shared" si="52"/>
        <v>0</v>
      </c>
      <c r="LG71" s="28">
        <f t="shared" si="53"/>
        <v>0</v>
      </c>
      <c r="LI71" s="580" t="s">
        <v>58</v>
      </c>
      <c r="LJ71" s="581"/>
      <c r="LK71" s="581"/>
      <c r="LL71" s="581"/>
      <c r="LM71" s="581"/>
      <c r="LN71" s="582"/>
      <c r="LO71" s="13">
        <v>17</v>
      </c>
      <c r="LP71" s="32"/>
      <c r="LQ71" s="194"/>
      <c r="LR71" s="194"/>
      <c r="LS71" s="194"/>
      <c r="LT71" s="194"/>
      <c r="LU71" s="194"/>
      <c r="LV71" s="194"/>
      <c r="LW71" s="194"/>
      <c r="LX71" s="194"/>
      <c r="LY71" s="194"/>
      <c r="LZ71" s="194"/>
      <c r="MA71" s="194"/>
      <c r="MB71" s="194"/>
      <c r="MC71" s="194"/>
      <c r="MD71" s="194"/>
      <c r="ME71" s="30">
        <f t="shared" si="35"/>
        <v>0</v>
      </c>
      <c r="MF71" s="28">
        <f t="shared" si="8"/>
        <v>0</v>
      </c>
      <c r="MH71" s="580" t="s">
        <v>58</v>
      </c>
      <c r="MI71" s="581"/>
      <c r="MJ71" s="581"/>
      <c r="MK71" s="581"/>
      <c r="ML71" s="581"/>
      <c r="MM71" s="582"/>
      <c r="MN71" s="13">
        <v>17</v>
      </c>
      <c r="MO71" s="32"/>
      <c r="MP71" s="194"/>
      <c r="MQ71" s="194"/>
      <c r="MR71" s="194"/>
      <c r="MS71" s="194"/>
      <c r="MT71" s="194"/>
      <c r="MU71" s="194"/>
      <c r="MV71" s="194"/>
      <c r="MW71" s="194"/>
      <c r="MX71" s="194"/>
      <c r="MY71" s="194"/>
      <c r="MZ71" s="194"/>
      <c r="NA71" s="194"/>
      <c r="NB71" s="194"/>
      <c r="NC71" s="194"/>
      <c r="ND71" s="30">
        <f t="shared" si="36"/>
        <v>0</v>
      </c>
      <c r="NE71" s="28">
        <f t="shared" si="37"/>
        <v>0</v>
      </c>
      <c r="NG71" s="580" t="s">
        <v>58</v>
      </c>
      <c r="NH71" s="581"/>
      <c r="NI71" s="581"/>
      <c r="NJ71" s="581"/>
      <c r="NK71" s="581"/>
      <c r="NL71" s="582"/>
      <c r="NM71" s="13">
        <v>18</v>
      </c>
      <c r="NN71" s="194">
        <v>2</v>
      </c>
      <c r="NO71" s="194"/>
      <c r="NP71" s="194"/>
      <c r="NQ71" s="194"/>
      <c r="NR71" s="194"/>
      <c r="NS71" s="194"/>
      <c r="NT71" s="194">
        <v>8</v>
      </c>
      <c r="NU71" s="194"/>
      <c r="NV71" s="194"/>
      <c r="NW71" s="194"/>
      <c r="NX71" s="194"/>
      <c r="NY71" s="194"/>
      <c r="NZ71" s="194"/>
      <c r="OA71" s="194"/>
      <c r="OB71" s="194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58"/>
      <c r="B72" s="12"/>
      <c r="C72" s="12"/>
      <c r="D72" s="12"/>
      <c r="E72" s="12"/>
      <c r="F72" s="12"/>
      <c r="G72" s="12"/>
      <c r="H72" s="12"/>
      <c r="I72" s="12"/>
      <c r="J72" s="12"/>
      <c r="K72" s="200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200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200"/>
      <c r="AP72" s="34"/>
      <c r="AQ72" s="19"/>
      <c r="AS72" s="12"/>
      <c r="AT72" s="12"/>
      <c r="AU72" s="12"/>
      <c r="AV72" s="12"/>
      <c r="AW72" s="12"/>
      <c r="AX72" s="12"/>
      <c r="AY72" s="12"/>
      <c r="AZ72" s="200"/>
      <c r="BA72" s="200"/>
      <c r="BB72" s="200"/>
      <c r="BC72" s="200"/>
      <c r="BD72" s="201"/>
      <c r="BE72" s="28"/>
      <c r="BF72" s="25"/>
      <c r="BG72" s="12"/>
      <c r="BH72" s="12"/>
      <c r="BI72" s="12"/>
      <c r="BJ72" s="12"/>
      <c r="BK72" s="12"/>
      <c r="BL72" s="12"/>
      <c r="BM72" s="12"/>
      <c r="BN72" s="200"/>
      <c r="BO72" s="200"/>
      <c r="BP72" s="201"/>
      <c r="BQ72" s="28"/>
      <c r="BR72" s="25"/>
      <c r="BS72" s="190"/>
      <c r="BT72" s="198"/>
      <c r="BU72" s="198"/>
      <c r="BV72" s="198"/>
      <c r="BW72" s="198"/>
      <c r="BX72" s="199"/>
      <c r="BY72" s="12"/>
      <c r="BZ72" s="200"/>
      <c r="CA72" s="200"/>
      <c r="CB72" s="200"/>
      <c r="CC72" s="200"/>
      <c r="CD72" s="200"/>
      <c r="CE72" s="200"/>
      <c r="CF72" s="200"/>
      <c r="CG72" s="200"/>
      <c r="CH72" s="200"/>
      <c r="CI72" s="201"/>
      <c r="CJ72" s="28"/>
      <c r="CL72" s="190"/>
      <c r="CM72" s="198"/>
      <c r="CN72" s="198"/>
      <c r="CO72" s="198"/>
      <c r="CP72" s="198"/>
      <c r="CQ72" s="199"/>
      <c r="CR72" s="12"/>
      <c r="CS72" s="200"/>
      <c r="CT72" s="200"/>
      <c r="CU72" s="200"/>
      <c r="CV72" s="200"/>
      <c r="CW72" s="200"/>
      <c r="CX72" s="200"/>
      <c r="CY72" s="200"/>
      <c r="CZ72" s="202"/>
      <c r="DA72" s="201"/>
      <c r="DB72" s="28"/>
      <c r="DC72" s="33"/>
      <c r="DD72" s="12"/>
      <c r="DE72" s="12"/>
      <c r="DF72" s="12"/>
      <c r="DG72" s="12"/>
      <c r="DH72" s="12"/>
      <c r="DI72" s="12"/>
      <c r="DJ72" s="12"/>
      <c r="DK72" s="202"/>
      <c r="DL72" s="202"/>
      <c r="DM72" s="202"/>
      <c r="DN72" s="202"/>
      <c r="DO72" s="202"/>
      <c r="DP72" s="202"/>
      <c r="DQ72" s="202"/>
      <c r="DR72" s="202"/>
      <c r="DS72" s="202"/>
      <c r="DT72" s="202"/>
      <c r="DU72" s="201"/>
      <c r="DV72" s="28"/>
      <c r="DX72" s="12"/>
      <c r="DY72" s="12"/>
      <c r="DZ72" s="12"/>
      <c r="EA72" s="12"/>
      <c r="EB72" s="12"/>
      <c r="EC72" s="12"/>
      <c r="ED72" s="12"/>
      <c r="EE72" s="202"/>
      <c r="EF72" s="202"/>
      <c r="EG72" s="202"/>
      <c r="EH72" s="202"/>
      <c r="EI72" s="202"/>
      <c r="EJ72" s="202"/>
      <c r="EK72" s="202"/>
      <c r="EL72" s="202"/>
      <c r="EM72" s="202"/>
      <c r="EN72" s="202"/>
      <c r="EO72" s="201"/>
      <c r="EP72" s="28"/>
      <c r="EQ72" t="str">
        <f t="shared" si="26"/>
        <v>DIFERENTE</v>
      </c>
      <c r="ER72" s="532" t="s">
        <v>168</v>
      </c>
      <c r="ES72" s="532"/>
      <c r="ET72" s="532"/>
      <c r="EU72" s="532"/>
      <c r="EV72" s="532"/>
      <c r="EW72" s="532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194"/>
      <c r="FJ72" s="194"/>
      <c r="FK72" s="194"/>
      <c r="FL72" s="194"/>
      <c r="FM72" s="194"/>
      <c r="FN72" s="194"/>
      <c r="FO72" s="194"/>
      <c r="FP72" s="194"/>
      <c r="FQ72" s="194"/>
      <c r="FR72" s="194"/>
      <c r="FS72" s="194"/>
      <c r="FT72" s="30">
        <f t="shared" si="27"/>
        <v>0</v>
      </c>
      <c r="FU72" s="28">
        <f t="shared" si="28"/>
        <v>0</v>
      </c>
      <c r="FW72" s="532" t="s">
        <v>168</v>
      </c>
      <c r="FX72" s="532"/>
      <c r="FY72" s="532"/>
      <c r="FZ72" s="532"/>
      <c r="GA72" s="532"/>
      <c r="GB72" s="532"/>
      <c r="GC72" s="13">
        <v>18</v>
      </c>
      <c r="GD72" s="194"/>
      <c r="GE72" s="32"/>
      <c r="GF72" s="32"/>
      <c r="GG72" s="32"/>
      <c r="GH72" s="32"/>
      <c r="GI72" s="32"/>
      <c r="GJ72" s="32"/>
      <c r="GK72" s="32"/>
      <c r="GL72" s="32"/>
      <c r="GM72" s="32"/>
      <c r="GN72" s="194"/>
      <c r="GO72" s="194"/>
      <c r="GP72" s="194"/>
      <c r="GQ72" s="30">
        <f t="shared" si="29"/>
        <v>0</v>
      </c>
      <c r="GR72" s="28">
        <f t="shared" si="30"/>
        <v>0</v>
      </c>
      <c r="GT72" s="532" t="s">
        <v>168</v>
      </c>
      <c r="GU72" s="532"/>
      <c r="GV72" s="532"/>
      <c r="GW72" s="532"/>
      <c r="GX72" s="532"/>
      <c r="GY72" s="532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194"/>
      <c r="HK72" s="194"/>
      <c r="HL72" s="30">
        <f>SUM(HA72:HK72)</f>
        <v>0</v>
      </c>
      <c r="HM72" s="28">
        <f t="shared" si="32"/>
        <v>0</v>
      </c>
      <c r="HO72" s="532" t="s">
        <v>168</v>
      </c>
      <c r="HP72" s="532"/>
      <c r="HQ72" s="532"/>
      <c r="HR72" s="532"/>
      <c r="HS72" s="532"/>
      <c r="HT72" s="532"/>
      <c r="HU72" s="13">
        <v>18</v>
      </c>
      <c r="HV72" s="32"/>
      <c r="HW72" s="30">
        <f>SUM(HV72:HV72)</f>
        <v>0</v>
      </c>
      <c r="HX72" s="28">
        <f>HW72*HU72</f>
        <v>0</v>
      </c>
      <c r="HZ72" s="532" t="s">
        <v>168</v>
      </c>
      <c r="IA72" s="532"/>
      <c r="IB72" s="532"/>
      <c r="IC72" s="532"/>
      <c r="ID72" s="532"/>
      <c r="IE72" s="532"/>
      <c r="IF72" s="13">
        <v>18</v>
      </c>
      <c r="IG72" s="32"/>
      <c r="IH72" s="194"/>
      <c r="II72" s="194"/>
      <c r="IJ72" s="194"/>
      <c r="IK72" s="194"/>
      <c r="IL72" s="194"/>
      <c r="IM72" s="30">
        <f t="shared" si="41"/>
        <v>0</v>
      </c>
      <c r="IN72" s="28">
        <f>IM72*IF72</f>
        <v>0</v>
      </c>
      <c r="IP72" s="532" t="s">
        <v>168</v>
      </c>
      <c r="IQ72" s="532"/>
      <c r="IR72" s="532"/>
      <c r="IS72" s="532"/>
      <c r="IT72" s="532"/>
      <c r="IU72" s="532"/>
      <c r="IV72" s="13">
        <v>18</v>
      </c>
      <c r="IW72" s="32"/>
      <c r="IX72" s="194"/>
      <c r="IY72" s="30">
        <f>SUM(IW72:IX72)</f>
        <v>0</v>
      </c>
      <c r="IZ72" s="28">
        <f>IY72*IV72</f>
        <v>0</v>
      </c>
      <c r="JB72" s="532" t="s">
        <v>168</v>
      </c>
      <c r="JC72" s="532"/>
      <c r="JD72" s="532"/>
      <c r="JE72" s="532"/>
      <c r="JF72" s="532"/>
      <c r="JG72" s="532"/>
      <c r="JH72" s="13">
        <v>18</v>
      </c>
      <c r="JI72" s="32"/>
      <c r="JJ72" s="194"/>
      <c r="JK72" s="194"/>
      <c r="JL72" s="194"/>
      <c r="JM72" s="194"/>
      <c r="JN72" s="194"/>
      <c r="JO72" s="194"/>
      <c r="JP72" s="194"/>
      <c r="JQ72" s="194"/>
      <c r="JR72" s="194"/>
      <c r="JS72" s="194"/>
      <c r="JT72" s="194"/>
      <c r="JU72" s="194"/>
      <c r="JV72" s="194"/>
      <c r="JW72" s="194"/>
      <c r="JX72" s="194"/>
      <c r="JY72" s="194"/>
      <c r="JZ72" s="194"/>
      <c r="KA72" s="194">
        <v>4</v>
      </c>
      <c r="KB72" s="194"/>
      <c r="KC72" s="194"/>
      <c r="KD72" s="194"/>
      <c r="KE72" s="30">
        <f t="shared" si="34"/>
        <v>4</v>
      </c>
      <c r="KF72" s="28">
        <f>KE72*JH72</f>
        <v>72</v>
      </c>
      <c r="KH72" s="532" t="s">
        <v>168</v>
      </c>
      <c r="KI72" s="532"/>
      <c r="KJ72" s="532"/>
      <c r="KK72" s="532"/>
      <c r="KL72" s="532"/>
      <c r="KM72" s="532"/>
      <c r="KN72" s="13">
        <v>18</v>
      </c>
      <c r="KO72" s="32"/>
      <c r="KP72" s="194"/>
      <c r="KQ72" s="194"/>
      <c r="KR72" s="194"/>
      <c r="KS72" s="30">
        <f>SUM(KO72:KR72)</f>
        <v>0</v>
      </c>
      <c r="KT72" s="28">
        <f>KS72*KN72</f>
        <v>0</v>
      </c>
      <c r="KV72" s="572" t="s">
        <v>168</v>
      </c>
      <c r="KW72" s="572"/>
      <c r="KX72" s="572"/>
      <c r="KY72" s="572"/>
      <c r="KZ72" s="572"/>
      <c r="LA72" s="572"/>
      <c r="LB72" s="28">
        <v>18</v>
      </c>
      <c r="LC72" s="63"/>
      <c r="LD72" s="109"/>
      <c r="LE72" s="109"/>
      <c r="LF72" s="30">
        <f>SUM(LC72:LE72)</f>
        <v>0</v>
      </c>
      <c r="LG72" s="28">
        <f>LF72*LB72</f>
        <v>0</v>
      </c>
      <c r="LI72" s="572" t="s">
        <v>168</v>
      </c>
      <c r="LJ72" s="572"/>
      <c r="LK72" s="572"/>
      <c r="LL72" s="572"/>
      <c r="LM72" s="572"/>
      <c r="LN72" s="572"/>
      <c r="LO72" s="28">
        <v>18</v>
      </c>
      <c r="LP72" s="63"/>
      <c r="LQ72" s="109"/>
      <c r="LR72" s="109"/>
      <c r="LS72" s="109"/>
      <c r="LT72" s="109"/>
      <c r="LU72" s="109"/>
      <c r="LV72" s="109"/>
      <c r="LW72" s="109"/>
      <c r="LX72" s="109"/>
      <c r="LY72" s="109"/>
      <c r="LZ72" s="109"/>
      <c r="MA72" s="109"/>
      <c r="MB72" s="109"/>
      <c r="MC72" s="109"/>
      <c r="MD72" s="109"/>
      <c r="ME72" s="30">
        <f t="shared" si="35"/>
        <v>0</v>
      </c>
      <c r="MF72" s="28">
        <f t="shared" ref="MF72:MF90" si="54">ME72*LO72</f>
        <v>0</v>
      </c>
      <c r="MH72" s="572" t="s">
        <v>168</v>
      </c>
      <c r="MI72" s="572"/>
      <c r="MJ72" s="572"/>
      <c r="MK72" s="572"/>
      <c r="ML72" s="572"/>
      <c r="MM72" s="572"/>
      <c r="MN72" s="28">
        <v>18</v>
      </c>
      <c r="MO72" s="63"/>
      <c r="MP72" s="109"/>
      <c r="MQ72" s="109"/>
      <c r="MR72" s="109"/>
      <c r="MS72" s="109"/>
      <c r="MT72" s="109"/>
      <c r="MU72" s="109"/>
      <c r="MV72" s="109"/>
      <c r="MW72" s="109"/>
      <c r="MX72" s="109"/>
      <c r="MY72" s="109"/>
      <c r="MZ72" s="109"/>
      <c r="NA72" s="109"/>
      <c r="NB72" s="109"/>
      <c r="NC72" s="109"/>
      <c r="ND72" s="30">
        <f t="shared" si="36"/>
        <v>0</v>
      </c>
      <c r="NE72" s="28">
        <f t="shared" ref="NE72:NE90" si="55">ND72*MN72</f>
        <v>0</v>
      </c>
      <c r="NG72" s="572" t="s">
        <v>168</v>
      </c>
      <c r="NH72" s="572"/>
      <c r="NI72" s="572"/>
      <c r="NJ72" s="572"/>
      <c r="NK72" s="572"/>
      <c r="NL72" s="572"/>
      <c r="NM72" s="28">
        <v>18</v>
      </c>
      <c r="NN72" s="109"/>
      <c r="NO72" s="109"/>
      <c r="NP72" s="109"/>
      <c r="NQ72" s="109"/>
      <c r="NR72" s="109"/>
      <c r="NS72" s="109">
        <v>5</v>
      </c>
      <c r="NT72" s="109"/>
      <c r="NU72" s="109"/>
      <c r="NV72" s="109"/>
      <c r="NW72" s="109"/>
      <c r="NX72" s="109"/>
      <c r="NY72" s="109"/>
      <c r="NZ72" s="109"/>
      <c r="OA72" s="109"/>
      <c r="OB72" s="109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58"/>
      <c r="B73" s="12"/>
      <c r="C73" s="12"/>
      <c r="D73" s="12"/>
      <c r="E73" s="12"/>
      <c r="F73" s="12"/>
      <c r="G73" s="12"/>
      <c r="H73" s="12"/>
      <c r="I73" s="12"/>
      <c r="J73" s="12"/>
      <c r="K73" s="200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200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200"/>
      <c r="AP73" s="34"/>
      <c r="AQ73" s="19"/>
      <c r="AS73" s="12"/>
      <c r="AT73" s="12"/>
      <c r="AU73" s="12"/>
      <c r="AV73" s="12"/>
      <c r="AW73" s="12"/>
      <c r="AX73" s="12"/>
      <c r="AY73" s="12"/>
      <c r="AZ73" s="200"/>
      <c r="BA73" s="200"/>
      <c r="BB73" s="200"/>
      <c r="BC73" s="200"/>
      <c r="BD73" s="201"/>
      <c r="BE73" s="28"/>
      <c r="BF73" s="25"/>
      <c r="BG73" s="12"/>
      <c r="BH73" s="12"/>
      <c r="BI73" s="12"/>
      <c r="BJ73" s="12"/>
      <c r="BK73" s="12"/>
      <c r="BL73" s="12"/>
      <c r="BM73" s="12"/>
      <c r="BN73" s="200"/>
      <c r="BO73" s="200"/>
      <c r="BP73" s="201"/>
      <c r="BQ73" s="28"/>
      <c r="BR73" s="25"/>
      <c r="BS73" s="190"/>
      <c r="BT73" s="198"/>
      <c r="BU73" s="198"/>
      <c r="BV73" s="198"/>
      <c r="BW73" s="198"/>
      <c r="BX73" s="199"/>
      <c r="BY73" s="12"/>
      <c r="BZ73" s="200"/>
      <c r="CA73" s="200"/>
      <c r="CB73" s="200"/>
      <c r="CC73" s="200"/>
      <c r="CD73" s="200"/>
      <c r="CE73" s="200"/>
      <c r="CF73" s="200"/>
      <c r="CG73" s="200"/>
      <c r="CH73" s="200"/>
      <c r="CI73" s="201"/>
      <c r="CJ73" s="28"/>
      <c r="CL73" s="190"/>
      <c r="CM73" s="198"/>
      <c r="CN73" s="198"/>
      <c r="CO73" s="198"/>
      <c r="CP73" s="198"/>
      <c r="CQ73" s="199"/>
      <c r="CR73" s="12"/>
      <c r="CS73" s="200"/>
      <c r="CT73" s="200"/>
      <c r="CU73" s="200"/>
      <c r="CV73" s="200"/>
      <c r="CW73" s="200"/>
      <c r="CX73" s="200"/>
      <c r="CY73" s="200"/>
      <c r="CZ73" s="202"/>
      <c r="DA73" s="201"/>
      <c r="DB73" s="28"/>
      <c r="DC73" s="33"/>
      <c r="DD73" s="12"/>
      <c r="DE73" s="12"/>
      <c r="DF73" s="12"/>
      <c r="DG73" s="12"/>
      <c r="DH73" s="12"/>
      <c r="DI73" s="12"/>
      <c r="DJ73" s="12"/>
      <c r="DK73" s="202"/>
      <c r="DL73" s="202"/>
      <c r="DM73" s="202"/>
      <c r="DN73" s="202"/>
      <c r="DO73" s="202"/>
      <c r="DP73" s="202"/>
      <c r="DQ73" s="202"/>
      <c r="DR73" s="202"/>
      <c r="DS73" s="202"/>
      <c r="DT73" s="202"/>
      <c r="DU73" s="201"/>
      <c r="DV73" s="28"/>
      <c r="DX73" s="12"/>
      <c r="DY73" s="12"/>
      <c r="DZ73" s="12"/>
      <c r="EA73" s="12"/>
      <c r="EB73" s="12"/>
      <c r="EC73" s="12"/>
      <c r="ED73" s="12"/>
      <c r="EE73" s="202"/>
      <c r="EF73" s="202"/>
      <c r="EG73" s="202"/>
      <c r="EH73" s="202"/>
      <c r="EI73" s="202"/>
      <c r="EJ73" s="202"/>
      <c r="EK73" s="202"/>
      <c r="EL73" s="202"/>
      <c r="EM73" s="202"/>
      <c r="EN73" s="202"/>
      <c r="EO73" s="201"/>
      <c r="EP73" s="28"/>
      <c r="ER73" s="12"/>
      <c r="ES73" s="12"/>
      <c r="ET73" s="12"/>
      <c r="EU73" s="12"/>
      <c r="EV73" s="12"/>
      <c r="EW73" s="12"/>
      <c r="EX73" s="12"/>
      <c r="EY73" s="202"/>
      <c r="EZ73" s="202"/>
      <c r="FA73" s="202"/>
      <c r="FB73" s="202"/>
      <c r="FC73" s="202"/>
      <c r="FD73" s="202"/>
      <c r="FE73" s="202"/>
      <c r="FF73" s="202"/>
      <c r="FG73" s="202"/>
      <c r="FH73" s="202"/>
      <c r="FI73" s="202"/>
      <c r="FJ73" s="202"/>
      <c r="FK73" s="202"/>
      <c r="FL73" s="202"/>
      <c r="FM73" s="202"/>
      <c r="FN73" s="202"/>
      <c r="FO73" s="202"/>
      <c r="FP73" s="202"/>
      <c r="FQ73" s="202"/>
      <c r="FR73" s="202"/>
      <c r="FS73" s="202"/>
      <c r="FT73" s="201"/>
      <c r="FU73" s="226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201"/>
      <c r="GR73" s="226"/>
      <c r="GT73" s="532" t="s">
        <v>261</v>
      </c>
      <c r="GU73" s="532"/>
      <c r="GV73" s="532"/>
      <c r="GW73" s="532"/>
      <c r="GX73" s="532"/>
      <c r="GY73" s="532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532" t="s">
        <v>261</v>
      </c>
      <c r="HP73" s="532"/>
      <c r="HQ73" s="532"/>
      <c r="HR73" s="532"/>
      <c r="HS73" s="532"/>
      <c r="HT73" s="532"/>
      <c r="HU73" s="13">
        <v>75</v>
      </c>
      <c r="HV73" s="32"/>
      <c r="HW73" s="30">
        <f>SUM(HV73:HV73)</f>
        <v>0</v>
      </c>
      <c r="HX73" s="28">
        <f>HW73*HU73</f>
        <v>0</v>
      </c>
      <c r="HZ73" s="532" t="s">
        <v>261</v>
      </c>
      <c r="IA73" s="532"/>
      <c r="IB73" s="532"/>
      <c r="IC73" s="532"/>
      <c r="ID73" s="532"/>
      <c r="IE73" s="532"/>
      <c r="IF73" s="13">
        <v>75</v>
      </c>
      <c r="IG73" s="32"/>
      <c r="IH73" s="194"/>
      <c r="II73" s="194"/>
      <c r="IJ73" s="194"/>
      <c r="IK73" s="194"/>
      <c r="IL73" s="194"/>
      <c r="IM73" s="30">
        <f>SUM(IG73:IL73)</f>
        <v>0</v>
      </c>
      <c r="IN73" s="28">
        <f>IM73*IF73</f>
        <v>0</v>
      </c>
      <c r="IP73" s="532" t="s">
        <v>261</v>
      </c>
      <c r="IQ73" s="532"/>
      <c r="IR73" s="532"/>
      <c r="IS73" s="532"/>
      <c r="IT73" s="532"/>
      <c r="IU73" s="532"/>
      <c r="IV73" s="13">
        <v>75</v>
      </c>
      <c r="IW73" s="32"/>
      <c r="IX73" s="194"/>
      <c r="IY73" s="30">
        <f>SUM(IW73:IX73)</f>
        <v>0</v>
      </c>
      <c r="IZ73" s="28">
        <f>IY73*IV73</f>
        <v>0</v>
      </c>
      <c r="JB73" s="532" t="s">
        <v>261</v>
      </c>
      <c r="JC73" s="532"/>
      <c r="JD73" s="532"/>
      <c r="JE73" s="532"/>
      <c r="JF73" s="532"/>
      <c r="JG73" s="532"/>
      <c r="JH73" s="13">
        <v>75</v>
      </c>
      <c r="JI73" s="32"/>
      <c r="JJ73" s="194"/>
      <c r="JK73" s="194"/>
      <c r="JL73" s="194"/>
      <c r="JM73" s="194"/>
      <c r="JN73" s="194"/>
      <c r="JO73" s="194"/>
      <c r="JP73" s="194"/>
      <c r="JQ73" s="194"/>
      <c r="JR73" s="194"/>
      <c r="JS73" s="194"/>
      <c r="JT73" s="194"/>
      <c r="JU73" s="194"/>
      <c r="JV73" s="194"/>
      <c r="JW73" s="194"/>
      <c r="JX73" s="194"/>
      <c r="JY73" s="194"/>
      <c r="JZ73" s="194"/>
      <c r="KA73" s="194"/>
      <c r="KB73" s="194"/>
      <c r="KC73" s="194"/>
      <c r="KD73" s="194"/>
      <c r="KE73" s="30">
        <f>SUM(JI73:KD73)</f>
        <v>0</v>
      </c>
      <c r="KF73" s="28">
        <f>KE73*JH73</f>
        <v>0</v>
      </c>
      <c r="KH73" s="532" t="s">
        <v>261</v>
      </c>
      <c r="KI73" s="532"/>
      <c r="KJ73" s="532"/>
      <c r="KK73" s="532"/>
      <c r="KL73" s="532"/>
      <c r="KM73" s="532"/>
      <c r="KN73" s="13">
        <v>75</v>
      </c>
      <c r="KO73" s="32"/>
      <c r="KP73" s="194"/>
      <c r="KQ73" s="194"/>
      <c r="KR73" s="194"/>
      <c r="KS73" s="30">
        <f>SUM(KO73:KR73)</f>
        <v>0</v>
      </c>
      <c r="KT73" s="28">
        <f>KS73*KN73</f>
        <v>0</v>
      </c>
      <c r="KV73" s="532" t="s">
        <v>261</v>
      </c>
      <c r="KW73" s="532"/>
      <c r="KX73" s="532"/>
      <c r="KY73" s="532"/>
      <c r="KZ73" s="532"/>
      <c r="LA73" s="532"/>
      <c r="LB73" s="13">
        <v>75</v>
      </c>
      <c r="LC73" s="32"/>
      <c r="LD73" s="194"/>
      <c r="LE73" s="194"/>
      <c r="LF73" s="30">
        <f>SUM(LC73:LE73)</f>
        <v>0</v>
      </c>
      <c r="LG73" s="28">
        <f>LF73*LB73</f>
        <v>0</v>
      </c>
      <c r="LI73" s="532" t="s">
        <v>261</v>
      </c>
      <c r="LJ73" s="532"/>
      <c r="LK73" s="532"/>
      <c r="LL73" s="532"/>
      <c r="LM73" s="532"/>
      <c r="LN73" s="532"/>
      <c r="LO73" s="13">
        <v>75</v>
      </c>
      <c r="LP73" s="32"/>
      <c r="LQ73" s="194"/>
      <c r="LR73" s="194"/>
      <c r="LS73" s="194"/>
      <c r="LT73" s="194"/>
      <c r="LU73" s="194"/>
      <c r="LV73" s="194"/>
      <c r="LW73" s="194"/>
      <c r="LX73" s="194"/>
      <c r="LY73" s="194"/>
      <c r="LZ73" s="194"/>
      <c r="MA73" s="194"/>
      <c r="MB73" s="194"/>
      <c r="MC73" s="194"/>
      <c r="MD73" s="194"/>
      <c r="ME73" s="30">
        <f t="shared" ref="ME73:ME90" si="57">SUM(LP73:MD73)</f>
        <v>0</v>
      </c>
      <c r="MF73" s="28">
        <f t="shared" si="54"/>
        <v>0</v>
      </c>
      <c r="MH73" s="532" t="s">
        <v>261</v>
      </c>
      <c r="MI73" s="532"/>
      <c r="MJ73" s="532"/>
      <c r="MK73" s="532"/>
      <c r="ML73" s="532"/>
      <c r="MM73" s="532"/>
      <c r="MN73" s="13">
        <v>75</v>
      </c>
      <c r="MO73" s="32"/>
      <c r="MP73" s="194"/>
      <c r="MQ73" s="194"/>
      <c r="MR73" s="194"/>
      <c r="MS73" s="194"/>
      <c r="MT73" s="194"/>
      <c r="MU73" s="194"/>
      <c r="MV73" s="194"/>
      <c r="MW73" s="194"/>
      <c r="MX73" s="194"/>
      <c r="MY73" s="194"/>
      <c r="MZ73" s="194"/>
      <c r="NA73" s="194"/>
      <c r="NB73" s="194"/>
      <c r="NC73" s="194"/>
      <c r="ND73" s="30">
        <f t="shared" ref="ND73:ND99" si="58">SUM(MO73:NC73)</f>
        <v>0</v>
      </c>
      <c r="NE73" s="28">
        <f t="shared" si="55"/>
        <v>0</v>
      </c>
      <c r="NG73" s="532" t="s">
        <v>261</v>
      </c>
      <c r="NH73" s="532"/>
      <c r="NI73" s="532"/>
      <c r="NJ73" s="532"/>
      <c r="NK73" s="532"/>
      <c r="NL73" s="532"/>
      <c r="NM73" s="13">
        <v>75</v>
      </c>
      <c r="NN73" s="194"/>
      <c r="NO73" s="194"/>
      <c r="NP73" s="194"/>
      <c r="NQ73" s="194"/>
      <c r="NR73" s="194"/>
      <c r="NS73" s="194"/>
      <c r="NT73" s="194"/>
      <c r="NU73" s="194"/>
      <c r="NV73" s="194"/>
      <c r="NW73" s="194"/>
      <c r="NX73" s="194"/>
      <c r="NY73" s="194"/>
      <c r="NZ73" s="194"/>
      <c r="OA73" s="194"/>
      <c r="OB73" s="194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58"/>
      <c r="B74" s="12"/>
      <c r="C74" s="12"/>
      <c r="D74" s="12"/>
      <c r="E74" s="12"/>
      <c r="F74" s="12"/>
      <c r="G74" s="12"/>
      <c r="H74" s="12"/>
      <c r="I74" s="12"/>
      <c r="J74" s="12"/>
      <c r="K74" s="200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200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200"/>
      <c r="AP74" s="34"/>
      <c r="AQ74" s="19"/>
      <c r="AS74" s="12"/>
      <c r="AT74" s="12"/>
      <c r="AU74" s="12"/>
      <c r="AV74" s="12"/>
      <c r="AW74" s="12"/>
      <c r="AX74" s="12"/>
      <c r="AY74" s="12"/>
      <c r="AZ74" s="200"/>
      <c r="BA74" s="200"/>
      <c r="BB74" s="200"/>
      <c r="BC74" s="200"/>
      <c r="BD74" s="201"/>
      <c r="BE74" s="28"/>
      <c r="BF74" s="25"/>
      <c r="BG74" s="12"/>
      <c r="BH74" s="12"/>
      <c r="BI74" s="12"/>
      <c r="BJ74" s="12"/>
      <c r="BK74" s="12"/>
      <c r="BL74" s="12"/>
      <c r="BM74" s="12"/>
      <c r="BN74" s="200"/>
      <c r="BO74" s="200"/>
      <c r="BP74" s="201"/>
      <c r="BQ74" s="28"/>
      <c r="BR74" s="25"/>
      <c r="BS74" s="190"/>
      <c r="BT74" s="198"/>
      <c r="BU74" s="198"/>
      <c r="BV74" s="198"/>
      <c r="BW74" s="198"/>
      <c r="BX74" s="199"/>
      <c r="BY74" s="12"/>
      <c r="BZ74" s="200"/>
      <c r="CA74" s="200"/>
      <c r="CB74" s="200"/>
      <c r="CC74" s="200"/>
      <c r="CD74" s="200"/>
      <c r="CE74" s="200"/>
      <c r="CF74" s="200"/>
      <c r="CG74" s="200"/>
      <c r="CH74" s="200"/>
      <c r="CI74" s="201"/>
      <c r="CJ74" s="28"/>
      <c r="CL74" s="190"/>
      <c r="CM74" s="198"/>
      <c r="CN74" s="198"/>
      <c r="CO74" s="198"/>
      <c r="CP74" s="198"/>
      <c r="CQ74" s="199"/>
      <c r="CR74" s="12"/>
      <c r="CS74" s="200"/>
      <c r="CT74" s="200"/>
      <c r="CU74" s="200"/>
      <c r="CV74" s="200"/>
      <c r="CW74" s="200"/>
      <c r="CX74" s="200"/>
      <c r="CY74" s="200"/>
      <c r="CZ74" s="202"/>
      <c r="DA74" s="201"/>
      <c r="DB74" s="28"/>
      <c r="DC74" s="33"/>
      <c r="DD74" s="12"/>
      <c r="DE74" s="12"/>
      <c r="DF74" s="12"/>
      <c r="DG74" s="12"/>
      <c r="DH74" s="12"/>
      <c r="DI74" s="12"/>
      <c r="DJ74" s="12"/>
      <c r="DK74" s="202"/>
      <c r="DL74" s="202"/>
      <c r="DM74" s="202"/>
      <c r="DN74" s="202"/>
      <c r="DO74" s="202"/>
      <c r="DP74" s="202"/>
      <c r="DQ74" s="202"/>
      <c r="DR74" s="202"/>
      <c r="DS74" s="202"/>
      <c r="DT74" s="202"/>
      <c r="DU74" s="201"/>
      <c r="DV74" s="28"/>
      <c r="DX74" s="12"/>
      <c r="DY74" s="12"/>
      <c r="DZ74" s="12"/>
      <c r="EA74" s="12"/>
      <c r="EB74" s="12"/>
      <c r="EC74" s="12"/>
      <c r="ED74" s="12"/>
      <c r="EE74" s="202"/>
      <c r="EF74" s="202"/>
      <c r="EG74" s="202"/>
      <c r="EH74" s="202"/>
      <c r="EI74" s="202"/>
      <c r="EJ74" s="202"/>
      <c r="EK74" s="202"/>
      <c r="EL74" s="202"/>
      <c r="EM74" s="202"/>
      <c r="EN74" s="202"/>
      <c r="EO74" s="201"/>
      <c r="EP74" s="28"/>
      <c r="ER74" s="12"/>
      <c r="ES74" s="12"/>
      <c r="ET74" s="12"/>
      <c r="EU74" s="12"/>
      <c r="EV74" s="12"/>
      <c r="EW74" s="12"/>
      <c r="EX74" s="12"/>
      <c r="EY74" s="202"/>
      <c r="EZ74" s="202"/>
      <c r="FA74" s="202"/>
      <c r="FB74" s="202"/>
      <c r="FC74" s="202"/>
      <c r="FD74" s="202"/>
      <c r="FE74" s="202"/>
      <c r="FF74" s="202"/>
      <c r="FG74" s="202"/>
      <c r="FH74" s="202"/>
      <c r="FI74" s="202"/>
      <c r="FJ74" s="202"/>
      <c r="FK74" s="202"/>
      <c r="FL74" s="202"/>
      <c r="FM74" s="202"/>
      <c r="FN74" s="202"/>
      <c r="FO74" s="202"/>
      <c r="FP74" s="202"/>
      <c r="FQ74" s="202"/>
      <c r="FR74" s="202"/>
      <c r="FS74" s="202"/>
      <c r="FT74" s="201"/>
      <c r="FU74" s="226"/>
      <c r="FW74" s="12"/>
      <c r="FX74" s="12"/>
      <c r="FY74" s="12"/>
      <c r="FZ74" s="12"/>
      <c r="GA74" s="12"/>
      <c r="GB74" s="12"/>
      <c r="GC74" s="12"/>
      <c r="GD74" s="204"/>
      <c r="GE74" s="204"/>
      <c r="GF74" s="204"/>
      <c r="GG74" s="204"/>
      <c r="GH74" s="204"/>
      <c r="GI74" s="204"/>
      <c r="GJ74" s="204"/>
      <c r="GK74" s="204"/>
      <c r="GL74" s="204"/>
      <c r="GM74" s="204"/>
      <c r="GN74" s="204"/>
      <c r="GO74" s="204"/>
      <c r="GP74" s="204"/>
      <c r="GQ74" s="201"/>
      <c r="GR74" s="226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201"/>
      <c r="HM74" s="226"/>
      <c r="HO74" s="12"/>
      <c r="HP74" s="12"/>
      <c r="HQ74" s="12"/>
      <c r="HR74" s="12"/>
      <c r="HS74" s="12"/>
      <c r="HT74" s="12"/>
      <c r="HU74" s="12"/>
      <c r="HV74" s="32"/>
      <c r="HW74" s="201"/>
      <c r="HX74" s="226"/>
      <c r="HZ74" s="12"/>
      <c r="IA74" s="12"/>
      <c r="IB74" s="12"/>
      <c r="IC74" s="12"/>
      <c r="ID74" s="12"/>
      <c r="IE74" s="12"/>
      <c r="IF74" s="12"/>
      <c r="IG74" s="32"/>
      <c r="IH74" s="194"/>
      <c r="II74" s="194"/>
      <c r="IJ74" s="194"/>
      <c r="IK74" s="194"/>
      <c r="IL74" s="194"/>
      <c r="IM74" s="201"/>
      <c r="IN74" s="226"/>
      <c r="IP74" s="12"/>
      <c r="IQ74" s="12"/>
      <c r="IR74" s="12"/>
      <c r="IS74" s="12"/>
      <c r="IT74" s="12"/>
      <c r="IU74" s="12"/>
      <c r="IV74" s="12"/>
      <c r="IW74" s="32"/>
      <c r="IX74" s="194"/>
      <c r="IY74" s="201"/>
      <c r="IZ74" s="226"/>
      <c r="JB74" s="532" t="s">
        <v>305</v>
      </c>
      <c r="JC74" s="532"/>
      <c r="JD74" s="532"/>
      <c r="JE74" s="532"/>
      <c r="JF74" s="532"/>
      <c r="JG74" s="532"/>
      <c r="JH74" s="13">
        <v>42</v>
      </c>
      <c r="JI74" s="32"/>
      <c r="JJ74" s="194"/>
      <c r="JK74" s="194"/>
      <c r="JL74" s="194"/>
      <c r="JM74" s="194"/>
      <c r="JN74" s="194"/>
      <c r="JO74" s="194"/>
      <c r="JP74" s="194"/>
      <c r="JQ74" s="194"/>
      <c r="JR74" s="194"/>
      <c r="JS74" s="194"/>
      <c r="JT74" s="194"/>
      <c r="JU74" s="194"/>
      <c r="JV74" s="194"/>
      <c r="JW74" s="194"/>
      <c r="JX74" s="194"/>
      <c r="JY74" s="194"/>
      <c r="JZ74" s="194"/>
      <c r="KA74" s="194"/>
      <c r="KB74" s="194"/>
      <c r="KC74" s="194"/>
      <c r="KD74" s="194"/>
      <c r="KE74" s="30">
        <f>SUM(JI74:KD74)</f>
        <v>0</v>
      </c>
      <c r="KF74" s="28">
        <f>KE74*JH74</f>
        <v>0</v>
      </c>
      <c r="KH74" s="532" t="s">
        <v>305</v>
      </c>
      <c r="KI74" s="532"/>
      <c r="KJ74" s="532"/>
      <c r="KK74" s="532"/>
      <c r="KL74" s="532"/>
      <c r="KM74" s="532"/>
      <c r="KN74" s="13">
        <v>42</v>
      </c>
      <c r="KO74" s="32"/>
      <c r="KP74" s="194"/>
      <c r="KQ74" s="194"/>
      <c r="KR74" s="194"/>
      <c r="KS74" s="30">
        <f>SUM(KO74:KR74)</f>
        <v>0</v>
      </c>
      <c r="KT74" s="28">
        <f>KS74*KN74</f>
        <v>0</v>
      </c>
      <c r="KV74" s="572" t="s">
        <v>305</v>
      </c>
      <c r="KW74" s="572"/>
      <c r="KX74" s="572"/>
      <c r="KY74" s="572"/>
      <c r="KZ74" s="572"/>
      <c r="LA74" s="572"/>
      <c r="LB74" s="28">
        <v>42</v>
      </c>
      <c r="LC74" s="63"/>
      <c r="LD74" s="109"/>
      <c r="LE74" s="109"/>
      <c r="LF74" s="30">
        <f>SUM(LC74:LE74)</f>
        <v>0</v>
      </c>
      <c r="LG74" s="28">
        <f>LF74*LB74</f>
        <v>0</v>
      </c>
      <c r="LI74" s="572" t="s">
        <v>305</v>
      </c>
      <c r="LJ74" s="572"/>
      <c r="LK74" s="572"/>
      <c r="LL74" s="572"/>
      <c r="LM74" s="572"/>
      <c r="LN74" s="572"/>
      <c r="LO74" s="28">
        <v>41</v>
      </c>
      <c r="LP74" s="63"/>
      <c r="LQ74" s="109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572" t="s">
        <v>305</v>
      </c>
      <c r="MI74" s="572"/>
      <c r="MJ74" s="572"/>
      <c r="MK74" s="572"/>
      <c r="ML74" s="572"/>
      <c r="MM74" s="572"/>
      <c r="MN74" s="28">
        <v>41</v>
      </c>
      <c r="MO74" s="63"/>
      <c r="MP74" s="109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572" t="s">
        <v>305</v>
      </c>
      <c r="NH74" s="572"/>
      <c r="NI74" s="572"/>
      <c r="NJ74" s="572"/>
      <c r="NK74" s="572"/>
      <c r="NL74" s="572"/>
      <c r="NM74" s="28">
        <v>38</v>
      </c>
      <c r="NN74" s="30"/>
      <c r="NO74" s="109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58"/>
      <c r="B75" s="12"/>
      <c r="C75" s="12"/>
      <c r="D75" s="12"/>
      <c r="E75" s="12"/>
      <c r="F75" s="12"/>
      <c r="G75" s="12"/>
      <c r="H75" s="12"/>
      <c r="I75" s="12"/>
      <c r="J75" s="12"/>
      <c r="K75" s="200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200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200"/>
      <c r="AP75" s="34"/>
      <c r="AQ75" s="19"/>
      <c r="AS75" s="12"/>
      <c r="AT75" s="12"/>
      <c r="AU75" s="12"/>
      <c r="AV75" s="12"/>
      <c r="AW75" s="12"/>
      <c r="AX75" s="12"/>
      <c r="AY75" s="12"/>
      <c r="AZ75" s="200"/>
      <c r="BA75" s="200"/>
      <c r="BB75" s="200"/>
      <c r="BC75" s="200"/>
      <c r="BD75" s="201"/>
      <c r="BE75" s="28"/>
      <c r="BF75" s="25"/>
      <c r="BG75" s="12"/>
      <c r="BH75" s="12"/>
      <c r="BI75" s="12"/>
      <c r="BJ75" s="12"/>
      <c r="BK75" s="12"/>
      <c r="BL75" s="12"/>
      <c r="BM75" s="12"/>
      <c r="BN75" s="200"/>
      <c r="BO75" s="200"/>
      <c r="BP75" s="201"/>
      <c r="BQ75" s="28"/>
      <c r="BR75" s="25"/>
      <c r="BS75" s="190"/>
      <c r="BT75" s="198"/>
      <c r="BU75" s="198"/>
      <c r="BV75" s="198"/>
      <c r="BW75" s="198"/>
      <c r="BX75" s="199"/>
      <c r="BY75" s="12"/>
      <c r="BZ75" s="200"/>
      <c r="CA75" s="200"/>
      <c r="CB75" s="200"/>
      <c r="CC75" s="200"/>
      <c r="CD75" s="200"/>
      <c r="CE75" s="200"/>
      <c r="CF75" s="200"/>
      <c r="CG75" s="200"/>
      <c r="CH75" s="200"/>
      <c r="CI75" s="201"/>
      <c r="CJ75" s="28"/>
      <c r="CL75" s="190"/>
      <c r="CM75" s="198"/>
      <c r="CN75" s="198"/>
      <c r="CO75" s="198"/>
      <c r="CP75" s="198"/>
      <c r="CQ75" s="199"/>
      <c r="CR75" s="12"/>
      <c r="CS75" s="200"/>
      <c r="CT75" s="200"/>
      <c r="CU75" s="200"/>
      <c r="CV75" s="200"/>
      <c r="CW75" s="200"/>
      <c r="CX75" s="200"/>
      <c r="CY75" s="200"/>
      <c r="CZ75" s="202"/>
      <c r="DA75" s="201"/>
      <c r="DB75" s="28"/>
      <c r="DC75" s="33"/>
      <c r="DD75" s="12"/>
      <c r="DE75" s="12"/>
      <c r="DF75" s="12"/>
      <c r="DG75" s="12"/>
      <c r="DH75" s="12"/>
      <c r="DI75" s="12"/>
      <c r="DJ75" s="12"/>
      <c r="DK75" s="202"/>
      <c r="DL75" s="202"/>
      <c r="DM75" s="202"/>
      <c r="DN75" s="202"/>
      <c r="DO75" s="202"/>
      <c r="DP75" s="202"/>
      <c r="DQ75" s="202"/>
      <c r="DR75" s="202"/>
      <c r="DS75" s="202"/>
      <c r="DT75" s="202"/>
      <c r="DU75" s="201"/>
      <c r="DV75" s="28"/>
      <c r="DX75" s="12"/>
      <c r="DY75" s="12"/>
      <c r="DZ75" s="12"/>
      <c r="EA75" s="12"/>
      <c r="EB75" s="12"/>
      <c r="EC75" s="12"/>
      <c r="ED75" s="12"/>
      <c r="EE75" s="202"/>
      <c r="EF75" s="202"/>
      <c r="EG75" s="202"/>
      <c r="EH75" s="202"/>
      <c r="EI75" s="202"/>
      <c r="EJ75" s="202"/>
      <c r="EK75" s="202"/>
      <c r="EL75" s="202"/>
      <c r="EM75" s="202"/>
      <c r="EN75" s="202"/>
      <c r="EO75" s="201"/>
      <c r="EP75" s="28"/>
      <c r="ER75" s="12"/>
      <c r="ES75" s="12"/>
      <c r="ET75" s="12"/>
      <c r="EU75" s="12"/>
      <c r="EV75" s="12"/>
      <c r="EW75" s="12"/>
      <c r="EX75" s="12"/>
      <c r="EY75" s="202"/>
      <c r="EZ75" s="202"/>
      <c r="FA75" s="202"/>
      <c r="FB75" s="202"/>
      <c r="FC75" s="202"/>
      <c r="FD75" s="202"/>
      <c r="FE75" s="202"/>
      <c r="FF75" s="202"/>
      <c r="FG75" s="202"/>
      <c r="FH75" s="202"/>
      <c r="FI75" s="202"/>
      <c r="FJ75" s="202"/>
      <c r="FK75" s="202"/>
      <c r="FL75" s="202"/>
      <c r="FM75" s="202"/>
      <c r="FN75" s="202"/>
      <c r="FO75" s="202"/>
      <c r="FP75" s="202"/>
      <c r="FQ75" s="202"/>
      <c r="FR75" s="202"/>
      <c r="FS75" s="202"/>
      <c r="FT75" s="201"/>
      <c r="FU75" s="226"/>
      <c r="FW75" s="12"/>
      <c r="FX75" s="12"/>
      <c r="FY75" s="12"/>
      <c r="FZ75" s="12"/>
      <c r="GA75" s="12"/>
      <c r="GB75" s="12"/>
      <c r="GC75" s="12"/>
      <c r="GD75" s="204"/>
      <c r="GE75" s="204"/>
      <c r="GF75" s="204"/>
      <c r="GG75" s="204"/>
      <c r="GH75" s="204"/>
      <c r="GI75" s="204"/>
      <c r="GJ75" s="204"/>
      <c r="GK75" s="204"/>
      <c r="GL75" s="204"/>
      <c r="GM75" s="204"/>
      <c r="GN75" s="204"/>
      <c r="GO75" s="204"/>
      <c r="GP75" s="204"/>
      <c r="GQ75" s="201"/>
      <c r="GR75" s="226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201"/>
      <c r="HM75" s="226"/>
      <c r="HO75" s="12"/>
      <c r="HP75" s="12"/>
      <c r="HQ75" s="12"/>
      <c r="HR75" s="12"/>
      <c r="HS75" s="12"/>
      <c r="HT75" s="12"/>
      <c r="HU75" s="12"/>
      <c r="HV75" s="32"/>
      <c r="HW75" s="201"/>
      <c r="HX75" s="226"/>
      <c r="HZ75" s="12"/>
      <c r="IA75" s="12"/>
      <c r="IB75" s="12"/>
      <c r="IC75" s="12"/>
      <c r="ID75" s="12"/>
      <c r="IE75" s="12"/>
      <c r="IF75" s="12"/>
      <c r="IG75" s="32"/>
      <c r="IH75" s="194"/>
      <c r="II75" s="194"/>
      <c r="IJ75" s="194"/>
      <c r="IK75" s="194"/>
      <c r="IL75" s="194"/>
      <c r="IM75" s="201"/>
      <c r="IN75" s="226"/>
      <c r="IP75" s="12"/>
      <c r="IQ75" s="12"/>
      <c r="IR75" s="12"/>
      <c r="IS75" s="12"/>
      <c r="IT75" s="12"/>
      <c r="IU75" s="12"/>
      <c r="IV75" s="12"/>
      <c r="IW75" s="32"/>
      <c r="IX75" s="194"/>
      <c r="IY75" s="201"/>
      <c r="IZ75" s="226"/>
      <c r="JB75" s="580" t="s">
        <v>308</v>
      </c>
      <c r="JC75" s="581"/>
      <c r="JD75" s="581"/>
      <c r="JE75" s="581"/>
      <c r="JF75" s="581"/>
      <c r="JG75" s="582"/>
      <c r="JH75" s="13">
        <v>15</v>
      </c>
      <c r="JI75" s="32"/>
      <c r="JJ75" s="194"/>
      <c r="JK75" s="194"/>
      <c r="JL75" s="194"/>
      <c r="JM75" s="194"/>
      <c r="JN75" s="194"/>
      <c r="JO75" s="194"/>
      <c r="JP75" s="194"/>
      <c r="JQ75" s="194"/>
      <c r="JR75" s="194"/>
      <c r="JS75" s="194"/>
      <c r="JT75" s="194"/>
      <c r="JU75" s="194"/>
      <c r="JV75" s="194"/>
      <c r="JW75" s="194"/>
      <c r="JX75" s="194"/>
      <c r="JY75" s="194"/>
      <c r="JZ75" s="194"/>
      <c r="KA75" s="194">
        <v>17</v>
      </c>
      <c r="KB75" s="194">
        <v>1</v>
      </c>
      <c r="KC75" s="194"/>
      <c r="KD75" s="194"/>
      <c r="KE75" s="30">
        <f>SUM(JI75:KD75)</f>
        <v>18</v>
      </c>
      <c r="KF75" s="28">
        <f>KE75*JH75</f>
        <v>270</v>
      </c>
      <c r="KH75" s="583" t="s">
        <v>308</v>
      </c>
      <c r="KI75" s="584"/>
      <c r="KJ75" s="584"/>
      <c r="KK75" s="584"/>
      <c r="KL75" s="584"/>
      <c r="KM75" s="585"/>
      <c r="KN75" s="13">
        <v>15</v>
      </c>
      <c r="KO75" s="32">
        <v>4</v>
      </c>
      <c r="KP75" s="194"/>
      <c r="KQ75" s="194"/>
      <c r="KR75" s="194">
        <v>4</v>
      </c>
      <c r="KS75" s="30">
        <f>SUM(KO75:KR75)</f>
        <v>8</v>
      </c>
      <c r="KT75" s="28">
        <f>KS75*KN75</f>
        <v>120</v>
      </c>
      <c r="KV75" s="583" t="s">
        <v>308</v>
      </c>
      <c r="KW75" s="584"/>
      <c r="KX75" s="584"/>
      <c r="KY75" s="584"/>
      <c r="KZ75" s="584"/>
      <c r="LA75" s="585"/>
      <c r="LB75" s="13">
        <v>15</v>
      </c>
      <c r="LC75" s="32"/>
      <c r="LD75" s="194"/>
      <c r="LE75" s="194"/>
      <c r="LF75" s="30">
        <f>SUM(LC75:LE75)</f>
        <v>0</v>
      </c>
      <c r="LG75" s="28">
        <f>LF75*LB75</f>
        <v>0</v>
      </c>
      <c r="LI75" s="583" t="s">
        <v>308</v>
      </c>
      <c r="LJ75" s="584"/>
      <c r="LK75" s="584"/>
      <c r="LL75" s="584"/>
      <c r="LM75" s="584"/>
      <c r="LN75" s="585"/>
      <c r="LO75" s="13">
        <v>15</v>
      </c>
      <c r="LP75" s="32"/>
      <c r="LQ75" s="194"/>
      <c r="LR75" s="194"/>
      <c r="LS75" s="194"/>
      <c r="LT75" s="194"/>
      <c r="LU75" s="194"/>
      <c r="LV75" s="194"/>
      <c r="LW75" s="194"/>
      <c r="LX75" s="194"/>
      <c r="LY75" s="194">
        <v>1</v>
      </c>
      <c r="LZ75" s="194"/>
      <c r="MA75" s="194"/>
      <c r="MB75" s="194"/>
      <c r="MC75" s="194">
        <v>17</v>
      </c>
      <c r="MD75" s="194"/>
      <c r="ME75" s="30">
        <f t="shared" si="57"/>
        <v>18</v>
      </c>
      <c r="MF75" s="28">
        <f t="shared" si="54"/>
        <v>270</v>
      </c>
      <c r="MH75" s="583" t="s">
        <v>308</v>
      </c>
      <c r="MI75" s="584"/>
      <c r="MJ75" s="584"/>
      <c r="MK75" s="584"/>
      <c r="ML75" s="584"/>
      <c r="MM75" s="585"/>
      <c r="MN75" s="13">
        <v>15</v>
      </c>
      <c r="MO75" s="32"/>
      <c r="MP75" s="194"/>
      <c r="MQ75" s="194"/>
      <c r="MR75" s="194"/>
      <c r="MS75" s="194">
        <v>2</v>
      </c>
      <c r="MT75" s="194">
        <v>8</v>
      </c>
      <c r="MU75" s="194"/>
      <c r="MV75" s="194"/>
      <c r="MW75" s="194"/>
      <c r="MX75" s="194"/>
      <c r="MY75" s="194"/>
      <c r="MZ75" s="194"/>
      <c r="NA75" s="194"/>
      <c r="NB75" s="194"/>
      <c r="NC75" s="194"/>
      <c r="ND75" s="30">
        <f t="shared" si="58"/>
        <v>10</v>
      </c>
      <c r="NE75" s="28">
        <f t="shared" si="55"/>
        <v>150</v>
      </c>
      <c r="NG75" s="583" t="s">
        <v>308</v>
      </c>
      <c r="NH75" s="584"/>
      <c r="NI75" s="584"/>
      <c r="NJ75" s="584"/>
      <c r="NK75" s="584"/>
      <c r="NL75" s="585"/>
      <c r="NM75" s="13">
        <v>15</v>
      </c>
      <c r="NN75" s="194"/>
      <c r="NO75" s="194"/>
      <c r="NP75" s="194"/>
      <c r="NQ75" s="194"/>
      <c r="NR75" s="194"/>
      <c r="NS75" s="194"/>
      <c r="NT75" s="194"/>
      <c r="NU75" s="194"/>
      <c r="NV75" s="194"/>
      <c r="NW75" s="194"/>
      <c r="NX75" s="194"/>
      <c r="NY75" s="194"/>
      <c r="NZ75" s="194"/>
      <c r="OA75" s="194"/>
      <c r="OB75" s="194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58"/>
      <c r="B76" s="12"/>
      <c r="C76" s="12"/>
      <c r="D76" s="12"/>
      <c r="E76" s="12"/>
      <c r="F76" s="12"/>
      <c r="G76" s="12"/>
      <c r="H76" s="12"/>
      <c r="I76" s="12"/>
      <c r="J76" s="12"/>
      <c r="K76" s="200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200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200"/>
      <c r="AP76" s="34"/>
      <c r="AQ76" s="19"/>
      <c r="AS76" s="12"/>
      <c r="AT76" s="12"/>
      <c r="AU76" s="12"/>
      <c r="AV76" s="12"/>
      <c r="AW76" s="12"/>
      <c r="AX76" s="12"/>
      <c r="AY76" s="12"/>
      <c r="AZ76" s="200"/>
      <c r="BA76" s="200"/>
      <c r="BB76" s="200"/>
      <c r="BC76" s="200"/>
      <c r="BD76" s="201"/>
      <c r="BE76" s="28"/>
      <c r="BF76" s="25"/>
      <c r="BG76" s="12"/>
      <c r="BH76" s="12"/>
      <c r="BI76" s="12"/>
      <c r="BJ76" s="12"/>
      <c r="BK76" s="12"/>
      <c r="BL76" s="12"/>
      <c r="BM76" s="12"/>
      <c r="BN76" s="200"/>
      <c r="BO76" s="200"/>
      <c r="BP76" s="201"/>
      <c r="BQ76" s="28"/>
      <c r="BR76" s="25"/>
      <c r="BS76" s="190"/>
      <c r="BT76" s="198"/>
      <c r="BU76" s="198"/>
      <c r="BV76" s="198"/>
      <c r="BW76" s="198"/>
      <c r="BX76" s="199"/>
      <c r="BY76" s="12"/>
      <c r="BZ76" s="200"/>
      <c r="CA76" s="200"/>
      <c r="CB76" s="200"/>
      <c r="CC76" s="200"/>
      <c r="CD76" s="200"/>
      <c r="CE76" s="200"/>
      <c r="CF76" s="200"/>
      <c r="CG76" s="200"/>
      <c r="CH76" s="200"/>
      <c r="CI76" s="201"/>
      <c r="CJ76" s="28"/>
      <c r="CL76" s="190"/>
      <c r="CM76" s="198"/>
      <c r="CN76" s="198"/>
      <c r="CO76" s="198"/>
      <c r="CP76" s="198"/>
      <c r="CQ76" s="199"/>
      <c r="CR76" s="12"/>
      <c r="CS76" s="200"/>
      <c r="CT76" s="200"/>
      <c r="CU76" s="200"/>
      <c r="CV76" s="200"/>
      <c r="CW76" s="200"/>
      <c r="CX76" s="200"/>
      <c r="CY76" s="200"/>
      <c r="CZ76" s="202"/>
      <c r="DA76" s="201"/>
      <c r="DB76" s="28"/>
      <c r="DC76" s="33"/>
      <c r="DD76" s="12"/>
      <c r="DE76" s="12"/>
      <c r="DF76" s="12"/>
      <c r="DG76" s="12"/>
      <c r="DH76" s="12"/>
      <c r="DI76" s="12"/>
      <c r="DJ76" s="12"/>
      <c r="DK76" s="202"/>
      <c r="DL76" s="202"/>
      <c r="DM76" s="202"/>
      <c r="DN76" s="202"/>
      <c r="DO76" s="202"/>
      <c r="DP76" s="202"/>
      <c r="DQ76" s="202"/>
      <c r="DR76" s="202"/>
      <c r="DS76" s="202"/>
      <c r="DT76" s="202"/>
      <c r="DU76" s="201"/>
      <c r="DV76" s="28"/>
      <c r="DX76" s="12"/>
      <c r="DY76" s="12"/>
      <c r="DZ76" s="12"/>
      <c r="EA76" s="12"/>
      <c r="EB76" s="12"/>
      <c r="EC76" s="12"/>
      <c r="ED76" s="12"/>
      <c r="EE76" s="202"/>
      <c r="EF76" s="202"/>
      <c r="EG76" s="202"/>
      <c r="EH76" s="202"/>
      <c r="EI76" s="202"/>
      <c r="EJ76" s="202"/>
      <c r="EK76" s="202"/>
      <c r="EL76" s="202"/>
      <c r="EM76" s="202"/>
      <c r="EN76" s="202"/>
      <c r="EO76" s="201"/>
      <c r="EP76" s="28"/>
      <c r="ER76" s="12"/>
      <c r="ES76" s="12"/>
      <c r="ET76" s="12"/>
      <c r="EU76" s="12"/>
      <c r="EV76" s="12"/>
      <c r="EW76" s="12"/>
      <c r="EX76" s="12"/>
      <c r="EY76" s="202"/>
      <c r="EZ76" s="202"/>
      <c r="FA76" s="202"/>
      <c r="FB76" s="202"/>
      <c r="FC76" s="202"/>
      <c r="FD76" s="202"/>
      <c r="FE76" s="202"/>
      <c r="FF76" s="202"/>
      <c r="FG76" s="202"/>
      <c r="FH76" s="202"/>
      <c r="FI76" s="202"/>
      <c r="FJ76" s="202"/>
      <c r="FK76" s="202"/>
      <c r="FL76" s="202"/>
      <c r="FM76" s="202"/>
      <c r="FN76" s="202"/>
      <c r="FO76" s="202"/>
      <c r="FP76" s="202"/>
      <c r="FQ76" s="202"/>
      <c r="FR76" s="202"/>
      <c r="FS76" s="202"/>
      <c r="FT76" s="201"/>
      <c r="FU76" s="226"/>
      <c r="FW76" s="12"/>
      <c r="FX76" s="12"/>
      <c r="FY76" s="12"/>
      <c r="FZ76" s="12"/>
      <c r="GA76" s="12"/>
      <c r="GB76" s="12"/>
      <c r="GC76" s="12"/>
      <c r="GD76" s="204"/>
      <c r="GE76" s="204"/>
      <c r="GF76" s="204"/>
      <c r="GG76" s="204"/>
      <c r="GH76" s="204"/>
      <c r="GI76" s="204"/>
      <c r="GJ76" s="204"/>
      <c r="GK76" s="204"/>
      <c r="GL76" s="204"/>
      <c r="GM76" s="204"/>
      <c r="GN76" s="204"/>
      <c r="GO76" s="204"/>
      <c r="GP76" s="204"/>
      <c r="GQ76" s="201"/>
      <c r="GR76" s="226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201"/>
      <c r="HM76" s="226"/>
      <c r="HO76" s="12"/>
      <c r="HP76" s="12"/>
      <c r="HQ76" s="12"/>
      <c r="HR76" s="12"/>
      <c r="HS76" s="12"/>
      <c r="HT76" s="12"/>
      <c r="HU76" s="12"/>
      <c r="HV76" s="32"/>
      <c r="HW76" s="201"/>
      <c r="HX76" s="226"/>
      <c r="HZ76" s="12"/>
      <c r="IA76" s="12"/>
      <c r="IB76" s="12"/>
      <c r="IC76" s="12"/>
      <c r="ID76" s="12"/>
      <c r="IE76" s="12"/>
      <c r="IF76" s="12"/>
      <c r="IG76" s="32"/>
      <c r="IH76" s="194"/>
      <c r="II76" s="194"/>
      <c r="IJ76" s="194"/>
      <c r="IK76" s="194"/>
      <c r="IL76" s="194"/>
      <c r="IM76" s="201"/>
      <c r="IN76" s="226"/>
      <c r="IP76" s="12"/>
      <c r="IQ76" s="12"/>
      <c r="IR76" s="12"/>
      <c r="IS76" s="12"/>
      <c r="IT76" s="12"/>
      <c r="IU76" s="12"/>
      <c r="IV76" s="12"/>
      <c r="IW76" s="32"/>
      <c r="IX76" s="194"/>
      <c r="IY76" s="201"/>
      <c r="IZ76" s="226"/>
      <c r="JB76" s="12"/>
      <c r="JC76" s="12"/>
      <c r="JD76" s="12"/>
      <c r="JE76" s="12"/>
      <c r="JF76" s="12"/>
      <c r="JG76" s="12"/>
      <c r="JH76" s="12"/>
      <c r="JI76" s="32"/>
      <c r="JJ76" s="194"/>
      <c r="JK76" s="194"/>
      <c r="JL76" s="194"/>
      <c r="JM76" s="194"/>
      <c r="JN76" s="194"/>
      <c r="JO76" s="194"/>
      <c r="JP76" s="194"/>
      <c r="JQ76" s="194"/>
      <c r="JR76" s="194"/>
      <c r="JS76" s="194"/>
      <c r="JT76" s="194"/>
      <c r="JU76" s="194"/>
      <c r="JV76" s="194"/>
      <c r="JW76" s="194"/>
      <c r="JX76" s="194"/>
      <c r="JY76" s="194"/>
      <c r="JZ76" s="194"/>
      <c r="KA76" s="194"/>
      <c r="KB76" s="194"/>
      <c r="KC76" s="194"/>
      <c r="KD76" s="202"/>
      <c r="KE76" s="201"/>
      <c r="KF76" s="226"/>
      <c r="KH76" s="12"/>
      <c r="KI76" s="12"/>
      <c r="KJ76" s="12"/>
      <c r="KK76" s="12"/>
      <c r="KL76" s="12"/>
      <c r="KM76" s="12"/>
      <c r="KN76" s="12"/>
      <c r="KO76" s="311"/>
      <c r="KP76" s="312"/>
      <c r="KQ76" s="312"/>
      <c r="KR76" s="312"/>
      <c r="KS76" s="201"/>
      <c r="KT76" s="226"/>
      <c r="KV76" s="586" t="s">
        <v>337</v>
      </c>
      <c r="KW76" s="587"/>
      <c r="KX76" s="587"/>
      <c r="KY76" s="587"/>
      <c r="KZ76" s="587"/>
      <c r="LA76" s="588"/>
      <c r="LB76" s="28">
        <v>9</v>
      </c>
      <c r="LC76" s="63">
        <v>1</v>
      </c>
      <c r="LD76" s="109"/>
      <c r="LE76" s="109"/>
      <c r="LF76" s="30">
        <f t="shared" ref="LF76:LF90" si="61">SUM(LC76:LE76)</f>
        <v>1</v>
      </c>
      <c r="LG76" s="28">
        <f t="shared" ref="LG76:LG90" si="62">LF76*LB76</f>
        <v>9</v>
      </c>
      <c r="LI76" s="586" t="s">
        <v>337</v>
      </c>
      <c r="LJ76" s="587"/>
      <c r="LK76" s="587"/>
      <c r="LL76" s="587"/>
      <c r="LM76" s="587"/>
      <c r="LN76" s="588"/>
      <c r="LO76" s="28">
        <v>9</v>
      </c>
      <c r="LP76" s="63"/>
      <c r="LQ76" s="109"/>
      <c r="LR76" s="109"/>
      <c r="LS76" s="109"/>
      <c r="LT76" s="109"/>
      <c r="LU76" s="109"/>
      <c r="LV76" s="109"/>
      <c r="LW76" s="109"/>
      <c r="LX76" s="109"/>
      <c r="LY76" s="109"/>
      <c r="LZ76" s="109"/>
      <c r="MA76" s="109"/>
      <c r="MB76" s="109"/>
      <c r="MC76" s="109"/>
      <c r="MD76" s="109"/>
      <c r="ME76" s="30">
        <f t="shared" si="57"/>
        <v>0</v>
      </c>
      <c r="MF76" s="28">
        <f t="shared" si="54"/>
        <v>0</v>
      </c>
      <c r="MH76" s="586" t="s">
        <v>337</v>
      </c>
      <c r="MI76" s="587"/>
      <c r="MJ76" s="587"/>
      <c r="MK76" s="587"/>
      <c r="ML76" s="587"/>
      <c r="MM76" s="588"/>
      <c r="MN76" s="28">
        <v>9</v>
      </c>
      <c r="MO76" s="63"/>
      <c r="MP76" s="109"/>
      <c r="MQ76" s="109"/>
      <c r="MR76" s="109"/>
      <c r="MS76" s="109"/>
      <c r="MT76" s="109"/>
      <c r="MU76" s="109"/>
      <c r="MV76" s="109"/>
      <c r="MW76" s="109"/>
      <c r="MX76" s="109"/>
      <c r="MY76" s="109"/>
      <c r="MZ76" s="109"/>
      <c r="NA76" s="109"/>
      <c r="NB76" s="109"/>
      <c r="NC76" s="109"/>
      <c r="ND76" s="30">
        <f t="shared" si="58"/>
        <v>0</v>
      </c>
      <c r="NE76" s="28">
        <f t="shared" si="55"/>
        <v>0</v>
      </c>
      <c r="NG76" s="586" t="s">
        <v>337</v>
      </c>
      <c r="NH76" s="587"/>
      <c r="NI76" s="587"/>
      <c r="NJ76" s="587"/>
      <c r="NK76" s="587"/>
      <c r="NL76" s="588"/>
      <c r="NM76" s="28">
        <v>9</v>
      </c>
      <c r="NN76" s="109"/>
      <c r="NO76" s="109"/>
      <c r="NP76" s="109"/>
      <c r="NQ76" s="109"/>
      <c r="NR76" s="109"/>
      <c r="NS76" s="109"/>
      <c r="NT76" s="109"/>
      <c r="NU76" s="109"/>
      <c r="NV76" s="109"/>
      <c r="NW76" s="109"/>
      <c r="NX76" s="109"/>
      <c r="NY76" s="109"/>
      <c r="NZ76" s="109"/>
      <c r="OA76" s="109"/>
      <c r="OB76" s="109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58"/>
      <c r="B77" s="12"/>
      <c r="C77" s="12"/>
      <c r="D77" s="12"/>
      <c r="E77" s="12"/>
      <c r="F77" s="12"/>
      <c r="G77" s="12"/>
      <c r="H77" s="12"/>
      <c r="I77" s="12"/>
      <c r="J77" s="12"/>
      <c r="K77" s="200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200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200"/>
      <c r="AP77" s="34"/>
      <c r="AQ77" s="19"/>
      <c r="AS77" s="12"/>
      <c r="AT77" s="12"/>
      <c r="AU77" s="12"/>
      <c r="AV77" s="12"/>
      <c r="AW77" s="12"/>
      <c r="AX77" s="12"/>
      <c r="AY77" s="12"/>
      <c r="AZ77" s="200"/>
      <c r="BA77" s="200"/>
      <c r="BB77" s="200"/>
      <c r="BC77" s="200"/>
      <c r="BD77" s="201"/>
      <c r="BE77" s="28"/>
      <c r="BF77" s="25"/>
      <c r="BG77" s="12"/>
      <c r="BH77" s="12"/>
      <c r="BI77" s="12"/>
      <c r="BJ77" s="12"/>
      <c r="BK77" s="12"/>
      <c r="BL77" s="12"/>
      <c r="BM77" s="12"/>
      <c r="BN77" s="200"/>
      <c r="BO77" s="200"/>
      <c r="BP77" s="201"/>
      <c r="BQ77" s="28"/>
      <c r="BR77" s="25"/>
      <c r="BS77" s="190"/>
      <c r="BT77" s="198"/>
      <c r="BU77" s="198"/>
      <c r="BV77" s="198"/>
      <c r="BW77" s="198"/>
      <c r="BX77" s="199"/>
      <c r="BY77" s="12"/>
      <c r="BZ77" s="200"/>
      <c r="CA77" s="200"/>
      <c r="CB77" s="200"/>
      <c r="CC77" s="200"/>
      <c r="CD77" s="200"/>
      <c r="CE77" s="200"/>
      <c r="CF77" s="200"/>
      <c r="CG77" s="200"/>
      <c r="CH77" s="200"/>
      <c r="CI77" s="201"/>
      <c r="CJ77" s="28"/>
      <c r="CL77" s="190"/>
      <c r="CM77" s="198"/>
      <c r="CN77" s="198"/>
      <c r="CO77" s="198"/>
      <c r="CP77" s="198"/>
      <c r="CQ77" s="199"/>
      <c r="CR77" s="12"/>
      <c r="CS77" s="200"/>
      <c r="CT77" s="200"/>
      <c r="CU77" s="200"/>
      <c r="CV77" s="200"/>
      <c r="CW77" s="200"/>
      <c r="CX77" s="200"/>
      <c r="CY77" s="200"/>
      <c r="CZ77" s="202"/>
      <c r="DA77" s="201"/>
      <c r="DB77" s="28"/>
      <c r="DC77" s="33"/>
      <c r="DD77" s="12"/>
      <c r="DE77" s="12"/>
      <c r="DF77" s="12"/>
      <c r="DG77" s="12"/>
      <c r="DH77" s="12"/>
      <c r="DI77" s="12"/>
      <c r="DJ77" s="12"/>
      <c r="DK77" s="202"/>
      <c r="DL77" s="202"/>
      <c r="DM77" s="202"/>
      <c r="DN77" s="202"/>
      <c r="DO77" s="202"/>
      <c r="DP77" s="202"/>
      <c r="DQ77" s="202"/>
      <c r="DR77" s="202"/>
      <c r="DS77" s="202"/>
      <c r="DT77" s="202"/>
      <c r="DU77" s="201"/>
      <c r="DV77" s="28"/>
      <c r="DX77" s="12"/>
      <c r="DY77" s="12"/>
      <c r="DZ77" s="12"/>
      <c r="EA77" s="12"/>
      <c r="EB77" s="12"/>
      <c r="EC77" s="12"/>
      <c r="ED77" s="12"/>
      <c r="EE77" s="202"/>
      <c r="EF77" s="202"/>
      <c r="EG77" s="202"/>
      <c r="EH77" s="202"/>
      <c r="EI77" s="202"/>
      <c r="EJ77" s="202"/>
      <c r="EK77" s="202"/>
      <c r="EL77" s="202"/>
      <c r="EM77" s="202"/>
      <c r="EN77" s="202"/>
      <c r="EO77" s="201"/>
      <c r="EP77" s="28"/>
      <c r="ER77" s="12"/>
      <c r="ES77" s="12"/>
      <c r="ET77" s="12"/>
      <c r="EU77" s="12"/>
      <c r="EV77" s="12"/>
      <c r="EW77" s="12"/>
      <c r="EX77" s="12"/>
      <c r="EY77" s="202"/>
      <c r="EZ77" s="202"/>
      <c r="FA77" s="202"/>
      <c r="FB77" s="202"/>
      <c r="FC77" s="202"/>
      <c r="FD77" s="202"/>
      <c r="FE77" s="202"/>
      <c r="FF77" s="202"/>
      <c r="FG77" s="202"/>
      <c r="FH77" s="202"/>
      <c r="FI77" s="202"/>
      <c r="FJ77" s="202"/>
      <c r="FK77" s="202"/>
      <c r="FL77" s="202"/>
      <c r="FM77" s="202"/>
      <c r="FN77" s="202"/>
      <c r="FO77" s="202"/>
      <c r="FP77" s="202"/>
      <c r="FQ77" s="202"/>
      <c r="FR77" s="202"/>
      <c r="FS77" s="202"/>
      <c r="FT77" s="201"/>
      <c r="FU77" s="226"/>
      <c r="FW77" s="12"/>
      <c r="FX77" s="12"/>
      <c r="FY77" s="12"/>
      <c r="FZ77" s="12"/>
      <c r="GA77" s="12"/>
      <c r="GB77" s="12"/>
      <c r="GC77" s="12"/>
      <c r="GD77" s="204"/>
      <c r="GE77" s="204"/>
      <c r="GF77" s="204"/>
      <c r="GG77" s="204"/>
      <c r="GH77" s="204"/>
      <c r="GI77" s="204"/>
      <c r="GJ77" s="204"/>
      <c r="GK77" s="204"/>
      <c r="GL77" s="204"/>
      <c r="GM77" s="204"/>
      <c r="GN77" s="204"/>
      <c r="GO77" s="204"/>
      <c r="GP77" s="204"/>
      <c r="GQ77" s="201"/>
      <c r="GR77" s="226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201"/>
      <c r="HM77" s="226"/>
      <c r="HO77" s="12"/>
      <c r="HP77" s="12"/>
      <c r="HQ77" s="12"/>
      <c r="HR77" s="12"/>
      <c r="HS77" s="12"/>
      <c r="HT77" s="12"/>
      <c r="HU77" s="12"/>
      <c r="HV77" s="32"/>
      <c r="HW77" s="201"/>
      <c r="HX77" s="226"/>
      <c r="HZ77" s="12"/>
      <c r="IA77" s="12"/>
      <c r="IB77" s="12"/>
      <c r="IC77" s="12"/>
      <c r="ID77" s="12"/>
      <c r="IE77" s="12"/>
      <c r="IF77" s="12"/>
      <c r="IG77" s="32"/>
      <c r="IH77" s="194"/>
      <c r="II77" s="194"/>
      <c r="IJ77" s="194"/>
      <c r="IK77" s="194"/>
      <c r="IL77" s="194"/>
      <c r="IM77" s="201"/>
      <c r="IN77" s="226"/>
      <c r="IP77" s="12"/>
      <c r="IQ77" s="12"/>
      <c r="IR77" s="12"/>
      <c r="IS77" s="12"/>
      <c r="IT77" s="12"/>
      <c r="IU77" s="12"/>
      <c r="IV77" s="12"/>
      <c r="IW77" s="32"/>
      <c r="IX77" s="194"/>
      <c r="IY77" s="201"/>
      <c r="IZ77" s="226"/>
      <c r="JB77" s="12"/>
      <c r="JC77" s="12"/>
      <c r="JD77" s="12"/>
      <c r="JE77" s="12"/>
      <c r="JF77" s="12"/>
      <c r="JG77" s="12"/>
      <c r="JH77" s="12"/>
      <c r="JI77" s="32"/>
      <c r="JJ77" s="194"/>
      <c r="JK77" s="194"/>
      <c r="JL77" s="194"/>
      <c r="JM77" s="194"/>
      <c r="JN77" s="194"/>
      <c r="JO77" s="194"/>
      <c r="JP77" s="194"/>
      <c r="JQ77" s="194"/>
      <c r="JR77" s="194"/>
      <c r="JS77" s="194"/>
      <c r="JT77" s="194"/>
      <c r="JU77" s="194"/>
      <c r="JV77" s="194"/>
      <c r="JW77" s="194"/>
      <c r="JX77" s="194"/>
      <c r="JY77" s="194"/>
      <c r="JZ77" s="194"/>
      <c r="KA77" s="194"/>
      <c r="KB77" s="194"/>
      <c r="KC77" s="194"/>
      <c r="KD77" s="202"/>
      <c r="KE77" s="201"/>
      <c r="KF77" s="226"/>
      <c r="KH77" s="12"/>
      <c r="KI77" s="12"/>
      <c r="KJ77" s="12"/>
      <c r="KK77" s="12"/>
      <c r="KL77" s="12"/>
      <c r="KM77" s="12"/>
      <c r="KN77" s="12"/>
      <c r="KO77" s="311"/>
      <c r="KP77" s="312"/>
      <c r="KQ77" s="312"/>
      <c r="KR77" s="312"/>
      <c r="KS77" s="201"/>
      <c r="KT77" s="226"/>
      <c r="KV77" s="566" t="s">
        <v>323</v>
      </c>
      <c r="KW77" s="567"/>
      <c r="KX77" s="567"/>
      <c r="KY77" s="567"/>
      <c r="KZ77" s="567"/>
      <c r="LA77" s="568"/>
      <c r="LB77" s="13">
        <v>13</v>
      </c>
      <c r="LC77" s="32"/>
      <c r="LD77" s="194"/>
      <c r="LE77" s="194"/>
      <c r="LF77" s="30">
        <f t="shared" si="61"/>
        <v>0</v>
      </c>
      <c r="LG77" s="28">
        <f t="shared" si="62"/>
        <v>0</v>
      </c>
      <c r="LI77" s="566" t="s">
        <v>323</v>
      </c>
      <c r="LJ77" s="567"/>
      <c r="LK77" s="567"/>
      <c r="LL77" s="567"/>
      <c r="LM77" s="567"/>
      <c r="LN77" s="568"/>
      <c r="LO77" s="13">
        <v>13</v>
      </c>
      <c r="LP77" s="32"/>
      <c r="LQ77" s="194"/>
      <c r="LR77" s="194"/>
      <c r="LS77" s="194"/>
      <c r="LT77" s="194"/>
      <c r="LU77" s="194"/>
      <c r="LV77" s="194"/>
      <c r="LW77" s="194"/>
      <c r="LX77" s="194"/>
      <c r="LY77" s="194"/>
      <c r="LZ77" s="194"/>
      <c r="MA77" s="194"/>
      <c r="MB77" s="194"/>
      <c r="MC77" s="194"/>
      <c r="MD77" s="194"/>
      <c r="ME77" s="30">
        <f t="shared" si="57"/>
        <v>0</v>
      </c>
      <c r="MF77" s="28">
        <f t="shared" si="54"/>
        <v>0</v>
      </c>
      <c r="MH77" s="566" t="s">
        <v>323</v>
      </c>
      <c r="MI77" s="567"/>
      <c r="MJ77" s="567"/>
      <c r="MK77" s="567"/>
      <c r="ML77" s="567"/>
      <c r="MM77" s="568"/>
      <c r="MN77" s="13">
        <v>13</v>
      </c>
      <c r="MO77" s="32"/>
      <c r="MP77" s="194"/>
      <c r="MQ77" s="194"/>
      <c r="MR77" s="194"/>
      <c r="MS77" s="194"/>
      <c r="MT77" s="194"/>
      <c r="MU77" s="194"/>
      <c r="MV77" s="194"/>
      <c r="MW77" s="194"/>
      <c r="MX77" s="194"/>
      <c r="MY77" s="194"/>
      <c r="MZ77" s="194"/>
      <c r="NA77" s="194"/>
      <c r="NB77" s="194"/>
      <c r="NC77" s="194"/>
      <c r="ND77" s="30">
        <f t="shared" si="58"/>
        <v>0</v>
      </c>
      <c r="NE77" s="28">
        <f t="shared" si="55"/>
        <v>0</v>
      </c>
      <c r="NG77" s="566" t="s">
        <v>323</v>
      </c>
      <c r="NH77" s="567"/>
      <c r="NI77" s="567"/>
      <c r="NJ77" s="567"/>
      <c r="NK77" s="567"/>
      <c r="NL77" s="568"/>
      <c r="NM77" s="13">
        <v>13</v>
      </c>
      <c r="NN77" s="194"/>
      <c r="NO77" s="194"/>
      <c r="NP77" s="194"/>
      <c r="NQ77" s="194"/>
      <c r="NR77" s="194"/>
      <c r="NS77" s="194">
        <v>5</v>
      </c>
      <c r="NT77" s="194"/>
      <c r="NU77" s="194"/>
      <c r="NV77" s="194"/>
      <c r="NW77" s="194"/>
      <c r="NX77" s="194"/>
      <c r="NY77" s="194"/>
      <c r="NZ77" s="194"/>
      <c r="OA77" s="194"/>
      <c r="OB77" s="194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58"/>
      <c r="B78" s="12"/>
      <c r="C78" s="12"/>
      <c r="D78" s="12"/>
      <c r="E78" s="12"/>
      <c r="F78" s="12"/>
      <c r="G78" s="12"/>
      <c r="H78" s="12"/>
      <c r="I78" s="12"/>
      <c r="J78" s="12"/>
      <c r="K78" s="200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200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200"/>
      <c r="AP78" s="34"/>
      <c r="AQ78" s="19"/>
      <c r="AS78" s="12"/>
      <c r="AT78" s="12"/>
      <c r="AU78" s="12"/>
      <c r="AV78" s="12"/>
      <c r="AW78" s="12"/>
      <c r="AX78" s="12"/>
      <c r="AY78" s="12"/>
      <c r="AZ78" s="200"/>
      <c r="BA78" s="200"/>
      <c r="BB78" s="200"/>
      <c r="BC78" s="200"/>
      <c r="BD78" s="201"/>
      <c r="BE78" s="28"/>
      <c r="BF78" s="25"/>
      <c r="BG78" s="12"/>
      <c r="BH78" s="12"/>
      <c r="BI78" s="12"/>
      <c r="BJ78" s="12"/>
      <c r="BK78" s="12"/>
      <c r="BL78" s="12"/>
      <c r="BM78" s="12"/>
      <c r="BN78" s="200"/>
      <c r="BO78" s="200"/>
      <c r="BP78" s="201"/>
      <c r="BQ78" s="28"/>
      <c r="BR78" s="25"/>
      <c r="BS78" s="190"/>
      <c r="BT78" s="198"/>
      <c r="BU78" s="198"/>
      <c r="BV78" s="198"/>
      <c r="BW78" s="198"/>
      <c r="BX78" s="199"/>
      <c r="BY78" s="12"/>
      <c r="BZ78" s="200"/>
      <c r="CA78" s="200"/>
      <c r="CB78" s="200"/>
      <c r="CC78" s="200"/>
      <c r="CD78" s="200"/>
      <c r="CE78" s="200"/>
      <c r="CF78" s="200"/>
      <c r="CG78" s="200"/>
      <c r="CH78" s="200"/>
      <c r="CI78" s="201"/>
      <c r="CJ78" s="28"/>
      <c r="CL78" s="190"/>
      <c r="CM78" s="198"/>
      <c r="CN78" s="198"/>
      <c r="CO78" s="198"/>
      <c r="CP78" s="198"/>
      <c r="CQ78" s="199"/>
      <c r="CR78" s="12"/>
      <c r="CS78" s="200"/>
      <c r="CT78" s="200"/>
      <c r="CU78" s="200"/>
      <c r="CV78" s="200"/>
      <c r="CW78" s="200"/>
      <c r="CX78" s="200"/>
      <c r="CY78" s="200"/>
      <c r="CZ78" s="202"/>
      <c r="DA78" s="201"/>
      <c r="DB78" s="28"/>
      <c r="DC78" s="33"/>
      <c r="DD78" s="12"/>
      <c r="DE78" s="12"/>
      <c r="DF78" s="12"/>
      <c r="DG78" s="12"/>
      <c r="DH78" s="12"/>
      <c r="DI78" s="12"/>
      <c r="DJ78" s="12"/>
      <c r="DK78" s="202"/>
      <c r="DL78" s="202"/>
      <c r="DM78" s="202"/>
      <c r="DN78" s="202"/>
      <c r="DO78" s="202"/>
      <c r="DP78" s="202"/>
      <c r="DQ78" s="202"/>
      <c r="DR78" s="202"/>
      <c r="DS78" s="202"/>
      <c r="DT78" s="202"/>
      <c r="DU78" s="201"/>
      <c r="DV78" s="28"/>
      <c r="DX78" s="12"/>
      <c r="DY78" s="12"/>
      <c r="DZ78" s="12"/>
      <c r="EA78" s="12"/>
      <c r="EB78" s="12"/>
      <c r="EC78" s="12"/>
      <c r="ED78" s="12"/>
      <c r="EE78" s="202"/>
      <c r="EF78" s="202"/>
      <c r="EG78" s="202"/>
      <c r="EH78" s="202"/>
      <c r="EI78" s="202"/>
      <c r="EJ78" s="202"/>
      <c r="EK78" s="202"/>
      <c r="EL78" s="202"/>
      <c r="EM78" s="202"/>
      <c r="EN78" s="202"/>
      <c r="EO78" s="201"/>
      <c r="EP78" s="28"/>
      <c r="ER78" s="12"/>
      <c r="ES78" s="12"/>
      <c r="ET78" s="12"/>
      <c r="EU78" s="12"/>
      <c r="EV78" s="12"/>
      <c r="EW78" s="12"/>
      <c r="EX78" s="12"/>
      <c r="EY78" s="202"/>
      <c r="EZ78" s="202"/>
      <c r="FA78" s="202"/>
      <c r="FB78" s="202"/>
      <c r="FC78" s="202"/>
      <c r="FD78" s="202"/>
      <c r="FE78" s="202"/>
      <c r="FF78" s="202"/>
      <c r="FG78" s="202"/>
      <c r="FH78" s="202"/>
      <c r="FI78" s="202"/>
      <c r="FJ78" s="202"/>
      <c r="FK78" s="202"/>
      <c r="FL78" s="202"/>
      <c r="FM78" s="202"/>
      <c r="FN78" s="202"/>
      <c r="FO78" s="202"/>
      <c r="FP78" s="202"/>
      <c r="FQ78" s="202"/>
      <c r="FR78" s="202"/>
      <c r="FS78" s="202"/>
      <c r="FT78" s="201"/>
      <c r="FU78" s="226"/>
      <c r="FW78" s="12"/>
      <c r="FX78" s="12"/>
      <c r="FY78" s="12"/>
      <c r="FZ78" s="12"/>
      <c r="GA78" s="12"/>
      <c r="GB78" s="12"/>
      <c r="GC78" s="12"/>
      <c r="GD78" s="204"/>
      <c r="GE78" s="204"/>
      <c r="GF78" s="204"/>
      <c r="GG78" s="204"/>
      <c r="GH78" s="204"/>
      <c r="GI78" s="204"/>
      <c r="GJ78" s="204"/>
      <c r="GK78" s="204"/>
      <c r="GL78" s="204"/>
      <c r="GM78" s="204"/>
      <c r="GN78" s="204"/>
      <c r="GO78" s="204"/>
      <c r="GP78" s="204"/>
      <c r="GQ78" s="201"/>
      <c r="GR78" s="226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201"/>
      <c r="HM78" s="226"/>
      <c r="HO78" s="12"/>
      <c r="HP78" s="12"/>
      <c r="HQ78" s="12"/>
      <c r="HR78" s="12"/>
      <c r="HS78" s="12"/>
      <c r="HT78" s="12"/>
      <c r="HU78" s="12"/>
      <c r="HV78" s="32"/>
      <c r="HW78" s="201"/>
      <c r="HX78" s="226"/>
      <c r="HZ78" s="12"/>
      <c r="IA78" s="12"/>
      <c r="IB78" s="12"/>
      <c r="IC78" s="12"/>
      <c r="ID78" s="12"/>
      <c r="IE78" s="12"/>
      <c r="IF78" s="12"/>
      <c r="IG78" s="32"/>
      <c r="IH78" s="194"/>
      <c r="II78" s="194"/>
      <c r="IJ78" s="194"/>
      <c r="IK78" s="194"/>
      <c r="IL78" s="194"/>
      <c r="IM78" s="201"/>
      <c r="IN78" s="226"/>
      <c r="IP78" s="12"/>
      <c r="IQ78" s="12"/>
      <c r="IR78" s="12"/>
      <c r="IS78" s="12"/>
      <c r="IT78" s="12"/>
      <c r="IU78" s="12"/>
      <c r="IV78" s="12"/>
      <c r="IW78" s="32"/>
      <c r="IX78" s="194"/>
      <c r="IY78" s="201"/>
      <c r="IZ78" s="226"/>
      <c r="JB78" s="12"/>
      <c r="JC78" s="12"/>
      <c r="JD78" s="12"/>
      <c r="JE78" s="12"/>
      <c r="JF78" s="12"/>
      <c r="JG78" s="12"/>
      <c r="JH78" s="12"/>
      <c r="JI78" s="32"/>
      <c r="JJ78" s="194"/>
      <c r="JK78" s="194"/>
      <c r="JL78" s="194"/>
      <c r="JM78" s="194"/>
      <c r="JN78" s="194"/>
      <c r="JO78" s="194"/>
      <c r="JP78" s="194"/>
      <c r="JQ78" s="194"/>
      <c r="JR78" s="194"/>
      <c r="JS78" s="194"/>
      <c r="JT78" s="194"/>
      <c r="JU78" s="194"/>
      <c r="JV78" s="194"/>
      <c r="JW78" s="194"/>
      <c r="JX78" s="194"/>
      <c r="JY78" s="194"/>
      <c r="JZ78" s="194"/>
      <c r="KA78" s="194"/>
      <c r="KB78" s="194"/>
      <c r="KC78" s="194"/>
      <c r="KD78" s="202"/>
      <c r="KE78" s="201"/>
      <c r="KF78" s="226"/>
      <c r="KH78" s="12"/>
      <c r="KI78" s="12"/>
      <c r="KJ78" s="12"/>
      <c r="KK78" s="12"/>
      <c r="KL78" s="12"/>
      <c r="KM78" s="12"/>
      <c r="KN78" s="12"/>
      <c r="KO78" s="311"/>
      <c r="KP78" s="312"/>
      <c r="KQ78" s="312"/>
      <c r="KR78" s="312"/>
      <c r="KS78" s="201"/>
      <c r="KT78" s="226"/>
      <c r="KV78" s="569" t="s">
        <v>324</v>
      </c>
      <c r="KW78" s="570"/>
      <c r="KX78" s="570"/>
      <c r="KY78" s="570"/>
      <c r="KZ78" s="570"/>
      <c r="LA78" s="571"/>
      <c r="LB78" s="28">
        <v>10</v>
      </c>
      <c r="LC78" s="63"/>
      <c r="LD78" s="109"/>
      <c r="LE78" s="109"/>
      <c r="LF78" s="30">
        <f t="shared" si="61"/>
        <v>0</v>
      </c>
      <c r="LG78" s="28">
        <f t="shared" si="62"/>
        <v>0</v>
      </c>
      <c r="LI78" s="569" t="s">
        <v>324</v>
      </c>
      <c r="LJ78" s="570"/>
      <c r="LK78" s="570"/>
      <c r="LL78" s="570"/>
      <c r="LM78" s="570"/>
      <c r="LN78" s="571"/>
      <c r="LO78" s="28">
        <v>10</v>
      </c>
      <c r="LP78" s="63"/>
      <c r="LQ78" s="109"/>
      <c r="LR78" s="109"/>
      <c r="LS78" s="109"/>
      <c r="LT78" s="109"/>
      <c r="LU78" s="109"/>
      <c r="LV78" s="109"/>
      <c r="LW78" s="109"/>
      <c r="LX78" s="109"/>
      <c r="LY78" s="109"/>
      <c r="LZ78" s="109"/>
      <c r="MA78" s="109"/>
      <c r="MB78" s="109"/>
      <c r="MC78" s="109"/>
      <c r="MD78" s="109"/>
      <c r="ME78" s="30">
        <f t="shared" si="57"/>
        <v>0</v>
      </c>
      <c r="MF78" s="28">
        <f t="shared" si="54"/>
        <v>0</v>
      </c>
      <c r="MH78" s="569" t="s">
        <v>324</v>
      </c>
      <c r="MI78" s="570"/>
      <c r="MJ78" s="570"/>
      <c r="MK78" s="570"/>
      <c r="ML78" s="570"/>
      <c r="MM78" s="571"/>
      <c r="MN78" s="28">
        <v>10</v>
      </c>
      <c r="MO78" s="63"/>
      <c r="MP78" s="109"/>
      <c r="MQ78" s="109"/>
      <c r="MR78" s="109"/>
      <c r="MS78" s="109"/>
      <c r="MT78" s="109"/>
      <c r="MU78" s="109"/>
      <c r="MV78" s="109"/>
      <c r="MW78" s="109"/>
      <c r="MX78" s="109"/>
      <c r="MY78" s="109"/>
      <c r="MZ78" s="109"/>
      <c r="NA78" s="109"/>
      <c r="NB78" s="109"/>
      <c r="NC78" s="109"/>
      <c r="ND78" s="30">
        <f t="shared" si="58"/>
        <v>0</v>
      </c>
      <c r="NE78" s="28">
        <f t="shared" si="55"/>
        <v>0</v>
      </c>
      <c r="NG78" s="569" t="s">
        <v>324</v>
      </c>
      <c r="NH78" s="570"/>
      <c r="NI78" s="570"/>
      <c r="NJ78" s="570"/>
      <c r="NK78" s="570"/>
      <c r="NL78" s="571"/>
      <c r="NM78" s="28">
        <v>10</v>
      </c>
      <c r="NN78" s="109"/>
      <c r="NO78" s="109"/>
      <c r="NP78" s="109"/>
      <c r="NQ78" s="109"/>
      <c r="NR78" s="109"/>
      <c r="NS78" s="109"/>
      <c r="NT78" s="109">
        <v>8</v>
      </c>
      <c r="NU78" s="109"/>
      <c r="NV78" s="109"/>
      <c r="NW78" s="109"/>
      <c r="NX78" s="109"/>
      <c r="NY78" s="109"/>
      <c r="NZ78" s="109"/>
      <c r="OA78" s="109"/>
      <c r="OB78" s="109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58"/>
      <c r="B79" s="12"/>
      <c r="C79" s="12"/>
      <c r="D79" s="12"/>
      <c r="E79" s="12"/>
      <c r="F79" s="12"/>
      <c r="G79" s="12"/>
      <c r="H79" s="12"/>
      <c r="I79" s="12"/>
      <c r="J79" s="12"/>
      <c r="K79" s="200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200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200"/>
      <c r="AP79" s="34"/>
      <c r="AQ79" s="19"/>
      <c r="AS79" s="12"/>
      <c r="AT79" s="12"/>
      <c r="AU79" s="12"/>
      <c r="AV79" s="12"/>
      <c r="AW79" s="12"/>
      <c r="AX79" s="12"/>
      <c r="AY79" s="12"/>
      <c r="AZ79" s="200"/>
      <c r="BA79" s="200"/>
      <c r="BB79" s="200"/>
      <c r="BC79" s="200"/>
      <c r="BD79" s="201"/>
      <c r="BE79" s="28"/>
      <c r="BF79" s="25"/>
      <c r="BG79" s="12"/>
      <c r="BH79" s="12"/>
      <c r="BI79" s="12"/>
      <c r="BJ79" s="12"/>
      <c r="BK79" s="12"/>
      <c r="BL79" s="12"/>
      <c r="BM79" s="12"/>
      <c r="BN79" s="200"/>
      <c r="BO79" s="200"/>
      <c r="BP79" s="201"/>
      <c r="BQ79" s="28"/>
      <c r="BR79" s="25"/>
      <c r="BS79" s="190"/>
      <c r="BT79" s="198"/>
      <c r="BU79" s="198"/>
      <c r="BV79" s="198"/>
      <c r="BW79" s="198"/>
      <c r="BX79" s="199"/>
      <c r="BY79" s="12"/>
      <c r="BZ79" s="200"/>
      <c r="CA79" s="200"/>
      <c r="CB79" s="200"/>
      <c r="CC79" s="200"/>
      <c r="CD79" s="200"/>
      <c r="CE79" s="200"/>
      <c r="CF79" s="200"/>
      <c r="CG79" s="200"/>
      <c r="CH79" s="200"/>
      <c r="CI79" s="201"/>
      <c r="CJ79" s="28"/>
      <c r="CL79" s="190"/>
      <c r="CM79" s="198"/>
      <c r="CN79" s="198"/>
      <c r="CO79" s="198"/>
      <c r="CP79" s="198"/>
      <c r="CQ79" s="199"/>
      <c r="CR79" s="12"/>
      <c r="CS79" s="200"/>
      <c r="CT79" s="200"/>
      <c r="CU79" s="200"/>
      <c r="CV79" s="200"/>
      <c r="CW79" s="200"/>
      <c r="CX79" s="200"/>
      <c r="CY79" s="200"/>
      <c r="CZ79" s="202"/>
      <c r="DA79" s="201"/>
      <c r="DB79" s="28"/>
      <c r="DC79" s="33"/>
      <c r="DD79" s="12"/>
      <c r="DE79" s="12"/>
      <c r="DF79" s="12"/>
      <c r="DG79" s="12"/>
      <c r="DH79" s="12"/>
      <c r="DI79" s="12"/>
      <c r="DJ79" s="12"/>
      <c r="DK79" s="202"/>
      <c r="DL79" s="202"/>
      <c r="DM79" s="202"/>
      <c r="DN79" s="202"/>
      <c r="DO79" s="202"/>
      <c r="DP79" s="202"/>
      <c r="DQ79" s="202"/>
      <c r="DR79" s="202"/>
      <c r="DS79" s="202"/>
      <c r="DT79" s="202"/>
      <c r="DU79" s="201"/>
      <c r="DV79" s="28"/>
      <c r="DX79" s="12"/>
      <c r="DY79" s="12"/>
      <c r="DZ79" s="12"/>
      <c r="EA79" s="12"/>
      <c r="EB79" s="12"/>
      <c r="EC79" s="12"/>
      <c r="ED79" s="12"/>
      <c r="EE79" s="202"/>
      <c r="EF79" s="202"/>
      <c r="EG79" s="202"/>
      <c r="EH79" s="202"/>
      <c r="EI79" s="202"/>
      <c r="EJ79" s="202"/>
      <c r="EK79" s="202"/>
      <c r="EL79" s="202"/>
      <c r="EM79" s="202"/>
      <c r="EN79" s="202"/>
      <c r="EO79" s="201"/>
      <c r="EP79" s="28"/>
      <c r="ER79" s="12"/>
      <c r="ES79" s="12"/>
      <c r="ET79" s="12"/>
      <c r="EU79" s="12"/>
      <c r="EV79" s="12"/>
      <c r="EW79" s="12"/>
      <c r="EX79" s="12"/>
      <c r="EY79" s="202"/>
      <c r="EZ79" s="202"/>
      <c r="FA79" s="202"/>
      <c r="FB79" s="202"/>
      <c r="FC79" s="202"/>
      <c r="FD79" s="202"/>
      <c r="FE79" s="202"/>
      <c r="FF79" s="202"/>
      <c r="FG79" s="202"/>
      <c r="FH79" s="202"/>
      <c r="FI79" s="202"/>
      <c r="FJ79" s="202"/>
      <c r="FK79" s="202"/>
      <c r="FL79" s="202"/>
      <c r="FM79" s="202"/>
      <c r="FN79" s="202"/>
      <c r="FO79" s="202"/>
      <c r="FP79" s="202"/>
      <c r="FQ79" s="202"/>
      <c r="FR79" s="202"/>
      <c r="FS79" s="202"/>
      <c r="FT79" s="201"/>
      <c r="FU79" s="226"/>
      <c r="FW79" s="12"/>
      <c r="FX79" s="12"/>
      <c r="FY79" s="12"/>
      <c r="FZ79" s="12"/>
      <c r="GA79" s="12"/>
      <c r="GB79" s="12"/>
      <c r="GC79" s="12"/>
      <c r="GD79" s="204"/>
      <c r="GE79" s="204"/>
      <c r="GF79" s="204"/>
      <c r="GG79" s="204"/>
      <c r="GH79" s="204"/>
      <c r="GI79" s="204"/>
      <c r="GJ79" s="204"/>
      <c r="GK79" s="204"/>
      <c r="GL79" s="204"/>
      <c r="GM79" s="204"/>
      <c r="GN79" s="204"/>
      <c r="GO79" s="204"/>
      <c r="GP79" s="204"/>
      <c r="GQ79" s="201"/>
      <c r="GR79" s="226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201"/>
      <c r="HM79" s="226"/>
      <c r="HO79" s="12"/>
      <c r="HP79" s="12"/>
      <c r="HQ79" s="12"/>
      <c r="HR79" s="12"/>
      <c r="HS79" s="12"/>
      <c r="HT79" s="12"/>
      <c r="HU79" s="12"/>
      <c r="HV79" s="32"/>
      <c r="HW79" s="201"/>
      <c r="HX79" s="226"/>
      <c r="HZ79" s="12"/>
      <c r="IA79" s="12"/>
      <c r="IB79" s="12"/>
      <c r="IC79" s="12"/>
      <c r="ID79" s="12"/>
      <c r="IE79" s="12"/>
      <c r="IF79" s="12"/>
      <c r="IG79" s="32"/>
      <c r="IH79" s="194"/>
      <c r="II79" s="194"/>
      <c r="IJ79" s="194"/>
      <c r="IK79" s="194"/>
      <c r="IL79" s="194"/>
      <c r="IM79" s="201"/>
      <c r="IN79" s="226"/>
      <c r="IP79" s="12"/>
      <c r="IQ79" s="12"/>
      <c r="IR79" s="12"/>
      <c r="IS79" s="12"/>
      <c r="IT79" s="12"/>
      <c r="IU79" s="12"/>
      <c r="IV79" s="12"/>
      <c r="IW79" s="32"/>
      <c r="IX79" s="194"/>
      <c r="IY79" s="201"/>
      <c r="IZ79" s="226"/>
      <c r="JB79" s="12"/>
      <c r="JC79" s="12"/>
      <c r="JD79" s="12"/>
      <c r="JE79" s="12"/>
      <c r="JF79" s="12"/>
      <c r="JG79" s="12"/>
      <c r="JH79" s="12"/>
      <c r="JI79" s="32"/>
      <c r="JJ79" s="194"/>
      <c r="JK79" s="194"/>
      <c r="JL79" s="194"/>
      <c r="JM79" s="194"/>
      <c r="JN79" s="194"/>
      <c r="JO79" s="194"/>
      <c r="JP79" s="194"/>
      <c r="JQ79" s="194"/>
      <c r="JR79" s="194"/>
      <c r="JS79" s="194"/>
      <c r="JT79" s="194"/>
      <c r="JU79" s="194"/>
      <c r="JV79" s="194"/>
      <c r="JW79" s="194"/>
      <c r="JX79" s="194"/>
      <c r="JY79" s="194"/>
      <c r="JZ79" s="194"/>
      <c r="KA79" s="194"/>
      <c r="KB79" s="194"/>
      <c r="KC79" s="194"/>
      <c r="KD79" s="202"/>
      <c r="KE79" s="201"/>
      <c r="KF79" s="226"/>
      <c r="KH79" s="12"/>
      <c r="KI79" s="12"/>
      <c r="KJ79" s="12"/>
      <c r="KK79" s="12"/>
      <c r="KL79" s="12"/>
      <c r="KM79" s="12"/>
      <c r="KN79" s="12"/>
      <c r="KO79" s="311"/>
      <c r="KP79" s="312"/>
      <c r="KQ79" s="312"/>
      <c r="KR79" s="312"/>
      <c r="KS79" s="201"/>
      <c r="KT79" s="226"/>
      <c r="KV79" s="566" t="s">
        <v>326</v>
      </c>
      <c r="KW79" s="567"/>
      <c r="KX79" s="567"/>
      <c r="KY79" s="567"/>
      <c r="KZ79" s="567"/>
      <c r="LA79" s="568"/>
      <c r="LB79" s="13">
        <v>33</v>
      </c>
      <c r="LC79" s="32"/>
      <c r="LD79" s="194"/>
      <c r="LE79" s="194"/>
      <c r="LF79" s="30">
        <f t="shared" si="61"/>
        <v>0</v>
      </c>
      <c r="LG79" s="28">
        <f t="shared" si="62"/>
        <v>0</v>
      </c>
      <c r="LI79" s="566" t="s">
        <v>326</v>
      </c>
      <c r="LJ79" s="567"/>
      <c r="LK79" s="567"/>
      <c r="LL79" s="567"/>
      <c r="LM79" s="567"/>
      <c r="LN79" s="568"/>
      <c r="LO79" s="13">
        <v>33</v>
      </c>
      <c r="LP79" s="32"/>
      <c r="LQ79" s="194"/>
      <c r="LR79" s="194"/>
      <c r="LS79" s="194"/>
      <c r="LT79" s="194"/>
      <c r="LU79" s="194"/>
      <c r="LV79" s="194"/>
      <c r="LW79" s="194"/>
      <c r="LX79" s="194"/>
      <c r="LY79" s="194"/>
      <c r="LZ79" s="194"/>
      <c r="MA79" s="194"/>
      <c r="MB79" s="194"/>
      <c r="MC79" s="194"/>
      <c r="MD79" s="194"/>
      <c r="ME79" s="30">
        <f t="shared" si="57"/>
        <v>0</v>
      </c>
      <c r="MF79" s="28">
        <f t="shared" si="54"/>
        <v>0</v>
      </c>
      <c r="MH79" s="566" t="s">
        <v>326</v>
      </c>
      <c r="MI79" s="567"/>
      <c r="MJ79" s="567"/>
      <c r="MK79" s="567"/>
      <c r="ML79" s="567"/>
      <c r="MM79" s="568"/>
      <c r="MN79" s="13">
        <v>33</v>
      </c>
      <c r="MO79" s="32"/>
      <c r="MP79" s="194"/>
      <c r="MQ79" s="194"/>
      <c r="MR79" s="194"/>
      <c r="MS79" s="194"/>
      <c r="MT79" s="194"/>
      <c r="MU79" s="194"/>
      <c r="MV79" s="194"/>
      <c r="MW79" s="194"/>
      <c r="MX79" s="194"/>
      <c r="MY79" s="194"/>
      <c r="MZ79" s="194"/>
      <c r="NA79" s="194"/>
      <c r="NB79" s="194"/>
      <c r="NC79" s="194"/>
      <c r="ND79" s="30">
        <f t="shared" si="58"/>
        <v>0</v>
      </c>
      <c r="NE79" s="28">
        <f t="shared" si="55"/>
        <v>0</v>
      </c>
      <c r="NG79" s="566" t="s">
        <v>326</v>
      </c>
      <c r="NH79" s="567"/>
      <c r="NI79" s="567"/>
      <c r="NJ79" s="567"/>
      <c r="NK79" s="567"/>
      <c r="NL79" s="568"/>
      <c r="NM79" s="13">
        <v>33</v>
      </c>
      <c r="NN79" s="194"/>
      <c r="NO79" s="194"/>
      <c r="NP79" s="194"/>
      <c r="NQ79" s="194"/>
      <c r="NR79" s="194"/>
      <c r="NS79" s="194"/>
      <c r="NT79" s="194"/>
      <c r="NU79" s="194"/>
      <c r="NV79" s="194"/>
      <c r="NW79" s="194"/>
      <c r="NX79" s="194"/>
      <c r="NY79" s="194"/>
      <c r="NZ79" s="194"/>
      <c r="OA79" s="194"/>
      <c r="OB79" s="194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58"/>
      <c r="B80" s="12"/>
      <c r="C80" s="12"/>
      <c r="D80" s="12"/>
      <c r="E80" s="12"/>
      <c r="F80" s="12"/>
      <c r="G80" s="12"/>
      <c r="H80" s="12"/>
      <c r="I80" s="12"/>
      <c r="J80" s="12"/>
      <c r="K80" s="200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200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200"/>
      <c r="AP80" s="34"/>
      <c r="AQ80" s="19"/>
      <c r="AS80" s="12"/>
      <c r="AT80" s="12"/>
      <c r="AU80" s="12"/>
      <c r="AV80" s="12"/>
      <c r="AW80" s="12"/>
      <c r="AX80" s="12"/>
      <c r="AY80" s="12"/>
      <c r="AZ80" s="200"/>
      <c r="BA80" s="200"/>
      <c r="BB80" s="200"/>
      <c r="BC80" s="200"/>
      <c r="BD80" s="201"/>
      <c r="BE80" s="28"/>
      <c r="BF80" s="25"/>
      <c r="BG80" s="12"/>
      <c r="BH80" s="12"/>
      <c r="BI80" s="12"/>
      <c r="BJ80" s="12"/>
      <c r="BK80" s="12"/>
      <c r="BL80" s="12"/>
      <c r="BM80" s="12"/>
      <c r="BN80" s="200"/>
      <c r="BO80" s="200"/>
      <c r="BP80" s="201"/>
      <c r="BQ80" s="28"/>
      <c r="BR80" s="25"/>
      <c r="BS80" s="190"/>
      <c r="BT80" s="198"/>
      <c r="BU80" s="198"/>
      <c r="BV80" s="198"/>
      <c r="BW80" s="198"/>
      <c r="BX80" s="199"/>
      <c r="BY80" s="12"/>
      <c r="BZ80" s="200"/>
      <c r="CA80" s="200"/>
      <c r="CB80" s="200"/>
      <c r="CC80" s="200"/>
      <c r="CD80" s="200"/>
      <c r="CE80" s="200"/>
      <c r="CF80" s="200"/>
      <c r="CG80" s="200"/>
      <c r="CH80" s="200"/>
      <c r="CI80" s="201"/>
      <c r="CJ80" s="28"/>
      <c r="CL80" s="190"/>
      <c r="CM80" s="198"/>
      <c r="CN80" s="198"/>
      <c r="CO80" s="198"/>
      <c r="CP80" s="198"/>
      <c r="CQ80" s="199"/>
      <c r="CR80" s="12"/>
      <c r="CS80" s="200"/>
      <c r="CT80" s="200"/>
      <c r="CU80" s="200"/>
      <c r="CV80" s="200"/>
      <c r="CW80" s="200"/>
      <c r="CX80" s="200"/>
      <c r="CY80" s="200"/>
      <c r="CZ80" s="202"/>
      <c r="DA80" s="201"/>
      <c r="DB80" s="28"/>
      <c r="DC80" s="33"/>
      <c r="DD80" s="12"/>
      <c r="DE80" s="12"/>
      <c r="DF80" s="12"/>
      <c r="DG80" s="12"/>
      <c r="DH80" s="12"/>
      <c r="DI80" s="12"/>
      <c r="DJ80" s="12"/>
      <c r="DK80" s="202"/>
      <c r="DL80" s="202"/>
      <c r="DM80" s="202"/>
      <c r="DN80" s="202"/>
      <c r="DO80" s="202"/>
      <c r="DP80" s="202"/>
      <c r="DQ80" s="202"/>
      <c r="DR80" s="202"/>
      <c r="DS80" s="202"/>
      <c r="DT80" s="202"/>
      <c r="DU80" s="201"/>
      <c r="DV80" s="28"/>
      <c r="DX80" s="12"/>
      <c r="DY80" s="12"/>
      <c r="DZ80" s="12"/>
      <c r="EA80" s="12"/>
      <c r="EB80" s="12"/>
      <c r="EC80" s="12"/>
      <c r="ED80" s="12"/>
      <c r="EE80" s="202"/>
      <c r="EF80" s="202"/>
      <c r="EG80" s="202"/>
      <c r="EH80" s="202"/>
      <c r="EI80" s="202"/>
      <c r="EJ80" s="202"/>
      <c r="EK80" s="202"/>
      <c r="EL80" s="202"/>
      <c r="EM80" s="202"/>
      <c r="EN80" s="202"/>
      <c r="EO80" s="201"/>
      <c r="EP80" s="28"/>
      <c r="ER80" s="12"/>
      <c r="ES80" s="12"/>
      <c r="ET80" s="12"/>
      <c r="EU80" s="12"/>
      <c r="EV80" s="12"/>
      <c r="EW80" s="12"/>
      <c r="EX80" s="12"/>
      <c r="EY80" s="202"/>
      <c r="EZ80" s="202"/>
      <c r="FA80" s="202"/>
      <c r="FB80" s="202"/>
      <c r="FC80" s="202"/>
      <c r="FD80" s="202"/>
      <c r="FE80" s="202"/>
      <c r="FF80" s="202"/>
      <c r="FG80" s="202"/>
      <c r="FH80" s="202"/>
      <c r="FI80" s="202"/>
      <c r="FJ80" s="202"/>
      <c r="FK80" s="202"/>
      <c r="FL80" s="202"/>
      <c r="FM80" s="202"/>
      <c r="FN80" s="202"/>
      <c r="FO80" s="202"/>
      <c r="FP80" s="202"/>
      <c r="FQ80" s="202"/>
      <c r="FR80" s="202"/>
      <c r="FS80" s="202"/>
      <c r="FT80" s="201"/>
      <c r="FU80" s="226"/>
      <c r="FW80" s="12"/>
      <c r="FX80" s="12"/>
      <c r="FY80" s="12"/>
      <c r="FZ80" s="12"/>
      <c r="GA80" s="12"/>
      <c r="GB80" s="12"/>
      <c r="GC80" s="12"/>
      <c r="GD80" s="204"/>
      <c r="GE80" s="204"/>
      <c r="GF80" s="204"/>
      <c r="GG80" s="204"/>
      <c r="GH80" s="204"/>
      <c r="GI80" s="204"/>
      <c r="GJ80" s="204"/>
      <c r="GK80" s="204"/>
      <c r="GL80" s="204"/>
      <c r="GM80" s="204"/>
      <c r="GN80" s="204"/>
      <c r="GO80" s="204"/>
      <c r="GP80" s="204"/>
      <c r="GQ80" s="201"/>
      <c r="GR80" s="226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201"/>
      <c r="HM80" s="226"/>
      <c r="HO80" s="12"/>
      <c r="HP80" s="12"/>
      <c r="HQ80" s="12"/>
      <c r="HR80" s="12"/>
      <c r="HS80" s="12"/>
      <c r="HT80" s="12"/>
      <c r="HU80" s="12"/>
      <c r="HV80" s="32"/>
      <c r="HW80" s="201"/>
      <c r="HX80" s="226"/>
      <c r="HZ80" s="12"/>
      <c r="IA80" s="12"/>
      <c r="IB80" s="12"/>
      <c r="IC80" s="12"/>
      <c r="ID80" s="12"/>
      <c r="IE80" s="12"/>
      <c r="IF80" s="12"/>
      <c r="IG80" s="32"/>
      <c r="IH80" s="194"/>
      <c r="II80" s="194"/>
      <c r="IJ80" s="194"/>
      <c r="IK80" s="194"/>
      <c r="IL80" s="194"/>
      <c r="IM80" s="201"/>
      <c r="IN80" s="226"/>
      <c r="IP80" s="12"/>
      <c r="IQ80" s="12"/>
      <c r="IR80" s="12"/>
      <c r="IS80" s="12"/>
      <c r="IT80" s="12"/>
      <c r="IU80" s="12"/>
      <c r="IV80" s="12"/>
      <c r="IW80" s="32"/>
      <c r="IX80" s="194"/>
      <c r="IY80" s="201"/>
      <c r="IZ80" s="226"/>
      <c r="JB80" s="12"/>
      <c r="JC80" s="12"/>
      <c r="JD80" s="12"/>
      <c r="JE80" s="12"/>
      <c r="JF80" s="12"/>
      <c r="JG80" s="12"/>
      <c r="JH80" s="12"/>
      <c r="JI80" s="32"/>
      <c r="JJ80" s="194"/>
      <c r="JK80" s="194"/>
      <c r="JL80" s="194"/>
      <c r="JM80" s="194"/>
      <c r="JN80" s="194"/>
      <c r="JO80" s="194"/>
      <c r="JP80" s="194"/>
      <c r="JQ80" s="194"/>
      <c r="JR80" s="194"/>
      <c r="JS80" s="194"/>
      <c r="JT80" s="194"/>
      <c r="JU80" s="194"/>
      <c r="JV80" s="194"/>
      <c r="JW80" s="194"/>
      <c r="JX80" s="194"/>
      <c r="JY80" s="194"/>
      <c r="JZ80" s="194"/>
      <c r="KA80" s="194"/>
      <c r="KB80" s="194"/>
      <c r="KC80" s="194"/>
      <c r="KD80" s="202"/>
      <c r="KE80" s="201"/>
      <c r="KF80" s="226"/>
      <c r="KH80" s="12"/>
      <c r="KI80" s="12"/>
      <c r="KJ80" s="12"/>
      <c r="KK80" s="12"/>
      <c r="KL80" s="12"/>
      <c r="KM80" s="12"/>
      <c r="KN80" s="12"/>
      <c r="KO80" s="311"/>
      <c r="KP80" s="312"/>
      <c r="KQ80" s="312"/>
      <c r="KR80" s="312"/>
      <c r="KS80" s="201"/>
      <c r="KT80" s="226"/>
      <c r="KV80" s="569" t="s">
        <v>327</v>
      </c>
      <c r="KW80" s="570"/>
      <c r="KX80" s="570"/>
      <c r="KY80" s="570"/>
      <c r="KZ80" s="570"/>
      <c r="LA80" s="571"/>
      <c r="LB80" s="28">
        <v>13</v>
      </c>
      <c r="LC80" s="63"/>
      <c r="LD80" s="109"/>
      <c r="LE80" s="109"/>
      <c r="LF80" s="30">
        <f t="shared" si="61"/>
        <v>0</v>
      </c>
      <c r="LG80" s="28">
        <f t="shared" si="62"/>
        <v>0</v>
      </c>
      <c r="LI80" s="569" t="s">
        <v>327</v>
      </c>
      <c r="LJ80" s="570"/>
      <c r="LK80" s="570"/>
      <c r="LL80" s="570"/>
      <c r="LM80" s="570"/>
      <c r="LN80" s="571"/>
      <c r="LO80" s="28">
        <v>13</v>
      </c>
      <c r="LP80" s="63"/>
      <c r="LQ80" s="109"/>
      <c r="LR80" s="109"/>
      <c r="LS80" s="109"/>
      <c r="LT80" s="109"/>
      <c r="LU80" s="109"/>
      <c r="LV80" s="109"/>
      <c r="LW80" s="109"/>
      <c r="LX80" s="109"/>
      <c r="LY80" s="109"/>
      <c r="LZ80" s="109"/>
      <c r="MA80" s="109"/>
      <c r="MB80" s="109"/>
      <c r="MC80" s="109"/>
      <c r="MD80" s="109"/>
      <c r="ME80" s="30">
        <f t="shared" si="57"/>
        <v>0</v>
      </c>
      <c r="MF80" s="28">
        <f t="shared" si="54"/>
        <v>0</v>
      </c>
      <c r="MH80" s="569" t="s">
        <v>327</v>
      </c>
      <c r="MI80" s="570"/>
      <c r="MJ80" s="570"/>
      <c r="MK80" s="570"/>
      <c r="ML80" s="570"/>
      <c r="MM80" s="571"/>
      <c r="MN80" s="28">
        <v>13</v>
      </c>
      <c r="MO80" s="63"/>
      <c r="MP80" s="109"/>
      <c r="MQ80" s="109"/>
      <c r="MR80" s="109"/>
      <c r="MS80" s="109"/>
      <c r="MT80" s="109"/>
      <c r="MU80" s="109"/>
      <c r="MV80" s="109"/>
      <c r="MW80" s="109"/>
      <c r="MX80" s="109"/>
      <c r="MY80" s="109"/>
      <c r="MZ80" s="109"/>
      <c r="NA80" s="109"/>
      <c r="NB80" s="109"/>
      <c r="NC80" s="109"/>
      <c r="ND80" s="30">
        <f t="shared" si="58"/>
        <v>0</v>
      </c>
      <c r="NE80" s="28">
        <f t="shared" si="55"/>
        <v>0</v>
      </c>
      <c r="NG80" s="569" t="s">
        <v>327</v>
      </c>
      <c r="NH80" s="570"/>
      <c r="NI80" s="570"/>
      <c r="NJ80" s="570"/>
      <c r="NK80" s="570"/>
      <c r="NL80" s="571"/>
      <c r="NM80" s="28">
        <v>13</v>
      </c>
      <c r="NN80" s="109"/>
      <c r="NO80" s="109"/>
      <c r="NP80" s="109"/>
      <c r="NQ80" s="109"/>
      <c r="NR80" s="109"/>
      <c r="NS80" s="109"/>
      <c r="NT80" s="109"/>
      <c r="NU80" s="109"/>
      <c r="NV80" s="109"/>
      <c r="NW80" s="109"/>
      <c r="NX80" s="109"/>
      <c r="NY80" s="109"/>
      <c r="NZ80" s="109"/>
      <c r="OA80" s="109"/>
      <c r="OB80" s="109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58"/>
      <c r="B81" s="12"/>
      <c r="C81" s="12"/>
      <c r="D81" s="12"/>
      <c r="E81" s="12"/>
      <c r="F81" s="12"/>
      <c r="G81" s="12"/>
      <c r="H81" s="12"/>
      <c r="I81" s="12"/>
      <c r="J81" s="12"/>
      <c r="K81" s="200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200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200"/>
      <c r="AP81" s="34"/>
      <c r="AQ81" s="19"/>
      <c r="AS81" s="12"/>
      <c r="AT81" s="12"/>
      <c r="AU81" s="12"/>
      <c r="AV81" s="12"/>
      <c r="AW81" s="12"/>
      <c r="AX81" s="12"/>
      <c r="AY81" s="12"/>
      <c r="AZ81" s="200"/>
      <c r="BA81" s="200"/>
      <c r="BB81" s="200"/>
      <c r="BC81" s="200"/>
      <c r="BD81" s="201"/>
      <c r="BE81" s="28"/>
      <c r="BF81" s="25"/>
      <c r="BG81" s="12"/>
      <c r="BH81" s="12"/>
      <c r="BI81" s="12"/>
      <c r="BJ81" s="12"/>
      <c r="BK81" s="12"/>
      <c r="BL81" s="12"/>
      <c r="BM81" s="12"/>
      <c r="BN81" s="200"/>
      <c r="BO81" s="200"/>
      <c r="BP81" s="201"/>
      <c r="BQ81" s="28"/>
      <c r="BR81" s="25"/>
      <c r="BS81" s="190"/>
      <c r="BT81" s="198"/>
      <c r="BU81" s="198"/>
      <c r="BV81" s="198"/>
      <c r="BW81" s="198"/>
      <c r="BX81" s="199"/>
      <c r="BY81" s="12"/>
      <c r="BZ81" s="200"/>
      <c r="CA81" s="200"/>
      <c r="CB81" s="200"/>
      <c r="CC81" s="200"/>
      <c r="CD81" s="200"/>
      <c r="CE81" s="200"/>
      <c r="CF81" s="200"/>
      <c r="CG81" s="200"/>
      <c r="CH81" s="200"/>
      <c r="CI81" s="201"/>
      <c r="CJ81" s="28"/>
      <c r="CL81" s="190"/>
      <c r="CM81" s="198"/>
      <c r="CN81" s="198"/>
      <c r="CO81" s="198"/>
      <c r="CP81" s="198"/>
      <c r="CQ81" s="199"/>
      <c r="CR81" s="12"/>
      <c r="CS81" s="200"/>
      <c r="CT81" s="200"/>
      <c r="CU81" s="200"/>
      <c r="CV81" s="200"/>
      <c r="CW81" s="200"/>
      <c r="CX81" s="200"/>
      <c r="CY81" s="200"/>
      <c r="CZ81" s="202"/>
      <c r="DA81" s="201"/>
      <c r="DB81" s="28"/>
      <c r="DC81" s="33"/>
      <c r="DD81" s="12"/>
      <c r="DE81" s="12"/>
      <c r="DF81" s="12"/>
      <c r="DG81" s="12"/>
      <c r="DH81" s="12"/>
      <c r="DI81" s="12"/>
      <c r="DJ81" s="12"/>
      <c r="DK81" s="202"/>
      <c r="DL81" s="202"/>
      <c r="DM81" s="202"/>
      <c r="DN81" s="202"/>
      <c r="DO81" s="202"/>
      <c r="DP81" s="202"/>
      <c r="DQ81" s="202"/>
      <c r="DR81" s="202"/>
      <c r="DS81" s="202"/>
      <c r="DT81" s="202"/>
      <c r="DU81" s="201"/>
      <c r="DV81" s="28"/>
      <c r="DX81" s="12"/>
      <c r="DY81" s="12"/>
      <c r="DZ81" s="12"/>
      <c r="EA81" s="12"/>
      <c r="EB81" s="12"/>
      <c r="EC81" s="12"/>
      <c r="ED81" s="12"/>
      <c r="EE81" s="202"/>
      <c r="EF81" s="202"/>
      <c r="EG81" s="202"/>
      <c r="EH81" s="202"/>
      <c r="EI81" s="202"/>
      <c r="EJ81" s="202"/>
      <c r="EK81" s="202"/>
      <c r="EL81" s="202"/>
      <c r="EM81" s="202"/>
      <c r="EN81" s="202"/>
      <c r="EO81" s="201"/>
      <c r="EP81" s="28"/>
      <c r="ER81" s="12"/>
      <c r="ES81" s="12"/>
      <c r="ET81" s="12"/>
      <c r="EU81" s="12"/>
      <c r="EV81" s="12"/>
      <c r="EW81" s="12"/>
      <c r="EX81" s="12"/>
      <c r="EY81" s="202"/>
      <c r="EZ81" s="202"/>
      <c r="FA81" s="202"/>
      <c r="FB81" s="202"/>
      <c r="FC81" s="202"/>
      <c r="FD81" s="202"/>
      <c r="FE81" s="202"/>
      <c r="FF81" s="202"/>
      <c r="FG81" s="202"/>
      <c r="FH81" s="202"/>
      <c r="FI81" s="202"/>
      <c r="FJ81" s="202"/>
      <c r="FK81" s="202"/>
      <c r="FL81" s="202"/>
      <c r="FM81" s="202"/>
      <c r="FN81" s="202"/>
      <c r="FO81" s="202"/>
      <c r="FP81" s="202"/>
      <c r="FQ81" s="202"/>
      <c r="FR81" s="202"/>
      <c r="FS81" s="202"/>
      <c r="FT81" s="201"/>
      <c r="FU81" s="226"/>
      <c r="FW81" s="12"/>
      <c r="FX81" s="12"/>
      <c r="FY81" s="12"/>
      <c r="FZ81" s="12"/>
      <c r="GA81" s="12"/>
      <c r="GB81" s="12"/>
      <c r="GC81" s="12"/>
      <c r="GD81" s="204"/>
      <c r="GE81" s="204"/>
      <c r="GF81" s="204"/>
      <c r="GG81" s="204"/>
      <c r="GH81" s="204"/>
      <c r="GI81" s="204"/>
      <c r="GJ81" s="204"/>
      <c r="GK81" s="204"/>
      <c r="GL81" s="204"/>
      <c r="GM81" s="204"/>
      <c r="GN81" s="204"/>
      <c r="GO81" s="204"/>
      <c r="GP81" s="204"/>
      <c r="GQ81" s="201"/>
      <c r="GR81" s="226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201"/>
      <c r="HM81" s="226"/>
      <c r="HO81" s="12"/>
      <c r="HP81" s="12"/>
      <c r="HQ81" s="12"/>
      <c r="HR81" s="12"/>
      <c r="HS81" s="12"/>
      <c r="HT81" s="12"/>
      <c r="HU81" s="12"/>
      <c r="HV81" s="32"/>
      <c r="HW81" s="201"/>
      <c r="HX81" s="226"/>
      <c r="HZ81" s="12"/>
      <c r="IA81" s="12"/>
      <c r="IB81" s="12"/>
      <c r="IC81" s="12"/>
      <c r="ID81" s="12"/>
      <c r="IE81" s="12"/>
      <c r="IF81" s="12"/>
      <c r="IG81" s="32"/>
      <c r="IH81" s="194"/>
      <c r="II81" s="194"/>
      <c r="IJ81" s="194"/>
      <c r="IK81" s="194"/>
      <c r="IL81" s="194"/>
      <c r="IM81" s="201"/>
      <c r="IN81" s="226"/>
      <c r="IP81" s="12"/>
      <c r="IQ81" s="12"/>
      <c r="IR81" s="12"/>
      <c r="IS81" s="12"/>
      <c r="IT81" s="12"/>
      <c r="IU81" s="12"/>
      <c r="IV81" s="12"/>
      <c r="IW81" s="32"/>
      <c r="IX81" s="194"/>
      <c r="IY81" s="201"/>
      <c r="IZ81" s="226"/>
      <c r="JB81" s="12"/>
      <c r="JC81" s="12"/>
      <c r="JD81" s="12"/>
      <c r="JE81" s="12"/>
      <c r="JF81" s="12"/>
      <c r="JG81" s="12"/>
      <c r="JH81" s="12"/>
      <c r="JI81" s="32"/>
      <c r="JJ81" s="194"/>
      <c r="JK81" s="194"/>
      <c r="JL81" s="194"/>
      <c r="JM81" s="194"/>
      <c r="JN81" s="194"/>
      <c r="JO81" s="194"/>
      <c r="JP81" s="194"/>
      <c r="JQ81" s="194"/>
      <c r="JR81" s="194"/>
      <c r="JS81" s="194"/>
      <c r="JT81" s="194"/>
      <c r="JU81" s="194"/>
      <c r="JV81" s="194"/>
      <c r="JW81" s="194"/>
      <c r="JX81" s="194"/>
      <c r="JY81" s="194"/>
      <c r="JZ81" s="194"/>
      <c r="KA81" s="194"/>
      <c r="KB81" s="194"/>
      <c r="KC81" s="194"/>
      <c r="KD81" s="202"/>
      <c r="KE81" s="201"/>
      <c r="KF81" s="226"/>
      <c r="KH81" s="12"/>
      <c r="KI81" s="12"/>
      <c r="KJ81" s="12"/>
      <c r="KK81" s="12"/>
      <c r="KL81" s="12"/>
      <c r="KM81" s="12"/>
      <c r="KN81" s="12"/>
      <c r="KO81" s="311"/>
      <c r="KP81" s="312"/>
      <c r="KQ81" s="312"/>
      <c r="KR81" s="312"/>
      <c r="KS81" s="201"/>
      <c r="KT81" s="226"/>
      <c r="KV81" s="566" t="s">
        <v>328</v>
      </c>
      <c r="KW81" s="567"/>
      <c r="KX81" s="567"/>
      <c r="KY81" s="567"/>
      <c r="KZ81" s="567"/>
      <c r="LA81" s="568"/>
      <c r="LB81" s="13">
        <v>9</v>
      </c>
      <c r="LC81" s="32"/>
      <c r="LD81" s="194"/>
      <c r="LE81" s="194"/>
      <c r="LF81" s="30">
        <f t="shared" si="61"/>
        <v>0</v>
      </c>
      <c r="LG81" s="28">
        <f t="shared" si="62"/>
        <v>0</v>
      </c>
      <c r="LI81" s="566" t="s">
        <v>328</v>
      </c>
      <c r="LJ81" s="567"/>
      <c r="LK81" s="567"/>
      <c r="LL81" s="567"/>
      <c r="LM81" s="567"/>
      <c r="LN81" s="568"/>
      <c r="LO81" s="13">
        <v>9</v>
      </c>
      <c r="LP81" s="32"/>
      <c r="LQ81" s="194"/>
      <c r="LR81" s="194"/>
      <c r="LS81" s="194"/>
      <c r="LT81" s="194"/>
      <c r="LU81" s="194"/>
      <c r="LV81" s="194"/>
      <c r="LW81" s="194"/>
      <c r="LX81" s="194"/>
      <c r="LY81" s="194"/>
      <c r="LZ81" s="194"/>
      <c r="MA81" s="194"/>
      <c r="MB81" s="194"/>
      <c r="MC81" s="194">
        <v>3</v>
      </c>
      <c r="MD81" s="194"/>
      <c r="ME81" s="30">
        <f t="shared" si="57"/>
        <v>3</v>
      </c>
      <c r="MF81" s="28">
        <f t="shared" si="54"/>
        <v>27</v>
      </c>
      <c r="MH81" s="566" t="s">
        <v>328</v>
      </c>
      <c r="MI81" s="567"/>
      <c r="MJ81" s="567"/>
      <c r="MK81" s="567"/>
      <c r="ML81" s="567"/>
      <c r="MM81" s="568"/>
      <c r="MN81" s="13">
        <v>9</v>
      </c>
      <c r="MO81" s="32"/>
      <c r="MP81" s="194"/>
      <c r="MQ81" s="194"/>
      <c r="MR81" s="194"/>
      <c r="MS81" s="194">
        <v>1</v>
      </c>
      <c r="MT81" s="194"/>
      <c r="MU81" s="194"/>
      <c r="MV81" s="194"/>
      <c r="MW81" s="194"/>
      <c r="MX81" s="194"/>
      <c r="MY81" s="194"/>
      <c r="MZ81" s="194"/>
      <c r="NA81" s="194"/>
      <c r="NB81" s="194"/>
      <c r="NC81" s="194"/>
      <c r="ND81" s="30">
        <f t="shared" si="58"/>
        <v>1</v>
      </c>
      <c r="NE81" s="28">
        <f t="shared" si="55"/>
        <v>9</v>
      </c>
      <c r="NG81" s="566" t="s">
        <v>328</v>
      </c>
      <c r="NH81" s="567"/>
      <c r="NI81" s="567"/>
      <c r="NJ81" s="567"/>
      <c r="NK81" s="567"/>
      <c r="NL81" s="568"/>
      <c r="NM81" s="13">
        <v>9</v>
      </c>
      <c r="NN81" s="194"/>
      <c r="NO81" s="194"/>
      <c r="NP81" s="194"/>
      <c r="NQ81" s="194"/>
      <c r="NR81" s="194"/>
      <c r="NS81" s="194">
        <v>3</v>
      </c>
      <c r="NT81" s="194"/>
      <c r="NU81" s="194"/>
      <c r="NV81" s="194"/>
      <c r="NW81" s="194"/>
      <c r="NX81" s="194"/>
      <c r="NY81" s="194"/>
      <c r="NZ81" s="194"/>
      <c r="OA81" s="194"/>
      <c r="OB81" s="194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58"/>
      <c r="B82" s="12"/>
      <c r="C82" s="12"/>
      <c r="D82" s="12"/>
      <c r="E82" s="12"/>
      <c r="F82" s="12"/>
      <c r="G82" s="12"/>
      <c r="H82" s="12"/>
      <c r="I82" s="12"/>
      <c r="J82" s="12"/>
      <c r="K82" s="200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200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200"/>
      <c r="AP82" s="34"/>
      <c r="AQ82" s="19"/>
      <c r="AS82" s="12"/>
      <c r="AT82" s="12"/>
      <c r="AU82" s="12"/>
      <c r="AV82" s="12"/>
      <c r="AW82" s="12"/>
      <c r="AX82" s="12"/>
      <c r="AY82" s="12"/>
      <c r="AZ82" s="200"/>
      <c r="BA82" s="200"/>
      <c r="BB82" s="200"/>
      <c r="BC82" s="200"/>
      <c r="BD82" s="201"/>
      <c r="BE82" s="28"/>
      <c r="BF82" s="25"/>
      <c r="BG82" s="12"/>
      <c r="BH82" s="12"/>
      <c r="BI82" s="12"/>
      <c r="BJ82" s="12"/>
      <c r="BK82" s="12"/>
      <c r="BL82" s="12"/>
      <c r="BM82" s="12"/>
      <c r="BN82" s="200"/>
      <c r="BO82" s="200"/>
      <c r="BP82" s="201"/>
      <c r="BQ82" s="28"/>
      <c r="BR82" s="25"/>
      <c r="BS82" s="190"/>
      <c r="BT82" s="198"/>
      <c r="BU82" s="198"/>
      <c r="BV82" s="198"/>
      <c r="BW82" s="198"/>
      <c r="BX82" s="199"/>
      <c r="BY82" s="12"/>
      <c r="BZ82" s="200"/>
      <c r="CA82" s="200"/>
      <c r="CB82" s="200"/>
      <c r="CC82" s="200"/>
      <c r="CD82" s="200"/>
      <c r="CE82" s="200"/>
      <c r="CF82" s="200"/>
      <c r="CG82" s="200"/>
      <c r="CH82" s="200"/>
      <c r="CI82" s="201"/>
      <c r="CJ82" s="28"/>
      <c r="CL82" s="190"/>
      <c r="CM82" s="198"/>
      <c r="CN82" s="198"/>
      <c r="CO82" s="198"/>
      <c r="CP82" s="198"/>
      <c r="CQ82" s="199"/>
      <c r="CR82" s="12"/>
      <c r="CS82" s="200"/>
      <c r="CT82" s="200"/>
      <c r="CU82" s="200"/>
      <c r="CV82" s="200"/>
      <c r="CW82" s="200"/>
      <c r="CX82" s="200"/>
      <c r="CY82" s="200"/>
      <c r="CZ82" s="202"/>
      <c r="DA82" s="201"/>
      <c r="DB82" s="28"/>
      <c r="DC82" s="33"/>
      <c r="DD82" s="12"/>
      <c r="DE82" s="12"/>
      <c r="DF82" s="12"/>
      <c r="DG82" s="12"/>
      <c r="DH82" s="12"/>
      <c r="DI82" s="12"/>
      <c r="DJ82" s="12"/>
      <c r="DK82" s="202"/>
      <c r="DL82" s="202"/>
      <c r="DM82" s="202"/>
      <c r="DN82" s="202"/>
      <c r="DO82" s="202"/>
      <c r="DP82" s="202"/>
      <c r="DQ82" s="202"/>
      <c r="DR82" s="202"/>
      <c r="DS82" s="202"/>
      <c r="DT82" s="202"/>
      <c r="DU82" s="201"/>
      <c r="DV82" s="28"/>
      <c r="DX82" s="12"/>
      <c r="DY82" s="12"/>
      <c r="DZ82" s="12"/>
      <c r="EA82" s="12"/>
      <c r="EB82" s="12"/>
      <c r="EC82" s="12"/>
      <c r="ED82" s="12"/>
      <c r="EE82" s="202"/>
      <c r="EF82" s="202"/>
      <c r="EG82" s="202"/>
      <c r="EH82" s="202"/>
      <c r="EI82" s="202"/>
      <c r="EJ82" s="202"/>
      <c r="EK82" s="202"/>
      <c r="EL82" s="202"/>
      <c r="EM82" s="202"/>
      <c r="EN82" s="202"/>
      <c r="EO82" s="201"/>
      <c r="EP82" s="28"/>
      <c r="ER82" s="12"/>
      <c r="ES82" s="12"/>
      <c r="ET82" s="12"/>
      <c r="EU82" s="12"/>
      <c r="EV82" s="12"/>
      <c r="EW82" s="12"/>
      <c r="EX82" s="12"/>
      <c r="EY82" s="202"/>
      <c r="EZ82" s="202"/>
      <c r="FA82" s="202"/>
      <c r="FB82" s="202"/>
      <c r="FC82" s="202"/>
      <c r="FD82" s="202"/>
      <c r="FE82" s="202"/>
      <c r="FF82" s="202"/>
      <c r="FG82" s="202"/>
      <c r="FH82" s="202"/>
      <c r="FI82" s="202"/>
      <c r="FJ82" s="202"/>
      <c r="FK82" s="202"/>
      <c r="FL82" s="202"/>
      <c r="FM82" s="202"/>
      <c r="FN82" s="202"/>
      <c r="FO82" s="202"/>
      <c r="FP82" s="202"/>
      <c r="FQ82" s="202"/>
      <c r="FR82" s="202"/>
      <c r="FS82" s="202"/>
      <c r="FT82" s="201"/>
      <c r="FU82" s="226"/>
      <c r="FW82" s="12"/>
      <c r="FX82" s="12"/>
      <c r="FY82" s="12"/>
      <c r="FZ82" s="12"/>
      <c r="GA82" s="12"/>
      <c r="GB82" s="12"/>
      <c r="GC82" s="12"/>
      <c r="GD82" s="204"/>
      <c r="GE82" s="204"/>
      <c r="GF82" s="204"/>
      <c r="GG82" s="204"/>
      <c r="GH82" s="204"/>
      <c r="GI82" s="204"/>
      <c r="GJ82" s="204"/>
      <c r="GK82" s="204"/>
      <c r="GL82" s="204"/>
      <c r="GM82" s="204"/>
      <c r="GN82" s="204"/>
      <c r="GO82" s="204"/>
      <c r="GP82" s="204"/>
      <c r="GQ82" s="201"/>
      <c r="GR82" s="226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201"/>
      <c r="HM82" s="226"/>
      <c r="HO82" s="12"/>
      <c r="HP82" s="12"/>
      <c r="HQ82" s="12"/>
      <c r="HR82" s="12"/>
      <c r="HS82" s="12"/>
      <c r="HT82" s="12"/>
      <c r="HU82" s="12"/>
      <c r="HV82" s="32"/>
      <c r="HW82" s="201"/>
      <c r="HX82" s="226"/>
      <c r="HZ82" s="12"/>
      <c r="IA82" s="12"/>
      <c r="IB82" s="12"/>
      <c r="IC82" s="12"/>
      <c r="ID82" s="12"/>
      <c r="IE82" s="12"/>
      <c r="IF82" s="12"/>
      <c r="IG82" s="32"/>
      <c r="IH82" s="194"/>
      <c r="II82" s="194"/>
      <c r="IJ82" s="194"/>
      <c r="IK82" s="194"/>
      <c r="IL82" s="194"/>
      <c r="IM82" s="201"/>
      <c r="IN82" s="226"/>
      <c r="IP82" s="12"/>
      <c r="IQ82" s="12"/>
      <c r="IR82" s="12"/>
      <c r="IS82" s="12"/>
      <c r="IT82" s="12"/>
      <c r="IU82" s="12"/>
      <c r="IV82" s="12"/>
      <c r="IW82" s="32"/>
      <c r="IX82" s="194"/>
      <c r="IY82" s="201"/>
      <c r="IZ82" s="226"/>
      <c r="JB82" s="12"/>
      <c r="JC82" s="12"/>
      <c r="JD82" s="12"/>
      <c r="JE82" s="12"/>
      <c r="JF82" s="12"/>
      <c r="JG82" s="12"/>
      <c r="JH82" s="12"/>
      <c r="JI82" s="32"/>
      <c r="JJ82" s="194"/>
      <c r="JK82" s="194"/>
      <c r="JL82" s="194"/>
      <c r="JM82" s="194"/>
      <c r="JN82" s="194"/>
      <c r="JO82" s="194"/>
      <c r="JP82" s="194"/>
      <c r="JQ82" s="194"/>
      <c r="JR82" s="194"/>
      <c r="JS82" s="194"/>
      <c r="JT82" s="194"/>
      <c r="JU82" s="194"/>
      <c r="JV82" s="194"/>
      <c r="JW82" s="194"/>
      <c r="JX82" s="194"/>
      <c r="JY82" s="194"/>
      <c r="JZ82" s="194"/>
      <c r="KA82" s="194"/>
      <c r="KB82" s="194"/>
      <c r="KC82" s="194"/>
      <c r="KD82" s="202"/>
      <c r="KE82" s="201"/>
      <c r="KF82" s="226"/>
      <c r="KH82" s="12"/>
      <c r="KI82" s="12"/>
      <c r="KJ82" s="12"/>
      <c r="KK82" s="12"/>
      <c r="KL82" s="12"/>
      <c r="KM82" s="12"/>
      <c r="KN82" s="12"/>
      <c r="KO82" s="311"/>
      <c r="KP82" s="312"/>
      <c r="KQ82" s="312"/>
      <c r="KR82" s="312"/>
      <c r="KS82" s="201"/>
      <c r="KT82" s="226"/>
      <c r="KV82" s="569" t="s">
        <v>329</v>
      </c>
      <c r="KW82" s="570"/>
      <c r="KX82" s="570"/>
      <c r="KY82" s="570"/>
      <c r="KZ82" s="570"/>
      <c r="LA82" s="571"/>
      <c r="LB82" s="28">
        <v>33</v>
      </c>
      <c r="LC82" s="63"/>
      <c r="LD82" s="109"/>
      <c r="LE82" s="109"/>
      <c r="LF82" s="30">
        <f t="shared" si="61"/>
        <v>0</v>
      </c>
      <c r="LG82" s="28">
        <f t="shared" si="62"/>
        <v>0</v>
      </c>
      <c r="LI82" s="569" t="s">
        <v>329</v>
      </c>
      <c r="LJ82" s="570"/>
      <c r="LK82" s="570"/>
      <c r="LL82" s="570"/>
      <c r="LM82" s="570"/>
      <c r="LN82" s="571"/>
      <c r="LO82" s="28">
        <v>33</v>
      </c>
      <c r="LP82" s="63"/>
      <c r="LQ82" s="109"/>
      <c r="LR82" s="109"/>
      <c r="LS82" s="109"/>
      <c r="LT82" s="109"/>
      <c r="LU82" s="109"/>
      <c r="LV82" s="109"/>
      <c r="LW82" s="109"/>
      <c r="LX82" s="109"/>
      <c r="LY82" s="109"/>
      <c r="LZ82" s="109"/>
      <c r="MA82" s="109"/>
      <c r="MB82" s="109"/>
      <c r="MC82" s="109"/>
      <c r="MD82" s="109"/>
      <c r="ME82" s="30">
        <f t="shared" si="57"/>
        <v>0</v>
      </c>
      <c r="MF82" s="28">
        <f t="shared" si="54"/>
        <v>0</v>
      </c>
      <c r="MH82" s="569" t="s">
        <v>329</v>
      </c>
      <c r="MI82" s="570"/>
      <c r="MJ82" s="570"/>
      <c r="MK82" s="570"/>
      <c r="ML82" s="570"/>
      <c r="MM82" s="571"/>
      <c r="MN82" s="28">
        <v>33</v>
      </c>
      <c r="MO82" s="63"/>
      <c r="MP82" s="109"/>
      <c r="MQ82" s="109"/>
      <c r="MR82" s="109"/>
      <c r="MS82" s="109"/>
      <c r="MT82" s="109"/>
      <c r="MU82" s="109"/>
      <c r="MV82" s="109"/>
      <c r="MW82" s="109"/>
      <c r="MX82" s="109"/>
      <c r="MY82" s="109"/>
      <c r="MZ82" s="109"/>
      <c r="NA82" s="109"/>
      <c r="NB82" s="109"/>
      <c r="NC82" s="109"/>
      <c r="ND82" s="30">
        <f t="shared" si="58"/>
        <v>0</v>
      </c>
      <c r="NE82" s="28">
        <f t="shared" si="55"/>
        <v>0</v>
      </c>
      <c r="NG82" s="569" t="s">
        <v>329</v>
      </c>
      <c r="NH82" s="570"/>
      <c r="NI82" s="570"/>
      <c r="NJ82" s="570"/>
      <c r="NK82" s="570"/>
      <c r="NL82" s="571"/>
      <c r="NM82" s="28">
        <v>33</v>
      </c>
      <c r="NN82" s="109"/>
      <c r="NO82" s="109"/>
      <c r="NP82" s="109"/>
      <c r="NQ82" s="109"/>
      <c r="NR82" s="109"/>
      <c r="NS82" s="109"/>
      <c r="NT82" s="109"/>
      <c r="NU82" s="109"/>
      <c r="NV82" s="109"/>
      <c r="NW82" s="109"/>
      <c r="NX82" s="109"/>
      <c r="NY82" s="109"/>
      <c r="NZ82" s="109"/>
      <c r="OA82" s="109"/>
      <c r="OB82" s="109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58"/>
      <c r="B83" s="12"/>
      <c r="C83" s="12"/>
      <c r="D83" s="12"/>
      <c r="E83" s="12"/>
      <c r="F83" s="12"/>
      <c r="G83" s="12"/>
      <c r="H83" s="12"/>
      <c r="I83" s="12"/>
      <c r="J83" s="12"/>
      <c r="K83" s="200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200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200"/>
      <c r="AP83" s="34"/>
      <c r="AQ83" s="19"/>
      <c r="AS83" s="12"/>
      <c r="AT83" s="12"/>
      <c r="AU83" s="12"/>
      <c r="AV83" s="12"/>
      <c r="AW83" s="12"/>
      <c r="AX83" s="12"/>
      <c r="AY83" s="12"/>
      <c r="AZ83" s="200"/>
      <c r="BA83" s="200"/>
      <c r="BB83" s="200"/>
      <c r="BC83" s="200"/>
      <c r="BD83" s="201"/>
      <c r="BE83" s="28"/>
      <c r="BF83" s="25"/>
      <c r="BG83" s="12"/>
      <c r="BH83" s="12"/>
      <c r="BI83" s="12"/>
      <c r="BJ83" s="12"/>
      <c r="BK83" s="12"/>
      <c r="BL83" s="12"/>
      <c r="BM83" s="12"/>
      <c r="BN83" s="200"/>
      <c r="BO83" s="200"/>
      <c r="BP83" s="201"/>
      <c r="BQ83" s="28"/>
      <c r="BR83" s="25"/>
      <c r="BS83" s="190"/>
      <c r="BT83" s="198"/>
      <c r="BU83" s="198"/>
      <c r="BV83" s="198"/>
      <c r="BW83" s="198"/>
      <c r="BX83" s="199"/>
      <c r="BY83" s="12"/>
      <c r="BZ83" s="200"/>
      <c r="CA83" s="200"/>
      <c r="CB83" s="200"/>
      <c r="CC83" s="200"/>
      <c r="CD83" s="200"/>
      <c r="CE83" s="200"/>
      <c r="CF83" s="200"/>
      <c r="CG83" s="200"/>
      <c r="CH83" s="200"/>
      <c r="CI83" s="201"/>
      <c r="CJ83" s="28"/>
      <c r="CL83" s="190"/>
      <c r="CM83" s="198"/>
      <c r="CN83" s="198"/>
      <c r="CO83" s="198"/>
      <c r="CP83" s="198"/>
      <c r="CQ83" s="199"/>
      <c r="CR83" s="12"/>
      <c r="CS83" s="200"/>
      <c r="CT83" s="200"/>
      <c r="CU83" s="200"/>
      <c r="CV83" s="200"/>
      <c r="CW83" s="200"/>
      <c r="CX83" s="200"/>
      <c r="CY83" s="200"/>
      <c r="CZ83" s="202"/>
      <c r="DA83" s="201"/>
      <c r="DB83" s="28"/>
      <c r="DC83" s="33"/>
      <c r="DD83" s="12"/>
      <c r="DE83" s="12"/>
      <c r="DF83" s="12"/>
      <c r="DG83" s="12"/>
      <c r="DH83" s="12"/>
      <c r="DI83" s="12"/>
      <c r="DJ83" s="12"/>
      <c r="DK83" s="202"/>
      <c r="DL83" s="202"/>
      <c r="DM83" s="202"/>
      <c r="DN83" s="202"/>
      <c r="DO83" s="202"/>
      <c r="DP83" s="202"/>
      <c r="DQ83" s="202"/>
      <c r="DR83" s="202"/>
      <c r="DS83" s="202"/>
      <c r="DT83" s="202"/>
      <c r="DU83" s="201"/>
      <c r="DV83" s="28"/>
      <c r="DX83" s="12"/>
      <c r="DY83" s="12"/>
      <c r="DZ83" s="12"/>
      <c r="EA83" s="12"/>
      <c r="EB83" s="12"/>
      <c r="EC83" s="12"/>
      <c r="ED83" s="12"/>
      <c r="EE83" s="202"/>
      <c r="EF83" s="202"/>
      <c r="EG83" s="202"/>
      <c r="EH83" s="202"/>
      <c r="EI83" s="202"/>
      <c r="EJ83" s="202"/>
      <c r="EK83" s="202"/>
      <c r="EL83" s="202"/>
      <c r="EM83" s="202"/>
      <c r="EN83" s="202"/>
      <c r="EO83" s="201"/>
      <c r="EP83" s="28"/>
      <c r="ER83" s="12"/>
      <c r="ES83" s="12"/>
      <c r="ET83" s="12"/>
      <c r="EU83" s="12"/>
      <c r="EV83" s="12"/>
      <c r="EW83" s="12"/>
      <c r="EX83" s="12"/>
      <c r="EY83" s="202"/>
      <c r="EZ83" s="202"/>
      <c r="FA83" s="202"/>
      <c r="FB83" s="202"/>
      <c r="FC83" s="202"/>
      <c r="FD83" s="202"/>
      <c r="FE83" s="202"/>
      <c r="FF83" s="202"/>
      <c r="FG83" s="202"/>
      <c r="FH83" s="202"/>
      <c r="FI83" s="202"/>
      <c r="FJ83" s="202"/>
      <c r="FK83" s="202"/>
      <c r="FL83" s="202"/>
      <c r="FM83" s="202"/>
      <c r="FN83" s="202"/>
      <c r="FO83" s="202"/>
      <c r="FP83" s="202"/>
      <c r="FQ83" s="202"/>
      <c r="FR83" s="202"/>
      <c r="FS83" s="202"/>
      <c r="FT83" s="201"/>
      <c r="FU83" s="226"/>
      <c r="FW83" s="12"/>
      <c r="FX83" s="12"/>
      <c r="FY83" s="12"/>
      <c r="FZ83" s="12"/>
      <c r="GA83" s="12"/>
      <c r="GB83" s="12"/>
      <c r="GC83" s="12"/>
      <c r="GD83" s="204"/>
      <c r="GE83" s="204"/>
      <c r="GF83" s="204"/>
      <c r="GG83" s="204"/>
      <c r="GH83" s="204"/>
      <c r="GI83" s="204"/>
      <c r="GJ83" s="204"/>
      <c r="GK83" s="204"/>
      <c r="GL83" s="204"/>
      <c r="GM83" s="204"/>
      <c r="GN83" s="204"/>
      <c r="GO83" s="204"/>
      <c r="GP83" s="204"/>
      <c r="GQ83" s="201"/>
      <c r="GR83" s="226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201"/>
      <c r="HM83" s="226"/>
      <c r="HO83" s="12"/>
      <c r="HP83" s="12"/>
      <c r="HQ83" s="12"/>
      <c r="HR83" s="12"/>
      <c r="HS83" s="12"/>
      <c r="HT83" s="12"/>
      <c r="HU83" s="12"/>
      <c r="HV83" s="32"/>
      <c r="HW83" s="201"/>
      <c r="HX83" s="226"/>
      <c r="HZ83" s="12"/>
      <c r="IA83" s="12"/>
      <c r="IB83" s="12"/>
      <c r="IC83" s="12"/>
      <c r="ID83" s="12"/>
      <c r="IE83" s="12"/>
      <c r="IF83" s="12"/>
      <c r="IG83" s="32"/>
      <c r="IH83" s="194"/>
      <c r="II83" s="194"/>
      <c r="IJ83" s="194"/>
      <c r="IK83" s="194"/>
      <c r="IL83" s="194"/>
      <c r="IM83" s="201"/>
      <c r="IN83" s="226"/>
      <c r="IP83" s="12"/>
      <c r="IQ83" s="12"/>
      <c r="IR83" s="12"/>
      <c r="IS83" s="12"/>
      <c r="IT83" s="12"/>
      <c r="IU83" s="12"/>
      <c r="IV83" s="12"/>
      <c r="IW83" s="32"/>
      <c r="IX83" s="194"/>
      <c r="IY83" s="201"/>
      <c r="IZ83" s="226"/>
      <c r="JB83" s="12"/>
      <c r="JC83" s="12"/>
      <c r="JD83" s="12"/>
      <c r="JE83" s="12"/>
      <c r="JF83" s="12"/>
      <c r="JG83" s="12"/>
      <c r="JH83" s="12"/>
      <c r="JI83" s="32"/>
      <c r="JJ83" s="194"/>
      <c r="JK83" s="194"/>
      <c r="JL83" s="194"/>
      <c r="JM83" s="194"/>
      <c r="JN83" s="194"/>
      <c r="JO83" s="194"/>
      <c r="JP83" s="194"/>
      <c r="JQ83" s="194"/>
      <c r="JR83" s="194"/>
      <c r="JS83" s="194"/>
      <c r="JT83" s="194"/>
      <c r="JU83" s="194"/>
      <c r="JV83" s="194"/>
      <c r="JW83" s="194"/>
      <c r="JX83" s="194"/>
      <c r="JY83" s="194"/>
      <c r="JZ83" s="194"/>
      <c r="KA83" s="194"/>
      <c r="KB83" s="194"/>
      <c r="KC83" s="194"/>
      <c r="KD83" s="202"/>
      <c r="KE83" s="201"/>
      <c r="KF83" s="226"/>
      <c r="KH83" s="12"/>
      <c r="KI83" s="12"/>
      <c r="KJ83" s="12"/>
      <c r="KK83" s="12"/>
      <c r="KL83" s="12"/>
      <c r="KM83" s="12"/>
      <c r="KN83" s="12"/>
      <c r="KO83" s="311"/>
      <c r="KP83" s="312"/>
      <c r="KQ83" s="312"/>
      <c r="KR83" s="312"/>
      <c r="KS83" s="201"/>
      <c r="KT83" s="226"/>
      <c r="KV83" s="566" t="s">
        <v>330</v>
      </c>
      <c r="KW83" s="567"/>
      <c r="KX83" s="567"/>
      <c r="KY83" s="567"/>
      <c r="KZ83" s="567"/>
      <c r="LA83" s="568"/>
      <c r="LB83" s="13">
        <v>16</v>
      </c>
      <c r="LC83" s="32"/>
      <c r="LD83" s="194"/>
      <c r="LE83" s="194"/>
      <c r="LF83" s="30">
        <f t="shared" si="61"/>
        <v>0</v>
      </c>
      <c r="LG83" s="28">
        <f t="shared" si="62"/>
        <v>0</v>
      </c>
      <c r="LI83" s="566" t="s">
        <v>330</v>
      </c>
      <c r="LJ83" s="567"/>
      <c r="LK83" s="567"/>
      <c r="LL83" s="567"/>
      <c r="LM83" s="567"/>
      <c r="LN83" s="568"/>
      <c r="LO83" s="13">
        <v>16</v>
      </c>
      <c r="LP83" s="32"/>
      <c r="LQ83" s="194"/>
      <c r="LR83" s="194"/>
      <c r="LS83" s="194"/>
      <c r="LT83" s="194"/>
      <c r="LU83" s="194"/>
      <c r="LV83" s="194"/>
      <c r="LW83" s="194"/>
      <c r="LX83" s="194"/>
      <c r="LY83" s="194"/>
      <c r="LZ83" s="194"/>
      <c r="MA83" s="194"/>
      <c r="MB83" s="194"/>
      <c r="MC83" s="194"/>
      <c r="MD83" s="194"/>
      <c r="ME83" s="30">
        <f t="shared" si="57"/>
        <v>0</v>
      </c>
      <c r="MF83" s="28">
        <f t="shared" si="54"/>
        <v>0</v>
      </c>
      <c r="MH83" s="566" t="s">
        <v>330</v>
      </c>
      <c r="MI83" s="567"/>
      <c r="MJ83" s="567"/>
      <c r="MK83" s="567"/>
      <c r="ML83" s="567"/>
      <c r="MM83" s="568"/>
      <c r="MN83" s="13">
        <v>16</v>
      </c>
      <c r="MO83" s="32"/>
      <c r="MP83" s="194"/>
      <c r="MQ83" s="194"/>
      <c r="MR83" s="194"/>
      <c r="MS83" s="194">
        <v>3</v>
      </c>
      <c r="MT83" s="194"/>
      <c r="MU83" s="194"/>
      <c r="MV83" s="194"/>
      <c r="MW83" s="194"/>
      <c r="MX83" s="194"/>
      <c r="MY83" s="194"/>
      <c r="MZ83" s="194"/>
      <c r="NA83" s="194"/>
      <c r="NB83" s="194"/>
      <c r="NC83" s="194"/>
      <c r="ND83" s="30">
        <f t="shared" si="58"/>
        <v>3</v>
      </c>
      <c r="NE83" s="28">
        <f t="shared" si="55"/>
        <v>48</v>
      </c>
      <c r="NG83" s="566" t="s">
        <v>330</v>
      </c>
      <c r="NH83" s="567"/>
      <c r="NI83" s="567"/>
      <c r="NJ83" s="567"/>
      <c r="NK83" s="567"/>
      <c r="NL83" s="568"/>
      <c r="NM83" s="13">
        <v>16</v>
      </c>
      <c r="NN83" s="194">
        <v>1</v>
      </c>
      <c r="NO83" s="194"/>
      <c r="NP83" s="194"/>
      <c r="NQ83" s="194"/>
      <c r="NR83" s="194"/>
      <c r="NS83" s="194"/>
      <c r="NT83" s="194"/>
      <c r="NU83" s="194"/>
      <c r="NV83" s="194"/>
      <c r="NW83" s="194"/>
      <c r="NX83" s="194"/>
      <c r="NY83" s="194"/>
      <c r="NZ83" s="194"/>
      <c r="OA83" s="194"/>
      <c r="OB83" s="194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58"/>
      <c r="B84" s="12"/>
      <c r="C84" s="12"/>
      <c r="D84" s="12"/>
      <c r="E84" s="12"/>
      <c r="F84" s="12"/>
      <c r="G84" s="12"/>
      <c r="H84" s="12"/>
      <c r="I84" s="12"/>
      <c r="J84" s="12"/>
      <c r="K84" s="200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200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200"/>
      <c r="AP84" s="34"/>
      <c r="AQ84" s="19"/>
      <c r="AS84" s="12"/>
      <c r="AT84" s="12"/>
      <c r="AU84" s="12"/>
      <c r="AV84" s="12"/>
      <c r="AW84" s="12"/>
      <c r="AX84" s="12"/>
      <c r="AY84" s="12"/>
      <c r="AZ84" s="200"/>
      <c r="BA84" s="200"/>
      <c r="BB84" s="200"/>
      <c r="BC84" s="200"/>
      <c r="BD84" s="201"/>
      <c r="BE84" s="28"/>
      <c r="BF84" s="25"/>
      <c r="BG84" s="12"/>
      <c r="BH84" s="12"/>
      <c r="BI84" s="12"/>
      <c r="BJ84" s="12"/>
      <c r="BK84" s="12"/>
      <c r="BL84" s="12"/>
      <c r="BM84" s="12"/>
      <c r="BN84" s="200"/>
      <c r="BO84" s="200"/>
      <c r="BP84" s="201"/>
      <c r="BQ84" s="28"/>
      <c r="BR84" s="25"/>
      <c r="BS84" s="190"/>
      <c r="BT84" s="198"/>
      <c r="BU84" s="198"/>
      <c r="BV84" s="198"/>
      <c r="BW84" s="198"/>
      <c r="BX84" s="199"/>
      <c r="BY84" s="12"/>
      <c r="BZ84" s="200"/>
      <c r="CA84" s="200"/>
      <c r="CB84" s="200"/>
      <c r="CC84" s="200"/>
      <c r="CD84" s="200"/>
      <c r="CE84" s="200"/>
      <c r="CF84" s="200"/>
      <c r="CG84" s="200"/>
      <c r="CH84" s="200"/>
      <c r="CI84" s="201"/>
      <c r="CJ84" s="28"/>
      <c r="CL84" s="190"/>
      <c r="CM84" s="198"/>
      <c r="CN84" s="198"/>
      <c r="CO84" s="198"/>
      <c r="CP84" s="198"/>
      <c r="CQ84" s="199"/>
      <c r="CR84" s="12"/>
      <c r="CS84" s="200"/>
      <c r="CT84" s="200"/>
      <c r="CU84" s="200"/>
      <c r="CV84" s="200"/>
      <c r="CW84" s="200"/>
      <c r="CX84" s="200"/>
      <c r="CY84" s="200"/>
      <c r="CZ84" s="202"/>
      <c r="DA84" s="201"/>
      <c r="DB84" s="28"/>
      <c r="DC84" s="33"/>
      <c r="DD84" s="12"/>
      <c r="DE84" s="12"/>
      <c r="DF84" s="12"/>
      <c r="DG84" s="12"/>
      <c r="DH84" s="12"/>
      <c r="DI84" s="12"/>
      <c r="DJ84" s="12"/>
      <c r="DK84" s="202"/>
      <c r="DL84" s="202"/>
      <c r="DM84" s="202"/>
      <c r="DN84" s="202"/>
      <c r="DO84" s="202"/>
      <c r="DP84" s="202"/>
      <c r="DQ84" s="202"/>
      <c r="DR84" s="202"/>
      <c r="DS84" s="202"/>
      <c r="DT84" s="202"/>
      <c r="DU84" s="201"/>
      <c r="DV84" s="28"/>
      <c r="DX84" s="12"/>
      <c r="DY84" s="12"/>
      <c r="DZ84" s="12"/>
      <c r="EA84" s="12"/>
      <c r="EB84" s="12"/>
      <c r="EC84" s="12"/>
      <c r="ED84" s="12"/>
      <c r="EE84" s="202"/>
      <c r="EF84" s="202"/>
      <c r="EG84" s="202"/>
      <c r="EH84" s="202"/>
      <c r="EI84" s="202"/>
      <c r="EJ84" s="202"/>
      <c r="EK84" s="202"/>
      <c r="EL84" s="202"/>
      <c r="EM84" s="202"/>
      <c r="EN84" s="202"/>
      <c r="EO84" s="201"/>
      <c r="EP84" s="28"/>
      <c r="ER84" s="12"/>
      <c r="ES84" s="12"/>
      <c r="ET84" s="12"/>
      <c r="EU84" s="12"/>
      <c r="EV84" s="12"/>
      <c r="EW84" s="12"/>
      <c r="EX84" s="12"/>
      <c r="EY84" s="202"/>
      <c r="EZ84" s="202"/>
      <c r="FA84" s="202"/>
      <c r="FB84" s="202"/>
      <c r="FC84" s="202"/>
      <c r="FD84" s="202"/>
      <c r="FE84" s="202"/>
      <c r="FF84" s="202"/>
      <c r="FG84" s="202"/>
      <c r="FH84" s="202"/>
      <c r="FI84" s="202"/>
      <c r="FJ84" s="202"/>
      <c r="FK84" s="202"/>
      <c r="FL84" s="202"/>
      <c r="FM84" s="202"/>
      <c r="FN84" s="202"/>
      <c r="FO84" s="202"/>
      <c r="FP84" s="202"/>
      <c r="FQ84" s="202"/>
      <c r="FR84" s="202"/>
      <c r="FS84" s="202"/>
      <c r="FT84" s="201"/>
      <c r="FU84" s="226"/>
      <c r="FW84" s="12"/>
      <c r="FX84" s="12"/>
      <c r="FY84" s="12"/>
      <c r="FZ84" s="12"/>
      <c r="GA84" s="12"/>
      <c r="GB84" s="12"/>
      <c r="GC84" s="12"/>
      <c r="GD84" s="204"/>
      <c r="GE84" s="204"/>
      <c r="GF84" s="204"/>
      <c r="GG84" s="204"/>
      <c r="GH84" s="204"/>
      <c r="GI84" s="204"/>
      <c r="GJ84" s="204"/>
      <c r="GK84" s="204"/>
      <c r="GL84" s="204"/>
      <c r="GM84" s="204"/>
      <c r="GN84" s="204"/>
      <c r="GO84" s="204"/>
      <c r="GP84" s="204"/>
      <c r="GQ84" s="201"/>
      <c r="GR84" s="226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201"/>
      <c r="HM84" s="226"/>
      <c r="HO84" s="12"/>
      <c r="HP84" s="12"/>
      <c r="HQ84" s="12"/>
      <c r="HR84" s="12"/>
      <c r="HS84" s="12"/>
      <c r="HT84" s="12"/>
      <c r="HU84" s="12"/>
      <c r="HV84" s="32"/>
      <c r="HW84" s="201"/>
      <c r="HX84" s="226"/>
      <c r="HZ84" s="12"/>
      <c r="IA84" s="12"/>
      <c r="IB84" s="12"/>
      <c r="IC84" s="12"/>
      <c r="ID84" s="12"/>
      <c r="IE84" s="12"/>
      <c r="IF84" s="12"/>
      <c r="IG84" s="32"/>
      <c r="IH84" s="194"/>
      <c r="II84" s="194"/>
      <c r="IJ84" s="194"/>
      <c r="IK84" s="194"/>
      <c r="IL84" s="194"/>
      <c r="IM84" s="201"/>
      <c r="IN84" s="226"/>
      <c r="IP84" s="12"/>
      <c r="IQ84" s="12"/>
      <c r="IR84" s="12"/>
      <c r="IS84" s="12"/>
      <c r="IT84" s="12"/>
      <c r="IU84" s="12"/>
      <c r="IV84" s="12"/>
      <c r="IW84" s="32"/>
      <c r="IX84" s="194"/>
      <c r="IY84" s="201"/>
      <c r="IZ84" s="226"/>
      <c r="JB84" s="12"/>
      <c r="JC84" s="12"/>
      <c r="JD84" s="12"/>
      <c r="JE84" s="12"/>
      <c r="JF84" s="12"/>
      <c r="JG84" s="12"/>
      <c r="JH84" s="12"/>
      <c r="JI84" s="32"/>
      <c r="JJ84" s="194"/>
      <c r="JK84" s="194"/>
      <c r="JL84" s="194"/>
      <c r="JM84" s="194"/>
      <c r="JN84" s="194"/>
      <c r="JO84" s="194"/>
      <c r="JP84" s="194"/>
      <c r="JQ84" s="194"/>
      <c r="JR84" s="194"/>
      <c r="JS84" s="194"/>
      <c r="JT84" s="194"/>
      <c r="JU84" s="194"/>
      <c r="JV84" s="194"/>
      <c r="JW84" s="194"/>
      <c r="JX84" s="194"/>
      <c r="JY84" s="194"/>
      <c r="JZ84" s="194"/>
      <c r="KA84" s="194"/>
      <c r="KB84" s="194"/>
      <c r="KC84" s="194"/>
      <c r="KD84" s="202"/>
      <c r="KE84" s="201"/>
      <c r="KF84" s="226"/>
      <c r="KH84" s="12"/>
      <c r="KI84" s="12"/>
      <c r="KJ84" s="12"/>
      <c r="KK84" s="12"/>
      <c r="KL84" s="12"/>
      <c r="KM84" s="12"/>
      <c r="KN84" s="12"/>
      <c r="KO84" s="311"/>
      <c r="KP84" s="312"/>
      <c r="KQ84" s="312"/>
      <c r="KR84" s="312"/>
      <c r="KS84" s="201"/>
      <c r="KT84" s="226"/>
      <c r="KV84" s="569" t="s">
        <v>325</v>
      </c>
      <c r="KW84" s="570"/>
      <c r="KX84" s="570"/>
      <c r="KY84" s="570"/>
      <c r="KZ84" s="570"/>
      <c r="LA84" s="571"/>
      <c r="LB84" s="28">
        <v>19</v>
      </c>
      <c r="LC84" s="63"/>
      <c r="LD84" s="109"/>
      <c r="LE84" s="109"/>
      <c r="LF84" s="30">
        <f t="shared" si="61"/>
        <v>0</v>
      </c>
      <c r="LG84" s="28">
        <f t="shared" si="62"/>
        <v>0</v>
      </c>
      <c r="LI84" s="569" t="s">
        <v>325</v>
      </c>
      <c r="LJ84" s="570"/>
      <c r="LK84" s="570"/>
      <c r="LL84" s="570"/>
      <c r="LM84" s="570"/>
      <c r="LN84" s="571"/>
      <c r="LO84" s="28">
        <v>19</v>
      </c>
      <c r="LP84" s="63"/>
      <c r="LQ84" s="109"/>
      <c r="LR84" s="109"/>
      <c r="LS84" s="109"/>
      <c r="LT84" s="109"/>
      <c r="LU84" s="109"/>
      <c r="LV84" s="109"/>
      <c r="LW84" s="109"/>
      <c r="LX84" s="109"/>
      <c r="LY84" s="109"/>
      <c r="LZ84" s="109"/>
      <c r="MA84" s="109"/>
      <c r="MB84" s="109"/>
      <c r="MC84" s="109"/>
      <c r="MD84" s="109"/>
      <c r="ME84" s="30">
        <f t="shared" si="57"/>
        <v>0</v>
      </c>
      <c r="MF84" s="28">
        <f t="shared" si="54"/>
        <v>0</v>
      </c>
      <c r="MH84" s="569" t="s">
        <v>325</v>
      </c>
      <c r="MI84" s="570"/>
      <c r="MJ84" s="570"/>
      <c r="MK84" s="570"/>
      <c r="ML84" s="570"/>
      <c r="MM84" s="571"/>
      <c r="MN84" s="28">
        <v>19</v>
      </c>
      <c r="MO84" s="63"/>
      <c r="MP84" s="109"/>
      <c r="MQ84" s="109"/>
      <c r="MR84" s="109"/>
      <c r="MS84" s="109"/>
      <c r="MT84" s="109"/>
      <c r="MU84" s="109"/>
      <c r="MV84" s="109"/>
      <c r="MW84" s="109"/>
      <c r="MX84" s="109"/>
      <c r="MY84" s="109"/>
      <c r="MZ84" s="109"/>
      <c r="NA84" s="109"/>
      <c r="NB84" s="109"/>
      <c r="NC84" s="109"/>
      <c r="ND84" s="30">
        <f t="shared" si="58"/>
        <v>0</v>
      </c>
      <c r="NE84" s="28">
        <f t="shared" si="55"/>
        <v>0</v>
      </c>
      <c r="NG84" s="569" t="s">
        <v>325</v>
      </c>
      <c r="NH84" s="570"/>
      <c r="NI84" s="570"/>
      <c r="NJ84" s="570"/>
      <c r="NK84" s="570"/>
      <c r="NL84" s="571"/>
      <c r="NM84" s="28">
        <v>19</v>
      </c>
      <c r="NN84" s="109"/>
      <c r="NO84" s="109"/>
      <c r="NP84" s="109"/>
      <c r="NQ84" s="109"/>
      <c r="NR84" s="109"/>
      <c r="NS84" s="109">
        <v>2</v>
      </c>
      <c r="NT84" s="109"/>
      <c r="NU84" s="109"/>
      <c r="NV84" s="109"/>
      <c r="NW84" s="109"/>
      <c r="NX84" s="109"/>
      <c r="NY84" s="109"/>
      <c r="NZ84" s="109"/>
      <c r="OA84" s="109"/>
      <c r="OB84" s="109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58"/>
      <c r="B85" s="12"/>
      <c r="C85" s="12"/>
      <c r="D85" s="12"/>
      <c r="E85" s="12"/>
      <c r="F85" s="12"/>
      <c r="G85" s="12"/>
      <c r="H85" s="12"/>
      <c r="I85" s="12"/>
      <c r="J85" s="12"/>
      <c r="K85" s="200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200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200"/>
      <c r="AP85" s="34"/>
      <c r="AQ85" s="19"/>
      <c r="AS85" s="12"/>
      <c r="AT85" s="12"/>
      <c r="AU85" s="12"/>
      <c r="AV85" s="12"/>
      <c r="AW85" s="12"/>
      <c r="AX85" s="12"/>
      <c r="AY85" s="12"/>
      <c r="AZ85" s="200"/>
      <c r="BA85" s="200"/>
      <c r="BB85" s="200"/>
      <c r="BC85" s="200"/>
      <c r="BD85" s="201"/>
      <c r="BE85" s="28"/>
      <c r="BF85" s="25"/>
      <c r="BG85" s="12"/>
      <c r="BH85" s="12"/>
      <c r="BI85" s="12"/>
      <c r="BJ85" s="12"/>
      <c r="BK85" s="12"/>
      <c r="BL85" s="12"/>
      <c r="BM85" s="12"/>
      <c r="BN85" s="200"/>
      <c r="BO85" s="200"/>
      <c r="BP85" s="201"/>
      <c r="BQ85" s="28"/>
      <c r="BR85" s="25"/>
      <c r="BS85" s="190"/>
      <c r="BT85" s="198"/>
      <c r="BU85" s="198"/>
      <c r="BV85" s="198"/>
      <c r="BW85" s="198"/>
      <c r="BX85" s="199"/>
      <c r="BY85" s="12"/>
      <c r="BZ85" s="200"/>
      <c r="CA85" s="200"/>
      <c r="CB85" s="200"/>
      <c r="CC85" s="200"/>
      <c r="CD85" s="200"/>
      <c r="CE85" s="200"/>
      <c r="CF85" s="200"/>
      <c r="CG85" s="200"/>
      <c r="CH85" s="200"/>
      <c r="CI85" s="201"/>
      <c r="CJ85" s="28"/>
      <c r="CL85" s="190"/>
      <c r="CM85" s="198"/>
      <c r="CN85" s="198"/>
      <c r="CO85" s="198"/>
      <c r="CP85" s="198"/>
      <c r="CQ85" s="199"/>
      <c r="CR85" s="12"/>
      <c r="CS85" s="200"/>
      <c r="CT85" s="200"/>
      <c r="CU85" s="200"/>
      <c r="CV85" s="200"/>
      <c r="CW85" s="200"/>
      <c r="CX85" s="200"/>
      <c r="CY85" s="200"/>
      <c r="CZ85" s="202"/>
      <c r="DA85" s="201"/>
      <c r="DB85" s="28"/>
      <c r="DC85" s="33"/>
      <c r="DD85" s="12"/>
      <c r="DE85" s="12"/>
      <c r="DF85" s="12"/>
      <c r="DG85" s="12"/>
      <c r="DH85" s="12"/>
      <c r="DI85" s="12"/>
      <c r="DJ85" s="12"/>
      <c r="DK85" s="202"/>
      <c r="DL85" s="202"/>
      <c r="DM85" s="202"/>
      <c r="DN85" s="202"/>
      <c r="DO85" s="202"/>
      <c r="DP85" s="202"/>
      <c r="DQ85" s="202"/>
      <c r="DR85" s="202"/>
      <c r="DS85" s="202"/>
      <c r="DT85" s="202"/>
      <c r="DU85" s="201"/>
      <c r="DV85" s="28"/>
      <c r="DX85" s="12"/>
      <c r="DY85" s="12"/>
      <c r="DZ85" s="12"/>
      <c r="EA85" s="12"/>
      <c r="EB85" s="12"/>
      <c r="EC85" s="12"/>
      <c r="ED85" s="12"/>
      <c r="EE85" s="202"/>
      <c r="EF85" s="202"/>
      <c r="EG85" s="202"/>
      <c r="EH85" s="202"/>
      <c r="EI85" s="202"/>
      <c r="EJ85" s="202"/>
      <c r="EK85" s="202"/>
      <c r="EL85" s="202"/>
      <c r="EM85" s="202"/>
      <c r="EN85" s="202"/>
      <c r="EO85" s="201"/>
      <c r="EP85" s="28"/>
      <c r="ER85" s="12"/>
      <c r="ES85" s="12"/>
      <c r="ET85" s="12"/>
      <c r="EU85" s="12"/>
      <c r="EV85" s="12"/>
      <c r="EW85" s="12"/>
      <c r="EX85" s="12"/>
      <c r="EY85" s="202"/>
      <c r="EZ85" s="202"/>
      <c r="FA85" s="202"/>
      <c r="FB85" s="202"/>
      <c r="FC85" s="202"/>
      <c r="FD85" s="202"/>
      <c r="FE85" s="202"/>
      <c r="FF85" s="202"/>
      <c r="FG85" s="202"/>
      <c r="FH85" s="202"/>
      <c r="FI85" s="202"/>
      <c r="FJ85" s="202"/>
      <c r="FK85" s="202"/>
      <c r="FL85" s="202"/>
      <c r="FM85" s="202"/>
      <c r="FN85" s="202"/>
      <c r="FO85" s="202"/>
      <c r="FP85" s="202"/>
      <c r="FQ85" s="202"/>
      <c r="FR85" s="202"/>
      <c r="FS85" s="202"/>
      <c r="FT85" s="201"/>
      <c r="FU85" s="226"/>
      <c r="FW85" s="12"/>
      <c r="FX85" s="12"/>
      <c r="FY85" s="12"/>
      <c r="FZ85" s="12"/>
      <c r="GA85" s="12"/>
      <c r="GB85" s="12"/>
      <c r="GC85" s="12"/>
      <c r="GD85" s="204"/>
      <c r="GE85" s="204"/>
      <c r="GF85" s="204"/>
      <c r="GG85" s="204"/>
      <c r="GH85" s="204"/>
      <c r="GI85" s="204"/>
      <c r="GJ85" s="204"/>
      <c r="GK85" s="204"/>
      <c r="GL85" s="204"/>
      <c r="GM85" s="204"/>
      <c r="GN85" s="204"/>
      <c r="GO85" s="204"/>
      <c r="GP85" s="204"/>
      <c r="GQ85" s="201"/>
      <c r="GR85" s="226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201"/>
      <c r="HM85" s="226"/>
      <c r="HO85" s="12"/>
      <c r="HP85" s="12"/>
      <c r="HQ85" s="12"/>
      <c r="HR85" s="12"/>
      <c r="HS85" s="12"/>
      <c r="HT85" s="12"/>
      <c r="HU85" s="12"/>
      <c r="HV85" s="32"/>
      <c r="HW85" s="201"/>
      <c r="HX85" s="226"/>
      <c r="HZ85" s="12"/>
      <c r="IA85" s="12"/>
      <c r="IB85" s="12"/>
      <c r="IC85" s="12"/>
      <c r="ID85" s="12"/>
      <c r="IE85" s="12"/>
      <c r="IF85" s="12"/>
      <c r="IG85" s="32"/>
      <c r="IH85" s="194"/>
      <c r="II85" s="194"/>
      <c r="IJ85" s="194"/>
      <c r="IK85" s="194"/>
      <c r="IL85" s="194"/>
      <c r="IM85" s="201"/>
      <c r="IN85" s="226"/>
      <c r="IP85" s="12"/>
      <c r="IQ85" s="12"/>
      <c r="IR85" s="12"/>
      <c r="IS85" s="12"/>
      <c r="IT85" s="12"/>
      <c r="IU85" s="12"/>
      <c r="IV85" s="12"/>
      <c r="IW85" s="32"/>
      <c r="IX85" s="194"/>
      <c r="IY85" s="201"/>
      <c r="IZ85" s="226"/>
      <c r="JB85" s="12"/>
      <c r="JC85" s="12"/>
      <c r="JD85" s="12"/>
      <c r="JE85" s="12"/>
      <c r="JF85" s="12"/>
      <c r="JG85" s="12"/>
      <c r="JH85" s="12"/>
      <c r="JI85" s="32"/>
      <c r="JJ85" s="194"/>
      <c r="JK85" s="194"/>
      <c r="JL85" s="194"/>
      <c r="JM85" s="194"/>
      <c r="JN85" s="194"/>
      <c r="JO85" s="194"/>
      <c r="JP85" s="194"/>
      <c r="JQ85" s="194"/>
      <c r="JR85" s="194"/>
      <c r="JS85" s="194"/>
      <c r="JT85" s="194"/>
      <c r="JU85" s="194"/>
      <c r="JV85" s="194"/>
      <c r="JW85" s="194"/>
      <c r="JX85" s="194"/>
      <c r="JY85" s="194"/>
      <c r="JZ85" s="194"/>
      <c r="KA85" s="194"/>
      <c r="KB85" s="194"/>
      <c r="KC85" s="194"/>
      <c r="KD85" s="202"/>
      <c r="KE85" s="201"/>
      <c r="KF85" s="226"/>
      <c r="KH85" s="12"/>
      <c r="KI85" s="12"/>
      <c r="KJ85" s="12"/>
      <c r="KK85" s="12"/>
      <c r="KL85" s="12"/>
      <c r="KM85" s="12"/>
      <c r="KN85" s="12"/>
      <c r="KO85" s="311"/>
      <c r="KP85" s="312"/>
      <c r="KQ85" s="312"/>
      <c r="KR85" s="312"/>
      <c r="KS85" s="201"/>
      <c r="KT85" s="226"/>
      <c r="KV85" s="566" t="s">
        <v>331</v>
      </c>
      <c r="KW85" s="567"/>
      <c r="KX85" s="567"/>
      <c r="KY85" s="567"/>
      <c r="KZ85" s="567"/>
      <c r="LA85" s="568"/>
      <c r="LB85" s="13">
        <v>34</v>
      </c>
      <c r="LC85" s="32"/>
      <c r="LD85" s="194"/>
      <c r="LE85" s="194"/>
      <c r="LF85" s="30">
        <f t="shared" si="61"/>
        <v>0</v>
      </c>
      <c r="LG85" s="28">
        <f t="shared" si="62"/>
        <v>0</v>
      </c>
      <c r="LI85" s="566" t="s">
        <v>331</v>
      </c>
      <c r="LJ85" s="567"/>
      <c r="LK85" s="567"/>
      <c r="LL85" s="567"/>
      <c r="LM85" s="567"/>
      <c r="LN85" s="568"/>
      <c r="LO85" s="13">
        <v>34</v>
      </c>
      <c r="LP85" s="32"/>
      <c r="LQ85" s="194"/>
      <c r="LR85" s="194"/>
      <c r="LS85" s="194"/>
      <c r="LT85" s="194"/>
      <c r="LU85" s="194"/>
      <c r="LV85" s="194"/>
      <c r="LW85" s="194"/>
      <c r="LX85" s="194"/>
      <c r="LY85" s="194"/>
      <c r="LZ85" s="194"/>
      <c r="MA85" s="194"/>
      <c r="MB85" s="194"/>
      <c r="MC85" s="194"/>
      <c r="MD85" s="194"/>
      <c r="ME85" s="30">
        <f t="shared" si="57"/>
        <v>0</v>
      </c>
      <c r="MF85" s="28">
        <f t="shared" si="54"/>
        <v>0</v>
      </c>
      <c r="MH85" s="566" t="s">
        <v>331</v>
      </c>
      <c r="MI85" s="567"/>
      <c r="MJ85" s="567"/>
      <c r="MK85" s="567"/>
      <c r="ML85" s="567"/>
      <c r="MM85" s="568"/>
      <c r="MN85" s="13">
        <v>34</v>
      </c>
      <c r="MO85" s="32"/>
      <c r="MP85" s="194"/>
      <c r="MQ85" s="194"/>
      <c r="MR85" s="194"/>
      <c r="MS85" s="194">
        <v>1</v>
      </c>
      <c r="MT85" s="194">
        <v>1</v>
      </c>
      <c r="MU85" s="194"/>
      <c r="MV85" s="194"/>
      <c r="MW85" s="194"/>
      <c r="MX85" s="194"/>
      <c r="MY85" s="194"/>
      <c r="MZ85" s="194"/>
      <c r="NA85" s="194"/>
      <c r="NB85" s="194"/>
      <c r="NC85" s="194"/>
      <c r="ND85" s="30">
        <f t="shared" si="58"/>
        <v>2</v>
      </c>
      <c r="NE85" s="28">
        <f t="shared" si="55"/>
        <v>68</v>
      </c>
      <c r="NG85" s="566" t="s">
        <v>331</v>
      </c>
      <c r="NH85" s="567"/>
      <c r="NI85" s="567"/>
      <c r="NJ85" s="567"/>
      <c r="NK85" s="567"/>
      <c r="NL85" s="568"/>
      <c r="NM85" s="13">
        <v>34</v>
      </c>
      <c r="NN85" s="194"/>
      <c r="NO85" s="194"/>
      <c r="NP85" s="194"/>
      <c r="NQ85" s="194">
        <v>2</v>
      </c>
      <c r="NR85" s="194"/>
      <c r="NS85" s="194"/>
      <c r="NT85" s="194"/>
      <c r="NU85" s="194"/>
      <c r="NV85" s="194"/>
      <c r="NW85" s="194"/>
      <c r="NX85" s="194"/>
      <c r="NY85" s="194"/>
      <c r="NZ85" s="194"/>
      <c r="OA85" s="194"/>
      <c r="OB85" s="194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58"/>
      <c r="B86" s="12"/>
      <c r="C86" s="12"/>
      <c r="D86" s="12"/>
      <c r="E86" s="12"/>
      <c r="F86" s="12"/>
      <c r="G86" s="12"/>
      <c r="H86" s="12"/>
      <c r="I86" s="12"/>
      <c r="J86" s="12"/>
      <c r="K86" s="200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200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200"/>
      <c r="AP86" s="34"/>
      <c r="AQ86" s="19"/>
      <c r="AS86" s="12"/>
      <c r="AT86" s="12"/>
      <c r="AU86" s="12"/>
      <c r="AV86" s="12"/>
      <c r="AW86" s="12"/>
      <c r="AX86" s="12"/>
      <c r="AY86" s="12"/>
      <c r="AZ86" s="200"/>
      <c r="BA86" s="200"/>
      <c r="BB86" s="200"/>
      <c r="BC86" s="200"/>
      <c r="BD86" s="201"/>
      <c r="BE86" s="28"/>
      <c r="BF86" s="25"/>
      <c r="BG86" s="12"/>
      <c r="BH86" s="12"/>
      <c r="BI86" s="12"/>
      <c r="BJ86" s="12"/>
      <c r="BK86" s="12"/>
      <c r="BL86" s="12"/>
      <c r="BM86" s="12"/>
      <c r="BN86" s="200"/>
      <c r="BO86" s="200"/>
      <c r="BP86" s="201"/>
      <c r="BQ86" s="28"/>
      <c r="BR86" s="25"/>
      <c r="BS86" s="190"/>
      <c r="BT86" s="198"/>
      <c r="BU86" s="198"/>
      <c r="BV86" s="198"/>
      <c r="BW86" s="198"/>
      <c r="BX86" s="199"/>
      <c r="BY86" s="12"/>
      <c r="BZ86" s="200"/>
      <c r="CA86" s="200"/>
      <c r="CB86" s="200"/>
      <c r="CC86" s="200"/>
      <c r="CD86" s="200"/>
      <c r="CE86" s="200"/>
      <c r="CF86" s="200"/>
      <c r="CG86" s="200"/>
      <c r="CH86" s="200"/>
      <c r="CI86" s="201"/>
      <c r="CJ86" s="28"/>
      <c r="CL86" s="190"/>
      <c r="CM86" s="198"/>
      <c r="CN86" s="198"/>
      <c r="CO86" s="198"/>
      <c r="CP86" s="198"/>
      <c r="CQ86" s="199"/>
      <c r="CR86" s="12"/>
      <c r="CS86" s="200"/>
      <c r="CT86" s="200"/>
      <c r="CU86" s="200"/>
      <c r="CV86" s="200"/>
      <c r="CW86" s="200"/>
      <c r="CX86" s="200"/>
      <c r="CY86" s="200"/>
      <c r="CZ86" s="202"/>
      <c r="DA86" s="201"/>
      <c r="DB86" s="28"/>
      <c r="DC86" s="33"/>
      <c r="DD86" s="12"/>
      <c r="DE86" s="12"/>
      <c r="DF86" s="12"/>
      <c r="DG86" s="12"/>
      <c r="DH86" s="12"/>
      <c r="DI86" s="12"/>
      <c r="DJ86" s="12"/>
      <c r="DK86" s="202"/>
      <c r="DL86" s="202"/>
      <c r="DM86" s="202"/>
      <c r="DN86" s="202"/>
      <c r="DO86" s="202"/>
      <c r="DP86" s="202"/>
      <c r="DQ86" s="202"/>
      <c r="DR86" s="202"/>
      <c r="DS86" s="202"/>
      <c r="DT86" s="202"/>
      <c r="DU86" s="201"/>
      <c r="DV86" s="28"/>
      <c r="DX86" s="12"/>
      <c r="DY86" s="12"/>
      <c r="DZ86" s="12"/>
      <c r="EA86" s="12"/>
      <c r="EB86" s="12"/>
      <c r="EC86" s="12"/>
      <c r="ED86" s="12"/>
      <c r="EE86" s="202"/>
      <c r="EF86" s="202"/>
      <c r="EG86" s="202"/>
      <c r="EH86" s="202"/>
      <c r="EI86" s="202"/>
      <c r="EJ86" s="202"/>
      <c r="EK86" s="202"/>
      <c r="EL86" s="202"/>
      <c r="EM86" s="202"/>
      <c r="EN86" s="202"/>
      <c r="EO86" s="201"/>
      <c r="EP86" s="28"/>
      <c r="ER86" s="12"/>
      <c r="ES86" s="12"/>
      <c r="ET86" s="12"/>
      <c r="EU86" s="12"/>
      <c r="EV86" s="12"/>
      <c r="EW86" s="12"/>
      <c r="EX86" s="12"/>
      <c r="EY86" s="202"/>
      <c r="EZ86" s="202"/>
      <c r="FA86" s="202"/>
      <c r="FB86" s="202"/>
      <c r="FC86" s="202"/>
      <c r="FD86" s="202"/>
      <c r="FE86" s="202"/>
      <c r="FF86" s="202"/>
      <c r="FG86" s="202"/>
      <c r="FH86" s="202"/>
      <c r="FI86" s="202"/>
      <c r="FJ86" s="202"/>
      <c r="FK86" s="202"/>
      <c r="FL86" s="202"/>
      <c r="FM86" s="202"/>
      <c r="FN86" s="202"/>
      <c r="FO86" s="202"/>
      <c r="FP86" s="202"/>
      <c r="FQ86" s="202"/>
      <c r="FR86" s="202"/>
      <c r="FS86" s="202"/>
      <c r="FT86" s="201"/>
      <c r="FU86" s="226"/>
      <c r="FW86" s="12"/>
      <c r="FX86" s="12"/>
      <c r="FY86" s="12"/>
      <c r="FZ86" s="12"/>
      <c r="GA86" s="12"/>
      <c r="GB86" s="12"/>
      <c r="GC86" s="12"/>
      <c r="GD86" s="204"/>
      <c r="GE86" s="204"/>
      <c r="GF86" s="204"/>
      <c r="GG86" s="204"/>
      <c r="GH86" s="204"/>
      <c r="GI86" s="204"/>
      <c r="GJ86" s="204"/>
      <c r="GK86" s="204"/>
      <c r="GL86" s="204"/>
      <c r="GM86" s="204"/>
      <c r="GN86" s="204"/>
      <c r="GO86" s="204"/>
      <c r="GP86" s="204"/>
      <c r="GQ86" s="201"/>
      <c r="GR86" s="226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201"/>
      <c r="HM86" s="226"/>
      <c r="HO86" s="12"/>
      <c r="HP86" s="12"/>
      <c r="HQ86" s="12"/>
      <c r="HR86" s="12"/>
      <c r="HS86" s="12"/>
      <c r="HT86" s="12"/>
      <c r="HU86" s="12"/>
      <c r="HV86" s="32"/>
      <c r="HW86" s="201"/>
      <c r="HX86" s="226"/>
      <c r="HZ86" s="12"/>
      <c r="IA86" s="12"/>
      <c r="IB86" s="12"/>
      <c r="IC86" s="12"/>
      <c r="ID86" s="12"/>
      <c r="IE86" s="12"/>
      <c r="IF86" s="12"/>
      <c r="IG86" s="32"/>
      <c r="IH86" s="194"/>
      <c r="II86" s="194"/>
      <c r="IJ86" s="194"/>
      <c r="IK86" s="194"/>
      <c r="IL86" s="194"/>
      <c r="IM86" s="201"/>
      <c r="IN86" s="226"/>
      <c r="IP86" s="12"/>
      <c r="IQ86" s="12"/>
      <c r="IR86" s="12"/>
      <c r="IS86" s="12"/>
      <c r="IT86" s="12"/>
      <c r="IU86" s="12"/>
      <c r="IV86" s="12"/>
      <c r="IW86" s="32"/>
      <c r="IX86" s="194"/>
      <c r="IY86" s="201"/>
      <c r="IZ86" s="226"/>
      <c r="JB86" s="12"/>
      <c r="JC86" s="12"/>
      <c r="JD86" s="12"/>
      <c r="JE86" s="12"/>
      <c r="JF86" s="12"/>
      <c r="JG86" s="12"/>
      <c r="JH86" s="12"/>
      <c r="JI86" s="32"/>
      <c r="JJ86" s="194"/>
      <c r="JK86" s="194"/>
      <c r="JL86" s="194"/>
      <c r="JM86" s="194"/>
      <c r="JN86" s="194"/>
      <c r="JO86" s="194"/>
      <c r="JP86" s="194"/>
      <c r="JQ86" s="194"/>
      <c r="JR86" s="194"/>
      <c r="JS86" s="194"/>
      <c r="JT86" s="194"/>
      <c r="JU86" s="194"/>
      <c r="JV86" s="194"/>
      <c r="JW86" s="194"/>
      <c r="JX86" s="194"/>
      <c r="JY86" s="194"/>
      <c r="JZ86" s="194"/>
      <c r="KA86" s="194"/>
      <c r="KB86" s="194"/>
      <c r="KC86" s="194"/>
      <c r="KD86" s="202"/>
      <c r="KE86" s="201"/>
      <c r="KF86" s="226"/>
      <c r="KH86" s="12"/>
      <c r="KI86" s="12"/>
      <c r="KJ86" s="12"/>
      <c r="KK86" s="12"/>
      <c r="KL86" s="12"/>
      <c r="KM86" s="12"/>
      <c r="KN86" s="12"/>
      <c r="KO86" s="311"/>
      <c r="KP86" s="312"/>
      <c r="KQ86" s="312"/>
      <c r="KR86" s="312"/>
      <c r="KS86" s="201"/>
      <c r="KT86" s="226"/>
      <c r="KV86" s="569" t="s">
        <v>332</v>
      </c>
      <c r="KW86" s="570"/>
      <c r="KX86" s="570"/>
      <c r="KY86" s="570"/>
      <c r="KZ86" s="570"/>
      <c r="LA86" s="571"/>
      <c r="LB86" s="28">
        <v>11</v>
      </c>
      <c r="LC86" s="63"/>
      <c r="LD86" s="109"/>
      <c r="LE86" s="109"/>
      <c r="LF86" s="30">
        <f t="shared" si="61"/>
        <v>0</v>
      </c>
      <c r="LG86" s="28">
        <f t="shared" si="62"/>
        <v>0</v>
      </c>
      <c r="LI86" s="569" t="s">
        <v>332</v>
      </c>
      <c r="LJ86" s="570"/>
      <c r="LK86" s="570"/>
      <c r="LL86" s="570"/>
      <c r="LM86" s="570"/>
      <c r="LN86" s="571"/>
      <c r="LO86" s="28">
        <v>11</v>
      </c>
      <c r="LP86" s="63"/>
      <c r="LQ86" s="109"/>
      <c r="LR86" s="109"/>
      <c r="LS86" s="109"/>
      <c r="LT86" s="109"/>
      <c r="LU86" s="109"/>
      <c r="LV86" s="109"/>
      <c r="LW86" s="109"/>
      <c r="LX86" s="109"/>
      <c r="LY86" s="109"/>
      <c r="LZ86" s="109"/>
      <c r="MA86" s="109"/>
      <c r="MB86" s="109"/>
      <c r="MC86" s="109"/>
      <c r="MD86" s="109"/>
      <c r="ME86" s="30">
        <f t="shared" si="57"/>
        <v>0</v>
      </c>
      <c r="MF86" s="28">
        <f t="shared" si="54"/>
        <v>0</v>
      </c>
      <c r="MH86" s="569" t="s">
        <v>332</v>
      </c>
      <c r="MI86" s="570"/>
      <c r="MJ86" s="570"/>
      <c r="MK86" s="570"/>
      <c r="ML86" s="570"/>
      <c r="MM86" s="571"/>
      <c r="MN86" s="28">
        <v>11</v>
      </c>
      <c r="MO86" s="63"/>
      <c r="MP86" s="109"/>
      <c r="MQ86" s="109"/>
      <c r="MR86" s="109"/>
      <c r="MS86" s="109"/>
      <c r="MT86" s="109"/>
      <c r="MU86" s="109"/>
      <c r="MV86" s="109"/>
      <c r="MW86" s="109"/>
      <c r="MX86" s="109"/>
      <c r="MY86" s="109"/>
      <c r="MZ86" s="109"/>
      <c r="NA86" s="109"/>
      <c r="NB86" s="109"/>
      <c r="NC86" s="109"/>
      <c r="ND86" s="30">
        <f t="shared" si="58"/>
        <v>0</v>
      </c>
      <c r="NE86" s="28">
        <f t="shared" si="55"/>
        <v>0</v>
      </c>
      <c r="NG86" s="569" t="s">
        <v>332</v>
      </c>
      <c r="NH86" s="570"/>
      <c r="NI86" s="570"/>
      <c r="NJ86" s="570"/>
      <c r="NK86" s="570"/>
      <c r="NL86" s="571"/>
      <c r="NM86" s="28">
        <v>11</v>
      </c>
      <c r="NN86" s="109"/>
      <c r="NO86" s="109"/>
      <c r="NP86" s="109"/>
      <c r="NQ86" s="109"/>
      <c r="NR86" s="109"/>
      <c r="NS86" s="109"/>
      <c r="NT86" s="109"/>
      <c r="NU86" s="109"/>
      <c r="NV86" s="109"/>
      <c r="NW86" s="109"/>
      <c r="NX86" s="109"/>
      <c r="NY86" s="109"/>
      <c r="NZ86" s="109"/>
      <c r="OA86" s="109"/>
      <c r="OB86" s="109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58"/>
      <c r="B87" s="12"/>
      <c r="C87" s="12"/>
      <c r="D87" s="12"/>
      <c r="E87" s="12"/>
      <c r="F87" s="12"/>
      <c r="G87" s="12"/>
      <c r="H87" s="12"/>
      <c r="I87" s="12"/>
      <c r="J87" s="12"/>
      <c r="K87" s="200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200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200"/>
      <c r="AP87" s="34"/>
      <c r="AQ87" s="19"/>
      <c r="AS87" s="12"/>
      <c r="AT87" s="12"/>
      <c r="AU87" s="12"/>
      <c r="AV87" s="12"/>
      <c r="AW87" s="12"/>
      <c r="AX87" s="12"/>
      <c r="AY87" s="12"/>
      <c r="AZ87" s="200"/>
      <c r="BA87" s="200"/>
      <c r="BB87" s="200"/>
      <c r="BC87" s="200"/>
      <c r="BD87" s="201"/>
      <c r="BE87" s="28"/>
      <c r="BF87" s="25"/>
      <c r="BG87" s="12"/>
      <c r="BH87" s="12"/>
      <c r="BI87" s="12"/>
      <c r="BJ87" s="12"/>
      <c r="BK87" s="12"/>
      <c r="BL87" s="12"/>
      <c r="BM87" s="12"/>
      <c r="BN87" s="200"/>
      <c r="BO87" s="200"/>
      <c r="BP87" s="201"/>
      <c r="BQ87" s="28"/>
      <c r="BR87" s="25"/>
      <c r="BS87" s="190"/>
      <c r="BT87" s="198"/>
      <c r="BU87" s="198"/>
      <c r="BV87" s="198"/>
      <c r="BW87" s="198"/>
      <c r="BX87" s="199"/>
      <c r="BY87" s="12"/>
      <c r="BZ87" s="200"/>
      <c r="CA87" s="200"/>
      <c r="CB87" s="200"/>
      <c r="CC87" s="200"/>
      <c r="CD87" s="200"/>
      <c r="CE87" s="200"/>
      <c r="CF87" s="200"/>
      <c r="CG87" s="200"/>
      <c r="CH87" s="200"/>
      <c r="CI87" s="201"/>
      <c r="CJ87" s="28"/>
      <c r="CL87" s="190"/>
      <c r="CM87" s="198"/>
      <c r="CN87" s="198"/>
      <c r="CO87" s="198"/>
      <c r="CP87" s="198"/>
      <c r="CQ87" s="199"/>
      <c r="CR87" s="12"/>
      <c r="CS87" s="200"/>
      <c r="CT87" s="200"/>
      <c r="CU87" s="200"/>
      <c r="CV87" s="200"/>
      <c r="CW87" s="200"/>
      <c r="CX87" s="200"/>
      <c r="CY87" s="200"/>
      <c r="CZ87" s="202"/>
      <c r="DA87" s="201"/>
      <c r="DB87" s="28"/>
      <c r="DC87" s="33"/>
      <c r="DD87" s="12"/>
      <c r="DE87" s="12"/>
      <c r="DF87" s="12"/>
      <c r="DG87" s="12"/>
      <c r="DH87" s="12"/>
      <c r="DI87" s="12"/>
      <c r="DJ87" s="12"/>
      <c r="DK87" s="202"/>
      <c r="DL87" s="202"/>
      <c r="DM87" s="202"/>
      <c r="DN87" s="202"/>
      <c r="DO87" s="202"/>
      <c r="DP87" s="202"/>
      <c r="DQ87" s="202"/>
      <c r="DR87" s="202"/>
      <c r="DS87" s="202"/>
      <c r="DT87" s="202"/>
      <c r="DU87" s="201"/>
      <c r="DV87" s="28"/>
      <c r="DX87" s="12"/>
      <c r="DY87" s="12"/>
      <c r="DZ87" s="12"/>
      <c r="EA87" s="12"/>
      <c r="EB87" s="12"/>
      <c r="EC87" s="12"/>
      <c r="ED87" s="12"/>
      <c r="EE87" s="202"/>
      <c r="EF87" s="202"/>
      <c r="EG87" s="202"/>
      <c r="EH87" s="202"/>
      <c r="EI87" s="202"/>
      <c r="EJ87" s="202"/>
      <c r="EK87" s="202"/>
      <c r="EL87" s="202"/>
      <c r="EM87" s="202"/>
      <c r="EN87" s="202"/>
      <c r="EO87" s="201"/>
      <c r="EP87" s="28"/>
      <c r="ER87" s="12"/>
      <c r="ES87" s="12"/>
      <c r="ET87" s="12"/>
      <c r="EU87" s="12"/>
      <c r="EV87" s="12"/>
      <c r="EW87" s="12"/>
      <c r="EX87" s="12"/>
      <c r="EY87" s="202"/>
      <c r="EZ87" s="202"/>
      <c r="FA87" s="202"/>
      <c r="FB87" s="202"/>
      <c r="FC87" s="202"/>
      <c r="FD87" s="202"/>
      <c r="FE87" s="202"/>
      <c r="FF87" s="202"/>
      <c r="FG87" s="202"/>
      <c r="FH87" s="202"/>
      <c r="FI87" s="202"/>
      <c r="FJ87" s="202"/>
      <c r="FK87" s="202"/>
      <c r="FL87" s="202"/>
      <c r="FM87" s="202"/>
      <c r="FN87" s="202"/>
      <c r="FO87" s="202"/>
      <c r="FP87" s="202"/>
      <c r="FQ87" s="202"/>
      <c r="FR87" s="202"/>
      <c r="FS87" s="202"/>
      <c r="FT87" s="201"/>
      <c r="FU87" s="226"/>
      <c r="FW87" s="12"/>
      <c r="FX87" s="12"/>
      <c r="FY87" s="12"/>
      <c r="FZ87" s="12"/>
      <c r="GA87" s="12"/>
      <c r="GB87" s="12"/>
      <c r="GC87" s="12"/>
      <c r="GD87" s="204"/>
      <c r="GE87" s="204"/>
      <c r="GF87" s="204"/>
      <c r="GG87" s="204"/>
      <c r="GH87" s="204"/>
      <c r="GI87" s="204"/>
      <c r="GJ87" s="204"/>
      <c r="GK87" s="204"/>
      <c r="GL87" s="204"/>
      <c r="GM87" s="204"/>
      <c r="GN87" s="204"/>
      <c r="GO87" s="204"/>
      <c r="GP87" s="204"/>
      <c r="GQ87" s="201"/>
      <c r="GR87" s="226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201"/>
      <c r="HM87" s="226"/>
      <c r="HO87" s="12"/>
      <c r="HP87" s="12"/>
      <c r="HQ87" s="12"/>
      <c r="HR87" s="12"/>
      <c r="HS87" s="12"/>
      <c r="HT87" s="12"/>
      <c r="HU87" s="12"/>
      <c r="HV87" s="32"/>
      <c r="HW87" s="201"/>
      <c r="HX87" s="226"/>
      <c r="HZ87" s="12"/>
      <c r="IA87" s="12"/>
      <c r="IB87" s="12"/>
      <c r="IC87" s="12"/>
      <c r="ID87" s="12"/>
      <c r="IE87" s="12"/>
      <c r="IF87" s="12"/>
      <c r="IG87" s="32"/>
      <c r="IH87" s="194"/>
      <c r="II87" s="194"/>
      <c r="IJ87" s="194"/>
      <c r="IK87" s="194"/>
      <c r="IL87" s="194"/>
      <c r="IM87" s="201"/>
      <c r="IN87" s="226"/>
      <c r="IP87" s="12"/>
      <c r="IQ87" s="12"/>
      <c r="IR87" s="12"/>
      <c r="IS87" s="12"/>
      <c r="IT87" s="12"/>
      <c r="IU87" s="12"/>
      <c r="IV87" s="12"/>
      <c r="IW87" s="32"/>
      <c r="IX87" s="194"/>
      <c r="IY87" s="201"/>
      <c r="IZ87" s="226"/>
      <c r="JB87" s="12"/>
      <c r="JC87" s="12"/>
      <c r="JD87" s="12"/>
      <c r="JE87" s="12"/>
      <c r="JF87" s="12"/>
      <c r="JG87" s="12"/>
      <c r="JH87" s="12"/>
      <c r="JI87" s="32"/>
      <c r="JJ87" s="194"/>
      <c r="JK87" s="194"/>
      <c r="JL87" s="194"/>
      <c r="JM87" s="194"/>
      <c r="JN87" s="194"/>
      <c r="JO87" s="194"/>
      <c r="JP87" s="194"/>
      <c r="JQ87" s="194"/>
      <c r="JR87" s="194"/>
      <c r="JS87" s="194"/>
      <c r="JT87" s="194"/>
      <c r="JU87" s="194"/>
      <c r="JV87" s="194"/>
      <c r="JW87" s="194"/>
      <c r="JX87" s="194"/>
      <c r="JY87" s="194"/>
      <c r="JZ87" s="194"/>
      <c r="KA87" s="194"/>
      <c r="KB87" s="194"/>
      <c r="KC87" s="194"/>
      <c r="KD87" s="202"/>
      <c r="KE87" s="201"/>
      <c r="KF87" s="226"/>
      <c r="KH87" s="12"/>
      <c r="KI87" s="12"/>
      <c r="KJ87" s="12"/>
      <c r="KK87" s="12"/>
      <c r="KL87" s="12"/>
      <c r="KM87" s="12"/>
      <c r="KN87" s="12"/>
      <c r="KO87" s="311"/>
      <c r="KP87" s="312"/>
      <c r="KQ87" s="312"/>
      <c r="KR87" s="312"/>
      <c r="KS87" s="201"/>
      <c r="KT87" s="226"/>
      <c r="KV87" s="566" t="s">
        <v>333</v>
      </c>
      <c r="KW87" s="567"/>
      <c r="KX87" s="567"/>
      <c r="KY87" s="567"/>
      <c r="KZ87" s="567"/>
      <c r="LA87" s="568"/>
      <c r="LB87" s="13">
        <v>14</v>
      </c>
      <c r="LC87" s="32"/>
      <c r="LD87" s="194"/>
      <c r="LE87" s="194"/>
      <c r="LF87" s="30">
        <f t="shared" si="61"/>
        <v>0</v>
      </c>
      <c r="LG87" s="28">
        <f t="shared" si="62"/>
        <v>0</v>
      </c>
      <c r="LI87" s="566" t="s">
        <v>333</v>
      </c>
      <c r="LJ87" s="567"/>
      <c r="LK87" s="567"/>
      <c r="LL87" s="567"/>
      <c r="LM87" s="567"/>
      <c r="LN87" s="568"/>
      <c r="LO87" s="13">
        <v>14</v>
      </c>
      <c r="LP87" s="32"/>
      <c r="LQ87" s="194"/>
      <c r="LR87" s="194"/>
      <c r="LS87" s="194"/>
      <c r="LT87" s="194"/>
      <c r="LU87" s="194"/>
      <c r="LV87" s="194"/>
      <c r="LW87" s="194"/>
      <c r="LX87" s="194"/>
      <c r="LY87" s="194"/>
      <c r="LZ87" s="194"/>
      <c r="MA87" s="194"/>
      <c r="MB87" s="194"/>
      <c r="MC87" s="194"/>
      <c r="MD87" s="194"/>
      <c r="ME87" s="30">
        <f t="shared" si="57"/>
        <v>0</v>
      </c>
      <c r="MF87" s="28">
        <f t="shared" si="54"/>
        <v>0</v>
      </c>
      <c r="MH87" s="566" t="s">
        <v>333</v>
      </c>
      <c r="MI87" s="567"/>
      <c r="MJ87" s="567"/>
      <c r="MK87" s="567"/>
      <c r="ML87" s="567"/>
      <c r="MM87" s="568"/>
      <c r="MN87" s="13">
        <v>14</v>
      </c>
      <c r="MO87" s="32"/>
      <c r="MP87" s="194"/>
      <c r="MQ87" s="194"/>
      <c r="MR87" s="194"/>
      <c r="MS87" s="194"/>
      <c r="MT87" s="194"/>
      <c r="MU87" s="194"/>
      <c r="MV87" s="194"/>
      <c r="MW87" s="194"/>
      <c r="MX87" s="194"/>
      <c r="MY87" s="194"/>
      <c r="MZ87" s="194"/>
      <c r="NA87" s="194"/>
      <c r="NB87" s="194"/>
      <c r="NC87" s="194"/>
      <c r="ND87" s="30">
        <f t="shared" si="58"/>
        <v>0</v>
      </c>
      <c r="NE87" s="28">
        <f t="shared" si="55"/>
        <v>0</v>
      </c>
      <c r="NG87" s="566" t="s">
        <v>333</v>
      </c>
      <c r="NH87" s="567"/>
      <c r="NI87" s="567"/>
      <c r="NJ87" s="567"/>
      <c r="NK87" s="567"/>
      <c r="NL87" s="568"/>
      <c r="NM87" s="13">
        <v>14</v>
      </c>
      <c r="NN87" s="194"/>
      <c r="NO87" s="194"/>
      <c r="NP87" s="194"/>
      <c r="NQ87" s="194"/>
      <c r="NR87" s="194"/>
      <c r="NS87" s="194"/>
      <c r="NT87" s="194"/>
      <c r="NU87" s="194"/>
      <c r="NV87" s="194"/>
      <c r="NW87" s="194"/>
      <c r="NX87" s="194"/>
      <c r="NY87" s="194"/>
      <c r="NZ87" s="194"/>
      <c r="OA87" s="194"/>
      <c r="OB87" s="194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58"/>
      <c r="B88" s="12"/>
      <c r="C88" s="12"/>
      <c r="D88" s="12"/>
      <c r="E88" s="12"/>
      <c r="F88" s="12"/>
      <c r="G88" s="12"/>
      <c r="H88" s="12"/>
      <c r="I88" s="12"/>
      <c r="J88" s="12"/>
      <c r="K88" s="200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200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200"/>
      <c r="AP88" s="34"/>
      <c r="AQ88" s="19"/>
      <c r="AS88" s="12"/>
      <c r="AT88" s="12"/>
      <c r="AU88" s="12"/>
      <c r="AV88" s="12"/>
      <c r="AW88" s="12"/>
      <c r="AX88" s="12"/>
      <c r="AY88" s="12"/>
      <c r="AZ88" s="200"/>
      <c r="BA88" s="200"/>
      <c r="BB88" s="200"/>
      <c r="BC88" s="200"/>
      <c r="BD88" s="201"/>
      <c r="BE88" s="28"/>
      <c r="BF88" s="25"/>
      <c r="BG88" s="12"/>
      <c r="BH88" s="12"/>
      <c r="BI88" s="12"/>
      <c r="BJ88" s="12"/>
      <c r="BK88" s="12"/>
      <c r="BL88" s="12"/>
      <c r="BM88" s="12"/>
      <c r="BN88" s="200"/>
      <c r="BO88" s="200"/>
      <c r="BP88" s="201"/>
      <c r="BQ88" s="28"/>
      <c r="BR88" s="25"/>
      <c r="BS88" s="190"/>
      <c r="BT88" s="198"/>
      <c r="BU88" s="198"/>
      <c r="BV88" s="198"/>
      <c r="BW88" s="198"/>
      <c r="BX88" s="199"/>
      <c r="BY88" s="12"/>
      <c r="BZ88" s="200"/>
      <c r="CA88" s="200"/>
      <c r="CB88" s="200"/>
      <c r="CC88" s="200"/>
      <c r="CD88" s="200"/>
      <c r="CE88" s="200"/>
      <c r="CF88" s="200"/>
      <c r="CG88" s="200"/>
      <c r="CH88" s="200"/>
      <c r="CI88" s="201"/>
      <c r="CJ88" s="28"/>
      <c r="CL88" s="190"/>
      <c r="CM88" s="198"/>
      <c r="CN88" s="198"/>
      <c r="CO88" s="198"/>
      <c r="CP88" s="198"/>
      <c r="CQ88" s="199"/>
      <c r="CR88" s="12"/>
      <c r="CS88" s="200"/>
      <c r="CT88" s="200"/>
      <c r="CU88" s="200"/>
      <c r="CV88" s="200"/>
      <c r="CW88" s="200"/>
      <c r="CX88" s="200"/>
      <c r="CY88" s="200"/>
      <c r="CZ88" s="202"/>
      <c r="DA88" s="201"/>
      <c r="DB88" s="28"/>
      <c r="DC88" s="33"/>
      <c r="DD88" s="12"/>
      <c r="DE88" s="12"/>
      <c r="DF88" s="12"/>
      <c r="DG88" s="12"/>
      <c r="DH88" s="12"/>
      <c r="DI88" s="12"/>
      <c r="DJ88" s="12"/>
      <c r="DK88" s="202"/>
      <c r="DL88" s="202"/>
      <c r="DM88" s="202"/>
      <c r="DN88" s="202"/>
      <c r="DO88" s="202"/>
      <c r="DP88" s="202"/>
      <c r="DQ88" s="202"/>
      <c r="DR88" s="202"/>
      <c r="DS88" s="202"/>
      <c r="DT88" s="202"/>
      <c r="DU88" s="201"/>
      <c r="DV88" s="28"/>
      <c r="DX88" s="12"/>
      <c r="DY88" s="12"/>
      <c r="DZ88" s="12"/>
      <c r="EA88" s="12"/>
      <c r="EB88" s="12"/>
      <c r="EC88" s="12"/>
      <c r="ED88" s="12"/>
      <c r="EE88" s="202"/>
      <c r="EF88" s="202"/>
      <c r="EG88" s="202"/>
      <c r="EH88" s="202"/>
      <c r="EI88" s="202"/>
      <c r="EJ88" s="202"/>
      <c r="EK88" s="202"/>
      <c r="EL88" s="202"/>
      <c r="EM88" s="202"/>
      <c r="EN88" s="202"/>
      <c r="EO88" s="201"/>
      <c r="EP88" s="28"/>
      <c r="ER88" s="12"/>
      <c r="ES88" s="12"/>
      <c r="ET88" s="12"/>
      <c r="EU88" s="12"/>
      <c r="EV88" s="12"/>
      <c r="EW88" s="12"/>
      <c r="EX88" s="12"/>
      <c r="EY88" s="202"/>
      <c r="EZ88" s="202"/>
      <c r="FA88" s="202"/>
      <c r="FB88" s="202"/>
      <c r="FC88" s="202"/>
      <c r="FD88" s="202"/>
      <c r="FE88" s="202"/>
      <c r="FF88" s="202"/>
      <c r="FG88" s="202"/>
      <c r="FH88" s="202"/>
      <c r="FI88" s="202"/>
      <c r="FJ88" s="202"/>
      <c r="FK88" s="202"/>
      <c r="FL88" s="202"/>
      <c r="FM88" s="202"/>
      <c r="FN88" s="202"/>
      <c r="FO88" s="202"/>
      <c r="FP88" s="202"/>
      <c r="FQ88" s="202"/>
      <c r="FR88" s="202"/>
      <c r="FS88" s="202"/>
      <c r="FT88" s="201"/>
      <c r="FU88" s="226"/>
      <c r="FW88" s="12"/>
      <c r="FX88" s="12"/>
      <c r="FY88" s="12"/>
      <c r="FZ88" s="12"/>
      <c r="GA88" s="12"/>
      <c r="GB88" s="12"/>
      <c r="GC88" s="12"/>
      <c r="GD88" s="204"/>
      <c r="GE88" s="204"/>
      <c r="GF88" s="204"/>
      <c r="GG88" s="204"/>
      <c r="GH88" s="204"/>
      <c r="GI88" s="204"/>
      <c r="GJ88" s="204"/>
      <c r="GK88" s="204"/>
      <c r="GL88" s="204"/>
      <c r="GM88" s="204"/>
      <c r="GN88" s="204"/>
      <c r="GO88" s="204"/>
      <c r="GP88" s="204"/>
      <c r="GQ88" s="201"/>
      <c r="GR88" s="226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201"/>
      <c r="HM88" s="226"/>
      <c r="HO88" s="12"/>
      <c r="HP88" s="12"/>
      <c r="HQ88" s="12"/>
      <c r="HR88" s="12"/>
      <c r="HS88" s="12"/>
      <c r="HT88" s="12"/>
      <c r="HU88" s="12"/>
      <c r="HV88" s="32"/>
      <c r="HW88" s="201"/>
      <c r="HX88" s="226"/>
      <c r="HZ88" s="12"/>
      <c r="IA88" s="12"/>
      <c r="IB88" s="12"/>
      <c r="IC88" s="12"/>
      <c r="ID88" s="12"/>
      <c r="IE88" s="12"/>
      <c r="IF88" s="12"/>
      <c r="IG88" s="32"/>
      <c r="IH88" s="194"/>
      <c r="II88" s="194"/>
      <c r="IJ88" s="194"/>
      <c r="IK88" s="194"/>
      <c r="IL88" s="194"/>
      <c r="IM88" s="201"/>
      <c r="IN88" s="226"/>
      <c r="IP88" s="12"/>
      <c r="IQ88" s="12"/>
      <c r="IR88" s="12"/>
      <c r="IS88" s="12"/>
      <c r="IT88" s="12"/>
      <c r="IU88" s="12"/>
      <c r="IV88" s="12"/>
      <c r="IW88" s="32"/>
      <c r="IX88" s="194"/>
      <c r="IY88" s="201"/>
      <c r="IZ88" s="226"/>
      <c r="JB88" s="12"/>
      <c r="JC88" s="12"/>
      <c r="JD88" s="12"/>
      <c r="JE88" s="12"/>
      <c r="JF88" s="12"/>
      <c r="JG88" s="12"/>
      <c r="JH88" s="12"/>
      <c r="JI88" s="32"/>
      <c r="JJ88" s="194"/>
      <c r="JK88" s="194"/>
      <c r="JL88" s="194"/>
      <c r="JM88" s="194"/>
      <c r="JN88" s="194"/>
      <c r="JO88" s="194"/>
      <c r="JP88" s="194"/>
      <c r="JQ88" s="194"/>
      <c r="JR88" s="194"/>
      <c r="JS88" s="194"/>
      <c r="JT88" s="194"/>
      <c r="JU88" s="194"/>
      <c r="JV88" s="194"/>
      <c r="JW88" s="194"/>
      <c r="JX88" s="194"/>
      <c r="JY88" s="194"/>
      <c r="JZ88" s="194"/>
      <c r="KA88" s="194"/>
      <c r="KB88" s="194"/>
      <c r="KC88" s="194"/>
      <c r="KD88" s="202"/>
      <c r="KE88" s="201"/>
      <c r="KF88" s="226"/>
      <c r="KH88" s="12"/>
      <c r="KI88" s="12"/>
      <c r="KJ88" s="12"/>
      <c r="KK88" s="12"/>
      <c r="KL88" s="12"/>
      <c r="KM88" s="12"/>
      <c r="KN88" s="12"/>
      <c r="KO88" s="311"/>
      <c r="KP88" s="312"/>
      <c r="KQ88" s="312"/>
      <c r="KR88" s="312"/>
      <c r="KS88" s="201"/>
      <c r="KT88" s="226"/>
      <c r="KV88" s="569" t="s">
        <v>334</v>
      </c>
      <c r="KW88" s="570"/>
      <c r="KX88" s="570"/>
      <c r="KY88" s="570"/>
      <c r="KZ88" s="570"/>
      <c r="LA88" s="571"/>
      <c r="LB88" s="28">
        <v>15</v>
      </c>
      <c r="LC88" s="63"/>
      <c r="LD88" s="109"/>
      <c r="LE88" s="109"/>
      <c r="LF88" s="30">
        <f t="shared" si="61"/>
        <v>0</v>
      </c>
      <c r="LG88" s="28">
        <f t="shared" si="62"/>
        <v>0</v>
      </c>
      <c r="LI88" s="569" t="s">
        <v>334</v>
      </c>
      <c r="LJ88" s="570"/>
      <c r="LK88" s="570"/>
      <c r="LL88" s="570"/>
      <c r="LM88" s="570"/>
      <c r="LN88" s="571"/>
      <c r="LO88" s="28">
        <v>15</v>
      </c>
      <c r="LP88" s="63"/>
      <c r="LQ88" s="109"/>
      <c r="LR88" s="109"/>
      <c r="LS88" s="109"/>
      <c r="LT88" s="109"/>
      <c r="LU88" s="109"/>
      <c r="LV88" s="109"/>
      <c r="LW88" s="109"/>
      <c r="LX88" s="109"/>
      <c r="LY88" s="109"/>
      <c r="LZ88" s="109"/>
      <c r="MA88" s="109"/>
      <c r="MB88" s="109"/>
      <c r="MC88" s="109"/>
      <c r="MD88" s="109"/>
      <c r="ME88" s="30">
        <f t="shared" si="57"/>
        <v>0</v>
      </c>
      <c r="MF88" s="28">
        <f t="shared" si="54"/>
        <v>0</v>
      </c>
      <c r="MH88" s="569" t="s">
        <v>334</v>
      </c>
      <c r="MI88" s="570"/>
      <c r="MJ88" s="570"/>
      <c r="MK88" s="570"/>
      <c r="ML88" s="570"/>
      <c r="MM88" s="571"/>
      <c r="MN88" s="28">
        <v>15</v>
      </c>
      <c r="MO88" s="63"/>
      <c r="MP88" s="109"/>
      <c r="MQ88" s="109"/>
      <c r="MR88" s="109"/>
      <c r="MS88" s="109"/>
      <c r="MT88" s="109"/>
      <c r="MU88" s="109"/>
      <c r="MV88" s="109"/>
      <c r="MW88" s="109"/>
      <c r="MX88" s="109"/>
      <c r="MY88" s="109"/>
      <c r="MZ88" s="109"/>
      <c r="NA88" s="109"/>
      <c r="NB88" s="109"/>
      <c r="NC88" s="109"/>
      <c r="ND88" s="30">
        <f t="shared" si="58"/>
        <v>0</v>
      </c>
      <c r="NE88" s="28">
        <f t="shared" si="55"/>
        <v>0</v>
      </c>
      <c r="NG88" s="569" t="s">
        <v>334</v>
      </c>
      <c r="NH88" s="570"/>
      <c r="NI88" s="570"/>
      <c r="NJ88" s="570"/>
      <c r="NK88" s="570"/>
      <c r="NL88" s="571"/>
      <c r="NM88" s="28">
        <v>15</v>
      </c>
      <c r="NN88" s="109"/>
      <c r="NO88" s="109"/>
      <c r="NP88" s="109"/>
      <c r="NQ88" s="109"/>
      <c r="NR88" s="109"/>
      <c r="NS88" s="109"/>
      <c r="NT88" s="109"/>
      <c r="NU88" s="109"/>
      <c r="NV88" s="109"/>
      <c r="NW88" s="109"/>
      <c r="NX88" s="109"/>
      <c r="NY88" s="109"/>
      <c r="NZ88" s="109"/>
      <c r="OA88" s="109"/>
      <c r="OB88" s="109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58"/>
      <c r="B89" s="12"/>
      <c r="C89" s="12"/>
      <c r="D89" s="12"/>
      <c r="E89" s="12"/>
      <c r="F89" s="12"/>
      <c r="G89" s="12"/>
      <c r="H89" s="12"/>
      <c r="I89" s="12"/>
      <c r="J89" s="12"/>
      <c r="K89" s="200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200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200"/>
      <c r="AP89" s="34"/>
      <c r="AQ89" s="19"/>
      <c r="AS89" s="12"/>
      <c r="AT89" s="12"/>
      <c r="AU89" s="12"/>
      <c r="AV89" s="12"/>
      <c r="AW89" s="12"/>
      <c r="AX89" s="12"/>
      <c r="AY89" s="12"/>
      <c r="AZ89" s="200"/>
      <c r="BA89" s="200"/>
      <c r="BB89" s="200"/>
      <c r="BC89" s="200"/>
      <c r="BD89" s="201"/>
      <c r="BE89" s="28"/>
      <c r="BF89" s="25"/>
      <c r="BG89" s="12"/>
      <c r="BH89" s="12"/>
      <c r="BI89" s="12"/>
      <c r="BJ89" s="12"/>
      <c r="BK89" s="12"/>
      <c r="BL89" s="12"/>
      <c r="BM89" s="12"/>
      <c r="BN89" s="200"/>
      <c r="BO89" s="200"/>
      <c r="BP89" s="201"/>
      <c r="BQ89" s="28"/>
      <c r="BR89" s="25"/>
      <c r="BS89" s="190"/>
      <c r="BT89" s="198"/>
      <c r="BU89" s="198"/>
      <c r="BV89" s="198"/>
      <c r="BW89" s="198"/>
      <c r="BX89" s="199"/>
      <c r="BY89" s="12"/>
      <c r="BZ89" s="200"/>
      <c r="CA89" s="200"/>
      <c r="CB89" s="200"/>
      <c r="CC89" s="200"/>
      <c r="CD89" s="200"/>
      <c r="CE89" s="200"/>
      <c r="CF89" s="200"/>
      <c r="CG89" s="200"/>
      <c r="CH89" s="200"/>
      <c r="CI89" s="201"/>
      <c r="CJ89" s="28"/>
      <c r="CL89" s="190"/>
      <c r="CM89" s="198"/>
      <c r="CN89" s="198"/>
      <c r="CO89" s="198"/>
      <c r="CP89" s="198"/>
      <c r="CQ89" s="199"/>
      <c r="CR89" s="12"/>
      <c r="CS89" s="200"/>
      <c r="CT89" s="200"/>
      <c r="CU89" s="200"/>
      <c r="CV89" s="200"/>
      <c r="CW89" s="200"/>
      <c r="CX89" s="200"/>
      <c r="CY89" s="200"/>
      <c r="CZ89" s="202"/>
      <c r="DA89" s="201"/>
      <c r="DB89" s="28"/>
      <c r="DC89" s="33"/>
      <c r="DD89" s="12"/>
      <c r="DE89" s="12"/>
      <c r="DF89" s="12"/>
      <c r="DG89" s="12"/>
      <c r="DH89" s="12"/>
      <c r="DI89" s="12"/>
      <c r="DJ89" s="12"/>
      <c r="DK89" s="202"/>
      <c r="DL89" s="202"/>
      <c r="DM89" s="202"/>
      <c r="DN89" s="202"/>
      <c r="DO89" s="202"/>
      <c r="DP89" s="202"/>
      <c r="DQ89" s="202"/>
      <c r="DR89" s="202"/>
      <c r="DS89" s="202"/>
      <c r="DT89" s="202"/>
      <c r="DU89" s="201"/>
      <c r="DV89" s="28"/>
      <c r="DX89" s="12"/>
      <c r="DY89" s="12"/>
      <c r="DZ89" s="12"/>
      <c r="EA89" s="12"/>
      <c r="EB89" s="12"/>
      <c r="EC89" s="12"/>
      <c r="ED89" s="12"/>
      <c r="EE89" s="202"/>
      <c r="EF89" s="202"/>
      <c r="EG89" s="202"/>
      <c r="EH89" s="202"/>
      <c r="EI89" s="202"/>
      <c r="EJ89" s="202"/>
      <c r="EK89" s="202"/>
      <c r="EL89" s="202"/>
      <c r="EM89" s="202"/>
      <c r="EN89" s="202"/>
      <c r="EO89" s="201"/>
      <c r="EP89" s="28"/>
      <c r="ER89" s="12"/>
      <c r="ES89" s="12"/>
      <c r="ET89" s="12"/>
      <c r="EU89" s="12"/>
      <c r="EV89" s="12"/>
      <c r="EW89" s="12"/>
      <c r="EX89" s="12"/>
      <c r="EY89" s="202"/>
      <c r="EZ89" s="202"/>
      <c r="FA89" s="202"/>
      <c r="FB89" s="202"/>
      <c r="FC89" s="202"/>
      <c r="FD89" s="202"/>
      <c r="FE89" s="202"/>
      <c r="FF89" s="202"/>
      <c r="FG89" s="202"/>
      <c r="FH89" s="202"/>
      <c r="FI89" s="202"/>
      <c r="FJ89" s="202"/>
      <c r="FK89" s="202"/>
      <c r="FL89" s="202"/>
      <c r="FM89" s="202"/>
      <c r="FN89" s="202"/>
      <c r="FO89" s="202"/>
      <c r="FP89" s="202"/>
      <c r="FQ89" s="202"/>
      <c r="FR89" s="202"/>
      <c r="FS89" s="202"/>
      <c r="FT89" s="201"/>
      <c r="FU89" s="226"/>
      <c r="FW89" s="12"/>
      <c r="FX89" s="12"/>
      <c r="FY89" s="12"/>
      <c r="FZ89" s="12"/>
      <c r="GA89" s="12"/>
      <c r="GB89" s="12"/>
      <c r="GC89" s="12"/>
      <c r="GD89" s="204"/>
      <c r="GE89" s="204"/>
      <c r="GF89" s="204"/>
      <c r="GG89" s="204"/>
      <c r="GH89" s="204"/>
      <c r="GI89" s="204"/>
      <c r="GJ89" s="204"/>
      <c r="GK89" s="204"/>
      <c r="GL89" s="204"/>
      <c r="GM89" s="204"/>
      <c r="GN89" s="204"/>
      <c r="GO89" s="204"/>
      <c r="GP89" s="204"/>
      <c r="GQ89" s="201"/>
      <c r="GR89" s="226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201"/>
      <c r="HM89" s="226"/>
      <c r="HO89" s="12"/>
      <c r="HP89" s="12"/>
      <c r="HQ89" s="12"/>
      <c r="HR89" s="12"/>
      <c r="HS89" s="12"/>
      <c r="HT89" s="12"/>
      <c r="HU89" s="12"/>
      <c r="HV89" s="32"/>
      <c r="HW89" s="201"/>
      <c r="HX89" s="226"/>
      <c r="HZ89" s="12"/>
      <c r="IA89" s="12"/>
      <c r="IB89" s="12"/>
      <c r="IC89" s="12"/>
      <c r="ID89" s="12"/>
      <c r="IE89" s="12"/>
      <c r="IF89" s="12"/>
      <c r="IG89" s="32"/>
      <c r="IH89" s="194"/>
      <c r="II89" s="194"/>
      <c r="IJ89" s="194"/>
      <c r="IK89" s="194"/>
      <c r="IL89" s="194"/>
      <c r="IM89" s="201"/>
      <c r="IN89" s="226"/>
      <c r="IP89" s="12"/>
      <c r="IQ89" s="12"/>
      <c r="IR89" s="12"/>
      <c r="IS89" s="12"/>
      <c r="IT89" s="12"/>
      <c r="IU89" s="12"/>
      <c r="IV89" s="12"/>
      <c r="IW89" s="32"/>
      <c r="IX89" s="194"/>
      <c r="IY89" s="201"/>
      <c r="IZ89" s="226"/>
      <c r="JB89" s="12"/>
      <c r="JC89" s="12"/>
      <c r="JD89" s="12"/>
      <c r="JE89" s="12"/>
      <c r="JF89" s="12"/>
      <c r="JG89" s="12"/>
      <c r="JH89" s="12"/>
      <c r="JI89" s="32"/>
      <c r="JJ89" s="194"/>
      <c r="JK89" s="194"/>
      <c r="JL89" s="194"/>
      <c r="JM89" s="194"/>
      <c r="JN89" s="194"/>
      <c r="JO89" s="194"/>
      <c r="JP89" s="194"/>
      <c r="JQ89" s="194"/>
      <c r="JR89" s="194"/>
      <c r="JS89" s="194"/>
      <c r="JT89" s="194"/>
      <c r="JU89" s="194"/>
      <c r="JV89" s="194"/>
      <c r="JW89" s="194"/>
      <c r="JX89" s="194"/>
      <c r="JY89" s="194"/>
      <c r="JZ89" s="194"/>
      <c r="KA89" s="194"/>
      <c r="KB89" s="194"/>
      <c r="KC89" s="194"/>
      <c r="KD89" s="202"/>
      <c r="KE89" s="201"/>
      <c r="KF89" s="226"/>
      <c r="KH89" s="12"/>
      <c r="KI89" s="12"/>
      <c r="KJ89" s="12"/>
      <c r="KK89" s="12"/>
      <c r="KL89" s="12"/>
      <c r="KM89" s="12"/>
      <c r="KN89" s="12"/>
      <c r="KO89" s="311"/>
      <c r="KP89" s="312"/>
      <c r="KQ89" s="312"/>
      <c r="KR89" s="312"/>
      <c r="KS89" s="201"/>
      <c r="KT89" s="226"/>
      <c r="KV89" s="566" t="s">
        <v>335</v>
      </c>
      <c r="KW89" s="567"/>
      <c r="KX89" s="567"/>
      <c r="KY89" s="567"/>
      <c r="KZ89" s="567"/>
      <c r="LA89" s="568"/>
      <c r="LB89" s="13">
        <v>20</v>
      </c>
      <c r="LC89" s="32"/>
      <c r="LD89" s="194"/>
      <c r="LE89" s="194"/>
      <c r="LF89" s="30">
        <f t="shared" si="61"/>
        <v>0</v>
      </c>
      <c r="LG89" s="28">
        <f t="shared" si="62"/>
        <v>0</v>
      </c>
      <c r="LI89" s="566" t="s">
        <v>335</v>
      </c>
      <c r="LJ89" s="567"/>
      <c r="LK89" s="567"/>
      <c r="LL89" s="567"/>
      <c r="LM89" s="567"/>
      <c r="LN89" s="568"/>
      <c r="LO89" s="13">
        <v>20</v>
      </c>
      <c r="LP89" s="32"/>
      <c r="LQ89" s="194"/>
      <c r="LR89" s="194"/>
      <c r="LS89" s="194"/>
      <c r="LT89" s="194"/>
      <c r="LU89" s="194"/>
      <c r="LV89" s="194"/>
      <c r="LW89" s="194"/>
      <c r="LX89" s="194"/>
      <c r="LY89" s="194"/>
      <c r="LZ89" s="194"/>
      <c r="MA89" s="194"/>
      <c r="MB89" s="194"/>
      <c r="MC89" s="194"/>
      <c r="MD89" s="194"/>
      <c r="ME89" s="30">
        <f t="shared" si="57"/>
        <v>0</v>
      </c>
      <c r="MF89" s="28">
        <f t="shared" si="54"/>
        <v>0</v>
      </c>
      <c r="MH89" s="566" t="s">
        <v>335</v>
      </c>
      <c r="MI89" s="567"/>
      <c r="MJ89" s="567"/>
      <c r="MK89" s="567"/>
      <c r="ML89" s="567"/>
      <c r="MM89" s="568"/>
      <c r="MN89" s="13">
        <v>20</v>
      </c>
      <c r="MO89" s="32"/>
      <c r="MP89" s="194"/>
      <c r="MQ89" s="194"/>
      <c r="MR89" s="194"/>
      <c r="MS89" s="194"/>
      <c r="MT89" s="194"/>
      <c r="MU89" s="194"/>
      <c r="MV89" s="194"/>
      <c r="MW89" s="194">
        <v>1</v>
      </c>
      <c r="MX89" s="194"/>
      <c r="MY89" s="194"/>
      <c r="MZ89" s="194"/>
      <c r="NA89" s="194"/>
      <c r="NB89" s="194"/>
      <c r="NC89" s="194"/>
      <c r="ND89" s="30">
        <f t="shared" si="58"/>
        <v>1</v>
      </c>
      <c r="NE89" s="28">
        <f t="shared" si="55"/>
        <v>20</v>
      </c>
      <c r="NG89" s="566" t="s">
        <v>335</v>
      </c>
      <c r="NH89" s="567"/>
      <c r="NI89" s="567"/>
      <c r="NJ89" s="567"/>
      <c r="NK89" s="567"/>
      <c r="NL89" s="568"/>
      <c r="NM89" s="13">
        <v>20</v>
      </c>
      <c r="NN89" s="194"/>
      <c r="NO89" s="194"/>
      <c r="NP89" s="194"/>
      <c r="NQ89" s="194"/>
      <c r="NR89" s="194"/>
      <c r="NS89" s="194"/>
      <c r="NT89" s="194"/>
      <c r="NU89" s="194"/>
      <c r="NV89" s="194"/>
      <c r="NW89" s="194"/>
      <c r="NX89" s="194"/>
      <c r="NY89" s="194"/>
      <c r="NZ89" s="194"/>
      <c r="OA89" s="194"/>
      <c r="OB89" s="194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58"/>
      <c r="B90" s="12"/>
      <c r="C90" s="12"/>
      <c r="D90" s="12"/>
      <c r="E90" s="12"/>
      <c r="F90" s="12"/>
      <c r="G90" s="12"/>
      <c r="H90" s="12"/>
      <c r="I90" s="12"/>
      <c r="J90" s="12"/>
      <c r="K90" s="200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200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200"/>
      <c r="AP90" s="34"/>
      <c r="AQ90" s="19"/>
      <c r="AS90" s="12"/>
      <c r="AT90" s="12"/>
      <c r="AU90" s="12"/>
      <c r="AV90" s="12"/>
      <c r="AW90" s="12"/>
      <c r="AX90" s="12"/>
      <c r="AY90" s="12"/>
      <c r="AZ90" s="200"/>
      <c r="BA90" s="200"/>
      <c r="BB90" s="200"/>
      <c r="BC90" s="200"/>
      <c r="BD90" s="201"/>
      <c r="BE90" s="28"/>
      <c r="BF90" s="25"/>
      <c r="BG90" s="12"/>
      <c r="BH90" s="12"/>
      <c r="BI90" s="12"/>
      <c r="BJ90" s="12"/>
      <c r="BK90" s="12"/>
      <c r="BL90" s="12"/>
      <c r="BM90" s="12"/>
      <c r="BN90" s="200"/>
      <c r="BO90" s="200"/>
      <c r="BP90" s="201"/>
      <c r="BQ90" s="28"/>
      <c r="BR90" s="25"/>
      <c r="BS90" s="190"/>
      <c r="BT90" s="198"/>
      <c r="BU90" s="198"/>
      <c r="BV90" s="198"/>
      <c r="BW90" s="198"/>
      <c r="BX90" s="199"/>
      <c r="BY90" s="12"/>
      <c r="BZ90" s="200"/>
      <c r="CA90" s="200"/>
      <c r="CB90" s="200"/>
      <c r="CC90" s="200"/>
      <c r="CD90" s="200"/>
      <c r="CE90" s="200"/>
      <c r="CF90" s="200"/>
      <c r="CG90" s="200"/>
      <c r="CH90" s="200"/>
      <c r="CI90" s="201"/>
      <c r="CJ90" s="28"/>
      <c r="CL90" s="190"/>
      <c r="CM90" s="198"/>
      <c r="CN90" s="198"/>
      <c r="CO90" s="198"/>
      <c r="CP90" s="198"/>
      <c r="CQ90" s="199"/>
      <c r="CR90" s="12"/>
      <c r="CS90" s="200"/>
      <c r="CT90" s="200"/>
      <c r="CU90" s="200"/>
      <c r="CV90" s="200"/>
      <c r="CW90" s="200"/>
      <c r="CX90" s="200"/>
      <c r="CY90" s="200"/>
      <c r="CZ90" s="202"/>
      <c r="DA90" s="201"/>
      <c r="DB90" s="28"/>
      <c r="DC90" s="33"/>
      <c r="DD90" s="12"/>
      <c r="DE90" s="12"/>
      <c r="DF90" s="12"/>
      <c r="DG90" s="12"/>
      <c r="DH90" s="12"/>
      <c r="DI90" s="12"/>
      <c r="DJ90" s="12"/>
      <c r="DK90" s="202"/>
      <c r="DL90" s="202"/>
      <c r="DM90" s="202"/>
      <c r="DN90" s="202"/>
      <c r="DO90" s="202"/>
      <c r="DP90" s="202"/>
      <c r="DQ90" s="202"/>
      <c r="DR90" s="202"/>
      <c r="DS90" s="202"/>
      <c r="DT90" s="202"/>
      <c r="DU90" s="201"/>
      <c r="DV90" s="28"/>
      <c r="DX90" s="12"/>
      <c r="DY90" s="12"/>
      <c r="DZ90" s="12"/>
      <c r="EA90" s="12"/>
      <c r="EB90" s="12"/>
      <c r="EC90" s="12"/>
      <c r="ED90" s="12"/>
      <c r="EE90" s="202"/>
      <c r="EF90" s="202"/>
      <c r="EG90" s="202"/>
      <c r="EH90" s="202"/>
      <c r="EI90" s="202"/>
      <c r="EJ90" s="202"/>
      <c r="EK90" s="202"/>
      <c r="EL90" s="202"/>
      <c r="EM90" s="202"/>
      <c r="EN90" s="202"/>
      <c r="EO90" s="201"/>
      <c r="EP90" s="28"/>
      <c r="ER90" s="12"/>
      <c r="ES90" s="12"/>
      <c r="ET90" s="12"/>
      <c r="EU90" s="12"/>
      <c r="EV90" s="12"/>
      <c r="EW90" s="12"/>
      <c r="EX90" s="12"/>
      <c r="EY90" s="202"/>
      <c r="EZ90" s="202"/>
      <c r="FA90" s="202"/>
      <c r="FB90" s="202"/>
      <c r="FC90" s="202"/>
      <c r="FD90" s="202"/>
      <c r="FE90" s="202"/>
      <c r="FF90" s="202"/>
      <c r="FG90" s="202"/>
      <c r="FH90" s="202"/>
      <c r="FI90" s="202"/>
      <c r="FJ90" s="202"/>
      <c r="FK90" s="202"/>
      <c r="FL90" s="202"/>
      <c r="FM90" s="202"/>
      <c r="FN90" s="202"/>
      <c r="FO90" s="202"/>
      <c r="FP90" s="202"/>
      <c r="FQ90" s="202"/>
      <c r="FR90" s="202"/>
      <c r="FS90" s="202"/>
      <c r="FT90" s="201"/>
      <c r="FU90" s="226"/>
      <c r="FW90" s="12"/>
      <c r="FX90" s="12"/>
      <c r="FY90" s="12"/>
      <c r="FZ90" s="12"/>
      <c r="GA90" s="12"/>
      <c r="GB90" s="12"/>
      <c r="GC90" s="12"/>
      <c r="GD90" s="204"/>
      <c r="GE90" s="204"/>
      <c r="GF90" s="204"/>
      <c r="GG90" s="204"/>
      <c r="GH90" s="204"/>
      <c r="GI90" s="204"/>
      <c r="GJ90" s="204"/>
      <c r="GK90" s="204"/>
      <c r="GL90" s="204"/>
      <c r="GM90" s="204"/>
      <c r="GN90" s="204"/>
      <c r="GO90" s="204"/>
      <c r="GP90" s="204"/>
      <c r="GQ90" s="201"/>
      <c r="GR90" s="226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201"/>
      <c r="HM90" s="226"/>
      <c r="HO90" s="12"/>
      <c r="HP90" s="12"/>
      <c r="HQ90" s="12"/>
      <c r="HR90" s="12"/>
      <c r="HS90" s="12"/>
      <c r="HT90" s="12"/>
      <c r="HU90" s="12"/>
      <c r="HV90" s="32"/>
      <c r="HW90" s="201"/>
      <c r="HX90" s="226"/>
      <c r="HZ90" s="12"/>
      <c r="IA90" s="12"/>
      <c r="IB90" s="12"/>
      <c r="IC90" s="12"/>
      <c r="ID90" s="12"/>
      <c r="IE90" s="12"/>
      <c r="IF90" s="12"/>
      <c r="IG90" s="32"/>
      <c r="IH90" s="194"/>
      <c r="II90" s="194"/>
      <c r="IJ90" s="194"/>
      <c r="IK90" s="194"/>
      <c r="IL90" s="194"/>
      <c r="IM90" s="201"/>
      <c r="IN90" s="226"/>
      <c r="IP90" s="12"/>
      <c r="IQ90" s="12"/>
      <c r="IR90" s="12"/>
      <c r="IS90" s="12"/>
      <c r="IT90" s="12"/>
      <c r="IU90" s="12"/>
      <c r="IV90" s="12"/>
      <c r="IW90" s="32"/>
      <c r="IX90" s="194"/>
      <c r="IY90" s="201"/>
      <c r="IZ90" s="226"/>
      <c r="JB90" s="12"/>
      <c r="JC90" s="12"/>
      <c r="JD90" s="12"/>
      <c r="JE90" s="12"/>
      <c r="JF90" s="12"/>
      <c r="JG90" s="12"/>
      <c r="JH90" s="12"/>
      <c r="JI90" s="32"/>
      <c r="JJ90" s="194"/>
      <c r="JK90" s="194"/>
      <c r="JL90" s="194"/>
      <c r="JM90" s="194"/>
      <c r="JN90" s="194"/>
      <c r="JO90" s="194"/>
      <c r="JP90" s="194"/>
      <c r="JQ90" s="194"/>
      <c r="JR90" s="194"/>
      <c r="JS90" s="194"/>
      <c r="JT90" s="194"/>
      <c r="JU90" s="194"/>
      <c r="JV90" s="194"/>
      <c r="JW90" s="194"/>
      <c r="JX90" s="194"/>
      <c r="JY90" s="194"/>
      <c r="JZ90" s="194"/>
      <c r="KA90" s="194"/>
      <c r="KB90" s="194"/>
      <c r="KC90" s="194"/>
      <c r="KD90" s="202"/>
      <c r="KE90" s="201"/>
      <c r="KF90" s="226"/>
      <c r="KH90" s="12"/>
      <c r="KI90" s="12"/>
      <c r="KJ90" s="12"/>
      <c r="KK90" s="12"/>
      <c r="KL90" s="12"/>
      <c r="KM90" s="12"/>
      <c r="KN90" s="12"/>
      <c r="KO90" s="311"/>
      <c r="KP90" s="312"/>
      <c r="KQ90" s="312"/>
      <c r="KR90" s="312"/>
      <c r="KS90" s="201"/>
      <c r="KT90" s="226"/>
      <c r="KV90" s="569" t="s">
        <v>336</v>
      </c>
      <c r="KW90" s="570"/>
      <c r="KX90" s="570"/>
      <c r="KY90" s="570"/>
      <c r="KZ90" s="570"/>
      <c r="LA90" s="571"/>
      <c r="LB90" s="28">
        <v>17</v>
      </c>
      <c r="LC90" s="63"/>
      <c r="LD90" s="109"/>
      <c r="LE90" s="109"/>
      <c r="LF90" s="30">
        <f t="shared" si="61"/>
        <v>0</v>
      </c>
      <c r="LG90" s="28">
        <f t="shared" si="62"/>
        <v>0</v>
      </c>
      <c r="LI90" s="569" t="s">
        <v>336</v>
      </c>
      <c r="LJ90" s="570"/>
      <c r="LK90" s="570"/>
      <c r="LL90" s="570"/>
      <c r="LM90" s="570"/>
      <c r="LN90" s="571"/>
      <c r="LO90" s="28">
        <v>17</v>
      </c>
      <c r="LP90" s="63"/>
      <c r="LQ90" s="109"/>
      <c r="LR90" s="109"/>
      <c r="LS90" s="109"/>
      <c r="LT90" s="109"/>
      <c r="LU90" s="109"/>
      <c r="LV90" s="109"/>
      <c r="LW90" s="109"/>
      <c r="LX90" s="109"/>
      <c r="LY90" s="109"/>
      <c r="LZ90" s="109"/>
      <c r="MA90" s="109"/>
      <c r="MB90" s="109"/>
      <c r="MC90" s="109"/>
      <c r="MD90" s="109"/>
      <c r="ME90" s="30">
        <f t="shared" si="57"/>
        <v>0</v>
      </c>
      <c r="MF90" s="28">
        <f t="shared" si="54"/>
        <v>0</v>
      </c>
      <c r="MH90" s="572" t="s">
        <v>336</v>
      </c>
      <c r="MI90" s="572"/>
      <c r="MJ90" s="572"/>
      <c r="MK90" s="572"/>
      <c r="ML90" s="572"/>
      <c r="MM90" s="572"/>
      <c r="MN90" s="28">
        <v>17</v>
      </c>
      <c r="MO90" s="63"/>
      <c r="MP90" s="109"/>
      <c r="MQ90" s="109"/>
      <c r="MR90" s="109"/>
      <c r="MS90" s="109"/>
      <c r="MT90" s="109"/>
      <c r="MU90" s="109"/>
      <c r="MV90" s="109"/>
      <c r="MW90" s="109"/>
      <c r="MX90" s="109"/>
      <c r="MY90" s="109"/>
      <c r="MZ90" s="109"/>
      <c r="NA90" s="109"/>
      <c r="NB90" s="109"/>
      <c r="NC90" s="109"/>
      <c r="ND90" s="30">
        <f t="shared" si="58"/>
        <v>0</v>
      </c>
      <c r="NE90" s="28">
        <f t="shared" si="55"/>
        <v>0</v>
      </c>
      <c r="NG90" s="572" t="s">
        <v>336</v>
      </c>
      <c r="NH90" s="572"/>
      <c r="NI90" s="572"/>
      <c r="NJ90" s="572"/>
      <c r="NK90" s="572"/>
      <c r="NL90" s="572"/>
      <c r="NM90" s="28">
        <v>17</v>
      </c>
      <c r="NN90" s="109"/>
      <c r="NO90" s="109"/>
      <c r="NP90" s="109"/>
      <c r="NQ90" s="109"/>
      <c r="NR90" s="109"/>
      <c r="NS90" s="109"/>
      <c r="NT90" s="109"/>
      <c r="NU90" s="109"/>
      <c r="NV90" s="109"/>
      <c r="NW90" s="109"/>
      <c r="NX90" s="109"/>
      <c r="NY90" s="109"/>
      <c r="NZ90" s="109"/>
      <c r="OA90" s="109"/>
      <c r="OB90" s="109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58"/>
      <c r="B91" s="12"/>
      <c r="C91" s="12"/>
      <c r="D91" s="12"/>
      <c r="E91" s="12"/>
      <c r="F91" s="12"/>
      <c r="G91" s="12"/>
      <c r="H91" s="12"/>
      <c r="I91" s="12"/>
      <c r="J91" s="12"/>
      <c r="K91" s="200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200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200"/>
      <c r="AP91" s="34"/>
      <c r="AQ91" s="19"/>
      <c r="AS91" s="12"/>
      <c r="AT91" s="12"/>
      <c r="AU91" s="12"/>
      <c r="AV91" s="12"/>
      <c r="AW91" s="12"/>
      <c r="AX91" s="12"/>
      <c r="AY91" s="12"/>
      <c r="AZ91" s="200"/>
      <c r="BA91" s="200"/>
      <c r="BB91" s="200"/>
      <c r="BC91" s="200"/>
      <c r="BD91" s="201"/>
      <c r="BE91" s="28"/>
      <c r="BF91" s="25"/>
      <c r="BG91" s="12"/>
      <c r="BH91" s="12"/>
      <c r="BI91" s="12"/>
      <c r="BJ91" s="12"/>
      <c r="BK91" s="12"/>
      <c r="BL91" s="12"/>
      <c r="BM91" s="12"/>
      <c r="BN91" s="200"/>
      <c r="BO91" s="200"/>
      <c r="BP91" s="201"/>
      <c r="BQ91" s="28"/>
      <c r="BR91" s="25"/>
      <c r="BS91" s="190"/>
      <c r="BT91" s="198"/>
      <c r="BU91" s="198"/>
      <c r="BV91" s="198"/>
      <c r="BW91" s="198"/>
      <c r="BX91" s="199"/>
      <c r="BY91" s="12"/>
      <c r="BZ91" s="200"/>
      <c r="CA91" s="200"/>
      <c r="CB91" s="200"/>
      <c r="CC91" s="200"/>
      <c r="CD91" s="200"/>
      <c r="CE91" s="200"/>
      <c r="CF91" s="200"/>
      <c r="CG91" s="200"/>
      <c r="CH91" s="200"/>
      <c r="CI91" s="201"/>
      <c r="CJ91" s="28"/>
      <c r="CL91" s="190"/>
      <c r="CM91" s="198"/>
      <c r="CN91" s="198"/>
      <c r="CO91" s="198"/>
      <c r="CP91" s="198"/>
      <c r="CQ91" s="199"/>
      <c r="CR91" s="12"/>
      <c r="CS91" s="200"/>
      <c r="CT91" s="200"/>
      <c r="CU91" s="200"/>
      <c r="CV91" s="200"/>
      <c r="CW91" s="200"/>
      <c r="CX91" s="200"/>
      <c r="CY91" s="200"/>
      <c r="CZ91" s="202"/>
      <c r="DA91" s="201"/>
      <c r="DB91" s="28"/>
      <c r="DC91" s="33"/>
      <c r="DD91" s="12"/>
      <c r="DE91" s="12"/>
      <c r="DF91" s="12"/>
      <c r="DG91" s="12"/>
      <c r="DH91" s="12"/>
      <c r="DI91" s="12"/>
      <c r="DJ91" s="12"/>
      <c r="DK91" s="202"/>
      <c r="DL91" s="202"/>
      <c r="DM91" s="202"/>
      <c r="DN91" s="202"/>
      <c r="DO91" s="202"/>
      <c r="DP91" s="202"/>
      <c r="DQ91" s="202"/>
      <c r="DR91" s="202"/>
      <c r="DS91" s="202"/>
      <c r="DT91" s="202"/>
      <c r="DU91" s="201"/>
      <c r="DV91" s="28"/>
      <c r="DX91" s="12"/>
      <c r="DY91" s="12"/>
      <c r="DZ91" s="12"/>
      <c r="EA91" s="12"/>
      <c r="EB91" s="12"/>
      <c r="EC91" s="12"/>
      <c r="ED91" s="12"/>
      <c r="EE91" s="202"/>
      <c r="EF91" s="202"/>
      <c r="EG91" s="202"/>
      <c r="EH91" s="202"/>
      <c r="EI91" s="202"/>
      <c r="EJ91" s="202"/>
      <c r="EK91" s="202"/>
      <c r="EL91" s="202"/>
      <c r="EM91" s="202"/>
      <c r="EN91" s="202"/>
      <c r="EO91" s="201"/>
      <c r="EP91" s="28"/>
      <c r="ER91" s="12"/>
      <c r="ES91" s="12"/>
      <c r="ET91" s="12"/>
      <c r="EU91" s="12"/>
      <c r="EV91" s="12"/>
      <c r="EW91" s="12"/>
      <c r="EX91" s="12"/>
      <c r="EY91" s="202"/>
      <c r="EZ91" s="202"/>
      <c r="FA91" s="202"/>
      <c r="FB91" s="202"/>
      <c r="FC91" s="202"/>
      <c r="FD91" s="202"/>
      <c r="FE91" s="202"/>
      <c r="FF91" s="202"/>
      <c r="FG91" s="202"/>
      <c r="FH91" s="202"/>
      <c r="FI91" s="202"/>
      <c r="FJ91" s="202"/>
      <c r="FK91" s="202"/>
      <c r="FL91" s="202"/>
      <c r="FM91" s="202"/>
      <c r="FN91" s="202"/>
      <c r="FO91" s="202"/>
      <c r="FP91" s="202"/>
      <c r="FQ91" s="202"/>
      <c r="FR91" s="202"/>
      <c r="FS91" s="202"/>
      <c r="FT91" s="201"/>
      <c r="FU91" s="226"/>
      <c r="FW91" s="12"/>
      <c r="FX91" s="12"/>
      <c r="FY91" s="12"/>
      <c r="FZ91" s="12"/>
      <c r="GA91" s="12"/>
      <c r="GB91" s="12"/>
      <c r="GC91" s="12"/>
      <c r="GD91" s="204"/>
      <c r="GE91" s="204"/>
      <c r="GF91" s="204"/>
      <c r="GG91" s="204"/>
      <c r="GH91" s="204"/>
      <c r="GI91" s="204"/>
      <c r="GJ91" s="204"/>
      <c r="GK91" s="204"/>
      <c r="GL91" s="204"/>
      <c r="GM91" s="204"/>
      <c r="GN91" s="204"/>
      <c r="GO91" s="204"/>
      <c r="GP91" s="204"/>
      <c r="GQ91" s="201"/>
      <c r="GR91" s="226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201"/>
      <c r="HM91" s="226"/>
      <c r="HO91" s="12"/>
      <c r="HP91" s="12"/>
      <c r="HQ91" s="12"/>
      <c r="HR91" s="12"/>
      <c r="HS91" s="12"/>
      <c r="HT91" s="12"/>
      <c r="HU91" s="12"/>
      <c r="HV91" s="32"/>
      <c r="HW91" s="201"/>
      <c r="HX91" s="226"/>
      <c r="HZ91" s="12"/>
      <c r="IA91" s="12"/>
      <c r="IB91" s="12"/>
      <c r="IC91" s="12"/>
      <c r="ID91" s="12"/>
      <c r="IE91" s="12"/>
      <c r="IF91" s="12"/>
      <c r="IG91" s="32"/>
      <c r="IH91" s="194"/>
      <c r="II91" s="194"/>
      <c r="IJ91" s="194"/>
      <c r="IK91" s="194"/>
      <c r="IL91" s="194"/>
      <c r="IM91" s="201"/>
      <c r="IN91" s="226"/>
      <c r="IP91" s="12"/>
      <c r="IQ91" s="12"/>
      <c r="IR91" s="12"/>
      <c r="IS91" s="12"/>
      <c r="IT91" s="12"/>
      <c r="IU91" s="12"/>
      <c r="IV91" s="12"/>
      <c r="IW91" s="32"/>
      <c r="IX91" s="194"/>
      <c r="IY91" s="201"/>
      <c r="IZ91" s="226"/>
      <c r="JB91" s="12"/>
      <c r="JC91" s="12"/>
      <c r="JD91" s="12"/>
      <c r="JE91" s="12"/>
      <c r="JF91" s="12"/>
      <c r="JG91" s="12"/>
      <c r="JH91" s="12"/>
      <c r="JI91" s="32"/>
      <c r="JJ91" s="194"/>
      <c r="JK91" s="194"/>
      <c r="JL91" s="194"/>
      <c r="JM91" s="194"/>
      <c r="JN91" s="194"/>
      <c r="JO91" s="194"/>
      <c r="JP91" s="194"/>
      <c r="JQ91" s="194"/>
      <c r="JR91" s="194"/>
      <c r="JS91" s="194"/>
      <c r="JT91" s="194"/>
      <c r="JU91" s="194"/>
      <c r="JV91" s="194"/>
      <c r="JW91" s="194"/>
      <c r="JX91" s="194"/>
      <c r="JY91" s="194"/>
      <c r="JZ91" s="194"/>
      <c r="KA91" s="194"/>
      <c r="KB91" s="194"/>
      <c r="KC91" s="194"/>
      <c r="KD91" s="202"/>
      <c r="KE91" s="201"/>
      <c r="KF91" s="226"/>
      <c r="KH91" s="12"/>
      <c r="KI91" s="12"/>
      <c r="KJ91" s="12"/>
      <c r="KK91" s="12"/>
      <c r="KL91" s="12"/>
      <c r="KM91" s="12"/>
      <c r="KN91" s="12"/>
      <c r="KO91" s="311"/>
      <c r="KP91" s="312"/>
      <c r="KQ91" s="312"/>
      <c r="KR91" s="312"/>
      <c r="KS91" s="201"/>
      <c r="KT91" s="226"/>
      <c r="KV91" s="201"/>
      <c r="KW91" s="201"/>
      <c r="KX91" s="201"/>
      <c r="KY91" s="201"/>
      <c r="KZ91" s="201"/>
      <c r="LA91" s="201"/>
      <c r="LB91" s="201"/>
      <c r="LC91" s="360"/>
      <c r="LD91" s="361"/>
      <c r="LE91" s="361"/>
      <c r="LF91" s="201"/>
      <c r="LG91" s="226"/>
      <c r="LI91" s="510" t="s">
        <v>370</v>
      </c>
      <c r="LJ91" s="510"/>
      <c r="LK91" s="510"/>
      <c r="LL91" s="510"/>
      <c r="LM91" s="510"/>
      <c r="LN91" s="510"/>
      <c r="LO91" s="15">
        <v>5</v>
      </c>
      <c r="LP91" s="360"/>
      <c r="LQ91" s="361"/>
      <c r="LR91" s="361"/>
      <c r="LS91" s="361"/>
      <c r="LT91" s="361"/>
      <c r="LU91" s="361"/>
      <c r="LV91" s="361"/>
      <c r="LW91" s="361"/>
      <c r="LX91" s="361"/>
      <c r="LY91" s="361"/>
      <c r="LZ91" s="361"/>
      <c r="MA91" s="361"/>
      <c r="MB91" s="361"/>
      <c r="MC91" s="361">
        <v>1</v>
      </c>
      <c r="MD91" s="361"/>
      <c r="ME91" s="30">
        <f t="shared" ref="ME91:ME100" si="63">SUM(LP91:MD91)</f>
        <v>1</v>
      </c>
      <c r="MF91" s="28">
        <f t="shared" ref="MF91:MF100" si="64">ME91*LO91</f>
        <v>5</v>
      </c>
      <c r="MH91" s="510" t="s">
        <v>370</v>
      </c>
      <c r="MI91" s="510"/>
      <c r="MJ91" s="510"/>
      <c r="MK91" s="510"/>
      <c r="ML91" s="510"/>
      <c r="MM91" s="510"/>
      <c r="MN91" s="15">
        <v>5</v>
      </c>
      <c r="MO91" s="362"/>
      <c r="MP91" s="358"/>
      <c r="MQ91" s="358"/>
      <c r="MR91" s="358"/>
      <c r="MS91" s="358"/>
      <c r="MT91" s="358"/>
      <c r="MU91" s="358"/>
      <c r="MV91" s="358"/>
      <c r="MW91" s="358"/>
      <c r="MX91" s="358"/>
      <c r="MY91" s="358"/>
      <c r="MZ91" s="358"/>
      <c r="NA91" s="358"/>
      <c r="NB91" s="358"/>
      <c r="NC91" s="358"/>
      <c r="ND91" s="30">
        <f t="shared" si="58"/>
        <v>0</v>
      </c>
      <c r="NE91" s="28">
        <f t="shared" ref="NE91:NE99" si="65">ND91*MN91</f>
        <v>0</v>
      </c>
      <c r="NG91" s="510" t="s">
        <v>370</v>
      </c>
      <c r="NH91" s="510"/>
      <c r="NI91" s="510"/>
      <c r="NJ91" s="510"/>
      <c r="NK91" s="510"/>
      <c r="NL91" s="510"/>
      <c r="NM91" s="15">
        <v>5</v>
      </c>
      <c r="NN91" s="358"/>
      <c r="NO91" s="358"/>
      <c r="NP91" s="358">
        <v>2</v>
      </c>
      <c r="NQ91" s="358">
        <v>1</v>
      </c>
      <c r="NR91" s="358"/>
      <c r="NS91" s="358"/>
      <c r="NT91" s="358"/>
      <c r="NU91" s="358"/>
      <c r="NV91" s="358"/>
      <c r="NW91" s="358"/>
      <c r="NX91" s="358"/>
      <c r="NY91" s="358"/>
      <c r="NZ91" s="358"/>
      <c r="OA91" s="358"/>
      <c r="OB91" s="358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58"/>
      <c r="B92" s="12"/>
      <c r="C92" s="12"/>
      <c r="D92" s="12"/>
      <c r="E92" s="12"/>
      <c r="F92" s="12"/>
      <c r="G92" s="12"/>
      <c r="H92" s="12"/>
      <c r="I92" s="12"/>
      <c r="J92" s="12"/>
      <c r="K92" s="200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200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200"/>
      <c r="AP92" s="34"/>
      <c r="AQ92" s="19"/>
      <c r="AS92" s="12"/>
      <c r="AT92" s="12"/>
      <c r="AU92" s="12"/>
      <c r="AV92" s="12"/>
      <c r="AW92" s="12"/>
      <c r="AX92" s="12"/>
      <c r="AY92" s="12"/>
      <c r="AZ92" s="200"/>
      <c r="BA92" s="200"/>
      <c r="BB92" s="200"/>
      <c r="BC92" s="200"/>
      <c r="BD92" s="201"/>
      <c r="BE92" s="28"/>
      <c r="BF92" s="25"/>
      <c r="BG92" s="12"/>
      <c r="BH92" s="12"/>
      <c r="BI92" s="12"/>
      <c r="BJ92" s="12"/>
      <c r="BK92" s="12"/>
      <c r="BL92" s="12"/>
      <c r="BM92" s="12"/>
      <c r="BN92" s="200"/>
      <c r="BO92" s="200"/>
      <c r="BP92" s="201"/>
      <c r="BQ92" s="28"/>
      <c r="BR92" s="25"/>
      <c r="BS92" s="190"/>
      <c r="BT92" s="198"/>
      <c r="BU92" s="198"/>
      <c r="BV92" s="198"/>
      <c r="BW92" s="198"/>
      <c r="BX92" s="199"/>
      <c r="BY92" s="12"/>
      <c r="BZ92" s="200"/>
      <c r="CA92" s="200"/>
      <c r="CB92" s="200"/>
      <c r="CC92" s="200"/>
      <c r="CD92" s="200"/>
      <c r="CE92" s="200"/>
      <c r="CF92" s="200"/>
      <c r="CG92" s="200"/>
      <c r="CH92" s="200"/>
      <c r="CI92" s="201"/>
      <c r="CJ92" s="28"/>
      <c r="CL92" s="190"/>
      <c r="CM92" s="198"/>
      <c r="CN92" s="198"/>
      <c r="CO92" s="198"/>
      <c r="CP92" s="198"/>
      <c r="CQ92" s="199"/>
      <c r="CR92" s="12"/>
      <c r="CS92" s="200"/>
      <c r="CT92" s="200"/>
      <c r="CU92" s="200"/>
      <c r="CV92" s="200"/>
      <c r="CW92" s="200"/>
      <c r="CX92" s="200"/>
      <c r="CY92" s="200"/>
      <c r="CZ92" s="202"/>
      <c r="DA92" s="201"/>
      <c r="DB92" s="28"/>
      <c r="DC92" s="33"/>
      <c r="DD92" s="12"/>
      <c r="DE92" s="12"/>
      <c r="DF92" s="12"/>
      <c r="DG92" s="12"/>
      <c r="DH92" s="12"/>
      <c r="DI92" s="12"/>
      <c r="DJ92" s="12"/>
      <c r="DK92" s="202"/>
      <c r="DL92" s="202"/>
      <c r="DM92" s="202"/>
      <c r="DN92" s="202"/>
      <c r="DO92" s="202"/>
      <c r="DP92" s="202"/>
      <c r="DQ92" s="202"/>
      <c r="DR92" s="202"/>
      <c r="DS92" s="202"/>
      <c r="DT92" s="202"/>
      <c r="DU92" s="201"/>
      <c r="DV92" s="28"/>
      <c r="DX92" s="12"/>
      <c r="DY92" s="12"/>
      <c r="DZ92" s="12"/>
      <c r="EA92" s="12"/>
      <c r="EB92" s="12"/>
      <c r="EC92" s="12"/>
      <c r="ED92" s="12"/>
      <c r="EE92" s="202"/>
      <c r="EF92" s="202"/>
      <c r="EG92" s="202"/>
      <c r="EH92" s="202"/>
      <c r="EI92" s="202"/>
      <c r="EJ92" s="202"/>
      <c r="EK92" s="202"/>
      <c r="EL92" s="202"/>
      <c r="EM92" s="202"/>
      <c r="EN92" s="202"/>
      <c r="EO92" s="201"/>
      <c r="EP92" s="28"/>
      <c r="ER92" s="12"/>
      <c r="ES92" s="12"/>
      <c r="ET92" s="12"/>
      <c r="EU92" s="12"/>
      <c r="EV92" s="12"/>
      <c r="EW92" s="12"/>
      <c r="EX92" s="12"/>
      <c r="EY92" s="202"/>
      <c r="EZ92" s="202"/>
      <c r="FA92" s="202"/>
      <c r="FB92" s="202"/>
      <c r="FC92" s="202"/>
      <c r="FD92" s="202"/>
      <c r="FE92" s="202"/>
      <c r="FF92" s="202"/>
      <c r="FG92" s="202"/>
      <c r="FH92" s="202"/>
      <c r="FI92" s="202"/>
      <c r="FJ92" s="202"/>
      <c r="FK92" s="202"/>
      <c r="FL92" s="202"/>
      <c r="FM92" s="202"/>
      <c r="FN92" s="202"/>
      <c r="FO92" s="202"/>
      <c r="FP92" s="202"/>
      <c r="FQ92" s="202"/>
      <c r="FR92" s="202"/>
      <c r="FS92" s="202"/>
      <c r="FT92" s="201"/>
      <c r="FU92" s="226"/>
      <c r="FW92" s="12"/>
      <c r="FX92" s="12"/>
      <c r="FY92" s="12"/>
      <c r="FZ92" s="12"/>
      <c r="GA92" s="12"/>
      <c r="GB92" s="12"/>
      <c r="GC92" s="12"/>
      <c r="GD92" s="204"/>
      <c r="GE92" s="204"/>
      <c r="GF92" s="204"/>
      <c r="GG92" s="204"/>
      <c r="GH92" s="204"/>
      <c r="GI92" s="204"/>
      <c r="GJ92" s="204"/>
      <c r="GK92" s="204"/>
      <c r="GL92" s="204"/>
      <c r="GM92" s="204"/>
      <c r="GN92" s="204"/>
      <c r="GO92" s="204"/>
      <c r="GP92" s="204"/>
      <c r="GQ92" s="201"/>
      <c r="GR92" s="226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201"/>
      <c r="HM92" s="226"/>
      <c r="HO92" s="12"/>
      <c r="HP92" s="12"/>
      <c r="HQ92" s="12"/>
      <c r="HR92" s="12"/>
      <c r="HS92" s="12"/>
      <c r="HT92" s="12"/>
      <c r="HU92" s="12"/>
      <c r="HV92" s="32"/>
      <c r="HW92" s="201"/>
      <c r="HX92" s="226"/>
      <c r="HZ92" s="12"/>
      <c r="IA92" s="12"/>
      <c r="IB92" s="12"/>
      <c r="IC92" s="12"/>
      <c r="ID92" s="12"/>
      <c r="IE92" s="12"/>
      <c r="IF92" s="12"/>
      <c r="IG92" s="32"/>
      <c r="IH92" s="194"/>
      <c r="II92" s="194"/>
      <c r="IJ92" s="194"/>
      <c r="IK92" s="194"/>
      <c r="IL92" s="194"/>
      <c r="IM92" s="201"/>
      <c r="IN92" s="226"/>
      <c r="IP92" s="12"/>
      <c r="IQ92" s="12"/>
      <c r="IR92" s="12"/>
      <c r="IS92" s="12"/>
      <c r="IT92" s="12"/>
      <c r="IU92" s="12"/>
      <c r="IV92" s="12"/>
      <c r="IW92" s="32"/>
      <c r="IX92" s="194"/>
      <c r="IY92" s="201"/>
      <c r="IZ92" s="226"/>
      <c r="JB92" s="12"/>
      <c r="JC92" s="12"/>
      <c r="JD92" s="12"/>
      <c r="JE92" s="12"/>
      <c r="JF92" s="12"/>
      <c r="JG92" s="12"/>
      <c r="JH92" s="12"/>
      <c r="JI92" s="32"/>
      <c r="JJ92" s="194"/>
      <c r="JK92" s="194"/>
      <c r="JL92" s="194"/>
      <c r="JM92" s="194"/>
      <c r="JN92" s="194"/>
      <c r="JO92" s="194"/>
      <c r="JP92" s="194"/>
      <c r="JQ92" s="194"/>
      <c r="JR92" s="194"/>
      <c r="JS92" s="194"/>
      <c r="JT92" s="194"/>
      <c r="JU92" s="194"/>
      <c r="JV92" s="194"/>
      <c r="JW92" s="194"/>
      <c r="JX92" s="194"/>
      <c r="JY92" s="194"/>
      <c r="JZ92" s="194"/>
      <c r="KA92" s="194"/>
      <c r="KB92" s="194"/>
      <c r="KC92" s="194"/>
      <c r="KD92" s="202"/>
      <c r="KE92" s="201"/>
      <c r="KF92" s="226"/>
      <c r="KH92" s="12"/>
      <c r="KI92" s="12"/>
      <c r="KJ92" s="12"/>
      <c r="KK92" s="12"/>
      <c r="KL92" s="12"/>
      <c r="KM92" s="12"/>
      <c r="KN92" s="12"/>
      <c r="KO92" s="311"/>
      <c r="KP92" s="312"/>
      <c r="KQ92" s="312"/>
      <c r="KR92" s="312"/>
      <c r="KS92" s="201"/>
      <c r="KT92" s="226"/>
      <c r="KV92" s="201"/>
      <c r="KW92" s="201"/>
      <c r="KX92" s="201"/>
      <c r="KY92" s="201"/>
      <c r="KZ92" s="201"/>
      <c r="LA92" s="201"/>
      <c r="LB92" s="201"/>
      <c r="LC92" s="360"/>
      <c r="LD92" s="361"/>
      <c r="LE92" s="361"/>
      <c r="LF92" s="201"/>
      <c r="LG92" s="226"/>
      <c r="LI92" s="572" t="s">
        <v>371</v>
      </c>
      <c r="LJ92" s="572"/>
      <c r="LK92" s="572"/>
      <c r="LL92" s="572"/>
      <c r="LM92" s="572"/>
      <c r="LN92" s="572"/>
      <c r="LO92" s="28">
        <v>6</v>
      </c>
      <c r="LP92" s="360"/>
      <c r="LQ92" s="361"/>
      <c r="LR92" s="361"/>
      <c r="LS92" s="361"/>
      <c r="LT92" s="361"/>
      <c r="LU92" s="361"/>
      <c r="LV92" s="361"/>
      <c r="LW92" s="361"/>
      <c r="LX92" s="361"/>
      <c r="LY92" s="361"/>
      <c r="LZ92" s="361"/>
      <c r="MA92" s="361"/>
      <c r="MB92" s="361"/>
      <c r="MC92" s="361"/>
      <c r="MD92" s="361"/>
      <c r="ME92" s="30">
        <f t="shared" si="63"/>
        <v>0</v>
      </c>
      <c r="MF92" s="28">
        <f t="shared" si="64"/>
        <v>0</v>
      </c>
      <c r="MH92" s="572" t="s">
        <v>371</v>
      </c>
      <c r="MI92" s="572"/>
      <c r="MJ92" s="572"/>
      <c r="MK92" s="572"/>
      <c r="ML92" s="572"/>
      <c r="MM92" s="572"/>
      <c r="MN92" s="28">
        <v>6</v>
      </c>
      <c r="MO92" s="360"/>
      <c r="MP92" s="361"/>
      <c r="MQ92" s="361"/>
      <c r="MR92" s="361"/>
      <c r="MS92" s="361">
        <v>1</v>
      </c>
      <c r="MT92" s="361"/>
      <c r="MU92" s="361"/>
      <c r="MV92" s="361"/>
      <c r="MW92" s="361"/>
      <c r="MX92" s="361"/>
      <c r="MY92" s="361"/>
      <c r="MZ92" s="361">
        <v>2</v>
      </c>
      <c r="NA92" s="361">
        <v>1</v>
      </c>
      <c r="NB92" s="361"/>
      <c r="NC92" s="361"/>
      <c r="ND92" s="30">
        <f t="shared" si="58"/>
        <v>4</v>
      </c>
      <c r="NE92" s="28">
        <f t="shared" si="65"/>
        <v>24</v>
      </c>
      <c r="NG92" s="572" t="s">
        <v>371</v>
      </c>
      <c r="NH92" s="572"/>
      <c r="NI92" s="572"/>
      <c r="NJ92" s="572"/>
      <c r="NK92" s="572"/>
      <c r="NL92" s="572"/>
      <c r="NM92" s="28">
        <v>6</v>
      </c>
      <c r="NN92" s="361"/>
      <c r="NO92" s="361"/>
      <c r="NP92" s="361"/>
      <c r="NQ92" s="361">
        <v>2</v>
      </c>
      <c r="NR92" s="361"/>
      <c r="NS92" s="361"/>
      <c r="NT92" s="361"/>
      <c r="NU92" s="361"/>
      <c r="NV92" s="361"/>
      <c r="NW92" s="361"/>
      <c r="NX92" s="361"/>
      <c r="NY92" s="361"/>
      <c r="NZ92" s="361"/>
      <c r="OA92" s="361"/>
      <c r="OB92" s="361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58"/>
      <c r="B93" s="12"/>
      <c r="C93" s="12"/>
      <c r="D93" s="12"/>
      <c r="E93" s="12"/>
      <c r="F93" s="12"/>
      <c r="G93" s="12"/>
      <c r="H93" s="12"/>
      <c r="I93" s="12"/>
      <c r="J93" s="12"/>
      <c r="K93" s="200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200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200"/>
      <c r="AP93" s="34"/>
      <c r="AQ93" s="19"/>
      <c r="AS93" s="12"/>
      <c r="AT93" s="12"/>
      <c r="AU93" s="12"/>
      <c r="AV93" s="12"/>
      <c r="AW93" s="12"/>
      <c r="AX93" s="12"/>
      <c r="AY93" s="12"/>
      <c r="AZ93" s="200"/>
      <c r="BA93" s="200"/>
      <c r="BB93" s="200"/>
      <c r="BC93" s="200"/>
      <c r="BD93" s="201"/>
      <c r="BE93" s="28"/>
      <c r="BF93" s="25"/>
      <c r="BG93" s="12"/>
      <c r="BH93" s="12"/>
      <c r="BI93" s="12"/>
      <c r="BJ93" s="12"/>
      <c r="BK93" s="12"/>
      <c r="BL93" s="12"/>
      <c r="BM93" s="12"/>
      <c r="BN93" s="200"/>
      <c r="BO93" s="200"/>
      <c r="BP93" s="201"/>
      <c r="BQ93" s="28"/>
      <c r="BR93" s="25"/>
      <c r="BS93" s="190"/>
      <c r="BT93" s="198"/>
      <c r="BU93" s="198"/>
      <c r="BV93" s="198"/>
      <c r="BW93" s="198"/>
      <c r="BX93" s="199"/>
      <c r="BY93" s="12"/>
      <c r="BZ93" s="200"/>
      <c r="CA93" s="200"/>
      <c r="CB93" s="200"/>
      <c r="CC93" s="200"/>
      <c r="CD93" s="200"/>
      <c r="CE93" s="200"/>
      <c r="CF93" s="200"/>
      <c r="CG93" s="200"/>
      <c r="CH93" s="200"/>
      <c r="CI93" s="201"/>
      <c r="CJ93" s="28"/>
      <c r="CL93" s="190"/>
      <c r="CM93" s="198"/>
      <c r="CN93" s="198"/>
      <c r="CO93" s="198"/>
      <c r="CP93" s="198"/>
      <c r="CQ93" s="199"/>
      <c r="CR93" s="12"/>
      <c r="CS93" s="200"/>
      <c r="CT93" s="200"/>
      <c r="CU93" s="200"/>
      <c r="CV93" s="200"/>
      <c r="CW93" s="200"/>
      <c r="CX93" s="200"/>
      <c r="CY93" s="200"/>
      <c r="CZ93" s="202"/>
      <c r="DA93" s="201"/>
      <c r="DB93" s="28"/>
      <c r="DC93" s="33"/>
      <c r="DD93" s="12"/>
      <c r="DE93" s="12"/>
      <c r="DF93" s="12"/>
      <c r="DG93" s="12"/>
      <c r="DH93" s="12"/>
      <c r="DI93" s="12"/>
      <c r="DJ93" s="12"/>
      <c r="DK93" s="202"/>
      <c r="DL93" s="202"/>
      <c r="DM93" s="202"/>
      <c r="DN93" s="202"/>
      <c r="DO93" s="202"/>
      <c r="DP93" s="202"/>
      <c r="DQ93" s="202"/>
      <c r="DR93" s="202"/>
      <c r="DS93" s="202"/>
      <c r="DT93" s="202"/>
      <c r="DU93" s="201"/>
      <c r="DV93" s="28"/>
      <c r="DX93" s="12"/>
      <c r="DY93" s="12"/>
      <c r="DZ93" s="12"/>
      <c r="EA93" s="12"/>
      <c r="EB93" s="12"/>
      <c r="EC93" s="12"/>
      <c r="ED93" s="12"/>
      <c r="EE93" s="202"/>
      <c r="EF93" s="202"/>
      <c r="EG93" s="202"/>
      <c r="EH93" s="202"/>
      <c r="EI93" s="202"/>
      <c r="EJ93" s="202"/>
      <c r="EK93" s="202"/>
      <c r="EL93" s="202"/>
      <c r="EM93" s="202"/>
      <c r="EN93" s="202"/>
      <c r="EO93" s="201"/>
      <c r="EP93" s="28"/>
      <c r="ER93" s="12"/>
      <c r="ES93" s="12"/>
      <c r="ET93" s="12"/>
      <c r="EU93" s="12"/>
      <c r="EV93" s="12"/>
      <c r="EW93" s="12"/>
      <c r="EX93" s="12"/>
      <c r="EY93" s="202"/>
      <c r="EZ93" s="202"/>
      <c r="FA93" s="202"/>
      <c r="FB93" s="202"/>
      <c r="FC93" s="202"/>
      <c r="FD93" s="202"/>
      <c r="FE93" s="202"/>
      <c r="FF93" s="202"/>
      <c r="FG93" s="202"/>
      <c r="FH93" s="202"/>
      <c r="FI93" s="202"/>
      <c r="FJ93" s="202"/>
      <c r="FK93" s="202"/>
      <c r="FL93" s="202"/>
      <c r="FM93" s="202"/>
      <c r="FN93" s="202"/>
      <c r="FO93" s="202"/>
      <c r="FP93" s="202"/>
      <c r="FQ93" s="202"/>
      <c r="FR93" s="202"/>
      <c r="FS93" s="202"/>
      <c r="FT93" s="201"/>
      <c r="FU93" s="226"/>
      <c r="FW93" s="12"/>
      <c r="FX93" s="12"/>
      <c r="FY93" s="12"/>
      <c r="FZ93" s="12"/>
      <c r="GA93" s="12"/>
      <c r="GB93" s="12"/>
      <c r="GC93" s="12"/>
      <c r="GD93" s="204"/>
      <c r="GE93" s="204"/>
      <c r="GF93" s="204"/>
      <c r="GG93" s="204"/>
      <c r="GH93" s="204"/>
      <c r="GI93" s="204"/>
      <c r="GJ93" s="204"/>
      <c r="GK93" s="204"/>
      <c r="GL93" s="204"/>
      <c r="GM93" s="204"/>
      <c r="GN93" s="204"/>
      <c r="GO93" s="204"/>
      <c r="GP93" s="204"/>
      <c r="GQ93" s="201"/>
      <c r="GR93" s="226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201"/>
      <c r="HM93" s="226"/>
      <c r="HO93" s="12"/>
      <c r="HP93" s="12"/>
      <c r="HQ93" s="12"/>
      <c r="HR93" s="12"/>
      <c r="HS93" s="12"/>
      <c r="HT93" s="12"/>
      <c r="HU93" s="12"/>
      <c r="HV93" s="32"/>
      <c r="HW93" s="201"/>
      <c r="HX93" s="226"/>
      <c r="HZ93" s="12"/>
      <c r="IA93" s="12"/>
      <c r="IB93" s="12"/>
      <c r="IC93" s="12"/>
      <c r="ID93" s="12"/>
      <c r="IE93" s="12"/>
      <c r="IF93" s="12"/>
      <c r="IG93" s="32"/>
      <c r="IH93" s="194"/>
      <c r="II93" s="194"/>
      <c r="IJ93" s="194"/>
      <c r="IK93" s="194"/>
      <c r="IL93" s="194"/>
      <c r="IM93" s="201"/>
      <c r="IN93" s="226"/>
      <c r="IP93" s="12"/>
      <c r="IQ93" s="12"/>
      <c r="IR93" s="12"/>
      <c r="IS93" s="12"/>
      <c r="IT93" s="12"/>
      <c r="IU93" s="12"/>
      <c r="IV93" s="12"/>
      <c r="IW93" s="32"/>
      <c r="IX93" s="194"/>
      <c r="IY93" s="201"/>
      <c r="IZ93" s="226"/>
      <c r="JB93" s="12"/>
      <c r="JC93" s="12"/>
      <c r="JD93" s="12"/>
      <c r="JE93" s="12"/>
      <c r="JF93" s="12"/>
      <c r="JG93" s="12"/>
      <c r="JH93" s="12"/>
      <c r="JI93" s="32"/>
      <c r="JJ93" s="194"/>
      <c r="JK93" s="194"/>
      <c r="JL93" s="194"/>
      <c r="JM93" s="194"/>
      <c r="JN93" s="194"/>
      <c r="JO93" s="194"/>
      <c r="JP93" s="194"/>
      <c r="JQ93" s="194"/>
      <c r="JR93" s="194"/>
      <c r="JS93" s="194"/>
      <c r="JT93" s="194"/>
      <c r="JU93" s="194"/>
      <c r="JV93" s="194"/>
      <c r="JW93" s="194"/>
      <c r="JX93" s="194"/>
      <c r="JY93" s="194"/>
      <c r="JZ93" s="194"/>
      <c r="KA93" s="194"/>
      <c r="KB93" s="194"/>
      <c r="KC93" s="194"/>
      <c r="KD93" s="202"/>
      <c r="KE93" s="201"/>
      <c r="KF93" s="226"/>
      <c r="KH93" s="12"/>
      <c r="KI93" s="12"/>
      <c r="KJ93" s="12"/>
      <c r="KK93" s="12"/>
      <c r="KL93" s="12"/>
      <c r="KM93" s="12"/>
      <c r="KN93" s="12"/>
      <c r="KO93" s="311"/>
      <c r="KP93" s="312"/>
      <c r="KQ93" s="312"/>
      <c r="KR93" s="312"/>
      <c r="KS93" s="201"/>
      <c r="KT93" s="226"/>
      <c r="KV93" s="201"/>
      <c r="KW93" s="201"/>
      <c r="KX93" s="201"/>
      <c r="KY93" s="201"/>
      <c r="KZ93" s="201"/>
      <c r="LA93" s="201"/>
      <c r="LB93" s="201"/>
      <c r="LC93" s="360"/>
      <c r="LD93" s="361"/>
      <c r="LE93" s="361"/>
      <c r="LF93" s="201"/>
      <c r="LG93" s="226"/>
      <c r="LI93" s="510" t="s">
        <v>372</v>
      </c>
      <c r="LJ93" s="510"/>
      <c r="LK93" s="510"/>
      <c r="LL93" s="510"/>
      <c r="LM93" s="510"/>
      <c r="LN93" s="510"/>
      <c r="LO93" s="15">
        <v>9</v>
      </c>
      <c r="LP93" s="360"/>
      <c r="LQ93" s="361"/>
      <c r="LR93" s="361"/>
      <c r="LS93" s="361"/>
      <c r="LT93" s="361"/>
      <c r="LU93" s="361"/>
      <c r="LV93" s="361"/>
      <c r="LW93" s="361"/>
      <c r="LX93" s="361"/>
      <c r="LY93" s="361"/>
      <c r="LZ93" s="361"/>
      <c r="MA93" s="361"/>
      <c r="MB93" s="361"/>
      <c r="MC93" s="361"/>
      <c r="MD93" s="361">
        <v>1</v>
      </c>
      <c r="ME93" s="30">
        <f t="shared" si="63"/>
        <v>1</v>
      </c>
      <c r="MF93" s="28">
        <f t="shared" si="64"/>
        <v>9</v>
      </c>
      <c r="MH93" s="510" t="s">
        <v>372</v>
      </c>
      <c r="MI93" s="510"/>
      <c r="MJ93" s="510"/>
      <c r="MK93" s="510"/>
      <c r="ML93" s="510"/>
      <c r="MM93" s="510"/>
      <c r="MN93" s="15">
        <v>9</v>
      </c>
      <c r="MO93" s="362"/>
      <c r="MP93" s="358"/>
      <c r="MQ93" s="358"/>
      <c r="MR93" s="358"/>
      <c r="MS93" s="358"/>
      <c r="MT93" s="358"/>
      <c r="MU93" s="358"/>
      <c r="MV93" s="358"/>
      <c r="MW93" s="358"/>
      <c r="MX93" s="358"/>
      <c r="MY93" s="358"/>
      <c r="MZ93" s="358"/>
      <c r="NA93" s="358"/>
      <c r="NB93" s="358"/>
      <c r="NC93" s="358"/>
      <c r="ND93" s="30">
        <f t="shared" si="58"/>
        <v>0</v>
      </c>
      <c r="NE93" s="28">
        <f t="shared" si="65"/>
        <v>0</v>
      </c>
      <c r="NG93" s="510" t="s">
        <v>372</v>
      </c>
      <c r="NH93" s="510"/>
      <c r="NI93" s="510"/>
      <c r="NJ93" s="510"/>
      <c r="NK93" s="510"/>
      <c r="NL93" s="510"/>
      <c r="NM93" s="15">
        <v>9</v>
      </c>
      <c r="NN93" s="358"/>
      <c r="NO93" s="358"/>
      <c r="NP93" s="358">
        <v>2</v>
      </c>
      <c r="NQ93" s="358">
        <v>2</v>
      </c>
      <c r="NR93" s="358">
        <v>3</v>
      </c>
      <c r="NS93" s="358"/>
      <c r="NT93" s="358"/>
      <c r="NU93" s="358">
        <v>2</v>
      </c>
      <c r="NV93" s="358"/>
      <c r="NW93" s="358"/>
      <c r="NX93" s="358"/>
      <c r="NY93" s="358"/>
      <c r="NZ93" s="358"/>
      <c r="OA93" s="358"/>
      <c r="OB93" s="358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58"/>
      <c r="B94" s="12"/>
      <c r="C94" s="12"/>
      <c r="D94" s="12"/>
      <c r="E94" s="12"/>
      <c r="F94" s="12"/>
      <c r="G94" s="12"/>
      <c r="H94" s="12"/>
      <c r="I94" s="12"/>
      <c r="J94" s="12"/>
      <c r="K94" s="200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200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200"/>
      <c r="AP94" s="34"/>
      <c r="AQ94" s="19"/>
      <c r="AS94" s="12"/>
      <c r="AT94" s="12"/>
      <c r="AU94" s="12"/>
      <c r="AV94" s="12"/>
      <c r="AW94" s="12"/>
      <c r="AX94" s="12"/>
      <c r="AY94" s="12"/>
      <c r="AZ94" s="200"/>
      <c r="BA94" s="200"/>
      <c r="BB94" s="200"/>
      <c r="BC94" s="200"/>
      <c r="BD94" s="201"/>
      <c r="BE94" s="28"/>
      <c r="BF94" s="25"/>
      <c r="BG94" s="12"/>
      <c r="BH94" s="12"/>
      <c r="BI94" s="12"/>
      <c r="BJ94" s="12"/>
      <c r="BK94" s="12"/>
      <c r="BL94" s="12"/>
      <c r="BM94" s="12"/>
      <c r="BN94" s="200"/>
      <c r="BO94" s="200"/>
      <c r="BP94" s="201"/>
      <c r="BQ94" s="28"/>
      <c r="BR94" s="25"/>
      <c r="BS94" s="190"/>
      <c r="BT94" s="198"/>
      <c r="BU94" s="198"/>
      <c r="BV94" s="198"/>
      <c r="BW94" s="198"/>
      <c r="BX94" s="199"/>
      <c r="BY94" s="12"/>
      <c r="BZ94" s="200"/>
      <c r="CA94" s="200"/>
      <c r="CB94" s="200"/>
      <c r="CC94" s="200"/>
      <c r="CD94" s="200"/>
      <c r="CE94" s="200"/>
      <c r="CF94" s="200"/>
      <c r="CG94" s="200"/>
      <c r="CH94" s="200"/>
      <c r="CI94" s="201"/>
      <c r="CJ94" s="28"/>
      <c r="CL94" s="190"/>
      <c r="CM94" s="198"/>
      <c r="CN94" s="198"/>
      <c r="CO94" s="198"/>
      <c r="CP94" s="198"/>
      <c r="CQ94" s="199"/>
      <c r="CR94" s="12"/>
      <c r="CS94" s="200"/>
      <c r="CT94" s="200"/>
      <c r="CU94" s="200"/>
      <c r="CV94" s="200"/>
      <c r="CW94" s="200"/>
      <c r="CX94" s="200"/>
      <c r="CY94" s="200"/>
      <c r="CZ94" s="202"/>
      <c r="DA94" s="201"/>
      <c r="DB94" s="28"/>
      <c r="DC94" s="33"/>
      <c r="DD94" s="12"/>
      <c r="DE94" s="12"/>
      <c r="DF94" s="12"/>
      <c r="DG94" s="12"/>
      <c r="DH94" s="12"/>
      <c r="DI94" s="12"/>
      <c r="DJ94" s="12"/>
      <c r="DK94" s="202"/>
      <c r="DL94" s="202"/>
      <c r="DM94" s="202"/>
      <c r="DN94" s="202"/>
      <c r="DO94" s="202"/>
      <c r="DP94" s="202"/>
      <c r="DQ94" s="202"/>
      <c r="DR94" s="202"/>
      <c r="DS94" s="202"/>
      <c r="DT94" s="202"/>
      <c r="DU94" s="201"/>
      <c r="DV94" s="28"/>
      <c r="DX94" s="12"/>
      <c r="DY94" s="12"/>
      <c r="DZ94" s="12"/>
      <c r="EA94" s="12"/>
      <c r="EB94" s="12"/>
      <c r="EC94" s="12"/>
      <c r="ED94" s="12"/>
      <c r="EE94" s="202"/>
      <c r="EF94" s="202"/>
      <c r="EG94" s="202"/>
      <c r="EH94" s="202"/>
      <c r="EI94" s="202"/>
      <c r="EJ94" s="202"/>
      <c r="EK94" s="202"/>
      <c r="EL94" s="202"/>
      <c r="EM94" s="202"/>
      <c r="EN94" s="202"/>
      <c r="EO94" s="201"/>
      <c r="EP94" s="28"/>
      <c r="ER94" s="12"/>
      <c r="ES94" s="12"/>
      <c r="ET94" s="12"/>
      <c r="EU94" s="12"/>
      <c r="EV94" s="12"/>
      <c r="EW94" s="12"/>
      <c r="EX94" s="12"/>
      <c r="EY94" s="202"/>
      <c r="EZ94" s="202"/>
      <c r="FA94" s="202"/>
      <c r="FB94" s="202"/>
      <c r="FC94" s="202"/>
      <c r="FD94" s="202"/>
      <c r="FE94" s="202"/>
      <c r="FF94" s="202"/>
      <c r="FG94" s="202"/>
      <c r="FH94" s="202"/>
      <c r="FI94" s="202"/>
      <c r="FJ94" s="202"/>
      <c r="FK94" s="202"/>
      <c r="FL94" s="202"/>
      <c r="FM94" s="202"/>
      <c r="FN94" s="202"/>
      <c r="FO94" s="202"/>
      <c r="FP94" s="202"/>
      <c r="FQ94" s="202"/>
      <c r="FR94" s="202"/>
      <c r="FS94" s="202"/>
      <c r="FT94" s="201"/>
      <c r="FU94" s="226"/>
      <c r="FW94" s="12"/>
      <c r="FX94" s="12"/>
      <c r="FY94" s="12"/>
      <c r="FZ94" s="12"/>
      <c r="GA94" s="12"/>
      <c r="GB94" s="12"/>
      <c r="GC94" s="12"/>
      <c r="GD94" s="204"/>
      <c r="GE94" s="204"/>
      <c r="GF94" s="204"/>
      <c r="GG94" s="204"/>
      <c r="GH94" s="204"/>
      <c r="GI94" s="204"/>
      <c r="GJ94" s="204"/>
      <c r="GK94" s="204"/>
      <c r="GL94" s="204"/>
      <c r="GM94" s="204"/>
      <c r="GN94" s="204"/>
      <c r="GO94" s="204"/>
      <c r="GP94" s="204"/>
      <c r="GQ94" s="201"/>
      <c r="GR94" s="226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201"/>
      <c r="HM94" s="226"/>
      <c r="HO94" s="12"/>
      <c r="HP94" s="12"/>
      <c r="HQ94" s="12"/>
      <c r="HR94" s="12"/>
      <c r="HS94" s="12"/>
      <c r="HT94" s="12"/>
      <c r="HU94" s="12"/>
      <c r="HV94" s="32"/>
      <c r="HW94" s="201"/>
      <c r="HX94" s="226"/>
      <c r="HZ94" s="12"/>
      <c r="IA94" s="12"/>
      <c r="IB94" s="12"/>
      <c r="IC94" s="12"/>
      <c r="ID94" s="12"/>
      <c r="IE94" s="12"/>
      <c r="IF94" s="12"/>
      <c r="IG94" s="32"/>
      <c r="IH94" s="194"/>
      <c r="II94" s="194"/>
      <c r="IJ94" s="194"/>
      <c r="IK94" s="194"/>
      <c r="IL94" s="194"/>
      <c r="IM94" s="201"/>
      <c r="IN94" s="226"/>
      <c r="IP94" s="12"/>
      <c r="IQ94" s="12"/>
      <c r="IR94" s="12"/>
      <c r="IS94" s="12"/>
      <c r="IT94" s="12"/>
      <c r="IU94" s="12"/>
      <c r="IV94" s="12"/>
      <c r="IW94" s="32"/>
      <c r="IX94" s="194"/>
      <c r="IY94" s="201"/>
      <c r="IZ94" s="226"/>
      <c r="JB94" s="12"/>
      <c r="JC94" s="12"/>
      <c r="JD94" s="12"/>
      <c r="JE94" s="12"/>
      <c r="JF94" s="12"/>
      <c r="JG94" s="12"/>
      <c r="JH94" s="12"/>
      <c r="JI94" s="32"/>
      <c r="JJ94" s="194"/>
      <c r="JK94" s="194"/>
      <c r="JL94" s="194"/>
      <c r="JM94" s="194"/>
      <c r="JN94" s="194"/>
      <c r="JO94" s="194"/>
      <c r="JP94" s="194"/>
      <c r="JQ94" s="194"/>
      <c r="JR94" s="194"/>
      <c r="JS94" s="194"/>
      <c r="JT94" s="194"/>
      <c r="JU94" s="194"/>
      <c r="JV94" s="194"/>
      <c r="JW94" s="194"/>
      <c r="JX94" s="194"/>
      <c r="JY94" s="194"/>
      <c r="JZ94" s="194"/>
      <c r="KA94" s="194"/>
      <c r="KB94" s="194"/>
      <c r="KC94" s="194"/>
      <c r="KD94" s="202"/>
      <c r="KE94" s="201"/>
      <c r="KF94" s="226"/>
      <c r="KH94" s="12"/>
      <c r="KI94" s="12"/>
      <c r="KJ94" s="12"/>
      <c r="KK94" s="12"/>
      <c r="KL94" s="12"/>
      <c r="KM94" s="12"/>
      <c r="KN94" s="12"/>
      <c r="KO94" s="311"/>
      <c r="KP94" s="312"/>
      <c r="KQ94" s="312"/>
      <c r="KR94" s="312"/>
      <c r="KS94" s="201"/>
      <c r="KT94" s="226"/>
      <c r="KV94" s="201"/>
      <c r="KW94" s="201"/>
      <c r="KX94" s="201"/>
      <c r="KY94" s="201"/>
      <c r="KZ94" s="201"/>
      <c r="LA94" s="201"/>
      <c r="LB94" s="201"/>
      <c r="LC94" s="360"/>
      <c r="LD94" s="361"/>
      <c r="LE94" s="361"/>
      <c r="LF94" s="201"/>
      <c r="LG94" s="226"/>
      <c r="LI94" s="201"/>
      <c r="LJ94" s="201"/>
      <c r="LK94" s="201"/>
      <c r="LL94" s="201"/>
      <c r="LM94" s="201"/>
      <c r="LN94" s="201"/>
      <c r="LO94" s="201"/>
      <c r="LP94" s="360"/>
      <c r="LQ94" s="361"/>
      <c r="LR94" s="361"/>
      <c r="LS94" s="361"/>
      <c r="LT94" s="361"/>
      <c r="LU94" s="361"/>
      <c r="LV94" s="361"/>
      <c r="LW94" s="361"/>
      <c r="LX94" s="361"/>
      <c r="LY94" s="361"/>
      <c r="LZ94" s="361"/>
      <c r="MA94" s="361"/>
      <c r="MB94" s="361"/>
      <c r="MC94" s="361"/>
      <c r="MD94" s="361"/>
      <c r="ME94" s="30">
        <f t="shared" si="63"/>
        <v>0</v>
      </c>
      <c r="MF94" s="28">
        <f t="shared" si="64"/>
        <v>0</v>
      </c>
      <c r="MH94" s="572"/>
      <c r="MI94" s="572"/>
      <c r="MJ94" s="572"/>
      <c r="MK94" s="572"/>
      <c r="ML94" s="572"/>
      <c r="MM94" s="572"/>
      <c r="MN94" s="28"/>
      <c r="MO94" s="360"/>
      <c r="MP94" s="361"/>
      <c r="MQ94" s="361"/>
      <c r="MR94" s="361"/>
      <c r="MS94" s="361"/>
      <c r="MT94" s="361"/>
      <c r="MU94" s="361"/>
      <c r="MV94" s="361"/>
      <c r="MW94" s="361"/>
      <c r="MX94" s="361"/>
      <c r="MY94" s="361"/>
      <c r="MZ94" s="361"/>
      <c r="NA94" s="361"/>
      <c r="NB94" s="361"/>
      <c r="NC94" s="361"/>
      <c r="ND94" s="30">
        <f t="shared" si="58"/>
        <v>0</v>
      </c>
      <c r="NE94" s="28">
        <f t="shared" si="65"/>
        <v>0</v>
      </c>
      <c r="NG94" s="572"/>
      <c r="NH94" s="572"/>
      <c r="NI94" s="572"/>
      <c r="NJ94" s="572"/>
      <c r="NK94" s="572"/>
      <c r="NL94" s="572"/>
      <c r="NM94" s="28"/>
      <c r="NN94" s="361"/>
      <c r="NO94" s="361"/>
      <c r="NP94" s="361"/>
      <c r="NQ94" s="361"/>
      <c r="NR94" s="361"/>
      <c r="NS94" s="361"/>
      <c r="NT94" s="361"/>
      <c r="NU94" s="361"/>
      <c r="NV94" s="361"/>
      <c r="NW94" s="361"/>
      <c r="NX94" s="361"/>
      <c r="NY94" s="361"/>
      <c r="NZ94" s="361"/>
      <c r="OA94" s="361"/>
      <c r="OB94" s="361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58"/>
      <c r="B95" s="12"/>
      <c r="C95" s="12"/>
      <c r="D95" s="12"/>
      <c r="E95" s="12"/>
      <c r="F95" s="12"/>
      <c r="G95" s="12"/>
      <c r="H95" s="12"/>
      <c r="I95" s="12"/>
      <c r="J95" s="12"/>
      <c r="K95" s="200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200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200"/>
      <c r="AP95" s="34"/>
      <c r="AQ95" s="19"/>
      <c r="AS95" s="12"/>
      <c r="AT95" s="12"/>
      <c r="AU95" s="12"/>
      <c r="AV95" s="12"/>
      <c r="AW95" s="12"/>
      <c r="AX95" s="12"/>
      <c r="AY95" s="12"/>
      <c r="AZ95" s="200"/>
      <c r="BA95" s="200"/>
      <c r="BB95" s="200"/>
      <c r="BC95" s="200"/>
      <c r="BD95" s="201"/>
      <c r="BE95" s="28"/>
      <c r="BF95" s="25"/>
      <c r="BG95" s="12"/>
      <c r="BH95" s="12"/>
      <c r="BI95" s="12"/>
      <c r="BJ95" s="12"/>
      <c r="BK95" s="12"/>
      <c r="BL95" s="12"/>
      <c r="BM95" s="12"/>
      <c r="BN95" s="200"/>
      <c r="BO95" s="200"/>
      <c r="BP95" s="201"/>
      <c r="BQ95" s="28"/>
      <c r="BR95" s="25"/>
      <c r="BS95" s="190"/>
      <c r="BT95" s="198"/>
      <c r="BU95" s="198"/>
      <c r="BV95" s="198"/>
      <c r="BW95" s="198"/>
      <c r="BX95" s="199"/>
      <c r="BY95" s="12"/>
      <c r="BZ95" s="200"/>
      <c r="CA95" s="200"/>
      <c r="CB95" s="200"/>
      <c r="CC95" s="200"/>
      <c r="CD95" s="200"/>
      <c r="CE95" s="200"/>
      <c r="CF95" s="200"/>
      <c r="CG95" s="200"/>
      <c r="CH95" s="200"/>
      <c r="CI95" s="201"/>
      <c r="CJ95" s="28"/>
      <c r="CL95" s="190"/>
      <c r="CM95" s="198"/>
      <c r="CN95" s="198"/>
      <c r="CO95" s="198"/>
      <c r="CP95" s="198"/>
      <c r="CQ95" s="199"/>
      <c r="CR95" s="12"/>
      <c r="CS95" s="200"/>
      <c r="CT95" s="200"/>
      <c r="CU95" s="200"/>
      <c r="CV95" s="200"/>
      <c r="CW95" s="200"/>
      <c r="CX95" s="200"/>
      <c r="CY95" s="200"/>
      <c r="CZ95" s="202"/>
      <c r="DA95" s="201"/>
      <c r="DB95" s="28"/>
      <c r="DC95" s="33"/>
      <c r="DD95" s="12"/>
      <c r="DE95" s="12"/>
      <c r="DF95" s="12"/>
      <c r="DG95" s="12"/>
      <c r="DH95" s="12"/>
      <c r="DI95" s="12"/>
      <c r="DJ95" s="12"/>
      <c r="DK95" s="202"/>
      <c r="DL95" s="202"/>
      <c r="DM95" s="202"/>
      <c r="DN95" s="202"/>
      <c r="DO95" s="202"/>
      <c r="DP95" s="202"/>
      <c r="DQ95" s="202"/>
      <c r="DR95" s="202"/>
      <c r="DS95" s="202"/>
      <c r="DT95" s="202"/>
      <c r="DU95" s="201"/>
      <c r="DV95" s="28"/>
      <c r="DX95" s="12"/>
      <c r="DY95" s="12"/>
      <c r="DZ95" s="12"/>
      <c r="EA95" s="12"/>
      <c r="EB95" s="12"/>
      <c r="EC95" s="12"/>
      <c r="ED95" s="12"/>
      <c r="EE95" s="202"/>
      <c r="EF95" s="202"/>
      <c r="EG95" s="202"/>
      <c r="EH95" s="202"/>
      <c r="EI95" s="202"/>
      <c r="EJ95" s="202"/>
      <c r="EK95" s="202"/>
      <c r="EL95" s="202"/>
      <c r="EM95" s="202"/>
      <c r="EN95" s="202"/>
      <c r="EO95" s="201"/>
      <c r="EP95" s="28"/>
      <c r="ER95" s="12"/>
      <c r="ES95" s="12"/>
      <c r="ET95" s="12"/>
      <c r="EU95" s="12"/>
      <c r="EV95" s="12"/>
      <c r="EW95" s="12"/>
      <c r="EX95" s="12"/>
      <c r="EY95" s="202"/>
      <c r="EZ95" s="202"/>
      <c r="FA95" s="202"/>
      <c r="FB95" s="202"/>
      <c r="FC95" s="202"/>
      <c r="FD95" s="202"/>
      <c r="FE95" s="202"/>
      <c r="FF95" s="202"/>
      <c r="FG95" s="202"/>
      <c r="FH95" s="202"/>
      <c r="FI95" s="202"/>
      <c r="FJ95" s="202"/>
      <c r="FK95" s="202"/>
      <c r="FL95" s="202"/>
      <c r="FM95" s="202"/>
      <c r="FN95" s="202"/>
      <c r="FO95" s="202"/>
      <c r="FP95" s="202"/>
      <c r="FQ95" s="202"/>
      <c r="FR95" s="202"/>
      <c r="FS95" s="202"/>
      <c r="FT95" s="201"/>
      <c r="FU95" s="226"/>
      <c r="FW95" s="12"/>
      <c r="FX95" s="12"/>
      <c r="FY95" s="12"/>
      <c r="FZ95" s="12"/>
      <c r="GA95" s="12"/>
      <c r="GB95" s="12"/>
      <c r="GC95" s="12"/>
      <c r="GD95" s="204"/>
      <c r="GE95" s="204"/>
      <c r="GF95" s="204"/>
      <c r="GG95" s="204"/>
      <c r="GH95" s="204"/>
      <c r="GI95" s="204"/>
      <c r="GJ95" s="204"/>
      <c r="GK95" s="204"/>
      <c r="GL95" s="204"/>
      <c r="GM95" s="204"/>
      <c r="GN95" s="204"/>
      <c r="GO95" s="204"/>
      <c r="GP95" s="204"/>
      <c r="GQ95" s="201"/>
      <c r="GR95" s="226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201"/>
      <c r="HM95" s="226"/>
      <c r="HO95" s="12"/>
      <c r="HP95" s="12"/>
      <c r="HQ95" s="12"/>
      <c r="HR95" s="12"/>
      <c r="HS95" s="12"/>
      <c r="HT95" s="12"/>
      <c r="HU95" s="12"/>
      <c r="HV95" s="32"/>
      <c r="HW95" s="201"/>
      <c r="HX95" s="226"/>
      <c r="HZ95" s="12"/>
      <c r="IA95" s="12"/>
      <c r="IB95" s="12"/>
      <c r="IC95" s="12"/>
      <c r="ID95" s="12"/>
      <c r="IE95" s="12"/>
      <c r="IF95" s="12"/>
      <c r="IG95" s="32"/>
      <c r="IH95" s="194"/>
      <c r="II95" s="194"/>
      <c r="IJ95" s="194"/>
      <c r="IK95" s="194"/>
      <c r="IL95" s="194"/>
      <c r="IM95" s="201"/>
      <c r="IN95" s="226"/>
      <c r="IP95" s="12"/>
      <c r="IQ95" s="12"/>
      <c r="IR95" s="12"/>
      <c r="IS95" s="12"/>
      <c r="IT95" s="12"/>
      <c r="IU95" s="12"/>
      <c r="IV95" s="12"/>
      <c r="IW95" s="32"/>
      <c r="IX95" s="194"/>
      <c r="IY95" s="201"/>
      <c r="IZ95" s="226"/>
      <c r="JB95" s="12"/>
      <c r="JC95" s="12"/>
      <c r="JD95" s="12"/>
      <c r="JE95" s="12"/>
      <c r="JF95" s="12"/>
      <c r="JG95" s="12"/>
      <c r="JH95" s="12"/>
      <c r="JI95" s="32"/>
      <c r="JJ95" s="194"/>
      <c r="JK95" s="194"/>
      <c r="JL95" s="194"/>
      <c r="JM95" s="194"/>
      <c r="JN95" s="194"/>
      <c r="JO95" s="194"/>
      <c r="JP95" s="194"/>
      <c r="JQ95" s="194"/>
      <c r="JR95" s="194"/>
      <c r="JS95" s="194"/>
      <c r="JT95" s="194"/>
      <c r="JU95" s="194"/>
      <c r="JV95" s="194"/>
      <c r="JW95" s="194"/>
      <c r="JX95" s="194"/>
      <c r="JY95" s="194"/>
      <c r="JZ95" s="194"/>
      <c r="KA95" s="194"/>
      <c r="KB95" s="194"/>
      <c r="KC95" s="194"/>
      <c r="KD95" s="202"/>
      <c r="KE95" s="201"/>
      <c r="KF95" s="226"/>
      <c r="KH95" s="12"/>
      <c r="KI95" s="12"/>
      <c r="KJ95" s="12"/>
      <c r="KK95" s="12"/>
      <c r="KL95" s="12"/>
      <c r="KM95" s="12"/>
      <c r="KN95" s="12"/>
      <c r="KO95" s="311"/>
      <c r="KP95" s="312"/>
      <c r="KQ95" s="312"/>
      <c r="KR95" s="312"/>
      <c r="KS95" s="201"/>
      <c r="KT95" s="226"/>
      <c r="KV95" s="201"/>
      <c r="KW95" s="201"/>
      <c r="KX95" s="201"/>
      <c r="KY95" s="201"/>
      <c r="KZ95" s="201"/>
      <c r="LA95" s="201"/>
      <c r="LB95" s="201"/>
      <c r="LC95" s="360"/>
      <c r="LD95" s="361"/>
      <c r="LE95" s="361"/>
      <c r="LF95" s="201"/>
      <c r="LG95" s="226"/>
      <c r="LI95" s="201"/>
      <c r="LJ95" s="201"/>
      <c r="LK95" s="201"/>
      <c r="LL95" s="201"/>
      <c r="LM95" s="201"/>
      <c r="LN95" s="201"/>
      <c r="LO95" s="201"/>
      <c r="LP95" s="360"/>
      <c r="LQ95" s="361"/>
      <c r="LR95" s="361"/>
      <c r="LS95" s="361"/>
      <c r="LT95" s="361"/>
      <c r="LU95" s="361"/>
      <c r="LV95" s="361"/>
      <c r="LW95" s="361"/>
      <c r="LX95" s="361"/>
      <c r="LY95" s="361"/>
      <c r="LZ95" s="361"/>
      <c r="MA95" s="361"/>
      <c r="MB95" s="361"/>
      <c r="MC95" s="361"/>
      <c r="MD95" s="361"/>
      <c r="ME95" s="30">
        <f t="shared" si="63"/>
        <v>0</v>
      </c>
      <c r="MF95" s="28">
        <f t="shared" si="64"/>
        <v>0</v>
      </c>
      <c r="MH95" s="510"/>
      <c r="MI95" s="510"/>
      <c r="MJ95" s="510"/>
      <c r="MK95" s="510"/>
      <c r="ML95" s="510"/>
      <c r="MM95" s="510"/>
      <c r="MN95" s="15"/>
      <c r="MO95" s="362"/>
      <c r="MP95" s="358"/>
      <c r="MQ95" s="358"/>
      <c r="MR95" s="358"/>
      <c r="MS95" s="358"/>
      <c r="MT95" s="358"/>
      <c r="MU95" s="358"/>
      <c r="MV95" s="358"/>
      <c r="MW95" s="358"/>
      <c r="MX95" s="358"/>
      <c r="MY95" s="358"/>
      <c r="MZ95" s="358"/>
      <c r="NA95" s="358"/>
      <c r="NB95" s="358"/>
      <c r="NC95" s="358"/>
      <c r="ND95" s="30">
        <f t="shared" si="58"/>
        <v>0</v>
      </c>
      <c r="NE95" s="28">
        <f t="shared" si="65"/>
        <v>0</v>
      </c>
      <c r="NG95" s="510"/>
      <c r="NH95" s="510"/>
      <c r="NI95" s="510"/>
      <c r="NJ95" s="510"/>
      <c r="NK95" s="510"/>
      <c r="NL95" s="510"/>
      <c r="NM95" s="15"/>
      <c r="NN95" s="358"/>
      <c r="NO95" s="358"/>
      <c r="NP95" s="358"/>
      <c r="NQ95" s="358"/>
      <c r="NR95" s="358"/>
      <c r="NS95" s="358"/>
      <c r="NT95" s="358"/>
      <c r="NU95" s="358"/>
      <c r="NV95" s="358"/>
      <c r="NW95" s="358"/>
      <c r="NX95" s="358"/>
      <c r="NY95" s="358"/>
      <c r="NZ95" s="358"/>
      <c r="OA95" s="358"/>
      <c r="OB95" s="358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58"/>
      <c r="B96" s="12"/>
      <c r="C96" s="12"/>
      <c r="D96" s="12"/>
      <c r="E96" s="12"/>
      <c r="F96" s="12"/>
      <c r="G96" s="12"/>
      <c r="H96" s="12"/>
      <c r="I96" s="12"/>
      <c r="J96" s="12"/>
      <c r="K96" s="200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200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200"/>
      <c r="AP96" s="34"/>
      <c r="AQ96" s="19"/>
      <c r="AS96" s="12"/>
      <c r="AT96" s="12"/>
      <c r="AU96" s="12"/>
      <c r="AV96" s="12"/>
      <c r="AW96" s="12"/>
      <c r="AX96" s="12"/>
      <c r="AY96" s="12"/>
      <c r="AZ96" s="200"/>
      <c r="BA96" s="200"/>
      <c r="BB96" s="200"/>
      <c r="BC96" s="200"/>
      <c r="BD96" s="201"/>
      <c r="BE96" s="28"/>
      <c r="BF96" s="25"/>
      <c r="BG96" s="12"/>
      <c r="BH96" s="12"/>
      <c r="BI96" s="12"/>
      <c r="BJ96" s="12"/>
      <c r="BK96" s="12"/>
      <c r="BL96" s="12"/>
      <c r="BM96" s="12"/>
      <c r="BN96" s="200"/>
      <c r="BO96" s="200"/>
      <c r="BP96" s="201"/>
      <c r="BQ96" s="28"/>
      <c r="BR96" s="25"/>
      <c r="BS96" s="190"/>
      <c r="BT96" s="198"/>
      <c r="BU96" s="198"/>
      <c r="BV96" s="198"/>
      <c r="BW96" s="198"/>
      <c r="BX96" s="199"/>
      <c r="BY96" s="12"/>
      <c r="BZ96" s="200"/>
      <c r="CA96" s="200"/>
      <c r="CB96" s="200"/>
      <c r="CC96" s="200"/>
      <c r="CD96" s="200"/>
      <c r="CE96" s="200"/>
      <c r="CF96" s="200"/>
      <c r="CG96" s="200"/>
      <c r="CH96" s="200"/>
      <c r="CI96" s="201"/>
      <c r="CJ96" s="28"/>
      <c r="CL96" s="190"/>
      <c r="CM96" s="198"/>
      <c r="CN96" s="198"/>
      <c r="CO96" s="198"/>
      <c r="CP96" s="198"/>
      <c r="CQ96" s="199"/>
      <c r="CR96" s="12"/>
      <c r="CS96" s="200"/>
      <c r="CT96" s="200"/>
      <c r="CU96" s="200"/>
      <c r="CV96" s="200"/>
      <c r="CW96" s="200"/>
      <c r="CX96" s="200"/>
      <c r="CY96" s="200"/>
      <c r="CZ96" s="202"/>
      <c r="DA96" s="201"/>
      <c r="DB96" s="28"/>
      <c r="DC96" s="33"/>
      <c r="DD96" s="12"/>
      <c r="DE96" s="12"/>
      <c r="DF96" s="12"/>
      <c r="DG96" s="12"/>
      <c r="DH96" s="12"/>
      <c r="DI96" s="12"/>
      <c r="DJ96" s="12"/>
      <c r="DK96" s="202"/>
      <c r="DL96" s="202"/>
      <c r="DM96" s="202"/>
      <c r="DN96" s="202"/>
      <c r="DO96" s="202"/>
      <c r="DP96" s="202"/>
      <c r="DQ96" s="202"/>
      <c r="DR96" s="202"/>
      <c r="DS96" s="202"/>
      <c r="DT96" s="202"/>
      <c r="DU96" s="201"/>
      <c r="DV96" s="28"/>
      <c r="DX96" s="12"/>
      <c r="DY96" s="12"/>
      <c r="DZ96" s="12"/>
      <c r="EA96" s="12"/>
      <c r="EB96" s="12"/>
      <c r="EC96" s="12"/>
      <c r="ED96" s="12"/>
      <c r="EE96" s="202"/>
      <c r="EF96" s="202"/>
      <c r="EG96" s="202"/>
      <c r="EH96" s="202"/>
      <c r="EI96" s="202"/>
      <c r="EJ96" s="202"/>
      <c r="EK96" s="202"/>
      <c r="EL96" s="202"/>
      <c r="EM96" s="202"/>
      <c r="EN96" s="202"/>
      <c r="EO96" s="201"/>
      <c r="EP96" s="28"/>
      <c r="ER96" s="12"/>
      <c r="ES96" s="12"/>
      <c r="ET96" s="12"/>
      <c r="EU96" s="12"/>
      <c r="EV96" s="12"/>
      <c r="EW96" s="12"/>
      <c r="EX96" s="12"/>
      <c r="EY96" s="202"/>
      <c r="EZ96" s="202"/>
      <c r="FA96" s="202"/>
      <c r="FB96" s="202"/>
      <c r="FC96" s="202"/>
      <c r="FD96" s="202"/>
      <c r="FE96" s="202"/>
      <c r="FF96" s="202"/>
      <c r="FG96" s="202"/>
      <c r="FH96" s="202"/>
      <c r="FI96" s="202"/>
      <c r="FJ96" s="202"/>
      <c r="FK96" s="202"/>
      <c r="FL96" s="202"/>
      <c r="FM96" s="202"/>
      <c r="FN96" s="202"/>
      <c r="FO96" s="202"/>
      <c r="FP96" s="202"/>
      <c r="FQ96" s="202"/>
      <c r="FR96" s="202"/>
      <c r="FS96" s="202"/>
      <c r="FT96" s="201"/>
      <c r="FU96" s="226"/>
      <c r="FW96" s="12"/>
      <c r="FX96" s="12"/>
      <c r="FY96" s="12"/>
      <c r="FZ96" s="12"/>
      <c r="GA96" s="12"/>
      <c r="GB96" s="12"/>
      <c r="GC96" s="12"/>
      <c r="GD96" s="204"/>
      <c r="GE96" s="204"/>
      <c r="GF96" s="204"/>
      <c r="GG96" s="204"/>
      <c r="GH96" s="204"/>
      <c r="GI96" s="204"/>
      <c r="GJ96" s="204"/>
      <c r="GK96" s="204"/>
      <c r="GL96" s="204"/>
      <c r="GM96" s="204"/>
      <c r="GN96" s="204"/>
      <c r="GO96" s="204"/>
      <c r="GP96" s="204"/>
      <c r="GQ96" s="201"/>
      <c r="GR96" s="226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201"/>
      <c r="HM96" s="226"/>
      <c r="HO96" s="12"/>
      <c r="HP96" s="12"/>
      <c r="HQ96" s="12"/>
      <c r="HR96" s="12"/>
      <c r="HS96" s="12"/>
      <c r="HT96" s="12"/>
      <c r="HU96" s="12"/>
      <c r="HV96" s="32"/>
      <c r="HW96" s="201"/>
      <c r="HX96" s="226"/>
      <c r="HZ96" s="12"/>
      <c r="IA96" s="12"/>
      <c r="IB96" s="12"/>
      <c r="IC96" s="12"/>
      <c r="ID96" s="12"/>
      <c r="IE96" s="12"/>
      <c r="IF96" s="12"/>
      <c r="IG96" s="32"/>
      <c r="IH96" s="194"/>
      <c r="II96" s="194"/>
      <c r="IJ96" s="194"/>
      <c r="IK96" s="194"/>
      <c r="IL96" s="194"/>
      <c r="IM96" s="201"/>
      <c r="IN96" s="226"/>
      <c r="IP96" s="12"/>
      <c r="IQ96" s="12"/>
      <c r="IR96" s="12"/>
      <c r="IS96" s="12"/>
      <c r="IT96" s="12"/>
      <c r="IU96" s="12"/>
      <c r="IV96" s="12"/>
      <c r="IW96" s="32"/>
      <c r="IX96" s="194"/>
      <c r="IY96" s="201"/>
      <c r="IZ96" s="226"/>
      <c r="JB96" s="12"/>
      <c r="JC96" s="12"/>
      <c r="JD96" s="12"/>
      <c r="JE96" s="12"/>
      <c r="JF96" s="12"/>
      <c r="JG96" s="12"/>
      <c r="JH96" s="12"/>
      <c r="JI96" s="32"/>
      <c r="JJ96" s="194"/>
      <c r="JK96" s="194"/>
      <c r="JL96" s="194"/>
      <c r="JM96" s="194"/>
      <c r="JN96" s="194"/>
      <c r="JO96" s="194"/>
      <c r="JP96" s="194"/>
      <c r="JQ96" s="194"/>
      <c r="JR96" s="194"/>
      <c r="JS96" s="194"/>
      <c r="JT96" s="194"/>
      <c r="JU96" s="194"/>
      <c r="JV96" s="194"/>
      <c r="JW96" s="194"/>
      <c r="JX96" s="194"/>
      <c r="JY96" s="194"/>
      <c r="JZ96" s="194"/>
      <c r="KA96" s="194"/>
      <c r="KB96" s="194"/>
      <c r="KC96" s="194"/>
      <c r="KD96" s="202"/>
      <c r="KE96" s="201"/>
      <c r="KF96" s="226"/>
      <c r="KH96" s="12"/>
      <c r="KI96" s="12"/>
      <c r="KJ96" s="12"/>
      <c r="KK96" s="12"/>
      <c r="KL96" s="12"/>
      <c r="KM96" s="12"/>
      <c r="KN96" s="12"/>
      <c r="KO96" s="311"/>
      <c r="KP96" s="312"/>
      <c r="KQ96" s="312"/>
      <c r="KR96" s="312"/>
      <c r="KS96" s="201"/>
      <c r="KT96" s="226"/>
      <c r="KV96" s="201"/>
      <c r="KW96" s="201"/>
      <c r="KX96" s="201"/>
      <c r="KY96" s="201"/>
      <c r="KZ96" s="201"/>
      <c r="LA96" s="201"/>
      <c r="LB96" s="201"/>
      <c r="LC96" s="360"/>
      <c r="LD96" s="361"/>
      <c r="LE96" s="361"/>
      <c r="LF96" s="201"/>
      <c r="LG96" s="226"/>
      <c r="LI96" s="201"/>
      <c r="LJ96" s="201"/>
      <c r="LK96" s="201"/>
      <c r="LL96" s="201"/>
      <c r="LM96" s="201"/>
      <c r="LN96" s="201"/>
      <c r="LO96" s="201"/>
      <c r="LP96" s="360"/>
      <c r="LQ96" s="361"/>
      <c r="LR96" s="361"/>
      <c r="LS96" s="361"/>
      <c r="LT96" s="361"/>
      <c r="LU96" s="361"/>
      <c r="LV96" s="361"/>
      <c r="LW96" s="361"/>
      <c r="LX96" s="361"/>
      <c r="LY96" s="361"/>
      <c r="LZ96" s="361"/>
      <c r="MA96" s="361"/>
      <c r="MB96" s="361"/>
      <c r="MC96" s="361"/>
      <c r="MD96" s="361"/>
      <c r="ME96" s="30">
        <f t="shared" si="63"/>
        <v>0</v>
      </c>
      <c r="MF96" s="28">
        <f t="shared" si="64"/>
        <v>0</v>
      </c>
      <c r="MH96" s="572"/>
      <c r="MI96" s="572"/>
      <c r="MJ96" s="572"/>
      <c r="MK96" s="572"/>
      <c r="ML96" s="572"/>
      <c r="MM96" s="572"/>
      <c r="MN96" s="28"/>
      <c r="MO96" s="360"/>
      <c r="MP96" s="361"/>
      <c r="MQ96" s="361"/>
      <c r="MR96" s="361"/>
      <c r="MS96" s="361"/>
      <c r="MT96" s="361"/>
      <c r="MU96" s="361"/>
      <c r="MV96" s="361"/>
      <c r="MW96" s="361"/>
      <c r="MX96" s="361"/>
      <c r="MY96" s="361"/>
      <c r="MZ96" s="361"/>
      <c r="NA96" s="361"/>
      <c r="NB96" s="361"/>
      <c r="NC96" s="361"/>
      <c r="ND96" s="30">
        <f t="shared" si="58"/>
        <v>0</v>
      </c>
      <c r="NE96" s="28">
        <f t="shared" si="65"/>
        <v>0</v>
      </c>
      <c r="NG96" s="572"/>
      <c r="NH96" s="572"/>
      <c r="NI96" s="572"/>
      <c r="NJ96" s="572"/>
      <c r="NK96" s="572"/>
      <c r="NL96" s="572"/>
      <c r="NM96" s="28"/>
      <c r="NN96" s="361"/>
      <c r="NO96" s="361"/>
      <c r="NP96" s="361"/>
      <c r="NQ96" s="361"/>
      <c r="NR96" s="361"/>
      <c r="NS96" s="361"/>
      <c r="NT96" s="361"/>
      <c r="NU96" s="361"/>
      <c r="NV96" s="361"/>
      <c r="NW96" s="361"/>
      <c r="NX96" s="361"/>
      <c r="NY96" s="361"/>
      <c r="NZ96" s="361"/>
      <c r="OA96" s="361"/>
      <c r="OB96" s="361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58"/>
      <c r="B97" s="12"/>
      <c r="C97" s="12"/>
      <c r="D97" s="12"/>
      <c r="E97" s="12"/>
      <c r="F97" s="12"/>
      <c r="G97" s="12"/>
      <c r="H97" s="12"/>
      <c r="I97" s="12"/>
      <c r="J97" s="12"/>
      <c r="K97" s="200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200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200"/>
      <c r="AP97" s="34"/>
      <c r="AQ97" s="19"/>
      <c r="AS97" s="12"/>
      <c r="AT97" s="12"/>
      <c r="AU97" s="12"/>
      <c r="AV97" s="12"/>
      <c r="AW97" s="12"/>
      <c r="AX97" s="12"/>
      <c r="AY97" s="12"/>
      <c r="AZ97" s="200"/>
      <c r="BA97" s="200"/>
      <c r="BB97" s="200"/>
      <c r="BC97" s="200"/>
      <c r="BD97" s="201"/>
      <c r="BE97" s="28"/>
      <c r="BF97" s="25"/>
      <c r="BG97" s="12"/>
      <c r="BH97" s="12"/>
      <c r="BI97" s="12"/>
      <c r="BJ97" s="12"/>
      <c r="BK97" s="12"/>
      <c r="BL97" s="12"/>
      <c r="BM97" s="12"/>
      <c r="BN97" s="200"/>
      <c r="BO97" s="200"/>
      <c r="BP97" s="201"/>
      <c r="BQ97" s="28"/>
      <c r="BR97" s="25"/>
      <c r="BS97" s="190"/>
      <c r="BT97" s="198"/>
      <c r="BU97" s="198"/>
      <c r="BV97" s="198"/>
      <c r="BW97" s="198"/>
      <c r="BX97" s="199"/>
      <c r="BY97" s="12"/>
      <c r="BZ97" s="200"/>
      <c r="CA97" s="200"/>
      <c r="CB97" s="200"/>
      <c r="CC97" s="200"/>
      <c r="CD97" s="200"/>
      <c r="CE97" s="200"/>
      <c r="CF97" s="200"/>
      <c r="CG97" s="200"/>
      <c r="CH97" s="200"/>
      <c r="CI97" s="201"/>
      <c r="CJ97" s="28"/>
      <c r="CL97" s="190"/>
      <c r="CM97" s="198"/>
      <c r="CN97" s="198"/>
      <c r="CO97" s="198"/>
      <c r="CP97" s="198"/>
      <c r="CQ97" s="199"/>
      <c r="CR97" s="12"/>
      <c r="CS97" s="200"/>
      <c r="CT97" s="200"/>
      <c r="CU97" s="200"/>
      <c r="CV97" s="200"/>
      <c r="CW97" s="200"/>
      <c r="CX97" s="200"/>
      <c r="CY97" s="200"/>
      <c r="CZ97" s="202"/>
      <c r="DA97" s="201"/>
      <c r="DB97" s="28"/>
      <c r="DC97" s="33"/>
      <c r="DD97" s="12"/>
      <c r="DE97" s="12"/>
      <c r="DF97" s="12"/>
      <c r="DG97" s="12"/>
      <c r="DH97" s="12"/>
      <c r="DI97" s="12"/>
      <c r="DJ97" s="12"/>
      <c r="DK97" s="202"/>
      <c r="DL97" s="202"/>
      <c r="DM97" s="202"/>
      <c r="DN97" s="202"/>
      <c r="DO97" s="202"/>
      <c r="DP97" s="202"/>
      <c r="DQ97" s="202"/>
      <c r="DR97" s="202"/>
      <c r="DS97" s="202"/>
      <c r="DT97" s="202"/>
      <c r="DU97" s="201"/>
      <c r="DV97" s="28"/>
      <c r="DX97" s="12"/>
      <c r="DY97" s="12"/>
      <c r="DZ97" s="12"/>
      <c r="EA97" s="12"/>
      <c r="EB97" s="12"/>
      <c r="EC97" s="12"/>
      <c r="ED97" s="12"/>
      <c r="EE97" s="202"/>
      <c r="EF97" s="202"/>
      <c r="EG97" s="202"/>
      <c r="EH97" s="202"/>
      <c r="EI97" s="202"/>
      <c r="EJ97" s="202"/>
      <c r="EK97" s="202"/>
      <c r="EL97" s="202"/>
      <c r="EM97" s="202"/>
      <c r="EN97" s="202"/>
      <c r="EO97" s="201"/>
      <c r="EP97" s="28"/>
      <c r="ER97" s="12"/>
      <c r="ES97" s="12"/>
      <c r="ET97" s="12"/>
      <c r="EU97" s="12"/>
      <c r="EV97" s="12"/>
      <c r="EW97" s="12"/>
      <c r="EX97" s="12"/>
      <c r="EY97" s="202"/>
      <c r="EZ97" s="202"/>
      <c r="FA97" s="202"/>
      <c r="FB97" s="202"/>
      <c r="FC97" s="202"/>
      <c r="FD97" s="202"/>
      <c r="FE97" s="202"/>
      <c r="FF97" s="202"/>
      <c r="FG97" s="202"/>
      <c r="FH97" s="202"/>
      <c r="FI97" s="202"/>
      <c r="FJ97" s="202"/>
      <c r="FK97" s="202"/>
      <c r="FL97" s="202"/>
      <c r="FM97" s="202"/>
      <c r="FN97" s="202"/>
      <c r="FO97" s="202"/>
      <c r="FP97" s="202"/>
      <c r="FQ97" s="202"/>
      <c r="FR97" s="202"/>
      <c r="FS97" s="202"/>
      <c r="FT97" s="201"/>
      <c r="FU97" s="226"/>
      <c r="FW97" s="12"/>
      <c r="FX97" s="12"/>
      <c r="FY97" s="12"/>
      <c r="FZ97" s="12"/>
      <c r="GA97" s="12"/>
      <c r="GB97" s="12"/>
      <c r="GC97" s="12"/>
      <c r="GD97" s="204"/>
      <c r="GE97" s="204"/>
      <c r="GF97" s="204"/>
      <c r="GG97" s="204"/>
      <c r="GH97" s="204"/>
      <c r="GI97" s="204"/>
      <c r="GJ97" s="204"/>
      <c r="GK97" s="204"/>
      <c r="GL97" s="204"/>
      <c r="GM97" s="204"/>
      <c r="GN97" s="204"/>
      <c r="GO97" s="204"/>
      <c r="GP97" s="204"/>
      <c r="GQ97" s="201"/>
      <c r="GR97" s="226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201"/>
      <c r="HM97" s="226"/>
      <c r="HO97" s="12"/>
      <c r="HP97" s="12"/>
      <c r="HQ97" s="12"/>
      <c r="HR97" s="12"/>
      <c r="HS97" s="12"/>
      <c r="HT97" s="12"/>
      <c r="HU97" s="12"/>
      <c r="HV97" s="32"/>
      <c r="HW97" s="201"/>
      <c r="HX97" s="226"/>
      <c r="HZ97" s="12"/>
      <c r="IA97" s="12"/>
      <c r="IB97" s="12"/>
      <c r="IC97" s="12"/>
      <c r="ID97" s="12"/>
      <c r="IE97" s="12"/>
      <c r="IF97" s="12"/>
      <c r="IG97" s="32"/>
      <c r="IH97" s="194"/>
      <c r="II97" s="194"/>
      <c r="IJ97" s="194"/>
      <c r="IK97" s="194"/>
      <c r="IL97" s="194"/>
      <c r="IM97" s="201"/>
      <c r="IN97" s="226"/>
      <c r="IP97" s="12"/>
      <c r="IQ97" s="12"/>
      <c r="IR97" s="12"/>
      <c r="IS97" s="12"/>
      <c r="IT97" s="12"/>
      <c r="IU97" s="12"/>
      <c r="IV97" s="12"/>
      <c r="IW97" s="32"/>
      <c r="IX97" s="194"/>
      <c r="IY97" s="201"/>
      <c r="IZ97" s="226"/>
      <c r="JB97" s="12"/>
      <c r="JC97" s="12"/>
      <c r="JD97" s="12"/>
      <c r="JE97" s="12"/>
      <c r="JF97" s="12"/>
      <c r="JG97" s="12"/>
      <c r="JH97" s="12"/>
      <c r="JI97" s="32"/>
      <c r="JJ97" s="194"/>
      <c r="JK97" s="194"/>
      <c r="JL97" s="194"/>
      <c r="JM97" s="194"/>
      <c r="JN97" s="194"/>
      <c r="JO97" s="194"/>
      <c r="JP97" s="194"/>
      <c r="JQ97" s="194"/>
      <c r="JR97" s="194"/>
      <c r="JS97" s="194"/>
      <c r="JT97" s="194"/>
      <c r="JU97" s="194"/>
      <c r="JV97" s="194"/>
      <c r="JW97" s="194"/>
      <c r="JX97" s="194"/>
      <c r="JY97" s="194"/>
      <c r="JZ97" s="194"/>
      <c r="KA97" s="194"/>
      <c r="KB97" s="194"/>
      <c r="KC97" s="194"/>
      <c r="KD97" s="202"/>
      <c r="KE97" s="201"/>
      <c r="KF97" s="226"/>
      <c r="KH97" s="12"/>
      <c r="KI97" s="12"/>
      <c r="KJ97" s="12"/>
      <c r="KK97" s="12"/>
      <c r="KL97" s="12"/>
      <c r="KM97" s="12"/>
      <c r="KN97" s="12"/>
      <c r="KO97" s="311"/>
      <c r="KP97" s="312"/>
      <c r="KQ97" s="312"/>
      <c r="KR97" s="312"/>
      <c r="KS97" s="201"/>
      <c r="KT97" s="226"/>
      <c r="KV97" s="201"/>
      <c r="KW97" s="201"/>
      <c r="KX97" s="201"/>
      <c r="KY97" s="201"/>
      <c r="KZ97" s="201"/>
      <c r="LA97" s="201"/>
      <c r="LB97" s="201"/>
      <c r="LC97" s="360"/>
      <c r="LD97" s="361"/>
      <c r="LE97" s="361"/>
      <c r="LF97" s="201"/>
      <c r="LG97" s="226"/>
      <c r="LI97" s="201"/>
      <c r="LJ97" s="201"/>
      <c r="LK97" s="201"/>
      <c r="LL97" s="201"/>
      <c r="LM97" s="201"/>
      <c r="LN97" s="201"/>
      <c r="LO97" s="201"/>
      <c r="LP97" s="360"/>
      <c r="LQ97" s="361"/>
      <c r="LR97" s="361"/>
      <c r="LS97" s="361"/>
      <c r="LT97" s="361"/>
      <c r="LU97" s="361"/>
      <c r="LV97" s="361"/>
      <c r="LW97" s="361"/>
      <c r="LX97" s="361"/>
      <c r="LY97" s="361"/>
      <c r="LZ97" s="361"/>
      <c r="MA97" s="361"/>
      <c r="MB97" s="361"/>
      <c r="MC97" s="361"/>
      <c r="MD97" s="361"/>
      <c r="ME97" s="30">
        <f t="shared" si="63"/>
        <v>0</v>
      </c>
      <c r="MF97" s="28">
        <f t="shared" si="64"/>
        <v>0</v>
      </c>
      <c r="MH97" s="510"/>
      <c r="MI97" s="510"/>
      <c r="MJ97" s="510"/>
      <c r="MK97" s="510"/>
      <c r="ML97" s="510"/>
      <c r="MM97" s="510"/>
      <c r="MN97" s="15"/>
      <c r="MO97" s="362"/>
      <c r="MP97" s="358"/>
      <c r="MQ97" s="358"/>
      <c r="MR97" s="358"/>
      <c r="MS97" s="358"/>
      <c r="MT97" s="358"/>
      <c r="MU97" s="358"/>
      <c r="MV97" s="358"/>
      <c r="MW97" s="358"/>
      <c r="MX97" s="358"/>
      <c r="MY97" s="358"/>
      <c r="MZ97" s="358"/>
      <c r="NA97" s="358"/>
      <c r="NB97" s="358"/>
      <c r="NC97" s="358"/>
      <c r="ND97" s="30">
        <f t="shared" si="58"/>
        <v>0</v>
      </c>
      <c r="NE97" s="28">
        <f t="shared" si="65"/>
        <v>0</v>
      </c>
      <c r="NG97" s="510"/>
      <c r="NH97" s="510"/>
      <c r="NI97" s="510"/>
      <c r="NJ97" s="510"/>
      <c r="NK97" s="510"/>
      <c r="NL97" s="510"/>
      <c r="NM97" s="15"/>
      <c r="NN97" s="358"/>
      <c r="NO97" s="358"/>
      <c r="NP97" s="358"/>
      <c r="NQ97" s="358"/>
      <c r="NR97" s="358"/>
      <c r="NS97" s="358"/>
      <c r="NT97" s="358"/>
      <c r="NU97" s="358"/>
      <c r="NV97" s="358"/>
      <c r="NW97" s="358"/>
      <c r="NX97" s="358"/>
      <c r="NY97" s="358"/>
      <c r="NZ97" s="358"/>
      <c r="OA97" s="358"/>
      <c r="OB97" s="358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58"/>
      <c r="B98" s="12"/>
      <c r="C98" s="12"/>
      <c r="D98" s="12"/>
      <c r="E98" s="12"/>
      <c r="F98" s="12"/>
      <c r="G98" s="12"/>
      <c r="H98" s="12"/>
      <c r="I98" s="12"/>
      <c r="J98" s="12"/>
      <c r="K98" s="200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200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200"/>
      <c r="AP98" s="34"/>
      <c r="AQ98" s="19"/>
      <c r="AS98" s="12"/>
      <c r="AT98" s="12"/>
      <c r="AU98" s="12"/>
      <c r="AV98" s="12"/>
      <c r="AW98" s="12"/>
      <c r="AX98" s="12"/>
      <c r="AY98" s="12"/>
      <c r="AZ98" s="200"/>
      <c r="BA98" s="200"/>
      <c r="BB98" s="200"/>
      <c r="BC98" s="200"/>
      <c r="BD98" s="201"/>
      <c r="BE98" s="28"/>
      <c r="BF98" s="25"/>
      <c r="BG98" s="12"/>
      <c r="BH98" s="12"/>
      <c r="BI98" s="12"/>
      <c r="BJ98" s="12"/>
      <c r="BK98" s="12"/>
      <c r="BL98" s="12"/>
      <c r="BM98" s="12"/>
      <c r="BN98" s="200"/>
      <c r="BO98" s="200"/>
      <c r="BP98" s="201"/>
      <c r="BQ98" s="28"/>
      <c r="BR98" s="25"/>
      <c r="BS98" s="190"/>
      <c r="BT98" s="198"/>
      <c r="BU98" s="198"/>
      <c r="BV98" s="198"/>
      <c r="BW98" s="198"/>
      <c r="BX98" s="199"/>
      <c r="BY98" s="12"/>
      <c r="BZ98" s="200"/>
      <c r="CA98" s="200"/>
      <c r="CB98" s="200"/>
      <c r="CC98" s="200"/>
      <c r="CD98" s="200"/>
      <c r="CE98" s="200"/>
      <c r="CF98" s="200"/>
      <c r="CG98" s="200"/>
      <c r="CH98" s="200"/>
      <c r="CI98" s="201"/>
      <c r="CJ98" s="28"/>
      <c r="CL98" s="190"/>
      <c r="CM98" s="198"/>
      <c r="CN98" s="198"/>
      <c r="CO98" s="198"/>
      <c r="CP98" s="198"/>
      <c r="CQ98" s="199"/>
      <c r="CR98" s="12"/>
      <c r="CS98" s="200"/>
      <c r="CT98" s="200"/>
      <c r="CU98" s="200"/>
      <c r="CV98" s="200"/>
      <c r="CW98" s="200"/>
      <c r="CX98" s="200"/>
      <c r="CY98" s="200"/>
      <c r="CZ98" s="202"/>
      <c r="DA98" s="201"/>
      <c r="DB98" s="28"/>
      <c r="DC98" s="33"/>
      <c r="DD98" s="12"/>
      <c r="DE98" s="12"/>
      <c r="DF98" s="12"/>
      <c r="DG98" s="12"/>
      <c r="DH98" s="12"/>
      <c r="DI98" s="12"/>
      <c r="DJ98" s="12"/>
      <c r="DK98" s="202"/>
      <c r="DL98" s="202"/>
      <c r="DM98" s="202"/>
      <c r="DN98" s="202"/>
      <c r="DO98" s="202"/>
      <c r="DP98" s="202"/>
      <c r="DQ98" s="202"/>
      <c r="DR98" s="202"/>
      <c r="DS98" s="202"/>
      <c r="DT98" s="202"/>
      <c r="DU98" s="201"/>
      <c r="DV98" s="28"/>
      <c r="DX98" s="12"/>
      <c r="DY98" s="12"/>
      <c r="DZ98" s="12"/>
      <c r="EA98" s="12"/>
      <c r="EB98" s="12"/>
      <c r="EC98" s="12"/>
      <c r="ED98" s="12"/>
      <c r="EE98" s="202"/>
      <c r="EF98" s="202"/>
      <c r="EG98" s="202"/>
      <c r="EH98" s="202"/>
      <c r="EI98" s="202"/>
      <c r="EJ98" s="202"/>
      <c r="EK98" s="202"/>
      <c r="EL98" s="202"/>
      <c r="EM98" s="202"/>
      <c r="EN98" s="202"/>
      <c r="EO98" s="201"/>
      <c r="EP98" s="28"/>
      <c r="ER98" s="12"/>
      <c r="ES98" s="12"/>
      <c r="ET98" s="12"/>
      <c r="EU98" s="12"/>
      <c r="EV98" s="12"/>
      <c r="EW98" s="12"/>
      <c r="EX98" s="12"/>
      <c r="EY98" s="202"/>
      <c r="EZ98" s="202"/>
      <c r="FA98" s="202"/>
      <c r="FB98" s="202"/>
      <c r="FC98" s="202"/>
      <c r="FD98" s="202"/>
      <c r="FE98" s="202"/>
      <c r="FF98" s="202"/>
      <c r="FG98" s="202"/>
      <c r="FH98" s="202"/>
      <c r="FI98" s="202"/>
      <c r="FJ98" s="202"/>
      <c r="FK98" s="202"/>
      <c r="FL98" s="202"/>
      <c r="FM98" s="202"/>
      <c r="FN98" s="202"/>
      <c r="FO98" s="202"/>
      <c r="FP98" s="202"/>
      <c r="FQ98" s="202"/>
      <c r="FR98" s="202"/>
      <c r="FS98" s="202"/>
      <c r="FT98" s="201"/>
      <c r="FU98" s="226"/>
      <c r="FW98" s="12"/>
      <c r="FX98" s="12"/>
      <c r="FY98" s="12"/>
      <c r="FZ98" s="12"/>
      <c r="GA98" s="12"/>
      <c r="GB98" s="12"/>
      <c r="GC98" s="12"/>
      <c r="GD98" s="204"/>
      <c r="GE98" s="204"/>
      <c r="GF98" s="204"/>
      <c r="GG98" s="204"/>
      <c r="GH98" s="204"/>
      <c r="GI98" s="204"/>
      <c r="GJ98" s="204"/>
      <c r="GK98" s="204"/>
      <c r="GL98" s="204"/>
      <c r="GM98" s="204"/>
      <c r="GN98" s="204"/>
      <c r="GO98" s="204"/>
      <c r="GP98" s="204"/>
      <c r="GQ98" s="201"/>
      <c r="GR98" s="226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201"/>
      <c r="HM98" s="226"/>
      <c r="HO98" s="12"/>
      <c r="HP98" s="12"/>
      <c r="HQ98" s="12"/>
      <c r="HR98" s="12"/>
      <c r="HS98" s="12"/>
      <c r="HT98" s="12"/>
      <c r="HU98" s="12"/>
      <c r="HV98" s="32"/>
      <c r="HW98" s="201"/>
      <c r="HX98" s="226"/>
      <c r="HZ98" s="12"/>
      <c r="IA98" s="12"/>
      <c r="IB98" s="12"/>
      <c r="IC98" s="12"/>
      <c r="ID98" s="12"/>
      <c r="IE98" s="12"/>
      <c r="IF98" s="12"/>
      <c r="IG98" s="32"/>
      <c r="IH98" s="194"/>
      <c r="II98" s="194"/>
      <c r="IJ98" s="194"/>
      <c r="IK98" s="194"/>
      <c r="IL98" s="194"/>
      <c r="IM98" s="201"/>
      <c r="IN98" s="226"/>
      <c r="IP98" s="12"/>
      <c r="IQ98" s="12"/>
      <c r="IR98" s="12"/>
      <c r="IS98" s="12"/>
      <c r="IT98" s="12"/>
      <c r="IU98" s="12"/>
      <c r="IV98" s="12"/>
      <c r="IW98" s="32"/>
      <c r="IX98" s="194"/>
      <c r="IY98" s="201"/>
      <c r="IZ98" s="226"/>
      <c r="JB98" s="12"/>
      <c r="JC98" s="12"/>
      <c r="JD98" s="12"/>
      <c r="JE98" s="12"/>
      <c r="JF98" s="12"/>
      <c r="JG98" s="12"/>
      <c r="JH98" s="12"/>
      <c r="JI98" s="32"/>
      <c r="JJ98" s="194"/>
      <c r="JK98" s="194"/>
      <c r="JL98" s="194"/>
      <c r="JM98" s="194"/>
      <c r="JN98" s="194"/>
      <c r="JO98" s="194"/>
      <c r="JP98" s="194"/>
      <c r="JQ98" s="194"/>
      <c r="JR98" s="194"/>
      <c r="JS98" s="194"/>
      <c r="JT98" s="194"/>
      <c r="JU98" s="194"/>
      <c r="JV98" s="194"/>
      <c r="JW98" s="194"/>
      <c r="JX98" s="194"/>
      <c r="JY98" s="194"/>
      <c r="JZ98" s="194"/>
      <c r="KA98" s="194"/>
      <c r="KB98" s="194"/>
      <c r="KC98" s="194"/>
      <c r="KD98" s="202"/>
      <c r="KE98" s="201"/>
      <c r="KF98" s="226"/>
      <c r="KH98" s="12"/>
      <c r="KI98" s="12"/>
      <c r="KJ98" s="12"/>
      <c r="KK98" s="12"/>
      <c r="KL98" s="12"/>
      <c r="KM98" s="12"/>
      <c r="KN98" s="12"/>
      <c r="KO98" s="311"/>
      <c r="KP98" s="312"/>
      <c r="KQ98" s="312"/>
      <c r="KR98" s="312"/>
      <c r="KS98" s="201"/>
      <c r="KT98" s="226"/>
      <c r="KV98" s="201"/>
      <c r="KW98" s="201"/>
      <c r="KX98" s="201"/>
      <c r="KY98" s="201"/>
      <c r="KZ98" s="201"/>
      <c r="LA98" s="201"/>
      <c r="LB98" s="201"/>
      <c r="LC98" s="360"/>
      <c r="LD98" s="361"/>
      <c r="LE98" s="361"/>
      <c r="LF98" s="201"/>
      <c r="LG98" s="226"/>
      <c r="LI98" s="201"/>
      <c r="LJ98" s="201"/>
      <c r="LK98" s="201"/>
      <c r="LL98" s="201"/>
      <c r="LM98" s="201"/>
      <c r="LN98" s="201"/>
      <c r="LO98" s="201"/>
      <c r="LP98" s="360"/>
      <c r="LQ98" s="361"/>
      <c r="LR98" s="361"/>
      <c r="LS98" s="361"/>
      <c r="LT98" s="361"/>
      <c r="LU98" s="361"/>
      <c r="LV98" s="361"/>
      <c r="LW98" s="361"/>
      <c r="LX98" s="361"/>
      <c r="LY98" s="361"/>
      <c r="LZ98" s="361"/>
      <c r="MA98" s="361"/>
      <c r="MB98" s="361"/>
      <c r="MC98" s="361"/>
      <c r="MD98" s="361"/>
      <c r="ME98" s="30">
        <f t="shared" si="63"/>
        <v>0</v>
      </c>
      <c r="MF98" s="28">
        <f t="shared" si="64"/>
        <v>0</v>
      </c>
      <c r="MH98" s="572"/>
      <c r="MI98" s="572"/>
      <c r="MJ98" s="572"/>
      <c r="MK98" s="572"/>
      <c r="ML98" s="572"/>
      <c r="MM98" s="572"/>
      <c r="MN98" s="28"/>
      <c r="MO98" s="360"/>
      <c r="MP98" s="361"/>
      <c r="MQ98" s="361"/>
      <c r="MR98" s="361"/>
      <c r="MS98" s="361"/>
      <c r="MT98" s="361"/>
      <c r="MU98" s="361"/>
      <c r="MV98" s="361"/>
      <c r="MW98" s="361"/>
      <c r="MX98" s="361"/>
      <c r="MY98" s="361"/>
      <c r="MZ98" s="361"/>
      <c r="NA98" s="361"/>
      <c r="NB98" s="361"/>
      <c r="NC98" s="361"/>
      <c r="ND98" s="30">
        <f t="shared" si="58"/>
        <v>0</v>
      </c>
      <c r="NE98" s="28">
        <f t="shared" si="65"/>
        <v>0</v>
      </c>
      <c r="NG98" s="572"/>
      <c r="NH98" s="572"/>
      <c r="NI98" s="572"/>
      <c r="NJ98" s="572"/>
      <c r="NK98" s="572"/>
      <c r="NL98" s="572"/>
      <c r="NM98" s="28"/>
      <c r="NN98" s="361"/>
      <c r="NO98" s="361"/>
      <c r="NP98" s="361"/>
      <c r="NQ98" s="361"/>
      <c r="NR98" s="361"/>
      <c r="NS98" s="361"/>
      <c r="NT98" s="361"/>
      <c r="NU98" s="361"/>
      <c r="NV98" s="361"/>
      <c r="NW98" s="361"/>
      <c r="NX98" s="361"/>
      <c r="NY98" s="361"/>
      <c r="NZ98" s="361"/>
      <c r="OA98" s="361"/>
      <c r="OB98" s="361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58"/>
      <c r="B99" s="12"/>
      <c r="C99" s="12"/>
      <c r="D99" s="12"/>
      <c r="E99" s="12"/>
      <c r="F99" s="12"/>
      <c r="G99" s="12"/>
      <c r="H99" s="12"/>
      <c r="I99" s="12"/>
      <c r="J99" s="12"/>
      <c r="K99" s="200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200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200"/>
      <c r="AP99" s="34"/>
      <c r="AQ99" s="19"/>
      <c r="AS99" s="12"/>
      <c r="AT99" s="12"/>
      <c r="AU99" s="12"/>
      <c r="AV99" s="12"/>
      <c r="AW99" s="12"/>
      <c r="AX99" s="12"/>
      <c r="AY99" s="12"/>
      <c r="AZ99" s="200"/>
      <c r="BA99" s="200"/>
      <c r="BB99" s="200"/>
      <c r="BC99" s="200"/>
      <c r="BD99" s="201"/>
      <c r="BE99" s="28"/>
      <c r="BF99" s="25"/>
      <c r="BG99" s="12"/>
      <c r="BH99" s="12"/>
      <c r="BI99" s="12"/>
      <c r="BJ99" s="12"/>
      <c r="BK99" s="12"/>
      <c r="BL99" s="12"/>
      <c r="BM99" s="12"/>
      <c r="BN99" s="200"/>
      <c r="BO99" s="200"/>
      <c r="BP99" s="201"/>
      <c r="BQ99" s="28"/>
      <c r="BR99" s="25"/>
      <c r="BS99" s="190"/>
      <c r="BT99" s="198"/>
      <c r="BU99" s="198"/>
      <c r="BV99" s="198"/>
      <c r="BW99" s="198"/>
      <c r="BX99" s="199"/>
      <c r="BY99" s="12"/>
      <c r="BZ99" s="200"/>
      <c r="CA99" s="200"/>
      <c r="CB99" s="200"/>
      <c r="CC99" s="200"/>
      <c r="CD99" s="200"/>
      <c r="CE99" s="200"/>
      <c r="CF99" s="200"/>
      <c r="CG99" s="200"/>
      <c r="CH99" s="200"/>
      <c r="CI99" s="201"/>
      <c r="CJ99" s="28"/>
      <c r="CL99" s="190"/>
      <c r="CM99" s="198"/>
      <c r="CN99" s="198"/>
      <c r="CO99" s="198"/>
      <c r="CP99" s="198"/>
      <c r="CQ99" s="199"/>
      <c r="CR99" s="12"/>
      <c r="CS99" s="200"/>
      <c r="CT99" s="200"/>
      <c r="CU99" s="200"/>
      <c r="CV99" s="200"/>
      <c r="CW99" s="200"/>
      <c r="CX99" s="200"/>
      <c r="CY99" s="200"/>
      <c r="CZ99" s="202"/>
      <c r="DA99" s="201"/>
      <c r="DB99" s="28"/>
      <c r="DC99" s="33"/>
      <c r="DD99" s="12"/>
      <c r="DE99" s="12"/>
      <c r="DF99" s="12"/>
      <c r="DG99" s="12"/>
      <c r="DH99" s="12"/>
      <c r="DI99" s="12"/>
      <c r="DJ99" s="12"/>
      <c r="DK99" s="202"/>
      <c r="DL99" s="202"/>
      <c r="DM99" s="202"/>
      <c r="DN99" s="202"/>
      <c r="DO99" s="202"/>
      <c r="DP99" s="202"/>
      <c r="DQ99" s="202"/>
      <c r="DR99" s="202"/>
      <c r="DS99" s="202"/>
      <c r="DT99" s="202"/>
      <c r="DU99" s="201"/>
      <c r="DV99" s="28"/>
      <c r="DX99" s="12"/>
      <c r="DY99" s="12"/>
      <c r="DZ99" s="12"/>
      <c r="EA99" s="12"/>
      <c r="EB99" s="12"/>
      <c r="EC99" s="12"/>
      <c r="ED99" s="12"/>
      <c r="EE99" s="202"/>
      <c r="EF99" s="202"/>
      <c r="EG99" s="202"/>
      <c r="EH99" s="202"/>
      <c r="EI99" s="202"/>
      <c r="EJ99" s="202"/>
      <c r="EK99" s="202"/>
      <c r="EL99" s="202"/>
      <c r="EM99" s="202"/>
      <c r="EN99" s="202"/>
      <c r="EO99" s="201"/>
      <c r="EP99" s="28"/>
      <c r="ER99" s="12"/>
      <c r="ES99" s="12"/>
      <c r="ET99" s="12"/>
      <c r="EU99" s="12"/>
      <c r="EV99" s="12"/>
      <c r="EW99" s="12"/>
      <c r="EX99" s="12"/>
      <c r="EY99" s="202"/>
      <c r="EZ99" s="202"/>
      <c r="FA99" s="202"/>
      <c r="FB99" s="202"/>
      <c r="FC99" s="202"/>
      <c r="FD99" s="202"/>
      <c r="FE99" s="202"/>
      <c r="FF99" s="202"/>
      <c r="FG99" s="202"/>
      <c r="FH99" s="202"/>
      <c r="FI99" s="202"/>
      <c r="FJ99" s="202"/>
      <c r="FK99" s="202"/>
      <c r="FL99" s="202"/>
      <c r="FM99" s="202"/>
      <c r="FN99" s="202"/>
      <c r="FO99" s="202"/>
      <c r="FP99" s="202"/>
      <c r="FQ99" s="202"/>
      <c r="FR99" s="202"/>
      <c r="FS99" s="202"/>
      <c r="FT99" s="201"/>
      <c r="FU99" s="226"/>
      <c r="FW99" s="12"/>
      <c r="FX99" s="12"/>
      <c r="FY99" s="12"/>
      <c r="FZ99" s="12"/>
      <c r="GA99" s="12"/>
      <c r="GB99" s="12"/>
      <c r="GC99" s="12"/>
      <c r="GD99" s="204"/>
      <c r="GE99" s="204"/>
      <c r="GF99" s="204"/>
      <c r="GG99" s="204"/>
      <c r="GH99" s="204"/>
      <c r="GI99" s="204"/>
      <c r="GJ99" s="204"/>
      <c r="GK99" s="204"/>
      <c r="GL99" s="204"/>
      <c r="GM99" s="204"/>
      <c r="GN99" s="204"/>
      <c r="GO99" s="204"/>
      <c r="GP99" s="204"/>
      <c r="GQ99" s="201"/>
      <c r="GR99" s="226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201"/>
      <c r="HM99" s="226"/>
      <c r="HO99" s="12"/>
      <c r="HP99" s="12"/>
      <c r="HQ99" s="12"/>
      <c r="HR99" s="12"/>
      <c r="HS99" s="12"/>
      <c r="HT99" s="12"/>
      <c r="HU99" s="12"/>
      <c r="HV99" s="32"/>
      <c r="HW99" s="201"/>
      <c r="HX99" s="226"/>
      <c r="HZ99" s="12"/>
      <c r="IA99" s="12"/>
      <c r="IB99" s="12"/>
      <c r="IC99" s="12"/>
      <c r="ID99" s="12"/>
      <c r="IE99" s="12"/>
      <c r="IF99" s="12"/>
      <c r="IG99" s="32"/>
      <c r="IH99" s="194"/>
      <c r="II99" s="194"/>
      <c r="IJ99" s="194"/>
      <c r="IK99" s="194"/>
      <c r="IL99" s="194"/>
      <c r="IM99" s="201"/>
      <c r="IN99" s="226"/>
      <c r="IP99" s="12"/>
      <c r="IQ99" s="12"/>
      <c r="IR99" s="12"/>
      <c r="IS99" s="12"/>
      <c r="IT99" s="12"/>
      <c r="IU99" s="12"/>
      <c r="IV99" s="12"/>
      <c r="IW99" s="32"/>
      <c r="IX99" s="194"/>
      <c r="IY99" s="201"/>
      <c r="IZ99" s="226"/>
      <c r="JB99" s="12"/>
      <c r="JC99" s="12"/>
      <c r="JD99" s="12"/>
      <c r="JE99" s="12"/>
      <c r="JF99" s="12"/>
      <c r="JG99" s="12"/>
      <c r="JH99" s="12"/>
      <c r="JI99" s="32"/>
      <c r="JJ99" s="194"/>
      <c r="JK99" s="194"/>
      <c r="JL99" s="194"/>
      <c r="JM99" s="194"/>
      <c r="JN99" s="194"/>
      <c r="JO99" s="194"/>
      <c r="JP99" s="194"/>
      <c r="JQ99" s="194"/>
      <c r="JR99" s="194"/>
      <c r="JS99" s="194"/>
      <c r="JT99" s="194"/>
      <c r="JU99" s="194"/>
      <c r="JV99" s="194"/>
      <c r="JW99" s="194"/>
      <c r="JX99" s="194"/>
      <c r="JY99" s="194"/>
      <c r="JZ99" s="194"/>
      <c r="KA99" s="194"/>
      <c r="KB99" s="194"/>
      <c r="KC99" s="194"/>
      <c r="KD99" s="202"/>
      <c r="KE99" s="201"/>
      <c r="KF99" s="226"/>
      <c r="KH99" s="12"/>
      <c r="KI99" s="12"/>
      <c r="KJ99" s="12"/>
      <c r="KK99" s="12"/>
      <c r="KL99" s="12"/>
      <c r="KM99" s="12"/>
      <c r="KN99" s="12"/>
      <c r="KO99" s="311"/>
      <c r="KP99" s="312"/>
      <c r="KQ99" s="312"/>
      <c r="KR99" s="312"/>
      <c r="KS99" s="201"/>
      <c r="KT99" s="226"/>
      <c r="KV99" s="201"/>
      <c r="KW99" s="201"/>
      <c r="KX99" s="201"/>
      <c r="KY99" s="201"/>
      <c r="KZ99" s="201"/>
      <c r="LA99" s="201"/>
      <c r="LB99" s="201"/>
      <c r="LC99" s="360"/>
      <c r="LD99" s="361"/>
      <c r="LE99" s="361"/>
      <c r="LF99" s="201"/>
      <c r="LG99" s="226"/>
      <c r="LI99" s="201"/>
      <c r="LJ99" s="201"/>
      <c r="LK99" s="201"/>
      <c r="LL99" s="201"/>
      <c r="LM99" s="201"/>
      <c r="LN99" s="201"/>
      <c r="LO99" s="201"/>
      <c r="LP99" s="360"/>
      <c r="LQ99" s="361"/>
      <c r="LR99" s="361"/>
      <c r="LS99" s="361"/>
      <c r="LT99" s="361"/>
      <c r="LU99" s="361"/>
      <c r="LV99" s="361"/>
      <c r="LW99" s="361"/>
      <c r="LX99" s="361"/>
      <c r="LY99" s="361"/>
      <c r="LZ99" s="361"/>
      <c r="MA99" s="361"/>
      <c r="MB99" s="361"/>
      <c r="MC99" s="361"/>
      <c r="MD99" s="361"/>
      <c r="ME99" s="30">
        <f t="shared" si="63"/>
        <v>0</v>
      </c>
      <c r="MF99" s="28">
        <f t="shared" si="64"/>
        <v>0</v>
      </c>
      <c r="MH99" s="510"/>
      <c r="MI99" s="510"/>
      <c r="MJ99" s="510"/>
      <c r="MK99" s="510"/>
      <c r="ML99" s="510"/>
      <c r="MM99" s="510"/>
      <c r="MN99" s="15"/>
      <c r="MO99" s="362"/>
      <c r="MP99" s="358"/>
      <c r="MQ99" s="358"/>
      <c r="MR99" s="358"/>
      <c r="MS99" s="358"/>
      <c r="MT99" s="358"/>
      <c r="MU99" s="358"/>
      <c r="MV99" s="358"/>
      <c r="MW99" s="358"/>
      <c r="MX99" s="358"/>
      <c r="MY99" s="358"/>
      <c r="MZ99" s="358"/>
      <c r="NA99" s="358"/>
      <c r="NB99" s="358"/>
      <c r="NC99" s="358"/>
      <c r="ND99" s="30">
        <f t="shared" si="58"/>
        <v>0</v>
      </c>
      <c r="NE99" s="28">
        <f t="shared" si="65"/>
        <v>0</v>
      </c>
      <c r="NG99" s="510"/>
      <c r="NH99" s="510"/>
      <c r="NI99" s="510"/>
      <c r="NJ99" s="510"/>
      <c r="NK99" s="510"/>
      <c r="NL99" s="510"/>
      <c r="NM99" s="15"/>
      <c r="NN99" s="358"/>
      <c r="NO99" s="358"/>
      <c r="NP99" s="358"/>
      <c r="NQ99" s="358"/>
      <c r="NR99" s="358"/>
      <c r="NS99" s="358"/>
      <c r="NT99" s="358"/>
      <c r="NU99" s="358"/>
      <c r="NV99" s="358"/>
      <c r="NW99" s="358"/>
      <c r="NX99" s="358"/>
      <c r="NY99" s="358"/>
      <c r="NZ99" s="358"/>
      <c r="OA99" s="358"/>
      <c r="OB99" s="358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58"/>
      <c r="B100" s="12"/>
      <c r="C100" s="12"/>
      <c r="D100" s="12"/>
      <c r="E100" s="12"/>
      <c r="F100" s="12"/>
      <c r="G100" s="12"/>
      <c r="H100" s="12"/>
      <c r="I100" s="12"/>
      <c r="J100" s="12"/>
      <c r="K100" s="200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200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200"/>
      <c r="AP100" s="34"/>
      <c r="AQ100" s="19"/>
      <c r="AS100" s="12"/>
      <c r="AT100" s="12"/>
      <c r="AU100" s="12"/>
      <c r="AV100" s="12"/>
      <c r="AW100" s="12"/>
      <c r="AX100" s="12"/>
      <c r="AY100" s="12"/>
      <c r="AZ100" s="200"/>
      <c r="BA100" s="200"/>
      <c r="BB100" s="200"/>
      <c r="BC100" s="200"/>
      <c r="BD100" s="201"/>
      <c r="BE100" s="28"/>
      <c r="BF100" s="25"/>
      <c r="BG100" s="12"/>
      <c r="BH100" s="12"/>
      <c r="BI100" s="12"/>
      <c r="BJ100" s="12"/>
      <c r="BK100" s="12"/>
      <c r="BL100" s="12"/>
      <c r="BM100" s="12"/>
      <c r="BN100" s="200"/>
      <c r="BO100" s="200"/>
      <c r="BP100" s="201"/>
      <c r="BQ100" s="28"/>
      <c r="BR100" s="25"/>
      <c r="BS100" s="190"/>
      <c r="BT100" s="198"/>
      <c r="BU100" s="198"/>
      <c r="BV100" s="198"/>
      <c r="BW100" s="198"/>
      <c r="BX100" s="199"/>
      <c r="BY100" s="12"/>
      <c r="BZ100" s="200"/>
      <c r="CA100" s="200"/>
      <c r="CB100" s="200"/>
      <c r="CC100" s="200"/>
      <c r="CD100" s="200"/>
      <c r="CE100" s="200"/>
      <c r="CF100" s="200"/>
      <c r="CG100" s="200"/>
      <c r="CH100" s="200"/>
      <c r="CI100" s="201"/>
      <c r="CJ100" s="28"/>
      <c r="CL100" s="190"/>
      <c r="CM100" s="198"/>
      <c r="CN100" s="198"/>
      <c r="CO100" s="198"/>
      <c r="CP100" s="198"/>
      <c r="CQ100" s="199"/>
      <c r="CR100" s="12"/>
      <c r="CS100" s="200"/>
      <c r="CT100" s="200"/>
      <c r="CU100" s="200"/>
      <c r="CV100" s="200"/>
      <c r="CW100" s="200"/>
      <c r="CX100" s="200"/>
      <c r="CY100" s="200"/>
      <c r="CZ100" s="202"/>
      <c r="DA100" s="201"/>
      <c r="DB100" s="28"/>
      <c r="DC100" s="33"/>
      <c r="DD100" s="12"/>
      <c r="DE100" s="12"/>
      <c r="DF100" s="12"/>
      <c r="DG100" s="12"/>
      <c r="DH100" s="12"/>
      <c r="DI100" s="12"/>
      <c r="DJ100" s="12"/>
      <c r="DK100" s="202"/>
      <c r="DL100" s="202"/>
      <c r="DM100" s="202"/>
      <c r="DN100" s="202"/>
      <c r="DO100" s="202"/>
      <c r="DP100" s="202"/>
      <c r="DQ100" s="202"/>
      <c r="DR100" s="202"/>
      <c r="DS100" s="202"/>
      <c r="DT100" s="202"/>
      <c r="DU100" s="201"/>
      <c r="DV100" s="28"/>
      <c r="DX100" s="12"/>
      <c r="DY100" s="12"/>
      <c r="DZ100" s="12"/>
      <c r="EA100" s="12"/>
      <c r="EB100" s="12"/>
      <c r="EC100" s="12"/>
      <c r="ED100" s="12"/>
      <c r="EE100" s="202"/>
      <c r="EF100" s="202"/>
      <c r="EG100" s="202"/>
      <c r="EH100" s="202"/>
      <c r="EI100" s="202"/>
      <c r="EJ100" s="202"/>
      <c r="EK100" s="202"/>
      <c r="EL100" s="202"/>
      <c r="EM100" s="202"/>
      <c r="EN100" s="202"/>
      <c r="EO100" s="201"/>
      <c r="EP100" s="28"/>
      <c r="ER100" s="12"/>
      <c r="ES100" s="12"/>
      <c r="ET100" s="12"/>
      <c r="EU100" s="12"/>
      <c r="EV100" s="12"/>
      <c r="EW100" s="12"/>
      <c r="EX100" s="12"/>
      <c r="EY100" s="202"/>
      <c r="EZ100" s="202"/>
      <c r="FA100" s="202"/>
      <c r="FB100" s="202"/>
      <c r="FC100" s="202"/>
      <c r="FD100" s="202"/>
      <c r="FE100" s="202"/>
      <c r="FF100" s="202"/>
      <c r="FG100" s="202"/>
      <c r="FH100" s="202"/>
      <c r="FI100" s="202"/>
      <c r="FJ100" s="202"/>
      <c r="FK100" s="202"/>
      <c r="FL100" s="202"/>
      <c r="FM100" s="202"/>
      <c r="FN100" s="202"/>
      <c r="FO100" s="202"/>
      <c r="FP100" s="202"/>
      <c r="FQ100" s="202"/>
      <c r="FR100" s="202"/>
      <c r="FS100" s="202"/>
      <c r="FT100" s="201"/>
      <c r="FU100" s="226"/>
      <c r="FW100" s="12"/>
      <c r="FX100" s="12"/>
      <c r="FY100" s="12"/>
      <c r="FZ100" s="12"/>
      <c r="GA100" s="12"/>
      <c r="GB100" s="12"/>
      <c r="GC100" s="12"/>
      <c r="GD100" s="204"/>
      <c r="GE100" s="204"/>
      <c r="GF100" s="204"/>
      <c r="GG100" s="204"/>
      <c r="GH100" s="204"/>
      <c r="GI100" s="204"/>
      <c r="GJ100" s="204"/>
      <c r="GK100" s="204"/>
      <c r="GL100" s="204"/>
      <c r="GM100" s="204"/>
      <c r="GN100" s="204"/>
      <c r="GO100" s="204"/>
      <c r="GP100" s="204"/>
      <c r="GQ100" s="201"/>
      <c r="GR100" s="226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201"/>
      <c r="HM100" s="226"/>
      <c r="HO100" s="12"/>
      <c r="HP100" s="12"/>
      <c r="HQ100" s="12"/>
      <c r="HR100" s="12"/>
      <c r="HS100" s="12"/>
      <c r="HT100" s="12"/>
      <c r="HU100" s="12"/>
      <c r="HV100" s="32"/>
      <c r="HW100" s="201"/>
      <c r="HX100" s="226"/>
      <c r="HZ100" s="12"/>
      <c r="IA100" s="12"/>
      <c r="IB100" s="12"/>
      <c r="IC100" s="12"/>
      <c r="ID100" s="12"/>
      <c r="IE100" s="12"/>
      <c r="IF100" s="12"/>
      <c r="IG100" s="32"/>
      <c r="IH100" s="194"/>
      <c r="II100" s="194"/>
      <c r="IJ100" s="194"/>
      <c r="IK100" s="194"/>
      <c r="IL100" s="194"/>
      <c r="IM100" s="201"/>
      <c r="IN100" s="226"/>
      <c r="IP100" s="12"/>
      <c r="IQ100" s="12"/>
      <c r="IR100" s="12"/>
      <c r="IS100" s="12"/>
      <c r="IT100" s="12"/>
      <c r="IU100" s="12"/>
      <c r="IV100" s="12"/>
      <c r="IW100" s="32"/>
      <c r="IX100" s="194"/>
      <c r="IY100" s="201"/>
      <c r="IZ100" s="226"/>
      <c r="JB100" s="12"/>
      <c r="JC100" s="12"/>
      <c r="JD100" s="12"/>
      <c r="JE100" s="12"/>
      <c r="JF100" s="12"/>
      <c r="JG100" s="12"/>
      <c r="JH100" s="12"/>
      <c r="JI100" s="32"/>
      <c r="JJ100" s="194"/>
      <c r="JK100" s="194"/>
      <c r="JL100" s="194"/>
      <c r="JM100" s="194"/>
      <c r="JN100" s="194"/>
      <c r="JO100" s="194"/>
      <c r="JP100" s="194"/>
      <c r="JQ100" s="194"/>
      <c r="JR100" s="194"/>
      <c r="JS100" s="194"/>
      <c r="JT100" s="194"/>
      <c r="JU100" s="194"/>
      <c r="JV100" s="194"/>
      <c r="JW100" s="194"/>
      <c r="JX100" s="194"/>
      <c r="JY100" s="194"/>
      <c r="JZ100" s="194"/>
      <c r="KA100" s="194"/>
      <c r="KB100" s="194"/>
      <c r="KC100" s="194"/>
      <c r="KD100" s="202"/>
      <c r="KE100" s="201"/>
      <c r="KF100" s="226"/>
      <c r="KH100" s="12"/>
      <c r="KI100" s="12"/>
      <c r="KJ100" s="12"/>
      <c r="KK100" s="12"/>
      <c r="KL100" s="12"/>
      <c r="KM100" s="12"/>
      <c r="KN100" s="12"/>
      <c r="KO100" s="311"/>
      <c r="KP100" s="312"/>
      <c r="KQ100" s="312"/>
      <c r="KR100" s="312"/>
      <c r="KS100" s="201"/>
      <c r="KT100" s="226"/>
      <c r="KV100" s="201"/>
      <c r="KW100" s="201"/>
      <c r="KX100" s="201"/>
      <c r="KY100" s="201"/>
      <c r="KZ100" s="201"/>
      <c r="LA100" s="201"/>
      <c r="LB100" s="201"/>
      <c r="LC100" s="360"/>
      <c r="LD100" s="361"/>
      <c r="LE100" s="361"/>
      <c r="LF100" s="201"/>
      <c r="LG100" s="226"/>
      <c r="LI100" s="201"/>
      <c r="LJ100" s="201"/>
      <c r="LK100" s="201"/>
      <c r="LL100" s="201"/>
      <c r="LM100" s="201"/>
      <c r="LN100" s="201"/>
      <c r="LO100" s="201"/>
      <c r="LP100" s="360"/>
      <c r="LQ100" s="361"/>
      <c r="LR100" s="361"/>
      <c r="LS100" s="361"/>
      <c r="LT100" s="361"/>
      <c r="LU100" s="361"/>
      <c r="LV100" s="361"/>
      <c r="LW100" s="361"/>
      <c r="LX100" s="361"/>
      <c r="LY100" s="361"/>
      <c r="LZ100" s="361"/>
      <c r="MA100" s="361"/>
      <c r="MB100" s="361"/>
      <c r="MC100" s="361"/>
      <c r="MD100" s="361"/>
      <c r="ME100" s="30">
        <f t="shared" si="63"/>
        <v>0</v>
      </c>
      <c r="MF100" s="28">
        <f t="shared" si="64"/>
        <v>0</v>
      </c>
      <c r="MH100" s="572"/>
      <c r="MI100" s="572"/>
      <c r="MJ100" s="572"/>
      <c r="MK100" s="572"/>
      <c r="ML100" s="572"/>
      <c r="MM100" s="572"/>
      <c r="MN100" s="28"/>
      <c r="MO100" s="360"/>
      <c r="MP100" s="361"/>
      <c r="MQ100" s="361"/>
      <c r="MR100" s="361"/>
      <c r="MS100" s="361"/>
      <c r="MT100" s="361"/>
      <c r="MU100" s="361"/>
      <c r="MV100" s="361"/>
      <c r="MW100" s="361"/>
      <c r="MX100" s="361"/>
      <c r="MY100" s="361"/>
      <c r="MZ100" s="361"/>
      <c r="NA100" s="361"/>
      <c r="NB100" s="361"/>
      <c r="NC100" s="361"/>
      <c r="ND100" s="30">
        <f>SUM(MO100:NC100)</f>
        <v>0</v>
      </c>
      <c r="NE100" s="28">
        <f>ND100*MN100</f>
        <v>0</v>
      </c>
      <c r="NG100" s="572"/>
      <c r="NH100" s="572"/>
      <c r="NI100" s="572"/>
      <c r="NJ100" s="572"/>
      <c r="NK100" s="572"/>
      <c r="NL100" s="572"/>
      <c r="NM100" s="28"/>
      <c r="NN100" s="361"/>
      <c r="NO100" s="361"/>
      <c r="NP100" s="361"/>
      <c r="NQ100" s="361"/>
      <c r="NR100" s="361"/>
      <c r="NS100" s="361"/>
      <c r="NT100" s="361"/>
      <c r="NU100" s="361"/>
      <c r="NV100" s="361"/>
      <c r="NW100" s="361"/>
      <c r="NX100" s="361"/>
      <c r="NY100" s="361"/>
      <c r="NZ100" s="361"/>
      <c r="OA100" s="361"/>
      <c r="OB100" s="361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58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263"/>
      <c r="AB101" s="263"/>
      <c r="AC101" s="263"/>
      <c r="AD101" s="263"/>
      <c r="AE101" s="263"/>
      <c r="AF101" s="263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643" t="s">
        <v>64</v>
      </c>
      <c r="BT101" s="643"/>
      <c r="BU101" s="643"/>
      <c r="BV101" s="643"/>
      <c r="BW101" s="643"/>
      <c r="BX101" s="643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643" t="s">
        <v>66</v>
      </c>
      <c r="CM101" s="643"/>
      <c r="CN101" s="643"/>
      <c r="CO101" s="643"/>
      <c r="CP101" s="643"/>
      <c r="CQ101" s="643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126">
        <f>SUM(FU8:FU71)</f>
        <v>8611.5</v>
      </c>
      <c r="FW101" s="8"/>
      <c r="GQ101" s="14"/>
      <c r="GR101" s="126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126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126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126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126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204"/>
      <c r="KE101" s="14"/>
      <c r="KF101" s="126">
        <f>SUM(KF8:KF75)-KC102</f>
        <v>15110</v>
      </c>
      <c r="KH101" s="613" t="s">
        <v>72</v>
      </c>
      <c r="KI101" s="614"/>
      <c r="KJ101" s="614"/>
      <c r="KK101" s="614"/>
      <c r="KL101" s="614"/>
      <c r="KM101" s="615"/>
      <c r="KO101" s="302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302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302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302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126">
        <f>SUM(KT8:KT75)-SUM(KO102:KR102)</f>
        <v>5276</v>
      </c>
      <c r="KV101" s="613" t="s">
        <v>72</v>
      </c>
      <c r="KW101" s="614"/>
      <c r="KX101" s="614"/>
      <c r="KY101" s="614"/>
      <c r="KZ101" s="614"/>
      <c r="LA101" s="615"/>
      <c r="LC101" s="302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302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302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126">
        <f>SUM(LG8:LG90)-SUM(LC102:LE102)</f>
        <v>4055.91</v>
      </c>
      <c r="LI101" s="613" t="s">
        <v>72</v>
      </c>
      <c r="LJ101" s="614"/>
      <c r="LK101" s="614"/>
      <c r="LL101" s="614"/>
      <c r="LM101" s="614"/>
      <c r="LN101" s="615"/>
      <c r="LP101" s="302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302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302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302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302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302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302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302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302">
        <f t="shared" si="69"/>
        <v>0</v>
      </c>
      <c r="LY101" s="302">
        <f t="shared" si="69"/>
        <v>7913</v>
      </c>
      <c r="LZ101" s="302">
        <f t="shared" si="69"/>
        <v>5650</v>
      </c>
      <c r="MA101" s="302">
        <f t="shared" si="69"/>
        <v>1113.5</v>
      </c>
      <c r="MB101" s="302">
        <f t="shared" si="69"/>
        <v>1859</v>
      </c>
      <c r="MC101" s="302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302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126">
        <f>SUM(MF8:MF100)-SUM(LP102:LS102)</f>
        <v>33025</v>
      </c>
      <c r="MH101" s="574" t="s">
        <v>72</v>
      </c>
      <c r="MI101" s="575"/>
      <c r="MJ101" s="575"/>
      <c r="MK101" s="575"/>
      <c r="ML101" s="575"/>
      <c r="MM101" s="576"/>
      <c r="MO101" s="302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302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302">
        <f t="shared" si="70"/>
        <v>1722</v>
      </c>
      <c r="MR101" s="302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302">
        <f t="shared" si="70"/>
        <v>1231</v>
      </c>
      <c r="MT101" s="302">
        <f t="shared" si="70"/>
        <v>3675</v>
      </c>
      <c r="MU101" s="302">
        <f t="shared" si="70"/>
        <v>0</v>
      </c>
      <c r="MV101" s="302">
        <f t="shared" si="70"/>
        <v>1444</v>
      </c>
      <c r="MW101" s="302">
        <f t="shared" si="70"/>
        <v>1808</v>
      </c>
      <c r="MX101" s="302">
        <f t="shared" si="70"/>
        <v>652</v>
      </c>
      <c r="MY101" s="302">
        <f t="shared" si="70"/>
        <v>2114</v>
      </c>
      <c r="MZ101" s="302">
        <f t="shared" si="70"/>
        <v>1508</v>
      </c>
      <c r="NA101" s="302">
        <f t="shared" si="70"/>
        <v>3349</v>
      </c>
      <c r="NB101" s="302">
        <f t="shared" si="70"/>
        <v>0</v>
      </c>
      <c r="NC101" s="302">
        <f t="shared" si="70"/>
        <v>4627</v>
      </c>
      <c r="ND101" s="14"/>
      <c r="NE101" s="126">
        <f>SUM(NE8:NE100)-SUM(MO102:MR102)</f>
        <v>26612.799999999999</v>
      </c>
      <c r="NG101" s="574" t="s">
        <v>72</v>
      </c>
      <c r="NH101" s="575"/>
      <c r="NI101" s="575"/>
      <c r="NJ101" s="575"/>
      <c r="NK101" s="575"/>
      <c r="NL101" s="576"/>
      <c r="NN101" s="302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302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302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302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302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302">
        <f t="shared" si="71"/>
        <v>317</v>
      </c>
      <c r="NT101" s="302">
        <f t="shared" si="71"/>
        <v>1233</v>
      </c>
      <c r="NU101" s="302">
        <f t="shared" si="71"/>
        <v>564</v>
      </c>
      <c r="NV101" s="302">
        <f t="shared" si="71"/>
        <v>0</v>
      </c>
      <c r="NW101" s="302">
        <f t="shared" si="71"/>
        <v>0</v>
      </c>
      <c r="NX101" s="302">
        <f t="shared" si="71"/>
        <v>0</v>
      </c>
      <c r="NY101" s="302">
        <f t="shared" si="71"/>
        <v>0</v>
      </c>
      <c r="NZ101" s="302">
        <f t="shared" si="71"/>
        <v>0</v>
      </c>
      <c r="OA101" s="302">
        <f t="shared" si="71"/>
        <v>0</v>
      </c>
      <c r="OB101" s="302">
        <f t="shared" si="71"/>
        <v>0</v>
      </c>
      <c r="OC101" s="14"/>
      <c r="OD101" s="126">
        <f>SUM(OD8:OD100)-SUM(NN102:NQ102)</f>
        <v>17921.5</v>
      </c>
    </row>
    <row r="102" spans="1:394" ht="14.45" customHeight="1" thickBot="1" x14ac:dyDescent="0.3">
      <c r="A102" s="58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643" t="s">
        <v>68</v>
      </c>
      <c r="CM102" s="643"/>
      <c r="CN102" s="643"/>
      <c r="CO102" s="643"/>
      <c r="CP102" s="643"/>
      <c r="CQ102" s="643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269" t="s">
        <v>284</v>
      </c>
      <c r="II102" s="195"/>
      <c r="IJ102" s="195"/>
      <c r="IK102" s="195"/>
      <c r="IL102" s="269" t="s">
        <v>289</v>
      </c>
      <c r="KC102">
        <v>6</v>
      </c>
      <c r="KF102" s="342">
        <f>SUM(JI102:KD102)</f>
        <v>6</v>
      </c>
      <c r="KH102" s="577" t="s">
        <v>320</v>
      </c>
      <c r="KI102" s="578"/>
      <c r="KJ102" s="578"/>
      <c r="KK102" s="578"/>
      <c r="KL102" s="578"/>
      <c r="KM102" s="579"/>
      <c r="KN102" s="303"/>
      <c r="KO102" s="1">
        <v>44</v>
      </c>
      <c r="KP102" s="1"/>
      <c r="KQ102" s="1"/>
      <c r="KR102" s="1">
        <v>2</v>
      </c>
      <c r="KT102" s="342">
        <f>SUM(KO102:KR102)</f>
        <v>46</v>
      </c>
      <c r="KV102" s="577" t="s">
        <v>320</v>
      </c>
      <c r="KW102" s="578"/>
      <c r="KX102" s="578"/>
      <c r="KY102" s="578"/>
      <c r="KZ102" s="578"/>
      <c r="LA102" s="579"/>
      <c r="LB102" s="303"/>
      <c r="LC102" s="1">
        <v>37.090000000000003</v>
      </c>
      <c r="LD102" s="1">
        <v>1</v>
      </c>
      <c r="LE102" s="1">
        <v>1</v>
      </c>
      <c r="LG102" s="342">
        <f>SUM(LC102:LE102)</f>
        <v>39.090000000000003</v>
      </c>
      <c r="LI102" s="577" t="s">
        <v>320</v>
      </c>
      <c r="LJ102" s="578"/>
      <c r="LK102" s="578"/>
      <c r="LL102" s="578"/>
      <c r="LM102" s="578"/>
      <c r="LN102" s="579"/>
      <c r="LO102" s="303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342">
        <f>SUM(LP102:MC102)</f>
        <v>79.5</v>
      </c>
      <c r="MH102" s="577" t="s">
        <v>320</v>
      </c>
      <c r="MI102" s="578"/>
      <c r="MJ102" s="578"/>
      <c r="MK102" s="578"/>
      <c r="ML102" s="578"/>
      <c r="MM102" s="579"/>
      <c r="MN102" s="303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342">
        <f>SUM(MO102:NB102)</f>
        <v>51.2</v>
      </c>
      <c r="NG102" s="577" t="s">
        <v>320</v>
      </c>
      <c r="NH102" s="578"/>
      <c r="NI102" s="578"/>
      <c r="NJ102" s="578"/>
      <c r="NK102" s="578"/>
      <c r="NL102" s="579"/>
      <c r="NM102" s="303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342">
        <f>SUM(NN102:OA102)</f>
        <v>-17.5</v>
      </c>
    </row>
    <row r="103" spans="1:394" ht="14.45" customHeight="1" x14ac:dyDescent="0.25">
      <c r="A103" s="630" t="s">
        <v>85</v>
      </c>
      <c r="B103" s="630"/>
      <c r="C103" s="630"/>
      <c r="D103" s="630"/>
      <c r="E103" s="630"/>
      <c r="F103" s="630"/>
      <c r="G103" s="630"/>
      <c r="H103" s="630"/>
      <c r="I103" s="630"/>
      <c r="J103" s="630"/>
      <c r="K103" s="630"/>
      <c r="L103" s="630"/>
      <c r="M103" s="630"/>
      <c r="N103" s="630"/>
      <c r="O103" s="630"/>
      <c r="P103" s="630"/>
      <c r="Q103" s="630"/>
      <c r="R103" s="630"/>
      <c r="S103" s="630"/>
      <c r="T103" s="630"/>
      <c r="U103" s="630"/>
      <c r="V103" s="630"/>
      <c r="W103" s="630"/>
      <c r="X103" s="630"/>
      <c r="Y103" s="630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518"/>
      <c r="FX103" s="518"/>
      <c r="FY103" s="518"/>
      <c r="FZ103" s="518"/>
      <c r="GA103" s="518"/>
      <c r="GB103" s="518"/>
      <c r="IH103" s="195"/>
      <c r="II103" s="195"/>
      <c r="IJ103" s="195"/>
      <c r="IK103" s="195"/>
      <c r="IL103" s="195"/>
    </row>
    <row r="104" spans="1:394" ht="14.45" customHeight="1" x14ac:dyDescent="0.25">
      <c r="A104" s="630"/>
      <c r="B104" s="630"/>
      <c r="C104" s="630"/>
      <c r="D104" s="630"/>
      <c r="E104" s="630"/>
      <c r="F104" s="630"/>
      <c r="G104" s="630"/>
      <c r="H104" s="630"/>
      <c r="I104" s="630"/>
      <c r="J104" s="630"/>
      <c r="K104" s="630"/>
      <c r="L104" s="630"/>
      <c r="M104" s="630"/>
      <c r="N104" s="630"/>
      <c r="O104" s="630"/>
      <c r="P104" s="630"/>
      <c r="Q104" s="630"/>
      <c r="R104" s="630"/>
      <c r="S104" s="630"/>
      <c r="T104" s="630"/>
      <c r="U104" s="630"/>
      <c r="V104" s="630"/>
      <c r="W104" s="630"/>
      <c r="X104" s="630"/>
      <c r="Y104" s="630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518"/>
      <c r="FX104" s="518"/>
      <c r="FY104" s="518"/>
      <c r="FZ104" s="518"/>
      <c r="GA104" s="518"/>
      <c r="GB104" s="518"/>
      <c r="IH104" s="195"/>
      <c r="II104" s="195"/>
      <c r="IJ104" s="195"/>
      <c r="IK104" s="195"/>
      <c r="IL104" s="195"/>
    </row>
    <row r="105" spans="1:394" ht="14.45" customHeight="1" x14ac:dyDescent="0.25">
      <c r="A105" s="630"/>
      <c r="B105" s="630"/>
      <c r="C105" s="630"/>
      <c r="D105" s="630"/>
      <c r="E105" s="630"/>
      <c r="F105" s="630"/>
      <c r="G105" s="630"/>
      <c r="H105" s="630"/>
      <c r="I105" s="630"/>
      <c r="J105" s="630"/>
      <c r="K105" s="630"/>
      <c r="L105" s="630"/>
      <c r="M105" s="630"/>
      <c r="N105" s="630"/>
      <c r="O105" s="630"/>
      <c r="P105" s="630"/>
      <c r="Q105" s="630"/>
      <c r="R105" s="630"/>
      <c r="S105" s="630"/>
      <c r="T105" s="630"/>
      <c r="U105" s="630"/>
      <c r="V105" s="630"/>
      <c r="W105" s="630"/>
      <c r="X105" s="630"/>
      <c r="Y105" s="630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518"/>
      <c r="FX105" s="518"/>
      <c r="FY105" s="518"/>
      <c r="FZ105" s="518"/>
      <c r="GA105" s="518"/>
      <c r="GB105" s="518"/>
      <c r="IH105" s="195"/>
      <c r="II105" s="195"/>
      <c r="IJ105" s="195"/>
      <c r="IK105" s="195"/>
      <c r="IL105" s="195"/>
    </row>
    <row r="106" spans="1:394" ht="14.45" customHeight="1" thickBot="1" x14ac:dyDescent="0.3">
      <c r="A106" s="59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518"/>
      <c r="FX106" s="518"/>
      <c r="FY106" s="518"/>
      <c r="FZ106" s="518"/>
      <c r="GA106" s="518"/>
      <c r="GB106" s="518"/>
      <c r="IH106" s="195"/>
      <c r="II106" s="195"/>
      <c r="IJ106" s="195"/>
      <c r="IK106" s="195"/>
      <c r="IL106" s="195"/>
    </row>
    <row r="107" spans="1:394" ht="14.45" customHeight="1" x14ac:dyDescent="0.25">
      <c r="A107" s="55"/>
      <c r="B107" s="9"/>
      <c r="C107" s="659" t="s">
        <v>2</v>
      </c>
      <c r="D107" s="660"/>
      <c r="E107" s="660"/>
      <c r="F107" s="660"/>
      <c r="G107" s="660"/>
      <c r="H107" s="661"/>
      <c r="I107" s="563" t="s">
        <v>73</v>
      </c>
      <c r="J107" s="564"/>
      <c r="K107" s="564"/>
      <c r="L107" s="644"/>
      <c r="M107" s="628" t="s">
        <v>74</v>
      </c>
      <c r="N107" s="564"/>
      <c r="O107" s="564"/>
      <c r="P107" s="565"/>
      <c r="Q107" s="628" t="s">
        <v>104</v>
      </c>
      <c r="R107" s="564"/>
      <c r="S107" s="564"/>
      <c r="T107" s="565"/>
      <c r="U107" s="628" t="s">
        <v>246</v>
      </c>
      <c r="V107" s="564"/>
      <c r="W107" s="564"/>
      <c r="X107" s="565"/>
      <c r="Y107" s="563" t="s">
        <v>346</v>
      </c>
      <c r="Z107" s="564"/>
      <c r="AA107" s="564"/>
      <c r="AB107" s="564"/>
      <c r="AC107" s="564" t="s">
        <v>347</v>
      </c>
      <c r="AD107" s="564"/>
      <c r="AE107" s="564"/>
      <c r="AF107" s="564"/>
      <c r="AG107" s="564"/>
      <c r="AH107" s="564"/>
      <c r="AI107" s="564"/>
      <c r="AJ107" s="563" t="s">
        <v>424</v>
      </c>
      <c r="AK107" s="564"/>
      <c r="AL107" s="564"/>
      <c r="AM107" s="565"/>
      <c r="AN107" s="611" t="s">
        <v>72</v>
      </c>
      <c r="AO107" s="612"/>
      <c r="AP107" s="612"/>
      <c r="AQ107" s="612"/>
      <c r="AR107" s="357"/>
      <c r="AS107" s="357"/>
      <c r="AT107" s="357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195"/>
      <c r="IU107" s="195"/>
      <c r="IV107" s="195"/>
      <c r="IW107" s="195"/>
      <c r="IX107" s="195"/>
    </row>
    <row r="108" spans="1:394" ht="14.45" customHeight="1" x14ac:dyDescent="0.25">
      <c r="A108" s="55"/>
      <c r="B108" s="9"/>
      <c r="C108" s="510" t="s">
        <v>55</v>
      </c>
      <c r="D108" s="510"/>
      <c r="E108" s="510"/>
      <c r="F108" s="510"/>
      <c r="G108" s="510"/>
      <c r="H108" s="566"/>
      <c r="I108" s="624">
        <f t="shared" ref="I108:I139" si="72">M8+Y8+AP8+BD8</f>
        <v>0</v>
      </c>
      <c r="J108" s="617"/>
      <c r="K108" s="555">
        <f t="shared" ref="K108:K139" si="73">N8+Z8+AQ8+BE8</f>
        <v>0</v>
      </c>
      <c r="L108" s="618"/>
      <c r="M108" s="617">
        <f t="shared" ref="M108:M139" si="74">BP8+CI8+DA8+DU8</f>
        <v>26</v>
      </c>
      <c r="N108" s="617"/>
      <c r="O108" s="555">
        <f t="shared" ref="O108:O139" si="75">BQ8+CJ8+DB8+DV8</f>
        <v>194</v>
      </c>
      <c r="P108" s="556"/>
      <c r="Q108" s="617">
        <f t="shared" ref="Q108:Q139" si="76">EO8+FT8</f>
        <v>5</v>
      </c>
      <c r="R108" s="617"/>
      <c r="S108" s="555">
        <f t="shared" ref="S108:S139" si="77">EP8+FU8</f>
        <v>37.5</v>
      </c>
      <c r="T108" s="556"/>
      <c r="U108" s="617">
        <f t="shared" ref="U108:U139" si="78">GQ8+HL8+HW8+IM8</f>
        <v>6</v>
      </c>
      <c r="V108" s="617"/>
      <c r="W108" s="619">
        <f t="shared" ref="W108:W139" si="79">GR8+HM8+HX8+IN8</f>
        <v>47</v>
      </c>
      <c r="X108" s="619"/>
      <c r="Y108" s="626">
        <f t="shared" ref="Y108:Y139" si="80">IY8+KE8+KS8+LF8</f>
        <v>27</v>
      </c>
      <c r="Z108" s="616"/>
      <c r="AA108" s="555">
        <f t="shared" ref="AA108:AA139" si="81">IZ8+KF8+KT8+LG8</f>
        <v>216</v>
      </c>
      <c r="AB108" s="623"/>
      <c r="AC108" s="625">
        <f t="shared" ref="AC108:AC139" si="82">ME8+ND8</f>
        <v>29</v>
      </c>
      <c r="AD108" s="625"/>
      <c r="AE108" s="625"/>
      <c r="AF108" s="625"/>
      <c r="AG108" s="625"/>
      <c r="AH108" s="619">
        <f t="shared" ref="AH108:AH139" si="83">MF8+NE8</f>
        <v>232</v>
      </c>
      <c r="AI108" s="555"/>
      <c r="AJ108" s="553">
        <f>OC8</f>
        <v>26</v>
      </c>
      <c r="AK108" s="554"/>
      <c r="AL108" s="555">
        <f>OD8</f>
        <v>208</v>
      </c>
      <c r="AM108" s="556"/>
      <c r="AN108" s="608">
        <f>I108+M108+Q108+U108+Y108+AC108+AJ108</f>
        <v>119</v>
      </c>
      <c r="AO108" s="609"/>
      <c r="AP108" s="610">
        <f>K108+O108+S108+W108+AA108+AH108+AL108</f>
        <v>934.5</v>
      </c>
      <c r="AQ108" s="610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195"/>
      <c r="IR108" s="195"/>
      <c r="IS108" s="195"/>
      <c r="IT108" s="195"/>
      <c r="IU108" s="195"/>
    </row>
    <row r="109" spans="1:394" ht="14.45" customHeight="1" x14ac:dyDescent="0.25">
      <c r="A109" s="55"/>
      <c r="B109" s="9"/>
      <c r="C109" s="510" t="s">
        <v>4</v>
      </c>
      <c r="D109" s="510"/>
      <c r="E109" s="510"/>
      <c r="F109" s="510"/>
      <c r="G109" s="510"/>
      <c r="H109" s="566"/>
      <c r="I109" s="624">
        <f t="shared" si="72"/>
        <v>33</v>
      </c>
      <c r="J109" s="617"/>
      <c r="K109" s="555">
        <f t="shared" si="73"/>
        <v>431</v>
      </c>
      <c r="L109" s="618"/>
      <c r="M109" s="617">
        <f t="shared" si="74"/>
        <v>22</v>
      </c>
      <c r="N109" s="617"/>
      <c r="O109" s="555">
        <f t="shared" si="75"/>
        <v>329</v>
      </c>
      <c r="P109" s="556"/>
      <c r="Q109" s="617">
        <f t="shared" si="76"/>
        <v>49</v>
      </c>
      <c r="R109" s="617"/>
      <c r="S109" s="555">
        <f t="shared" si="77"/>
        <v>735</v>
      </c>
      <c r="T109" s="556"/>
      <c r="U109" s="617">
        <f t="shared" si="78"/>
        <v>49</v>
      </c>
      <c r="V109" s="617"/>
      <c r="W109" s="619">
        <f t="shared" si="79"/>
        <v>774</v>
      </c>
      <c r="X109" s="619"/>
      <c r="Y109" s="626">
        <f t="shared" si="80"/>
        <v>91</v>
      </c>
      <c r="Z109" s="616"/>
      <c r="AA109" s="555">
        <f t="shared" si="81"/>
        <v>1371</v>
      </c>
      <c r="AB109" s="623"/>
      <c r="AC109" s="625">
        <f t="shared" si="82"/>
        <v>155</v>
      </c>
      <c r="AD109" s="625"/>
      <c r="AE109" s="625"/>
      <c r="AF109" s="625"/>
      <c r="AG109" s="625"/>
      <c r="AH109" s="619">
        <f t="shared" si="83"/>
        <v>2325</v>
      </c>
      <c r="AI109" s="555"/>
      <c r="AJ109" s="553">
        <f t="shared" ref="AJ109:AJ172" si="84">OC9</f>
        <v>3</v>
      </c>
      <c r="AK109" s="554"/>
      <c r="AL109" s="555">
        <f t="shared" ref="AL109:AL172" si="85">OD9</f>
        <v>45</v>
      </c>
      <c r="AM109" s="556"/>
      <c r="AN109" s="608">
        <f t="shared" ref="AN109:AN172" si="86">I109+M109+Q109+U109+Y109+AC109+AJ109</f>
        <v>402</v>
      </c>
      <c r="AO109" s="609"/>
      <c r="AP109" s="610">
        <f t="shared" ref="AP109:AP172" si="87">K109+O109+S109+W109+AA109+AH109+AL109</f>
        <v>6010</v>
      </c>
      <c r="AQ109" s="610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195"/>
      <c r="IR109" s="195"/>
      <c r="IS109" s="195"/>
      <c r="IT109" s="195"/>
      <c r="IU109" s="195"/>
    </row>
    <row r="110" spans="1:394" ht="14.45" customHeight="1" x14ac:dyDescent="0.25">
      <c r="A110" s="55"/>
      <c r="B110" s="9"/>
      <c r="C110" s="510" t="s">
        <v>5</v>
      </c>
      <c r="D110" s="510"/>
      <c r="E110" s="510"/>
      <c r="F110" s="510"/>
      <c r="G110" s="510"/>
      <c r="H110" s="566"/>
      <c r="I110" s="624">
        <f t="shared" si="72"/>
        <v>12</v>
      </c>
      <c r="J110" s="617"/>
      <c r="K110" s="555">
        <f t="shared" si="73"/>
        <v>437</v>
      </c>
      <c r="L110" s="618"/>
      <c r="M110" s="617">
        <f t="shared" si="74"/>
        <v>18</v>
      </c>
      <c r="N110" s="617"/>
      <c r="O110" s="555">
        <f t="shared" si="75"/>
        <v>718</v>
      </c>
      <c r="P110" s="556"/>
      <c r="Q110" s="617">
        <f t="shared" si="76"/>
        <v>19</v>
      </c>
      <c r="R110" s="617"/>
      <c r="S110" s="555">
        <f t="shared" si="77"/>
        <v>760</v>
      </c>
      <c r="T110" s="556"/>
      <c r="U110" s="617">
        <f t="shared" si="78"/>
        <v>18</v>
      </c>
      <c r="V110" s="617"/>
      <c r="W110" s="619">
        <f t="shared" si="79"/>
        <v>736</v>
      </c>
      <c r="X110" s="619"/>
      <c r="Y110" s="626">
        <f t="shared" si="80"/>
        <v>41</v>
      </c>
      <c r="Z110" s="616"/>
      <c r="AA110" s="555">
        <f t="shared" si="81"/>
        <v>1701</v>
      </c>
      <c r="AB110" s="623"/>
      <c r="AC110" s="625">
        <f t="shared" si="82"/>
        <v>107</v>
      </c>
      <c r="AD110" s="625"/>
      <c r="AE110" s="625"/>
      <c r="AF110" s="625"/>
      <c r="AG110" s="625"/>
      <c r="AH110" s="619">
        <f t="shared" si="83"/>
        <v>4173</v>
      </c>
      <c r="AI110" s="555"/>
      <c r="AJ110" s="553">
        <f t="shared" si="84"/>
        <v>37</v>
      </c>
      <c r="AK110" s="554"/>
      <c r="AL110" s="555">
        <f t="shared" si="85"/>
        <v>1443</v>
      </c>
      <c r="AM110" s="556"/>
      <c r="AN110" s="608">
        <f t="shared" si="86"/>
        <v>252</v>
      </c>
      <c r="AO110" s="609"/>
      <c r="AP110" s="610">
        <f t="shared" si="87"/>
        <v>9968</v>
      </c>
      <c r="AQ110" s="610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195"/>
    </row>
    <row r="111" spans="1:394" ht="14.45" customHeight="1" x14ac:dyDescent="0.25">
      <c r="A111" s="55"/>
      <c r="B111" s="9"/>
      <c r="C111" s="510" t="s">
        <v>56</v>
      </c>
      <c r="D111" s="510"/>
      <c r="E111" s="510"/>
      <c r="F111" s="510"/>
      <c r="G111" s="510"/>
      <c r="H111" s="566"/>
      <c r="I111" s="624">
        <f t="shared" si="72"/>
        <v>0</v>
      </c>
      <c r="J111" s="617"/>
      <c r="K111" s="555">
        <f t="shared" si="73"/>
        <v>0</v>
      </c>
      <c r="L111" s="618"/>
      <c r="M111" s="617">
        <f t="shared" si="74"/>
        <v>1</v>
      </c>
      <c r="N111" s="617"/>
      <c r="O111" s="555">
        <f t="shared" si="75"/>
        <v>12</v>
      </c>
      <c r="P111" s="556"/>
      <c r="Q111" s="617">
        <f t="shared" si="76"/>
        <v>1</v>
      </c>
      <c r="R111" s="617"/>
      <c r="S111" s="555">
        <f t="shared" si="77"/>
        <v>12</v>
      </c>
      <c r="T111" s="556"/>
      <c r="U111" s="617">
        <f t="shared" si="78"/>
        <v>9</v>
      </c>
      <c r="V111" s="617"/>
      <c r="W111" s="619">
        <f t="shared" si="79"/>
        <v>108</v>
      </c>
      <c r="X111" s="619"/>
      <c r="Y111" s="626">
        <f t="shared" si="80"/>
        <v>13</v>
      </c>
      <c r="Z111" s="616"/>
      <c r="AA111" s="555">
        <f t="shared" si="81"/>
        <v>169</v>
      </c>
      <c r="AB111" s="623"/>
      <c r="AC111" s="625">
        <f t="shared" si="82"/>
        <v>35</v>
      </c>
      <c r="AD111" s="625"/>
      <c r="AE111" s="625"/>
      <c r="AF111" s="625"/>
      <c r="AG111" s="625"/>
      <c r="AH111" s="619">
        <f t="shared" si="83"/>
        <v>455</v>
      </c>
      <c r="AI111" s="555"/>
      <c r="AJ111" s="553">
        <f t="shared" si="84"/>
        <v>7</v>
      </c>
      <c r="AK111" s="554"/>
      <c r="AL111" s="555">
        <f t="shared" si="85"/>
        <v>91</v>
      </c>
      <c r="AM111" s="556"/>
      <c r="AN111" s="608">
        <f t="shared" si="86"/>
        <v>66</v>
      </c>
      <c r="AO111" s="609"/>
      <c r="AP111" s="610">
        <f t="shared" si="87"/>
        <v>847</v>
      </c>
      <c r="AQ111" s="610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195"/>
    </row>
    <row r="112" spans="1:394" ht="14.45" customHeight="1" x14ac:dyDescent="0.25">
      <c r="A112" s="55"/>
      <c r="B112" s="9"/>
      <c r="C112" s="510" t="s">
        <v>49</v>
      </c>
      <c r="D112" s="510"/>
      <c r="E112" s="510"/>
      <c r="F112" s="510"/>
      <c r="G112" s="510"/>
      <c r="H112" s="566"/>
      <c r="I112" s="624">
        <f t="shared" si="72"/>
        <v>0</v>
      </c>
      <c r="J112" s="617"/>
      <c r="K112" s="555">
        <f t="shared" si="73"/>
        <v>0</v>
      </c>
      <c r="L112" s="618"/>
      <c r="M112" s="617">
        <f t="shared" si="74"/>
        <v>22</v>
      </c>
      <c r="N112" s="617"/>
      <c r="O112" s="555">
        <f t="shared" si="75"/>
        <v>593</v>
      </c>
      <c r="P112" s="556"/>
      <c r="Q112" s="617">
        <f t="shared" si="76"/>
        <v>19</v>
      </c>
      <c r="R112" s="617"/>
      <c r="S112" s="555">
        <f t="shared" si="77"/>
        <v>513</v>
      </c>
      <c r="T112" s="556"/>
      <c r="U112" s="617">
        <f t="shared" si="78"/>
        <v>21</v>
      </c>
      <c r="V112" s="617"/>
      <c r="W112" s="619">
        <f t="shared" si="79"/>
        <v>582</v>
      </c>
      <c r="X112" s="619"/>
      <c r="Y112" s="626">
        <f t="shared" si="80"/>
        <v>42</v>
      </c>
      <c r="Z112" s="616"/>
      <c r="AA112" s="555">
        <f t="shared" si="81"/>
        <v>1160</v>
      </c>
      <c r="AB112" s="623"/>
      <c r="AC112" s="625">
        <f t="shared" si="82"/>
        <v>106</v>
      </c>
      <c r="AD112" s="625"/>
      <c r="AE112" s="625"/>
      <c r="AF112" s="625"/>
      <c r="AG112" s="625"/>
      <c r="AH112" s="619">
        <f t="shared" si="83"/>
        <v>2756</v>
      </c>
      <c r="AI112" s="555"/>
      <c r="AJ112" s="553">
        <f t="shared" si="84"/>
        <v>9</v>
      </c>
      <c r="AK112" s="554"/>
      <c r="AL112" s="555">
        <f t="shared" si="85"/>
        <v>234</v>
      </c>
      <c r="AM112" s="556"/>
      <c r="AN112" s="608">
        <f t="shared" si="86"/>
        <v>219</v>
      </c>
      <c r="AO112" s="609"/>
      <c r="AP112" s="610">
        <f t="shared" si="87"/>
        <v>5838</v>
      </c>
      <c r="AQ112" s="610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55"/>
      <c r="B113" s="9"/>
      <c r="C113" s="510" t="s">
        <v>50</v>
      </c>
      <c r="D113" s="510"/>
      <c r="E113" s="510"/>
      <c r="F113" s="510"/>
      <c r="G113" s="510"/>
      <c r="H113" s="566"/>
      <c r="I113" s="624">
        <f t="shared" si="72"/>
        <v>0</v>
      </c>
      <c r="J113" s="617"/>
      <c r="K113" s="555">
        <f t="shared" si="73"/>
        <v>0</v>
      </c>
      <c r="L113" s="618"/>
      <c r="M113" s="617">
        <f t="shared" si="74"/>
        <v>1</v>
      </c>
      <c r="N113" s="617"/>
      <c r="O113" s="555">
        <f t="shared" si="75"/>
        <v>7</v>
      </c>
      <c r="P113" s="556"/>
      <c r="Q113" s="617">
        <f t="shared" si="76"/>
        <v>0</v>
      </c>
      <c r="R113" s="617"/>
      <c r="S113" s="555">
        <f t="shared" si="77"/>
        <v>0</v>
      </c>
      <c r="T113" s="556"/>
      <c r="U113" s="617">
        <f t="shared" si="78"/>
        <v>1</v>
      </c>
      <c r="V113" s="617"/>
      <c r="W113" s="619">
        <f t="shared" si="79"/>
        <v>8</v>
      </c>
      <c r="X113" s="619"/>
      <c r="Y113" s="626">
        <f t="shared" si="80"/>
        <v>14</v>
      </c>
      <c r="Z113" s="616"/>
      <c r="AA113" s="555">
        <f t="shared" si="81"/>
        <v>98</v>
      </c>
      <c r="AB113" s="623"/>
      <c r="AC113" s="625">
        <f t="shared" si="82"/>
        <v>4</v>
      </c>
      <c r="AD113" s="625"/>
      <c r="AE113" s="625"/>
      <c r="AF113" s="625"/>
      <c r="AG113" s="625"/>
      <c r="AH113" s="619">
        <f t="shared" si="83"/>
        <v>28</v>
      </c>
      <c r="AI113" s="555"/>
      <c r="AJ113" s="553">
        <f t="shared" si="84"/>
        <v>1</v>
      </c>
      <c r="AK113" s="554"/>
      <c r="AL113" s="555">
        <f t="shared" si="85"/>
        <v>7</v>
      </c>
      <c r="AM113" s="556"/>
      <c r="AN113" s="608">
        <f t="shared" si="86"/>
        <v>21</v>
      </c>
      <c r="AO113" s="609"/>
      <c r="AP113" s="610">
        <f t="shared" si="87"/>
        <v>148</v>
      </c>
      <c r="AQ113" s="610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55"/>
      <c r="B114" s="9"/>
      <c r="C114" s="510" t="s">
        <v>6</v>
      </c>
      <c r="D114" s="510"/>
      <c r="E114" s="510"/>
      <c r="F114" s="510"/>
      <c r="G114" s="510"/>
      <c r="H114" s="566"/>
      <c r="I114" s="624">
        <f t="shared" si="72"/>
        <v>23</v>
      </c>
      <c r="J114" s="617"/>
      <c r="K114" s="555">
        <f t="shared" si="73"/>
        <v>231</v>
      </c>
      <c r="L114" s="618"/>
      <c r="M114" s="617">
        <f t="shared" si="74"/>
        <v>2</v>
      </c>
      <c r="N114" s="617"/>
      <c r="O114" s="555">
        <f t="shared" si="75"/>
        <v>21</v>
      </c>
      <c r="P114" s="556"/>
      <c r="Q114" s="617">
        <f t="shared" si="76"/>
        <v>3</v>
      </c>
      <c r="R114" s="617"/>
      <c r="S114" s="555">
        <f t="shared" si="77"/>
        <v>31.5</v>
      </c>
      <c r="T114" s="556"/>
      <c r="U114" s="617">
        <f t="shared" si="78"/>
        <v>13</v>
      </c>
      <c r="V114" s="617"/>
      <c r="W114" s="619">
        <f t="shared" si="79"/>
        <v>134</v>
      </c>
      <c r="X114" s="619"/>
      <c r="Y114" s="626">
        <f t="shared" si="80"/>
        <v>24</v>
      </c>
      <c r="Z114" s="616"/>
      <c r="AA114" s="555">
        <f t="shared" si="81"/>
        <v>264</v>
      </c>
      <c r="AB114" s="623"/>
      <c r="AC114" s="625">
        <f t="shared" si="82"/>
        <v>42</v>
      </c>
      <c r="AD114" s="625"/>
      <c r="AE114" s="625"/>
      <c r="AF114" s="625"/>
      <c r="AG114" s="625"/>
      <c r="AH114" s="619">
        <f t="shared" si="83"/>
        <v>462</v>
      </c>
      <c r="AI114" s="555"/>
      <c r="AJ114" s="553">
        <f t="shared" si="84"/>
        <v>14</v>
      </c>
      <c r="AK114" s="554"/>
      <c r="AL114" s="555">
        <f t="shared" si="85"/>
        <v>154</v>
      </c>
      <c r="AM114" s="556"/>
      <c r="AN114" s="608">
        <f t="shared" si="86"/>
        <v>121</v>
      </c>
      <c r="AO114" s="609"/>
      <c r="AP114" s="610">
        <f t="shared" si="87"/>
        <v>1297.5</v>
      </c>
      <c r="AQ114" s="610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55"/>
      <c r="B115" s="9"/>
      <c r="C115" s="510" t="s">
        <v>7</v>
      </c>
      <c r="D115" s="510"/>
      <c r="E115" s="510"/>
      <c r="F115" s="510"/>
      <c r="G115" s="510"/>
      <c r="H115" s="566"/>
      <c r="I115" s="624">
        <f t="shared" si="72"/>
        <v>5</v>
      </c>
      <c r="J115" s="617"/>
      <c r="K115" s="555">
        <f t="shared" si="73"/>
        <v>140</v>
      </c>
      <c r="L115" s="618"/>
      <c r="M115" s="617">
        <f t="shared" si="74"/>
        <v>7</v>
      </c>
      <c r="N115" s="617"/>
      <c r="O115" s="555">
        <f t="shared" si="75"/>
        <v>210</v>
      </c>
      <c r="P115" s="556"/>
      <c r="Q115" s="617">
        <f t="shared" si="76"/>
        <v>11</v>
      </c>
      <c r="R115" s="617"/>
      <c r="S115" s="555">
        <f t="shared" si="77"/>
        <v>330</v>
      </c>
      <c r="T115" s="556"/>
      <c r="U115" s="617">
        <f t="shared" si="78"/>
        <v>6</v>
      </c>
      <c r="V115" s="617"/>
      <c r="W115" s="619">
        <f t="shared" si="79"/>
        <v>190</v>
      </c>
      <c r="X115" s="619"/>
      <c r="Y115" s="626">
        <f t="shared" si="80"/>
        <v>11</v>
      </c>
      <c r="Z115" s="616"/>
      <c r="AA115" s="555">
        <f t="shared" si="81"/>
        <v>365</v>
      </c>
      <c r="AB115" s="623"/>
      <c r="AC115" s="625">
        <f t="shared" si="82"/>
        <v>38</v>
      </c>
      <c r="AD115" s="625"/>
      <c r="AE115" s="625"/>
      <c r="AF115" s="625"/>
      <c r="AG115" s="625"/>
      <c r="AH115" s="619">
        <f t="shared" si="83"/>
        <v>1140</v>
      </c>
      <c r="AI115" s="555"/>
      <c r="AJ115" s="553">
        <f t="shared" si="84"/>
        <v>11</v>
      </c>
      <c r="AK115" s="554"/>
      <c r="AL115" s="555">
        <f t="shared" si="85"/>
        <v>330</v>
      </c>
      <c r="AM115" s="556"/>
      <c r="AN115" s="608">
        <f t="shared" si="86"/>
        <v>89</v>
      </c>
      <c r="AO115" s="609"/>
      <c r="AP115" s="610">
        <f t="shared" si="87"/>
        <v>2705</v>
      </c>
      <c r="AQ115" s="610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55"/>
      <c r="B116" s="9"/>
      <c r="C116" s="510" t="s">
        <v>8</v>
      </c>
      <c r="D116" s="510"/>
      <c r="E116" s="510"/>
      <c r="F116" s="510"/>
      <c r="G116" s="510"/>
      <c r="H116" s="566"/>
      <c r="I116" s="624">
        <f t="shared" si="72"/>
        <v>12</v>
      </c>
      <c r="J116" s="617"/>
      <c r="K116" s="555">
        <f t="shared" si="73"/>
        <v>144</v>
      </c>
      <c r="L116" s="618"/>
      <c r="M116" s="617">
        <f t="shared" si="74"/>
        <v>7</v>
      </c>
      <c r="N116" s="617"/>
      <c r="O116" s="555">
        <f t="shared" si="75"/>
        <v>97</v>
      </c>
      <c r="P116" s="556"/>
      <c r="Q116" s="617">
        <f t="shared" si="76"/>
        <v>7</v>
      </c>
      <c r="R116" s="617"/>
      <c r="S116" s="555">
        <f t="shared" si="77"/>
        <v>98</v>
      </c>
      <c r="T116" s="556"/>
      <c r="U116" s="617">
        <f t="shared" si="78"/>
        <v>15</v>
      </c>
      <c r="V116" s="617"/>
      <c r="W116" s="619">
        <f t="shared" si="79"/>
        <v>214</v>
      </c>
      <c r="X116" s="619"/>
      <c r="Y116" s="626">
        <f t="shared" si="80"/>
        <v>39</v>
      </c>
      <c r="Z116" s="616"/>
      <c r="AA116" s="555">
        <f t="shared" si="81"/>
        <v>546</v>
      </c>
      <c r="AB116" s="623"/>
      <c r="AC116" s="625">
        <f t="shared" si="82"/>
        <v>49</v>
      </c>
      <c r="AD116" s="625"/>
      <c r="AE116" s="625"/>
      <c r="AF116" s="625"/>
      <c r="AG116" s="625"/>
      <c r="AH116" s="619">
        <f t="shared" si="83"/>
        <v>686</v>
      </c>
      <c r="AI116" s="555"/>
      <c r="AJ116" s="553">
        <f t="shared" si="84"/>
        <v>25</v>
      </c>
      <c r="AK116" s="554"/>
      <c r="AL116" s="555">
        <f t="shared" si="85"/>
        <v>350</v>
      </c>
      <c r="AM116" s="556"/>
      <c r="AN116" s="608">
        <f t="shared" si="86"/>
        <v>154</v>
      </c>
      <c r="AO116" s="609"/>
      <c r="AP116" s="610">
        <f t="shared" si="87"/>
        <v>2135</v>
      </c>
      <c r="AQ116" s="610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55"/>
      <c r="B117" s="9"/>
      <c r="C117" s="510" t="s">
        <v>9</v>
      </c>
      <c r="D117" s="510"/>
      <c r="E117" s="510"/>
      <c r="F117" s="510"/>
      <c r="G117" s="510"/>
      <c r="H117" s="566"/>
      <c r="I117" s="624">
        <f t="shared" si="72"/>
        <v>22</v>
      </c>
      <c r="J117" s="617"/>
      <c r="K117" s="555">
        <f t="shared" si="73"/>
        <v>618</v>
      </c>
      <c r="L117" s="618"/>
      <c r="M117" s="617">
        <f t="shared" si="74"/>
        <v>41</v>
      </c>
      <c r="N117" s="617"/>
      <c r="O117" s="555">
        <f t="shared" si="75"/>
        <v>1221</v>
      </c>
      <c r="P117" s="556"/>
      <c r="Q117" s="617">
        <f t="shared" si="76"/>
        <v>24</v>
      </c>
      <c r="R117" s="617"/>
      <c r="S117" s="555">
        <f t="shared" si="77"/>
        <v>720</v>
      </c>
      <c r="T117" s="556"/>
      <c r="U117" s="617">
        <f t="shared" si="78"/>
        <v>50</v>
      </c>
      <c r="V117" s="617"/>
      <c r="W117" s="619">
        <f t="shared" si="79"/>
        <v>1504</v>
      </c>
      <c r="X117" s="619"/>
      <c r="Y117" s="626">
        <f t="shared" si="80"/>
        <v>55</v>
      </c>
      <c r="Z117" s="616"/>
      <c r="AA117" s="555">
        <f t="shared" si="81"/>
        <v>1748</v>
      </c>
      <c r="AB117" s="623"/>
      <c r="AC117" s="625">
        <f t="shared" si="82"/>
        <v>115</v>
      </c>
      <c r="AD117" s="625"/>
      <c r="AE117" s="625"/>
      <c r="AF117" s="625"/>
      <c r="AG117" s="625"/>
      <c r="AH117" s="619">
        <f t="shared" si="83"/>
        <v>3450</v>
      </c>
      <c r="AI117" s="555"/>
      <c r="AJ117" s="553">
        <f t="shared" si="84"/>
        <v>37</v>
      </c>
      <c r="AK117" s="554"/>
      <c r="AL117" s="555">
        <f t="shared" si="85"/>
        <v>1110</v>
      </c>
      <c r="AM117" s="556"/>
      <c r="AN117" s="608">
        <f t="shared" si="86"/>
        <v>344</v>
      </c>
      <c r="AO117" s="609"/>
      <c r="AP117" s="610">
        <f t="shared" si="87"/>
        <v>10371</v>
      </c>
      <c r="AQ117" s="610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55"/>
      <c r="B118" s="9"/>
      <c r="C118" s="510" t="s">
        <v>10</v>
      </c>
      <c r="D118" s="510"/>
      <c r="E118" s="510"/>
      <c r="F118" s="510"/>
      <c r="G118" s="510"/>
      <c r="H118" s="566"/>
      <c r="I118" s="624">
        <f t="shared" si="72"/>
        <v>17</v>
      </c>
      <c r="J118" s="617"/>
      <c r="K118" s="555">
        <f t="shared" si="73"/>
        <v>509</v>
      </c>
      <c r="L118" s="618"/>
      <c r="M118" s="617">
        <f t="shared" si="74"/>
        <v>12</v>
      </c>
      <c r="N118" s="617"/>
      <c r="O118" s="555">
        <f t="shared" si="75"/>
        <v>383</v>
      </c>
      <c r="P118" s="556"/>
      <c r="Q118" s="617">
        <f t="shared" si="76"/>
        <v>7</v>
      </c>
      <c r="R118" s="617"/>
      <c r="S118" s="555">
        <f t="shared" si="77"/>
        <v>224</v>
      </c>
      <c r="T118" s="556"/>
      <c r="U118" s="617">
        <f t="shared" si="78"/>
        <v>8</v>
      </c>
      <c r="V118" s="617"/>
      <c r="W118" s="619">
        <f t="shared" si="79"/>
        <v>261</v>
      </c>
      <c r="X118" s="619"/>
      <c r="Y118" s="626">
        <f t="shared" si="80"/>
        <v>19</v>
      </c>
      <c r="Z118" s="616"/>
      <c r="AA118" s="555">
        <f t="shared" si="81"/>
        <v>628</v>
      </c>
      <c r="AB118" s="623"/>
      <c r="AC118" s="625">
        <f t="shared" si="82"/>
        <v>45</v>
      </c>
      <c r="AD118" s="625"/>
      <c r="AE118" s="625"/>
      <c r="AF118" s="625"/>
      <c r="AG118" s="625"/>
      <c r="AH118" s="619">
        <f t="shared" si="83"/>
        <v>1395</v>
      </c>
      <c r="AI118" s="555"/>
      <c r="AJ118" s="553">
        <f t="shared" si="84"/>
        <v>7</v>
      </c>
      <c r="AK118" s="554"/>
      <c r="AL118" s="555">
        <f t="shared" si="85"/>
        <v>217</v>
      </c>
      <c r="AM118" s="556"/>
      <c r="AN118" s="608">
        <f t="shared" si="86"/>
        <v>115</v>
      </c>
      <c r="AO118" s="609"/>
      <c r="AP118" s="610">
        <f t="shared" si="87"/>
        <v>3617</v>
      </c>
      <c r="AQ118" s="610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55"/>
      <c r="B119" s="9"/>
      <c r="C119" s="510" t="s">
        <v>11</v>
      </c>
      <c r="D119" s="510"/>
      <c r="E119" s="510"/>
      <c r="F119" s="510"/>
      <c r="G119" s="510"/>
      <c r="H119" s="566"/>
      <c r="I119" s="624">
        <f t="shared" si="72"/>
        <v>9</v>
      </c>
      <c r="J119" s="617"/>
      <c r="K119" s="555">
        <f t="shared" si="73"/>
        <v>905</v>
      </c>
      <c r="L119" s="618"/>
      <c r="M119" s="617">
        <f t="shared" si="74"/>
        <v>16</v>
      </c>
      <c r="N119" s="617"/>
      <c r="O119" s="555">
        <f t="shared" si="75"/>
        <v>1690</v>
      </c>
      <c r="P119" s="556"/>
      <c r="Q119" s="617">
        <f t="shared" si="76"/>
        <v>12</v>
      </c>
      <c r="R119" s="617"/>
      <c r="S119" s="555">
        <f t="shared" si="77"/>
        <v>1268</v>
      </c>
      <c r="T119" s="556"/>
      <c r="U119" s="617">
        <f t="shared" si="78"/>
        <v>23</v>
      </c>
      <c r="V119" s="617"/>
      <c r="W119" s="619">
        <f t="shared" si="79"/>
        <v>2470</v>
      </c>
      <c r="X119" s="619"/>
      <c r="Y119" s="626">
        <f t="shared" si="80"/>
        <v>28</v>
      </c>
      <c r="Z119" s="616"/>
      <c r="AA119" s="555">
        <f t="shared" si="81"/>
        <v>3108</v>
      </c>
      <c r="AB119" s="623"/>
      <c r="AC119" s="625">
        <f t="shared" si="82"/>
        <v>60</v>
      </c>
      <c r="AD119" s="625"/>
      <c r="AE119" s="625"/>
      <c r="AF119" s="625"/>
      <c r="AG119" s="625"/>
      <c r="AH119" s="619">
        <f t="shared" si="83"/>
        <v>6360</v>
      </c>
      <c r="AI119" s="555"/>
      <c r="AJ119" s="553">
        <f t="shared" si="84"/>
        <v>29</v>
      </c>
      <c r="AK119" s="554"/>
      <c r="AL119" s="555">
        <f t="shared" si="85"/>
        <v>3074</v>
      </c>
      <c r="AM119" s="556"/>
      <c r="AN119" s="608">
        <f t="shared" si="86"/>
        <v>177</v>
      </c>
      <c r="AO119" s="609"/>
      <c r="AP119" s="610">
        <f t="shared" si="87"/>
        <v>18875</v>
      </c>
      <c r="AQ119" s="610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55"/>
      <c r="B120" s="9"/>
      <c r="C120" s="510" t="s">
        <v>57</v>
      </c>
      <c r="D120" s="510"/>
      <c r="E120" s="510"/>
      <c r="F120" s="510"/>
      <c r="G120" s="510"/>
      <c r="H120" s="566"/>
      <c r="I120" s="624">
        <f t="shared" si="72"/>
        <v>0</v>
      </c>
      <c r="J120" s="617"/>
      <c r="K120" s="555">
        <f t="shared" si="73"/>
        <v>0</v>
      </c>
      <c r="L120" s="618"/>
      <c r="M120" s="617">
        <f t="shared" si="74"/>
        <v>7</v>
      </c>
      <c r="N120" s="617"/>
      <c r="O120" s="555">
        <f t="shared" si="75"/>
        <v>350</v>
      </c>
      <c r="P120" s="556"/>
      <c r="Q120" s="617">
        <f t="shared" si="76"/>
        <v>15</v>
      </c>
      <c r="R120" s="617"/>
      <c r="S120" s="555">
        <f t="shared" si="77"/>
        <v>750</v>
      </c>
      <c r="T120" s="556"/>
      <c r="U120" s="617">
        <f t="shared" si="78"/>
        <v>6</v>
      </c>
      <c r="V120" s="617"/>
      <c r="W120" s="619">
        <f t="shared" si="79"/>
        <v>324</v>
      </c>
      <c r="X120" s="619"/>
      <c r="Y120" s="626">
        <f t="shared" si="80"/>
        <v>33</v>
      </c>
      <c r="Z120" s="616"/>
      <c r="AA120" s="555">
        <f t="shared" si="81"/>
        <v>1710</v>
      </c>
      <c r="AB120" s="623"/>
      <c r="AC120" s="625">
        <f t="shared" si="82"/>
        <v>86</v>
      </c>
      <c r="AD120" s="625"/>
      <c r="AE120" s="625"/>
      <c r="AF120" s="625"/>
      <c r="AG120" s="625"/>
      <c r="AH120" s="619">
        <f t="shared" si="83"/>
        <v>4300</v>
      </c>
      <c r="AI120" s="555"/>
      <c r="AJ120" s="553">
        <f t="shared" si="84"/>
        <v>17</v>
      </c>
      <c r="AK120" s="554"/>
      <c r="AL120" s="555">
        <f t="shared" si="85"/>
        <v>850</v>
      </c>
      <c r="AM120" s="556"/>
      <c r="AN120" s="608">
        <f t="shared" si="86"/>
        <v>164</v>
      </c>
      <c r="AO120" s="609"/>
      <c r="AP120" s="610">
        <f t="shared" si="87"/>
        <v>8284</v>
      </c>
      <c r="AQ120" s="610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55"/>
      <c r="B121" s="9"/>
      <c r="C121" s="510" t="s">
        <v>51</v>
      </c>
      <c r="D121" s="510"/>
      <c r="E121" s="510"/>
      <c r="F121" s="510"/>
      <c r="G121" s="510"/>
      <c r="H121" s="566"/>
      <c r="I121" s="624">
        <f t="shared" si="72"/>
        <v>0</v>
      </c>
      <c r="J121" s="617"/>
      <c r="K121" s="555">
        <f t="shared" si="73"/>
        <v>0</v>
      </c>
      <c r="L121" s="618"/>
      <c r="M121" s="617">
        <f t="shared" si="74"/>
        <v>0</v>
      </c>
      <c r="N121" s="617"/>
      <c r="O121" s="555">
        <f t="shared" si="75"/>
        <v>0</v>
      </c>
      <c r="P121" s="556"/>
      <c r="Q121" s="617">
        <f t="shared" si="76"/>
        <v>2</v>
      </c>
      <c r="R121" s="617"/>
      <c r="S121" s="555">
        <f t="shared" si="77"/>
        <v>96</v>
      </c>
      <c r="T121" s="556"/>
      <c r="U121" s="617">
        <f t="shared" si="78"/>
        <v>3</v>
      </c>
      <c r="V121" s="617"/>
      <c r="W121" s="619">
        <f t="shared" si="79"/>
        <v>144</v>
      </c>
      <c r="X121" s="619"/>
      <c r="Y121" s="626">
        <f t="shared" si="80"/>
        <v>7</v>
      </c>
      <c r="Z121" s="616"/>
      <c r="AA121" s="555">
        <f t="shared" si="81"/>
        <v>346</v>
      </c>
      <c r="AB121" s="623"/>
      <c r="AC121" s="625">
        <f t="shared" si="82"/>
        <v>15</v>
      </c>
      <c r="AD121" s="625"/>
      <c r="AE121" s="625"/>
      <c r="AF121" s="625"/>
      <c r="AG121" s="625"/>
      <c r="AH121" s="619">
        <f t="shared" si="83"/>
        <v>690</v>
      </c>
      <c r="AI121" s="555"/>
      <c r="AJ121" s="553">
        <f t="shared" si="84"/>
        <v>2</v>
      </c>
      <c r="AK121" s="554"/>
      <c r="AL121" s="555">
        <f t="shared" si="85"/>
        <v>92</v>
      </c>
      <c r="AM121" s="556"/>
      <c r="AN121" s="608">
        <f t="shared" si="86"/>
        <v>29</v>
      </c>
      <c r="AO121" s="609"/>
      <c r="AP121" s="610">
        <f t="shared" si="87"/>
        <v>1368</v>
      </c>
      <c r="AQ121" s="610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55"/>
      <c r="B122" s="9"/>
      <c r="C122" s="510" t="s">
        <v>52</v>
      </c>
      <c r="D122" s="510"/>
      <c r="E122" s="510"/>
      <c r="F122" s="510"/>
      <c r="G122" s="510"/>
      <c r="H122" s="566"/>
      <c r="I122" s="624">
        <f t="shared" si="72"/>
        <v>0</v>
      </c>
      <c r="J122" s="617"/>
      <c r="K122" s="555">
        <f t="shared" si="73"/>
        <v>0</v>
      </c>
      <c r="L122" s="618"/>
      <c r="M122" s="617">
        <f t="shared" si="74"/>
        <v>0</v>
      </c>
      <c r="N122" s="617"/>
      <c r="O122" s="555">
        <f t="shared" si="75"/>
        <v>0</v>
      </c>
      <c r="P122" s="556"/>
      <c r="Q122" s="617">
        <f t="shared" si="76"/>
        <v>1</v>
      </c>
      <c r="R122" s="617"/>
      <c r="S122" s="555">
        <f t="shared" si="77"/>
        <v>63</v>
      </c>
      <c r="T122" s="556"/>
      <c r="U122" s="617">
        <f t="shared" si="78"/>
        <v>0</v>
      </c>
      <c r="V122" s="617"/>
      <c r="W122" s="619">
        <f t="shared" si="79"/>
        <v>0</v>
      </c>
      <c r="X122" s="619"/>
      <c r="Y122" s="626">
        <f t="shared" si="80"/>
        <v>0</v>
      </c>
      <c r="Z122" s="616"/>
      <c r="AA122" s="555">
        <f t="shared" si="81"/>
        <v>0</v>
      </c>
      <c r="AB122" s="623"/>
      <c r="AC122" s="625">
        <f t="shared" si="82"/>
        <v>8</v>
      </c>
      <c r="AD122" s="625"/>
      <c r="AE122" s="625"/>
      <c r="AF122" s="625"/>
      <c r="AG122" s="625"/>
      <c r="AH122" s="619">
        <f t="shared" si="83"/>
        <v>488</v>
      </c>
      <c r="AI122" s="555"/>
      <c r="AJ122" s="553">
        <f t="shared" si="84"/>
        <v>1</v>
      </c>
      <c r="AK122" s="554"/>
      <c r="AL122" s="555">
        <f t="shared" si="85"/>
        <v>61</v>
      </c>
      <c r="AM122" s="556"/>
      <c r="AN122" s="608">
        <f t="shared" si="86"/>
        <v>10</v>
      </c>
      <c r="AO122" s="609"/>
      <c r="AP122" s="610">
        <f t="shared" si="87"/>
        <v>612</v>
      </c>
      <c r="AQ122" s="610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55"/>
      <c r="B123" s="9"/>
      <c r="C123" s="510" t="s">
        <v>12</v>
      </c>
      <c r="D123" s="510"/>
      <c r="E123" s="510"/>
      <c r="F123" s="510"/>
      <c r="G123" s="510"/>
      <c r="H123" s="566"/>
      <c r="I123" s="624">
        <f t="shared" si="72"/>
        <v>6</v>
      </c>
      <c r="J123" s="617"/>
      <c r="K123" s="555">
        <f t="shared" si="73"/>
        <v>156</v>
      </c>
      <c r="L123" s="618"/>
      <c r="M123" s="617">
        <f t="shared" si="74"/>
        <v>48</v>
      </c>
      <c r="N123" s="617"/>
      <c r="O123" s="555">
        <f t="shared" si="75"/>
        <v>1432</v>
      </c>
      <c r="P123" s="556"/>
      <c r="Q123" s="617">
        <f t="shared" si="76"/>
        <v>18</v>
      </c>
      <c r="R123" s="617"/>
      <c r="S123" s="555">
        <f t="shared" si="77"/>
        <v>558</v>
      </c>
      <c r="T123" s="556"/>
      <c r="U123" s="617">
        <f t="shared" si="78"/>
        <v>38</v>
      </c>
      <c r="V123" s="617"/>
      <c r="W123" s="619">
        <f t="shared" si="79"/>
        <v>1178</v>
      </c>
      <c r="X123" s="619"/>
      <c r="Y123" s="626">
        <f t="shared" si="80"/>
        <v>28</v>
      </c>
      <c r="Z123" s="616"/>
      <c r="AA123" s="555">
        <f t="shared" si="81"/>
        <v>928</v>
      </c>
      <c r="AB123" s="623"/>
      <c r="AC123" s="625">
        <f t="shared" si="82"/>
        <v>72</v>
      </c>
      <c r="AD123" s="625"/>
      <c r="AE123" s="625"/>
      <c r="AF123" s="625"/>
      <c r="AG123" s="625"/>
      <c r="AH123" s="619">
        <f t="shared" si="83"/>
        <v>2232</v>
      </c>
      <c r="AI123" s="555"/>
      <c r="AJ123" s="553">
        <f t="shared" si="84"/>
        <v>0</v>
      </c>
      <c r="AK123" s="554"/>
      <c r="AL123" s="555">
        <f t="shared" si="85"/>
        <v>0</v>
      </c>
      <c r="AM123" s="556"/>
      <c r="AN123" s="608">
        <f t="shared" si="86"/>
        <v>210</v>
      </c>
      <c r="AO123" s="609"/>
      <c r="AP123" s="610">
        <f t="shared" si="87"/>
        <v>6484</v>
      </c>
      <c r="AQ123" s="610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55"/>
      <c r="B124" s="9"/>
      <c r="C124" s="510" t="s">
        <v>13</v>
      </c>
      <c r="D124" s="510"/>
      <c r="E124" s="510"/>
      <c r="F124" s="510"/>
      <c r="G124" s="510"/>
      <c r="H124" s="566"/>
      <c r="I124" s="624">
        <f t="shared" si="72"/>
        <v>86</v>
      </c>
      <c r="J124" s="617"/>
      <c r="K124" s="555">
        <f t="shared" si="73"/>
        <v>2418</v>
      </c>
      <c r="L124" s="618"/>
      <c r="M124" s="617">
        <f t="shared" si="74"/>
        <v>135</v>
      </c>
      <c r="N124" s="617"/>
      <c r="O124" s="555">
        <f t="shared" si="75"/>
        <v>4415</v>
      </c>
      <c r="P124" s="556"/>
      <c r="Q124" s="617">
        <f t="shared" si="76"/>
        <v>146</v>
      </c>
      <c r="R124" s="617"/>
      <c r="S124" s="555">
        <f t="shared" si="77"/>
        <v>4818</v>
      </c>
      <c r="T124" s="556"/>
      <c r="U124" s="617">
        <f t="shared" si="78"/>
        <v>96</v>
      </c>
      <c r="V124" s="617"/>
      <c r="W124" s="619">
        <f t="shared" si="79"/>
        <v>3283</v>
      </c>
      <c r="X124" s="619"/>
      <c r="Y124" s="626">
        <f t="shared" si="80"/>
        <v>196</v>
      </c>
      <c r="Z124" s="616"/>
      <c r="AA124" s="555">
        <f t="shared" si="81"/>
        <v>6961</v>
      </c>
      <c r="AB124" s="623"/>
      <c r="AC124" s="625">
        <f t="shared" si="82"/>
        <v>612</v>
      </c>
      <c r="AD124" s="625"/>
      <c r="AE124" s="625"/>
      <c r="AF124" s="625"/>
      <c r="AG124" s="625"/>
      <c r="AH124" s="619">
        <f t="shared" si="83"/>
        <v>20808</v>
      </c>
      <c r="AI124" s="555"/>
      <c r="AJ124" s="553">
        <f t="shared" si="84"/>
        <v>145</v>
      </c>
      <c r="AK124" s="554"/>
      <c r="AL124" s="555">
        <f t="shared" si="85"/>
        <v>4930</v>
      </c>
      <c r="AM124" s="556"/>
      <c r="AN124" s="608">
        <f t="shared" si="86"/>
        <v>1416</v>
      </c>
      <c r="AO124" s="609"/>
      <c r="AP124" s="610">
        <f t="shared" si="87"/>
        <v>47633</v>
      </c>
      <c r="AQ124" s="610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55"/>
      <c r="B125" s="9"/>
      <c r="C125" s="531" t="s">
        <v>67</v>
      </c>
      <c r="D125" s="531"/>
      <c r="E125" s="531"/>
      <c r="F125" s="531"/>
      <c r="G125" s="531"/>
      <c r="H125" s="539"/>
      <c r="I125" s="624">
        <f t="shared" si="72"/>
        <v>0</v>
      </c>
      <c r="J125" s="617"/>
      <c r="K125" s="555">
        <f t="shared" si="73"/>
        <v>0</v>
      </c>
      <c r="L125" s="618"/>
      <c r="M125" s="617">
        <f t="shared" si="74"/>
        <v>8</v>
      </c>
      <c r="N125" s="617"/>
      <c r="O125" s="555">
        <f t="shared" si="75"/>
        <v>224</v>
      </c>
      <c r="P125" s="556"/>
      <c r="Q125" s="617">
        <f t="shared" si="76"/>
        <v>1</v>
      </c>
      <c r="R125" s="617"/>
      <c r="S125" s="555">
        <f t="shared" si="77"/>
        <v>28</v>
      </c>
      <c r="T125" s="556"/>
      <c r="U125" s="617">
        <f t="shared" si="78"/>
        <v>2</v>
      </c>
      <c r="V125" s="617"/>
      <c r="W125" s="619">
        <f t="shared" si="79"/>
        <v>50</v>
      </c>
      <c r="X125" s="619"/>
      <c r="Y125" s="626">
        <f t="shared" si="80"/>
        <v>0</v>
      </c>
      <c r="Z125" s="616"/>
      <c r="AA125" s="555">
        <f t="shared" si="81"/>
        <v>0</v>
      </c>
      <c r="AB125" s="623"/>
      <c r="AC125" s="625">
        <f t="shared" si="82"/>
        <v>0</v>
      </c>
      <c r="AD125" s="625"/>
      <c r="AE125" s="625"/>
      <c r="AF125" s="625"/>
      <c r="AG125" s="625"/>
      <c r="AH125" s="619">
        <f t="shared" si="83"/>
        <v>0</v>
      </c>
      <c r="AI125" s="555"/>
      <c r="AJ125" s="553">
        <f t="shared" si="84"/>
        <v>0</v>
      </c>
      <c r="AK125" s="554"/>
      <c r="AL125" s="555">
        <f t="shared" si="85"/>
        <v>0</v>
      </c>
      <c r="AM125" s="556"/>
      <c r="AN125" s="608">
        <f t="shared" si="86"/>
        <v>11</v>
      </c>
      <c r="AO125" s="609"/>
      <c r="AP125" s="610">
        <f t="shared" si="87"/>
        <v>302</v>
      </c>
      <c r="AQ125" s="610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55"/>
      <c r="B126" s="9"/>
      <c r="C126" s="566" t="s">
        <v>106</v>
      </c>
      <c r="D126" s="567"/>
      <c r="E126" s="567"/>
      <c r="F126" s="567"/>
      <c r="G126" s="567"/>
      <c r="H126" s="662"/>
      <c r="I126" s="624">
        <f t="shared" si="72"/>
        <v>0</v>
      </c>
      <c r="J126" s="617"/>
      <c r="K126" s="555">
        <f t="shared" si="73"/>
        <v>0</v>
      </c>
      <c r="L126" s="618"/>
      <c r="M126" s="617">
        <f t="shared" si="74"/>
        <v>0</v>
      </c>
      <c r="N126" s="617"/>
      <c r="O126" s="555">
        <f t="shared" si="75"/>
        <v>0</v>
      </c>
      <c r="P126" s="556"/>
      <c r="Q126" s="617">
        <f t="shared" si="76"/>
        <v>0</v>
      </c>
      <c r="R126" s="617"/>
      <c r="S126" s="555">
        <f t="shared" si="77"/>
        <v>0</v>
      </c>
      <c r="T126" s="556"/>
      <c r="U126" s="617">
        <f t="shared" si="78"/>
        <v>0</v>
      </c>
      <c r="V126" s="617"/>
      <c r="W126" s="619">
        <f t="shared" si="79"/>
        <v>0</v>
      </c>
      <c r="X126" s="619"/>
      <c r="Y126" s="626">
        <f t="shared" si="80"/>
        <v>0</v>
      </c>
      <c r="Z126" s="616"/>
      <c r="AA126" s="555">
        <f t="shared" si="81"/>
        <v>0</v>
      </c>
      <c r="AB126" s="623"/>
      <c r="AC126" s="625">
        <f t="shared" si="82"/>
        <v>0</v>
      </c>
      <c r="AD126" s="625"/>
      <c r="AE126" s="625"/>
      <c r="AF126" s="625"/>
      <c r="AG126" s="625"/>
      <c r="AH126" s="619">
        <f t="shared" si="83"/>
        <v>0</v>
      </c>
      <c r="AI126" s="555"/>
      <c r="AJ126" s="553">
        <f t="shared" si="84"/>
        <v>0</v>
      </c>
      <c r="AK126" s="554"/>
      <c r="AL126" s="555">
        <f t="shared" si="85"/>
        <v>0</v>
      </c>
      <c r="AM126" s="556"/>
      <c r="AN126" s="608">
        <f t="shared" si="86"/>
        <v>0</v>
      </c>
      <c r="AO126" s="609"/>
      <c r="AP126" s="610">
        <f t="shared" si="87"/>
        <v>0</v>
      </c>
      <c r="AQ126" s="610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55"/>
      <c r="B127" s="9"/>
      <c r="C127" s="566" t="s">
        <v>107</v>
      </c>
      <c r="D127" s="567"/>
      <c r="E127" s="567"/>
      <c r="F127" s="567"/>
      <c r="G127" s="567"/>
      <c r="H127" s="662"/>
      <c r="I127" s="624">
        <f t="shared" si="72"/>
        <v>0</v>
      </c>
      <c r="J127" s="617"/>
      <c r="K127" s="555">
        <f t="shared" si="73"/>
        <v>0</v>
      </c>
      <c r="L127" s="618"/>
      <c r="M127" s="617">
        <f t="shared" si="74"/>
        <v>0</v>
      </c>
      <c r="N127" s="617"/>
      <c r="O127" s="555">
        <f t="shared" si="75"/>
        <v>0</v>
      </c>
      <c r="P127" s="556"/>
      <c r="Q127" s="617">
        <f t="shared" si="76"/>
        <v>0</v>
      </c>
      <c r="R127" s="617"/>
      <c r="S127" s="555">
        <f t="shared" si="77"/>
        <v>0</v>
      </c>
      <c r="T127" s="556"/>
      <c r="U127" s="617">
        <f t="shared" si="78"/>
        <v>0</v>
      </c>
      <c r="V127" s="617"/>
      <c r="W127" s="619">
        <f t="shared" si="79"/>
        <v>0</v>
      </c>
      <c r="X127" s="619"/>
      <c r="Y127" s="626">
        <f t="shared" si="80"/>
        <v>1</v>
      </c>
      <c r="Z127" s="616"/>
      <c r="AA127" s="555">
        <f t="shared" si="81"/>
        <v>135</v>
      </c>
      <c r="AB127" s="623"/>
      <c r="AC127" s="625">
        <f t="shared" si="82"/>
        <v>0</v>
      </c>
      <c r="AD127" s="625"/>
      <c r="AE127" s="625"/>
      <c r="AF127" s="625"/>
      <c r="AG127" s="625"/>
      <c r="AH127" s="619">
        <f t="shared" si="83"/>
        <v>0</v>
      </c>
      <c r="AI127" s="555"/>
      <c r="AJ127" s="553">
        <f t="shared" si="84"/>
        <v>1</v>
      </c>
      <c r="AK127" s="554"/>
      <c r="AL127" s="555">
        <f t="shared" si="85"/>
        <v>125</v>
      </c>
      <c r="AM127" s="556"/>
      <c r="AN127" s="608">
        <f t="shared" si="86"/>
        <v>2</v>
      </c>
      <c r="AO127" s="609"/>
      <c r="AP127" s="610">
        <f t="shared" si="87"/>
        <v>260</v>
      </c>
      <c r="AQ127" s="610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55"/>
      <c r="B128" s="9"/>
      <c r="C128" s="566" t="s">
        <v>108</v>
      </c>
      <c r="D128" s="567"/>
      <c r="E128" s="567"/>
      <c r="F128" s="567"/>
      <c r="G128" s="567"/>
      <c r="H128" s="662"/>
      <c r="I128" s="624">
        <f t="shared" si="72"/>
        <v>0</v>
      </c>
      <c r="J128" s="617"/>
      <c r="K128" s="555">
        <f t="shared" si="73"/>
        <v>0</v>
      </c>
      <c r="L128" s="618"/>
      <c r="M128" s="617">
        <f t="shared" si="74"/>
        <v>0</v>
      </c>
      <c r="N128" s="617"/>
      <c r="O128" s="555">
        <f t="shared" si="75"/>
        <v>0</v>
      </c>
      <c r="P128" s="556"/>
      <c r="Q128" s="617">
        <f t="shared" si="76"/>
        <v>0</v>
      </c>
      <c r="R128" s="617"/>
      <c r="S128" s="555">
        <f t="shared" si="77"/>
        <v>0</v>
      </c>
      <c r="T128" s="556"/>
      <c r="U128" s="617">
        <f t="shared" si="78"/>
        <v>0</v>
      </c>
      <c r="V128" s="617"/>
      <c r="W128" s="619">
        <f t="shared" si="79"/>
        <v>0</v>
      </c>
      <c r="X128" s="619"/>
      <c r="Y128" s="626">
        <f t="shared" si="80"/>
        <v>0</v>
      </c>
      <c r="Z128" s="616"/>
      <c r="AA128" s="555">
        <f t="shared" si="81"/>
        <v>0</v>
      </c>
      <c r="AB128" s="623"/>
      <c r="AC128" s="625">
        <f t="shared" si="82"/>
        <v>4</v>
      </c>
      <c r="AD128" s="625"/>
      <c r="AE128" s="625"/>
      <c r="AF128" s="625"/>
      <c r="AG128" s="625"/>
      <c r="AH128" s="619">
        <f t="shared" si="83"/>
        <v>480</v>
      </c>
      <c r="AI128" s="555"/>
      <c r="AJ128" s="553">
        <f t="shared" si="84"/>
        <v>1</v>
      </c>
      <c r="AK128" s="554"/>
      <c r="AL128" s="555">
        <f t="shared" si="85"/>
        <v>120</v>
      </c>
      <c r="AM128" s="556"/>
      <c r="AN128" s="608">
        <f t="shared" si="86"/>
        <v>5</v>
      </c>
      <c r="AO128" s="609"/>
      <c r="AP128" s="610">
        <f t="shared" si="87"/>
        <v>600</v>
      </c>
      <c r="AQ128" s="610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55"/>
      <c r="B129" s="9"/>
      <c r="C129" s="566" t="s">
        <v>109</v>
      </c>
      <c r="D129" s="567"/>
      <c r="E129" s="567"/>
      <c r="F129" s="567"/>
      <c r="G129" s="567"/>
      <c r="H129" s="662"/>
      <c r="I129" s="624">
        <f t="shared" si="72"/>
        <v>0</v>
      </c>
      <c r="J129" s="617"/>
      <c r="K129" s="555">
        <f t="shared" si="73"/>
        <v>0</v>
      </c>
      <c r="L129" s="618"/>
      <c r="M129" s="617">
        <f t="shared" si="74"/>
        <v>0</v>
      </c>
      <c r="N129" s="617"/>
      <c r="O129" s="555">
        <f t="shared" si="75"/>
        <v>0</v>
      </c>
      <c r="P129" s="556"/>
      <c r="Q129" s="617">
        <f t="shared" si="76"/>
        <v>0</v>
      </c>
      <c r="R129" s="617"/>
      <c r="S129" s="555">
        <f t="shared" si="77"/>
        <v>0</v>
      </c>
      <c r="T129" s="556"/>
      <c r="U129" s="617">
        <f t="shared" si="78"/>
        <v>0</v>
      </c>
      <c r="V129" s="617"/>
      <c r="W129" s="619">
        <f t="shared" si="79"/>
        <v>0</v>
      </c>
      <c r="X129" s="619"/>
      <c r="Y129" s="626">
        <f t="shared" si="80"/>
        <v>0</v>
      </c>
      <c r="Z129" s="616"/>
      <c r="AA129" s="555">
        <f t="shared" si="81"/>
        <v>0</v>
      </c>
      <c r="AB129" s="623"/>
      <c r="AC129" s="625">
        <f t="shared" si="82"/>
        <v>1</v>
      </c>
      <c r="AD129" s="625"/>
      <c r="AE129" s="625"/>
      <c r="AF129" s="625"/>
      <c r="AG129" s="625"/>
      <c r="AH129" s="619">
        <f t="shared" si="83"/>
        <v>115</v>
      </c>
      <c r="AI129" s="555"/>
      <c r="AJ129" s="553">
        <f t="shared" si="84"/>
        <v>1</v>
      </c>
      <c r="AK129" s="554"/>
      <c r="AL129" s="555">
        <f t="shared" si="85"/>
        <v>115</v>
      </c>
      <c r="AM129" s="556"/>
      <c r="AN129" s="608">
        <f t="shared" si="86"/>
        <v>2</v>
      </c>
      <c r="AO129" s="609"/>
      <c r="AP129" s="610">
        <f t="shared" si="87"/>
        <v>230</v>
      </c>
      <c r="AQ129" s="610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55"/>
      <c r="B130" s="9"/>
      <c r="C130" s="510" t="s">
        <v>53</v>
      </c>
      <c r="D130" s="510"/>
      <c r="E130" s="510"/>
      <c r="F130" s="510"/>
      <c r="G130" s="510"/>
      <c r="H130" s="566"/>
      <c r="I130" s="624">
        <f t="shared" si="72"/>
        <v>0</v>
      </c>
      <c r="J130" s="617"/>
      <c r="K130" s="555">
        <f t="shared" si="73"/>
        <v>0</v>
      </c>
      <c r="L130" s="618"/>
      <c r="M130" s="617">
        <f t="shared" si="74"/>
        <v>0</v>
      </c>
      <c r="N130" s="617"/>
      <c r="O130" s="555">
        <f t="shared" si="75"/>
        <v>0</v>
      </c>
      <c r="P130" s="556"/>
      <c r="Q130" s="617">
        <f t="shared" si="76"/>
        <v>2</v>
      </c>
      <c r="R130" s="617"/>
      <c r="S130" s="555">
        <f t="shared" si="77"/>
        <v>50</v>
      </c>
      <c r="T130" s="556"/>
      <c r="U130" s="617">
        <f t="shared" si="78"/>
        <v>2</v>
      </c>
      <c r="V130" s="617"/>
      <c r="W130" s="619">
        <f t="shared" si="79"/>
        <v>50</v>
      </c>
      <c r="X130" s="619"/>
      <c r="Y130" s="626">
        <f t="shared" si="80"/>
        <v>0</v>
      </c>
      <c r="Z130" s="616"/>
      <c r="AA130" s="555">
        <f t="shared" si="81"/>
        <v>0</v>
      </c>
      <c r="AB130" s="623"/>
      <c r="AC130" s="625">
        <f t="shared" si="82"/>
        <v>0</v>
      </c>
      <c r="AD130" s="625"/>
      <c r="AE130" s="625"/>
      <c r="AF130" s="625"/>
      <c r="AG130" s="625"/>
      <c r="AH130" s="619">
        <f t="shared" si="83"/>
        <v>0</v>
      </c>
      <c r="AI130" s="555"/>
      <c r="AJ130" s="553">
        <f t="shared" si="84"/>
        <v>0</v>
      </c>
      <c r="AK130" s="554"/>
      <c r="AL130" s="555">
        <f t="shared" si="85"/>
        <v>0</v>
      </c>
      <c r="AM130" s="556"/>
      <c r="AN130" s="608">
        <f t="shared" si="86"/>
        <v>4</v>
      </c>
      <c r="AO130" s="609"/>
      <c r="AP130" s="610">
        <f t="shared" si="87"/>
        <v>100</v>
      </c>
      <c r="AQ130" s="610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55"/>
      <c r="B131" s="9"/>
      <c r="C131" s="510" t="s">
        <v>14</v>
      </c>
      <c r="D131" s="510"/>
      <c r="E131" s="510"/>
      <c r="F131" s="510"/>
      <c r="G131" s="510"/>
      <c r="H131" s="566"/>
      <c r="I131" s="624">
        <f t="shared" si="72"/>
        <v>1</v>
      </c>
      <c r="J131" s="617"/>
      <c r="K131" s="555">
        <f t="shared" si="73"/>
        <v>90</v>
      </c>
      <c r="L131" s="618"/>
      <c r="M131" s="617">
        <f t="shared" si="74"/>
        <v>0</v>
      </c>
      <c r="N131" s="617"/>
      <c r="O131" s="555">
        <f t="shared" si="75"/>
        <v>0</v>
      </c>
      <c r="P131" s="556"/>
      <c r="Q131" s="617">
        <f t="shared" si="76"/>
        <v>1</v>
      </c>
      <c r="R131" s="617"/>
      <c r="S131" s="555">
        <f t="shared" si="77"/>
        <v>105</v>
      </c>
      <c r="T131" s="556"/>
      <c r="U131" s="617">
        <f t="shared" si="78"/>
        <v>1</v>
      </c>
      <c r="V131" s="617"/>
      <c r="W131" s="619">
        <f t="shared" si="79"/>
        <v>95</v>
      </c>
      <c r="X131" s="619"/>
      <c r="Y131" s="626">
        <f t="shared" si="80"/>
        <v>3</v>
      </c>
      <c r="Z131" s="616"/>
      <c r="AA131" s="555">
        <f t="shared" si="81"/>
        <v>270</v>
      </c>
      <c r="AB131" s="623"/>
      <c r="AC131" s="625">
        <f t="shared" si="82"/>
        <v>1</v>
      </c>
      <c r="AD131" s="625"/>
      <c r="AE131" s="625"/>
      <c r="AF131" s="625"/>
      <c r="AG131" s="625"/>
      <c r="AH131" s="619">
        <f t="shared" si="83"/>
        <v>90</v>
      </c>
      <c r="AI131" s="555"/>
      <c r="AJ131" s="553">
        <f t="shared" si="84"/>
        <v>1</v>
      </c>
      <c r="AK131" s="554"/>
      <c r="AL131" s="555">
        <f t="shared" si="85"/>
        <v>90</v>
      </c>
      <c r="AM131" s="556"/>
      <c r="AN131" s="608">
        <f t="shared" si="86"/>
        <v>8</v>
      </c>
      <c r="AO131" s="609"/>
      <c r="AP131" s="610">
        <f t="shared" si="87"/>
        <v>740</v>
      </c>
      <c r="AQ131" s="610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55"/>
      <c r="B132" s="9"/>
      <c r="C132" s="510" t="s">
        <v>15</v>
      </c>
      <c r="D132" s="510"/>
      <c r="E132" s="510"/>
      <c r="F132" s="510"/>
      <c r="G132" s="510"/>
      <c r="H132" s="566"/>
      <c r="I132" s="624">
        <f t="shared" si="72"/>
        <v>2</v>
      </c>
      <c r="J132" s="617"/>
      <c r="K132" s="555">
        <f t="shared" si="73"/>
        <v>190</v>
      </c>
      <c r="L132" s="618"/>
      <c r="M132" s="617">
        <f t="shared" si="74"/>
        <v>3</v>
      </c>
      <c r="N132" s="617"/>
      <c r="O132" s="555">
        <f t="shared" si="75"/>
        <v>315</v>
      </c>
      <c r="P132" s="556"/>
      <c r="Q132" s="617">
        <f t="shared" si="76"/>
        <v>1</v>
      </c>
      <c r="R132" s="617"/>
      <c r="S132" s="555">
        <f t="shared" si="77"/>
        <v>100</v>
      </c>
      <c r="T132" s="556"/>
      <c r="U132" s="617">
        <f t="shared" si="78"/>
        <v>0</v>
      </c>
      <c r="V132" s="617"/>
      <c r="W132" s="619">
        <f t="shared" si="79"/>
        <v>0</v>
      </c>
      <c r="X132" s="619"/>
      <c r="Y132" s="626">
        <f t="shared" si="80"/>
        <v>2</v>
      </c>
      <c r="Z132" s="616"/>
      <c r="AA132" s="555">
        <f t="shared" si="81"/>
        <v>190</v>
      </c>
      <c r="AB132" s="623"/>
      <c r="AC132" s="625">
        <f t="shared" si="82"/>
        <v>0</v>
      </c>
      <c r="AD132" s="625"/>
      <c r="AE132" s="625"/>
      <c r="AF132" s="625"/>
      <c r="AG132" s="625"/>
      <c r="AH132" s="619">
        <f t="shared" si="83"/>
        <v>0</v>
      </c>
      <c r="AI132" s="555"/>
      <c r="AJ132" s="553">
        <f t="shared" si="84"/>
        <v>0</v>
      </c>
      <c r="AK132" s="554"/>
      <c r="AL132" s="555">
        <f t="shared" si="85"/>
        <v>0</v>
      </c>
      <c r="AM132" s="556"/>
      <c r="AN132" s="608">
        <f t="shared" si="86"/>
        <v>8</v>
      </c>
      <c r="AO132" s="609"/>
      <c r="AP132" s="610">
        <f t="shared" si="87"/>
        <v>795</v>
      </c>
      <c r="AQ132" s="610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55"/>
      <c r="B133" s="9"/>
      <c r="C133" s="510" t="s">
        <v>16</v>
      </c>
      <c r="D133" s="510"/>
      <c r="E133" s="510"/>
      <c r="F133" s="510"/>
      <c r="G133" s="510"/>
      <c r="H133" s="566"/>
      <c r="I133" s="624">
        <f t="shared" si="72"/>
        <v>3</v>
      </c>
      <c r="J133" s="617"/>
      <c r="K133" s="555">
        <f t="shared" si="73"/>
        <v>405</v>
      </c>
      <c r="L133" s="618"/>
      <c r="M133" s="617">
        <f t="shared" si="74"/>
        <v>0</v>
      </c>
      <c r="N133" s="617"/>
      <c r="O133" s="555">
        <f t="shared" si="75"/>
        <v>0</v>
      </c>
      <c r="P133" s="556"/>
      <c r="Q133" s="617">
        <f t="shared" si="76"/>
        <v>0</v>
      </c>
      <c r="R133" s="617"/>
      <c r="S133" s="555">
        <f t="shared" si="77"/>
        <v>0</v>
      </c>
      <c r="T133" s="556"/>
      <c r="U133" s="617">
        <f t="shared" si="78"/>
        <v>0</v>
      </c>
      <c r="V133" s="617"/>
      <c r="W133" s="619">
        <f t="shared" si="79"/>
        <v>0</v>
      </c>
      <c r="X133" s="619"/>
      <c r="Y133" s="626">
        <f t="shared" si="80"/>
        <v>0</v>
      </c>
      <c r="Z133" s="616"/>
      <c r="AA133" s="555">
        <f t="shared" si="81"/>
        <v>0</v>
      </c>
      <c r="AB133" s="623"/>
      <c r="AC133" s="625">
        <f t="shared" si="82"/>
        <v>1</v>
      </c>
      <c r="AD133" s="625"/>
      <c r="AE133" s="625"/>
      <c r="AF133" s="625"/>
      <c r="AG133" s="625"/>
      <c r="AH133" s="619">
        <f t="shared" si="83"/>
        <v>145</v>
      </c>
      <c r="AI133" s="555"/>
      <c r="AJ133" s="553">
        <f t="shared" si="84"/>
        <v>0</v>
      </c>
      <c r="AK133" s="554"/>
      <c r="AL133" s="555">
        <f t="shared" si="85"/>
        <v>0</v>
      </c>
      <c r="AM133" s="556"/>
      <c r="AN133" s="608">
        <f t="shared" si="86"/>
        <v>4</v>
      </c>
      <c r="AO133" s="609"/>
      <c r="AP133" s="610">
        <f t="shared" si="87"/>
        <v>550</v>
      </c>
      <c r="AQ133" s="610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55"/>
      <c r="B134" s="9"/>
      <c r="C134" s="510" t="s">
        <v>54</v>
      </c>
      <c r="D134" s="510"/>
      <c r="E134" s="510"/>
      <c r="F134" s="510"/>
      <c r="G134" s="510"/>
      <c r="H134" s="566"/>
      <c r="I134" s="624">
        <f t="shared" si="72"/>
        <v>0</v>
      </c>
      <c r="J134" s="617"/>
      <c r="K134" s="555">
        <f t="shared" si="73"/>
        <v>0</v>
      </c>
      <c r="L134" s="618"/>
      <c r="M134" s="617">
        <f t="shared" si="74"/>
        <v>5</v>
      </c>
      <c r="N134" s="617"/>
      <c r="O134" s="555">
        <f t="shared" si="75"/>
        <v>500</v>
      </c>
      <c r="P134" s="556"/>
      <c r="Q134" s="617">
        <f t="shared" si="76"/>
        <v>5</v>
      </c>
      <c r="R134" s="617"/>
      <c r="S134" s="555">
        <f t="shared" si="77"/>
        <v>500</v>
      </c>
      <c r="T134" s="556"/>
      <c r="U134" s="617">
        <f t="shared" si="78"/>
        <v>6</v>
      </c>
      <c r="V134" s="617"/>
      <c r="W134" s="619">
        <f t="shared" si="79"/>
        <v>600</v>
      </c>
      <c r="X134" s="619"/>
      <c r="Y134" s="626">
        <f t="shared" si="80"/>
        <v>6</v>
      </c>
      <c r="Z134" s="616"/>
      <c r="AA134" s="555">
        <f t="shared" si="81"/>
        <v>600</v>
      </c>
      <c r="AB134" s="623"/>
      <c r="AC134" s="625">
        <f t="shared" si="82"/>
        <v>4</v>
      </c>
      <c r="AD134" s="625"/>
      <c r="AE134" s="625"/>
      <c r="AF134" s="625"/>
      <c r="AG134" s="625"/>
      <c r="AH134" s="619">
        <f t="shared" si="83"/>
        <v>400</v>
      </c>
      <c r="AI134" s="555"/>
      <c r="AJ134" s="553">
        <f t="shared" si="84"/>
        <v>2</v>
      </c>
      <c r="AK134" s="554"/>
      <c r="AL134" s="555">
        <f t="shared" si="85"/>
        <v>200</v>
      </c>
      <c r="AM134" s="556"/>
      <c r="AN134" s="608">
        <f t="shared" si="86"/>
        <v>28</v>
      </c>
      <c r="AO134" s="609"/>
      <c r="AP134" s="610">
        <f t="shared" si="87"/>
        <v>2800</v>
      </c>
      <c r="AQ134" s="610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55"/>
      <c r="B135" s="9"/>
      <c r="C135" s="510" t="s">
        <v>17</v>
      </c>
      <c r="D135" s="510"/>
      <c r="E135" s="510"/>
      <c r="F135" s="510"/>
      <c r="G135" s="510"/>
      <c r="H135" s="566"/>
      <c r="I135" s="624">
        <f t="shared" si="72"/>
        <v>0</v>
      </c>
      <c r="J135" s="617"/>
      <c r="K135" s="555">
        <f t="shared" si="73"/>
        <v>0</v>
      </c>
      <c r="L135" s="618"/>
      <c r="M135" s="617">
        <f t="shared" si="74"/>
        <v>0</v>
      </c>
      <c r="N135" s="617"/>
      <c r="O135" s="555">
        <f t="shared" si="75"/>
        <v>0</v>
      </c>
      <c r="P135" s="556"/>
      <c r="Q135" s="617">
        <f t="shared" si="76"/>
        <v>0</v>
      </c>
      <c r="R135" s="617"/>
      <c r="S135" s="555">
        <f t="shared" si="77"/>
        <v>0</v>
      </c>
      <c r="T135" s="556"/>
      <c r="U135" s="617">
        <f t="shared" si="78"/>
        <v>0</v>
      </c>
      <c r="V135" s="617"/>
      <c r="W135" s="619">
        <f t="shared" si="79"/>
        <v>0</v>
      </c>
      <c r="X135" s="619"/>
      <c r="Y135" s="626">
        <f t="shared" si="80"/>
        <v>0</v>
      </c>
      <c r="Z135" s="616"/>
      <c r="AA135" s="555">
        <f t="shared" si="81"/>
        <v>0</v>
      </c>
      <c r="AB135" s="623"/>
      <c r="AC135" s="625">
        <f t="shared" si="82"/>
        <v>0</v>
      </c>
      <c r="AD135" s="625"/>
      <c r="AE135" s="625"/>
      <c r="AF135" s="625"/>
      <c r="AG135" s="625"/>
      <c r="AH135" s="619">
        <f t="shared" si="83"/>
        <v>0</v>
      </c>
      <c r="AI135" s="555"/>
      <c r="AJ135" s="553">
        <f t="shared" si="84"/>
        <v>0</v>
      </c>
      <c r="AK135" s="554"/>
      <c r="AL135" s="555">
        <f t="shared" si="85"/>
        <v>0</v>
      </c>
      <c r="AM135" s="556"/>
      <c r="AN135" s="608">
        <f t="shared" si="86"/>
        <v>0</v>
      </c>
      <c r="AO135" s="609"/>
      <c r="AP135" s="610">
        <f t="shared" si="87"/>
        <v>0</v>
      </c>
      <c r="AQ135" s="610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55"/>
      <c r="B136" s="9"/>
      <c r="C136" s="510" t="s">
        <v>59</v>
      </c>
      <c r="D136" s="510"/>
      <c r="E136" s="510"/>
      <c r="F136" s="510"/>
      <c r="G136" s="510"/>
      <c r="H136" s="566"/>
      <c r="I136" s="624">
        <f t="shared" si="72"/>
        <v>0</v>
      </c>
      <c r="J136" s="617"/>
      <c r="K136" s="555">
        <f t="shared" si="73"/>
        <v>0</v>
      </c>
      <c r="L136" s="618"/>
      <c r="M136" s="617">
        <f t="shared" si="74"/>
        <v>3</v>
      </c>
      <c r="N136" s="617"/>
      <c r="O136" s="555">
        <f t="shared" si="75"/>
        <v>300</v>
      </c>
      <c r="P136" s="556"/>
      <c r="Q136" s="617">
        <f t="shared" si="76"/>
        <v>5</v>
      </c>
      <c r="R136" s="617"/>
      <c r="S136" s="555">
        <f t="shared" si="77"/>
        <v>500</v>
      </c>
      <c r="T136" s="556"/>
      <c r="U136" s="617">
        <f t="shared" si="78"/>
        <v>5</v>
      </c>
      <c r="V136" s="617"/>
      <c r="W136" s="619">
        <f t="shared" si="79"/>
        <v>500</v>
      </c>
      <c r="X136" s="619"/>
      <c r="Y136" s="626">
        <f t="shared" si="80"/>
        <v>6</v>
      </c>
      <c r="Z136" s="616"/>
      <c r="AA136" s="555">
        <f t="shared" si="81"/>
        <v>590</v>
      </c>
      <c r="AB136" s="623"/>
      <c r="AC136" s="625">
        <f t="shared" si="82"/>
        <v>2</v>
      </c>
      <c r="AD136" s="625"/>
      <c r="AE136" s="625"/>
      <c r="AF136" s="625"/>
      <c r="AG136" s="625"/>
      <c r="AH136" s="619">
        <f t="shared" si="83"/>
        <v>190</v>
      </c>
      <c r="AI136" s="555"/>
      <c r="AJ136" s="553">
        <f t="shared" si="84"/>
        <v>4</v>
      </c>
      <c r="AK136" s="554"/>
      <c r="AL136" s="555">
        <f t="shared" si="85"/>
        <v>360</v>
      </c>
      <c r="AM136" s="556"/>
      <c r="AN136" s="608">
        <f t="shared" si="86"/>
        <v>25</v>
      </c>
      <c r="AO136" s="609"/>
      <c r="AP136" s="610">
        <f t="shared" si="87"/>
        <v>2440</v>
      </c>
      <c r="AQ136" s="610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55"/>
      <c r="B137" s="9"/>
      <c r="C137" s="510" t="s">
        <v>18</v>
      </c>
      <c r="D137" s="510"/>
      <c r="E137" s="510"/>
      <c r="F137" s="510"/>
      <c r="G137" s="510"/>
      <c r="H137" s="566"/>
      <c r="I137" s="624">
        <f t="shared" si="72"/>
        <v>0</v>
      </c>
      <c r="J137" s="617"/>
      <c r="K137" s="555">
        <f t="shared" si="73"/>
        <v>0</v>
      </c>
      <c r="L137" s="618"/>
      <c r="M137" s="617">
        <f t="shared" si="74"/>
        <v>1</v>
      </c>
      <c r="N137" s="617"/>
      <c r="O137" s="555">
        <f t="shared" si="75"/>
        <v>240</v>
      </c>
      <c r="P137" s="556"/>
      <c r="Q137" s="617">
        <f t="shared" si="76"/>
        <v>0</v>
      </c>
      <c r="R137" s="617"/>
      <c r="S137" s="555">
        <f t="shared" si="77"/>
        <v>0</v>
      </c>
      <c r="T137" s="556"/>
      <c r="U137" s="617">
        <f t="shared" si="78"/>
        <v>0</v>
      </c>
      <c r="V137" s="617"/>
      <c r="W137" s="619">
        <f t="shared" si="79"/>
        <v>0</v>
      </c>
      <c r="X137" s="619"/>
      <c r="Y137" s="626">
        <f t="shared" si="80"/>
        <v>0</v>
      </c>
      <c r="Z137" s="616"/>
      <c r="AA137" s="555">
        <f t="shared" si="81"/>
        <v>0</v>
      </c>
      <c r="AB137" s="623"/>
      <c r="AC137" s="625">
        <f t="shared" si="82"/>
        <v>0</v>
      </c>
      <c r="AD137" s="625"/>
      <c r="AE137" s="625"/>
      <c r="AF137" s="625"/>
      <c r="AG137" s="625"/>
      <c r="AH137" s="619">
        <f t="shared" si="83"/>
        <v>0</v>
      </c>
      <c r="AI137" s="555"/>
      <c r="AJ137" s="553">
        <f t="shared" si="84"/>
        <v>0</v>
      </c>
      <c r="AK137" s="554"/>
      <c r="AL137" s="555">
        <f t="shared" si="85"/>
        <v>0</v>
      </c>
      <c r="AM137" s="556"/>
      <c r="AN137" s="608">
        <f t="shared" si="86"/>
        <v>1</v>
      </c>
      <c r="AO137" s="609"/>
      <c r="AP137" s="610">
        <f t="shared" si="87"/>
        <v>240</v>
      </c>
      <c r="AQ137" s="610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55"/>
      <c r="B138" s="9"/>
      <c r="C138" s="510" t="s">
        <v>19</v>
      </c>
      <c r="D138" s="510"/>
      <c r="E138" s="510"/>
      <c r="F138" s="510"/>
      <c r="G138" s="510"/>
      <c r="H138" s="566"/>
      <c r="I138" s="624">
        <f t="shared" si="72"/>
        <v>0</v>
      </c>
      <c r="J138" s="617"/>
      <c r="K138" s="555">
        <f t="shared" si="73"/>
        <v>0</v>
      </c>
      <c r="L138" s="618"/>
      <c r="M138" s="617">
        <f t="shared" si="74"/>
        <v>0</v>
      </c>
      <c r="N138" s="617"/>
      <c r="O138" s="555">
        <f t="shared" si="75"/>
        <v>0</v>
      </c>
      <c r="P138" s="556"/>
      <c r="Q138" s="617">
        <f t="shared" si="76"/>
        <v>0</v>
      </c>
      <c r="R138" s="617"/>
      <c r="S138" s="555">
        <f t="shared" si="77"/>
        <v>0</v>
      </c>
      <c r="T138" s="556"/>
      <c r="U138" s="617">
        <f t="shared" si="78"/>
        <v>0</v>
      </c>
      <c r="V138" s="617"/>
      <c r="W138" s="619">
        <f t="shared" si="79"/>
        <v>0</v>
      </c>
      <c r="X138" s="619"/>
      <c r="Y138" s="626">
        <f t="shared" si="80"/>
        <v>0</v>
      </c>
      <c r="Z138" s="616"/>
      <c r="AA138" s="555">
        <f t="shared" si="81"/>
        <v>0</v>
      </c>
      <c r="AB138" s="623"/>
      <c r="AC138" s="625">
        <f t="shared" si="82"/>
        <v>0</v>
      </c>
      <c r="AD138" s="625"/>
      <c r="AE138" s="625"/>
      <c r="AF138" s="625"/>
      <c r="AG138" s="625"/>
      <c r="AH138" s="619">
        <f t="shared" si="83"/>
        <v>0</v>
      </c>
      <c r="AI138" s="555"/>
      <c r="AJ138" s="553">
        <f t="shared" si="84"/>
        <v>0</v>
      </c>
      <c r="AK138" s="554"/>
      <c r="AL138" s="555">
        <f t="shared" si="85"/>
        <v>0</v>
      </c>
      <c r="AM138" s="556"/>
      <c r="AN138" s="608">
        <f t="shared" si="86"/>
        <v>0</v>
      </c>
      <c r="AO138" s="609"/>
      <c r="AP138" s="610">
        <f t="shared" si="87"/>
        <v>0</v>
      </c>
      <c r="AQ138" s="610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55"/>
      <c r="B139" s="9"/>
      <c r="C139" s="510" t="s">
        <v>20</v>
      </c>
      <c r="D139" s="510"/>
      <c r="E139" s="510"/>
      <c r="F139" s="510"/>
      <c r="G139" s="510"/>
      <c r="H139" s="566"/>
      <c r="I139" s="624">
        <f t="shared" si="72"/>
        <v>0</v>
      </c>
      <c r="J139" s="617"/>
      <c r="K139" s="555">
        <f t="shared" si="73"/>
        <v>0</v>
      </c>
      <c r="L139" s="618"/>
      <c r="M139" s="617">
        <f t="shared" si="74"/>
        <v>2</v>
      </c>
      <c r="N139" s="617"/>
      <c r="O139" s="555">
        <f t="shared" si="75"/>
        <v>11</v>
      </c>
      <c r="P139" s="556"/>
      <c r="Q139" s="617">
        <f t="shared" si="76"/>
        <v>2</v>
      </c>
      <c r="R139" s="617"/>
      <c r="S139" s="555">
        <f t="shared" si="77"/>
        <v>11</v>
      </c>
      <c r="T139" s="556"/>
      <c r="U139" s="617">
        <f t="shared" si="78"/>
        <v>17</v>
      </c>
      <c r="V139" s="617"/>
      <c r="W139" s="619">
        <f t="shared" si="79"/>
        <v>93.5</v>
      </c>
      <c r="X139" s="619"/>
      <c r="Y139" s="626">
        <f t="shared" si="80"/>
        <v>1</v>
      </c>
      <c r="Z139" s="616"/>
      <c r="AA139" s="555">
        <f t="shared" si="81"/>
        <v>5.5</v>
      </c>
      <c r="AB139" s="623"/>
      <c r="AC139" s="625">
        <f t="shared" si="82"/>
        <v>27</v>
      </c>
      <c r="AD139" s="625"/>
      <c r="AE139" s="625"/>
      <c r="AF139" s="625"/>
      <c r="AG139" s="625"/>
      <c r="AH139" s="619">
        <f t="shared" si="83"/>
        <v>143</v>
      </c>
      <c r="AI139" s="555"/>
      <c r="AJ139" s="553">
        <f t="shared" si="84"/>
        <v>0</v>
      </c>
      <c r="AK139" s="554"/>
      <c r="AL139" s="555">
        <f t="shared" si="85"/>
        <v>0</v>
      </c>
      <c r="AM139" s="556"/>
      <c r="AN139" s="608">
        <f t="shared" si="86"/>
        <v>49</v>
      </c>
      <c r="AO139" s="609"/>
      <c r="AP139" s="610">
        <f t="shared" si="87"/>
        <v>264</v>
      </c>
      <c r="AQ139" s="610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55"/>
      <c r="B140" s="9"/>
      <c r="C140" s="510" t="s">
        <v>21</v>
      </c>
      <c r="D140" s="510"/>
      <c r="E140" s="510"/>
      <c r="F140" s="510"/>
      <c r="G140" s="510"/>
      <c r="H140" s="566"/>
      <c r="I140" s="624">
        <f t="shared" ref="I140:I171" si="88">M40+Y40+AP40+BD40</f>
        <v>0</v>
      </c>
      <c r="J140" s="617"/>
      <c r="K140" s="555">
        <f t="shared" ref="K140:K171" si="89">N40+Z40+AQ40+BE40</f>
        <v>0</v>
      </c>
      <c r="L140" s="618"/>
      <c r="M140" s="617">
        <f t="shared" ref="M140:M171" si="90">BP40+CI40+DA40+DU40</f>
        <v>1</v>
      </c>
      <c r="N140" s="617"/>
      <c r="O140" s="555">
        <f t="shared" ref="O140:O171" si="91">BQ40+CJ40+DB40+DV40</f>
        <v>13</v>
      </c>
      <c r="P140" s="556"/>
      <c r="Q140" s="617">
        <f t="shared" ref="Q140:Q171" si="92">EO40+FT40</f>
        <v>1</v>
      </c>
      <c r="R140" s="617"/>
      <c r="S140" s="555">
        <f t="shared" ref="S140:S171" si="93">EP40+FU40</f>
        <v>13</v>
      </c>
      <c r="T140" s="556"/>
      <c r="U140" s="617">
        <f t="shared" ref="U140:U171" si="94">GQ40+HL40+HW40+IM40</f>
        <v>3</v>
      </c>
      <c r="V140" s="617"/>
      <c r="W140" s="619">
        <f t="shared" ref="W140:W171" si="95">GR40+HM40+HX40+IN40</f>
        <v>39</v>
      </c>
      <c r="X140" s="619"/>
      <c r="Y140" s="626">
        <f t="shared" ref="Y140:Y171" si="96">IY40+KE40+KS40+LF40</f>
        <v>4</v>
      </c>
      <c r="Z140" s="616"/>
      <c r="AA140" s="555">
        <f t="shared" ref="AA140:AA171" si="97">IZ40+KF40+KT40+LG40</f>
        <v>52</v>
      </c>
      <c r="AB140" s="623"/>
      <c r="AC140" s="625">
        <f t="shared" ref="AC140:AC171" si="98">ME40+ND40</f>
        <v>7</v>
      </c>
      <c r="AD140" s="625"/>
      <c r="AE140" s="625"/>
      <c r="AF140" s="625"/>
      <c r="AG140" s="625"/>
      <c r="AH140" s="619">
        <f t="shared" ref="AH140:AH171" si="99">MF40+NE40</f>
        <v>91</v>
      </c>
      <c r="AI140" s="555"/>
      <c r="AJ140" s="553">
        <f t="shared" si="84"/>
        <v>2</v>
      </c>
      <c r="AK140" s="554"/>
      <c r="AL140" s="555">
        <f t="shared" si="85"/>
        <v>22</v>
      </c>
      <c r="AM140" s="556"/>
      <c r="AN140" s="608">
        <f t="shared" si="86"/>
        <v>18</v>
      </c>
      <c r="AO140" s="609"/>
      <c r="AP140" s="610">
        <f t="shared" si="87"/>
        <v>230</v>
      </c>
      <c r="AQ140" s="610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55"/>
      <c r="B141" s="9"/>
      <c r="C141" s="510" t="s">
        <v>22</v>
      </c>
      <c r="D141" s="510"/>
      <c r="E141" s="510"/>
      <c r="F141" s="510"/>
      <c r="G141" s="510"/>
      <c r="H141" s="566"/>
      <c r="I141" s="624">
        <f t="shared" si="88"/>
        <v>4</v>
      </c>
      <c r="J141" s="617"/>
      <c r="K141" s="555">
        <f t="shared" si="89"/>
        <v>44</v>
      </c>
      <c r="L141" s="618"/>
      <c r="M141" s="617">
        <f t="shared" si="90"/>
        <v>0</v>
      </c>
      <c r="N141" s="617"/>
      <c r="O141" s="555">
        <f t="shared" si="91"/>
        <v>0</v>
      </c>
      <c r="P141" s="556"/>
      <c r="Q141" s="617">
        <f t="shared" si="92"/>
        <v>0</v>
      </c>
      <c r="R141" s="617"/>
      <c r="S141" s="555">
        <f t="shared" si="93"/>
        <v>0</v>
      </c>
      <c r="T141" s="556"/>
      <c r="U141" s="617">
        <f t="shared" si="94"/>
        <v>6</v>
      </c>
      <c r="V141" s="617"/>
      <c r="W141" s="619">
        <f t="shared" si="95"/>
        <v>69</v>
      </c>
      <c r="X141" s="619"/>
      <c r="Y141" s="626">
        <f t="shared" si="96"/>
        <v>0</v>
      </c>
      <c r="Z141" s="616"/>
      <c r="AA141" s="555">
        <f t="shared" si="97"/>
        <v>0</v>
      </c>
      <c r="AB141" s="623"/>
      <c r="AC141" s="625">
        <f t="shared" si="98"/>
        <v>7</v>
      </c>
      <c r="AD141" s="625"/>
      <c r="AE141" s="625"/>
      <c r="AF141" s="625"/>
      <c r="AG141" s="625"/>
      <c r="AH141" s="619">
        <f t="shared" si="99"/>
        <v>78.5</v>
      </c>
      <c r="AI141" s="555"/>
      <c r="AJ141" s="553">
        <f t="shared" si="84"/>
        <v>1</v>
      </c>
      <c r="AK141" s="554"/>
      <c r="AL141" s="555">
        <f t="shared" si="85"/>
        <v>11</v>
      </c>
      <c r="AM141" s="556"/>
      <c r="AN141" s="608">
        <f t="shared" si="86"/>
        <v>18</v>
      </c>
      <c r="AO141" s="609"/>
      <c r="AP141" s="610">
        <f t="shared" si="87"/>
        <v>202.5</v>
      </c>
      <c r="AQ141" s="610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55"/>
      <c r="B142" s="9"/>
      <c r="C142" s="510" t="s">
        <v>23</v>
      </c>
      <c r="D142" s="510"/>
      <c r="E142" s="510"/>
      <c r="F142" s="510"/>
      <c r="G142" s="510"/>
      <c r="H142" s="566"/>
      <c r="I142" s="624">
        <f t="shared" si="88"/>
        <v>0</v>
      </c>
      <c r="J142" s="617"/>
      <c r="K142" s="555">
        <f t="shared" si="89"/>
        <v>0</v>
      </c>
      <c r="L142" s="618"/>
      <c r="M142" s="617">
        <f t="shared" si="90"/>
        <v>0</v>
      </c>
      <c r="N142" s="617"/>
      <c r="O142" s="555">
        <f t="shared" si="91"/>
        <v>0</v>
      </c>
      <c r="P142" s="556"/>
      <c r="Q142" s="617">
        <f t="shared" si="92"/>
        <v>0</v>
      </c>
      <c r="R142" s="617"/>
      <c r="S142" s="555">
        <f t="shared" si="93"/>
        <v>0</v>
      </c>
      <c r="T142" s="556"/>
      <c r="U142" s="617">
        <f t="shared" si="94"/>
        <v>11</v>
      </c>
      <c r="V142" s="617"/>
      <c r="W142" s="619">
        <f t="shared" si="95"/>
        <v>44</v>
      </c>
      <c r="X142" s="619"/>
      <c r="Y142" s="626">
        <f t="shared" si="96"/>
        <v>0</v>
      </c>
      <c r="Z142" s="616"/>
      <c r="AA142" s="555">
        <f t="shared" si="97"/>
        <v>0</v>
      </c>
      <c r="AB142" s="623"/>
      <c r="AC142" s="625">
        <f t="shared" si="98"/>
        <v>0</v>
      </c>
      <c r="AD142" s="625"/>
      <c r="AE142" s="625"/>
      <c r="AF142" s="625"/>
      <c r="AG142" s="625"/>
      <c r="AH142" s="619">
        <f t="shared" si="99"/>
        <v>0</v>
      </c>
      <c r="AI142" s="555"/>
      <c r="AJ142" s="553">
        <f t="shared" si="84"/>
        <v>0</v>
      </c>
      <c r="AK142" s="554"/>
      <c r="AL142" s="555">
        <f t="shared" si="85"/>
        <v>0</v>
      </c>
      <c r="AM142" s="556"/>
      <c r="AN142" s="608">
        <f t="shared" si="86"/>
        <v>11</v>
      </c>
      <c r="AO142" s="609"/>
      <c r="AP142" s="610">
        <f t="shared" si="87"/>
        <v>44</v>
      </c>
      <c r="AQ142" s="610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55"/>
      <c r="B143" s="9"/>
      <c r="C143" s="510" t="s">
        <v>24</v>
      </c>
      <c r="D143" s="510"/>
      <c r="E143" s="510"/>
      <c r="F143" s="510"/>
      <c r="G143" s="510"/>
      <c r="H143" s="566"/>
      <c r="I143" s="624">
        <f t="shared" si="88"/>
        <v>1</v>
      </c>
      <c r="J143" s="617"/>
      <c r="K143" s="555">
        <f t="shared" si="89"/>
        <v>6</v>
      </c>
      <c r="L143" s="618"/>
      <c r="M143" s="617">
        <f t="shared" si="90"/>
        <v>1</v>
      </c>
      <c r="N143" s="617"/>
      <c r="O143" s="555">
        <f t="shared" si="91"/>
        <v>8.5</v>
      </c>
      <c r="P143" s="556"/>
      <c r="Q143" s="617">
        <f t="shared" si="92"/>
        <v>1</v>
      </c>
      <c r="R143" s="617"/>
      <c r="S143" s="555">
        <f t="shared" si="93"/>
        <v>8.5</v>
      </c>
      <c r="T143" s="556"/>
      <c r="U143" s="617">
        <f t="shared" si="94"/>
        <v>3</v>
      </c>
      <c r="V143" s="617"/>
      <c r="W143" s="619">
        <f t="shared" si="95"/>
        <v>25.5</v>
      </c>
      <c r="X143" s="619"/>
      <c r="Y143" s="626">
        <f t="shared" si="96"/>
        <v>1</v>
      </c>
      <c r="Z143" s="616"/>
      <c r="AA143" s="555">
        <f t="shared" si="97"/>
        <v>8.5</v>
      </c>
      <c r="AB143" s="623"/>
      <c r="AC143" s="625">
        <f t="shared" si="98"/>
        <v>17</v>
      </c>
      <c r="AD143" s="625"/>
      <c r="AE143" s="625"/>
      <c r="AF143" s="625"/>
      <c r="AG143" s="625"/>
      <c r="AH143" s="619">
        <f t="shared" si="99"/>
        <v>109.5</v>
      </c>
      <c r="AI143" s="555"/>
      <c r="AJ143" s="553">
        <f t="shared" si="84"/>
        <v>0</v>
      </c>
      <c r="AK143" s="554"/>
      <c r="AL143" s="555">
        <f t="shared" si="85"/>
        <v>0</v>
      </c>
      <c r="AM143" s="556"/>
      <c r="AN143" s="608">
        <f t="shared" si="86"/>
        <v>24</v>
      </c>
      <c r="AO143" s="609"/>
      <c r="AP143" s="610">
        <f t="shared" si="87"/>
        <v>166.5</v>
      </c>
      <c r="AQ143" s="610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55"/>
      <c r="B144" s="9"/>
      <c r="C144" s="510" t="s">
        <v>25</v>
      </c>
      <c r="D144" s="510"/>
      <c r="E144" s="510"/>
      <c r="F144" s="510"/>
      <c r="G144" s="510"/>
      <c r="H144" s="566"/>
      <c r="I144" s="624">
        <f t="shared" si="88"/>
        <v>0</v>
      </c>
      <c r="J144" s="617"/>
      <c r="K144" s="555">
        <f t="shared" si="89"/>
        <v>0</v>
      </c>
      <c r="L144" s="618"/>
      <c r="M144" s="617">
        <f t="shared" si="90"/>
        <v>0</v>
      </c>
      <c r="N144" s="617"/>
      <c r="O144" s="555">
        <f t="shared" si="91"/>
        <v>0</v>
      </c>
      <c r="P144" s="556"/>
      <c r="Q144" s="617">
        <f t="shared" si="92"/>
        <v>0</v>
      </c>
      <c r="R144" s="617"/>
      <c r="S144" s="555">
        <f t="shared" si="93"/>
        <v>0</v>
      </c>
      <c r="T144" s="556"/>
      <c r="U144" s="617">
        <f t="shared" si="94"/>
        <v>2</v>
      </c>
      <c r="V144" s="617"/>
      <c r="W144" s="619">
        <f t="shared" si="95"/>
        <v>52</v>
      </c>
      <c r="X144" s="619"/>
      <c r="Y144" s="626">
        <f t="shared" si="96"/>
        <v>0</v>
      </c>
      <c r="Z144" s="616"/>
      <c r="AA144" s="555">
        <f t="shared" si="97"/>
        <v>0</v>
      </c>
      <c r="AB144" s="623"/>
      <c r="AC144" s="625">
        <f t="shared" si="98"/>
        <v>0</v>
      </c>
      <c r="AD144" s="625"/>
      <c r="AE144" s="625"/>
      <c r="AF144" s="625"/>
      <c r="AG144" s="625"/>
      <c r="AH144" s="619">
        <f t="shared" si="99"/>
        <v>0</v>
      </c>
      <c r="AI144" s="555"/>
      <c r="AJ144" s="553">
        <f t="shared" si="84"/>
        <v>0</v>
      </c>
      <c r="AK144" s="554"/>
      <c r="AL144" s="555">
        <f t="shared" si="85"/>
        <v>0</v>
      </c>
      <c r="AM144" s="556"/>
      <c r="AN144" s="608">
        <f t="shared" si="86"/>
        <v>2</v>
      </c>
      <c r="AO144" s="609"/>
      <c r="AP144" s="610">
        <f t="shared" si="87"/>
        <v>52</v>
      </c>
      <c r="AQ144" s="610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55"/>
      <c r="B145" s="9"/>
      <c r="C145" s="510" t="s">
        <v>26</v>
      </c>
      <c r="D145" s="510"/>
      <c r="E145" s="510"/>
      <c r="F145" s="510"/>
      <c r="G145" s="510"/>
      <c r="H145" s="566"/>
      <c r="I145" s="624">
        <f t="shared" si="88"/>
        <v>0</v>
      </c>
      <c r="J145" s="617"/>
      <c r="K145" s="555">
        <f t="shared" si="89"/>
        <v>0</v>
      </c>
      <c r="L145" s="618"/>
      <c r="M145" s="617">
        <f t="shared" si="90"/>
        <v>0</v>
      </c>
      <c r="N145" s="617"/>
      <c r="O145" s="555">
        <f t="shared" si="91"/>
        <v>0</v>
      </c>
      <c r="P145" s="556"/>
      <c r="Q145" s="617">
        <f t="shared" si="92"/>
        <v>0</v>
      </c>
      <c r="R145" s="617"/>
      <c r="S145" s="555">
        <f t="shared" si="93"/>
        <v>0</v>
      </c>
      <c r="T145" s="556"/>
      <c r="U145" s="617">
        <f t="shared" si="94"/>
        <v>1</v>
      </c>
      <c r="V145" s="617"/>
      <c r="W145" s="619">
        <f t="shared" si="95"/>
        <v>40</v>
      </c>
      <c r="X145" s="619"/>
      <c r="Y145" s="626">
        <f t="shared" si="96"/>
        <v>0</v>
      </c>
      <c r="Z145" s="616"/>
      <c r="AA145" s="555">
        <f t="shared" si="97"/>
        <v>0</v>
      </c>
      <c r="AB145" s="623"/>
      <c r="AC145" s="625">
        <f t="shared" si="98"/>
        <v>1</v>
      </c>
      <c r="AD145" s="625"/>
      <c r="AE145" s="625"/>
      <c r="AF145" s="625"/>
      <c r="AG145" s="625"/>
      <c r="AH145" s="619">
        <f t="shared" si="99"/>
        <v>40</v>
      </c>
      <c r="AI145" s="555"/>
      <c r="AJ145" s="553">
        <f t="shared" si="84"/>
        <v>0</v>
      </c>
      <c r="AK145" s="554"/>
      <c r="AL145" s="555">
        <f t="shared" si="85"/>
        <v>0</v>
      </c>
      <c r="AM145" s="556"/>
      <c r="AN145" s="608">
        <f t="shared" si="86"/>
        <v>2</v>
      </c>
      <c r="AO145" s="609"/>
      <c r="AP145" s="610">
        <f t="shared" si="87"/>
        <v>80</v>
      </c>
      <c r="AQ145" s="610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55"/>
      <c r="B146" s="9"/>
      <c r="C146" s="510" t="s">
        <v>27</v>
      </c>
      <c r="D146" s="510"/>
      <c r="E146" s="510"/>
      <c r="F146" s="510"/>
      <c r="G146" s="510"/>
      <c r="H146" s="566"/>
      <c r="I146" s="624">
        <f t="shared" si="88"/>
        <v>1</v>
      </c>
      <c r="J146" s="617"/>
      <c r="K146" s="555">
        <f t="shared" si="89"/>
        <v>120</v>
      </c>
      <c r="L146" s="618"/>
      <c r="M146" s="617">
        <f t="shared" si="90"/>
        <v>2</v>
      </c>
      <c r="N146" s="617"/>
      <c r="O146" s="555">
        <f t="shared" si="91"/>
        <v>270</v>
      </c>
      <c r="P146" s="556"/>
      <c r="Q146" s="617">
        <f t="shared" si="92"/>
        <v>0</v>
      </c>
      <c r="R146" s="617"/>
      <c r="S146" s="555">
        <f t="shared" si="93"/>
        <v>0</v>
      </c>
      <c r="T146" s="556"/>
      <c r="U146" s="617">
        <f t="shared" si="94"/>
        <v>6</v>
      </c>
      <c r="V146" s="617"/>
      <c r="W146" s="619">
        <f t="shared" si="95"/>
        <v>810</v>
      </c>
      <c r="X146" s="619"/>
      <c r="Y146" s="626">
        <f t="shared" si="96"/>
        <v>2</v>
      </c>
      <c r="Z146" s="616"/>
      <c r="AA146" s="555">
        <f t="shared" si="97"/>
        <v>270</v>
      </c>
      <c r="AB146" s="623"/>
      <c r="AC146" s="625">
        <f t="shared" si="98"/>
        <v>12</v>
      </c>
      <c r="AD146" s="625"/>
      <c r="AE146" s="625"/>
      <c r="AF146" s="625"/>
      <c r="AG146" s="625"/>
      <c r="AH146" s="619">
        <f t="shared" si="99"/>
        <v>1590</v>
      </c>
      <c r="AI146" s="555"/>
      <c r="AJ146" s="553">
        <f t="shared" si="84"/>
        <v>11</v>
      </c>
      <c r="AK146" s="554"/>
      <c r="AL146" s="555">
        <f t="shared" si="85"/>
        <v>1430</v>
      </c>
      <c r="AM146" s="556"/>
      <c r="AN146" s="608">
        <f t="shared" si="86"/>
        <v>34</v>
      </c>
      <c r="AO146" s="609"/>
      <c r="AP146" s="610">
        <f t="shared" si="87"/>
        <v>4490</v>
      </c>
      <c r="AQ146" s="610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55"/>
      <c r="B147" s="9"/>
      <c r="C147" s="510" t="s">
        <v>28</v>
      </c>
      <c r="D147" s="510"/>
      <c r="E147" s="510"/>
      <c r="F147" s="510"/>
      <c r="G147" s="510"/>
      <c r="H147" s="566"/>
      <c r="I147" s="624">
        <f t="shared" si="88"/>
        <v>3</v>
      </c>
      <c r="J147" s="617"/>
      <c r="K147" s="555">
        <f t="shared" si="89"/>
        <v>84</v>
      </c>
      <c r="L147" s="618"/>
      <c r="M147" s="617">
        <f t="shared" si="90"/>
        <v>4</v>
      </c>
      <c r="N147" s="617"/>
      <c r="O147" s="555">
        <f t="shared" si="91"/>
        <v>140</v>
      </c>
      <c r="P147" s="556"/>
      <c r="Q147" s="617">
        <f t="shared" si="92"/>
        <v>3</v>
      </c>
      <c r="R147" s="617"/>
      <c r="S147" s="555">
        <f t="shared" si="93"/>
        <v>105</v>
      </c>
      <c r="T147" s="556"/>
      <c r="U147" s="617">
        <f t="shared" si="94"/>
        <v>0</v>
      </c>
      <c r="V147" s="617"/>
      <c r="W147" s="619">
        <f t="shared" si="95"/>
        <v>0</v>
      </c>
      <c r="X147" s="619"/>
      <c r="Y147" s="626">
        <f t="shared" si="96"/>
        <v>4</v>
      </c>
      <c r="Z147" s="616"/>
      <c r="AA147" s="555">
        <f t="shared" si="97"/>
        <v>140</v>
      </c>
      <c r="AB147" s="623"/>
      <c r="AC147" s="625">
        <f t="shared" si="98"/>
        <v>6</v>
      </c>
      <c r="AD147" s="625"/>
      <c r="AE147" s="625"/>
      <c r="AF147" s="625"/>
      <c r="AG147" s="625"/>
      <c r="AH147" s="619">
        <f t="shared" si="99"/>
        <v>210</v>
      </c>
      <c r="AI147" s="555"/>
      <c r="AJ147" s="553">
        <f t="shared" si="84"/>
        <v>4</v>
      </c>
      <c r="AK147" s="554"/>
      <c r="AL147" s="555">
        <f t="shared" si="85"/>
        <v>120</v>
      </c>
      <c r="AM147" s="556"/>
      <c r="AN147" s="608">
        <f t="shared" si="86"/>
        <v>24</v>
      </c>
      <c r="AO147" s="609"/>
      <c r="AP147" s="610">
        <f t="shared" si="87"/>
        <v>799</v>
      </c>
      <c r="AQ147" s="610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55"/>
      <c r="B148" s="9"/>
      <c r="C148" s="510" t="s">
        <v>29</v>
      </c>
      <c r="D148" s="510"/>
      <c r="E148" s="510"/>
      <c r="F148" s="510"/>
      <c r="G148" s="510"/>
      <c r="H148" s="566"/>
      <c r="I148" s="624">
        <f t="shared" si="88"/>
        <v>0</v>
      </c>
      <c r="J148" s="617"/>
      <c r="K148" s="555">
        <f t="shared" si="89"/>
        <v>0</v>
      </c>
      <c r="L148" s="618"/>
      <c r="M148" s="617">
        <f t="shared" si="90"/>
        <v>0</v>
      </c>
      <c r="N148" s="617"/>
      <c r="O148" s="555">
        <f t="shared" si="91"/>
        <v>0</v>
      </c>
      <c r="P148" s="556"/>
      <c r="Q148" s="617">
        <f t="shared" si="92"/>
        <v>1</v>
      </c>
      <c r="R148" s="617"/>
      <c r="S148" s="555">
        <f t="shared" si="93"/>
        <v>135</v>
      </c>
      <c r="T148" s="556"/>
      <c r="U148" s="617">
        <f t="shared" si="94"/>
        <v>1</v>
      </c>
      <c r="V148" s="617"/>
      <c r="W148" s="619">
        <f t="shared" si="95"/>
        <v>135</v>
      </c>
      <c r="X148" s="619"/>
      <c r="Y148" s="626">
        <f t="shared" si="96"/>
        <v>6</v>
      </c>
      <c r="Z148" s="616"/>
      <c r="AA148" s="555">
        <f t="shared" si="97"/>
        <v>810</v>
      </c>
      <c r="AB148" s="623"/>
      <c r="AC148" s="625">
        <f t="shared" si="98"/>
        <v>13</v>
      </c>
      <c r="AD148" s="625"/>
      <c r="AE148" s="625"/>
      <c r="AF148" s="625"/>
      <c r="AG148" s="625"/>
      <c r="AH148" s="619">
        <f t="shared" si="99"/>
        <v>1730</v>
      </c>
      <c r="AI148" s="555"/>
      <c r="AJ148" s="553">
        <f t="shared" si="84"/>
        <v>5</v>
      </c>
      <c r="AK148" s="554"/>
      <c r="AL148" s="555">
        <f t="shared" si="85"/>
        <v>650</v>
      </c>
      <c r="AM148" s="556"/>
      <c r="AN148" s="608">
        <f t="shared" si="86"/>
        <v>26</v>
      </c>
      <c r="AO148" s="609"/>
      <c r="AP148" s="610">
        <f t="shared" si="87"/>
        <v>3460</v>
      </c>
      <c r="AQ148" s="610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55"/>
      <c r="B149" s="9"/>
      <c r="C149" s="510" t="s">
        <v>161</v>
      </c>
      <c r="D149" s="510"/>
      <c r="E149" s="510"/>
      <c r="F149" s="510"/>
      <c r="G149" s="510"/>
      <c r="H149" s="566"/>
      <c r="I149" s="624">
        <f t="shared" si="88"/>
        <v>0</v>
      </c>
      <c r="J149" s="617"/>
      <c r="K149" s="555">
        <f t="shared" si="89"/>
        <v>0</v>
      </c>
      <c r="L149" s="618"/>
      <c r="M149" s="617">
        <f t="shared" si="90"/>
        <v>0</v>
      </c>
      <c r="N149" s="617"/>
      <c r="O149" s="555">
        <f t="shared" si="91"/>
        <v>0</v>
      </c>
      <c r="P149" s="556"/>
      <c r="Q149" s="617">
        <f t="shared" si="92"/>
        <v>0</v>
      </c>
      <c r="R149" s="617"/>
      <c r="S149" s="555">
        <f t="shared" si="93"/>
        <v>0</v>
      </c>
      <c r="T149" s="556"/>
      <c r="U149" s="617">
        <f t="shared" si="94"/>
        <v>0</v>
      </c>
      <c r="V149" s="617"/>
      <c r="W149" s="619">
        <f t="shared" si="95"/>
        <v>0</v>
      </c>
      <c r="X149" s="619"/>
      <c r="Y149" s="626">
        <f t="shared" si="96"/>
        <v>2</v>
      </c>
      <c r="Z149" s="616"/>
      <c r="AA149" s="555">
        <f t="shared" si="97"/>
        <v>70</v>
      </c>
      <c r="AB149" s="623"/>
      <c r="AC149" s="625">
        <f t="shared" si="98"/>
        <v>6</v>
      </c>
      <c r="AD149" s="625"/>
      <c r="AE149" s="625"/>
      <c r="AF149" s="625"/>
      <c r="AG149" s="625"/>
      <c r="AH149" s="619">
        <f t="shared" si="99"/>
        <v>210</v>
      </c>
      <c r="AI149" s="555"/>
      <c r="AJ149" s="553">
        <f t="shared" si="84"/>
        <v>3</v>
      </c>
      <c r="AK149" s="554"/>
      <c r="AL149" s="555">
        <f t="shared" si="85"/>
        <v>90</v>
      </c>
      <c r="AM149" s="556"/>
      <c r="AN149" s="608">
        <f t="shared" si="86"/>
        <v>11</v>
      </c>
      <c r="AO149" s="609"/>
      <c r="AP149" s="610">
        <f t="shared" si="87"/>
        <v>370</v>
      </c>
      <c r="AQ149" s="610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55"/>
      <c r="B150" s="9"/>
      <c r="C150" s="510" t="s">
        <v>30</v>
      </c>
      <c r="D150" s="510"/>
      <c r="E150" s="510"/>
      <c r="F150" s="510"/>
      <c r="G150" s="510"/>
      <c r="H150" s="566"/>
      <c r="I150" s="624">
        <f t="shared" si="88"/>
        <v>0</v>
      </c>
      <c r="J150" s="617"/>
      <c r="K150" s="555">
        <f t="shared" si="89"/>
        <v>0</v>
      </c>
      <c r="L150" s="618"/>
      <c r="M150" s="617">
        <f t="shared" si="90"/>
        <v>6</v>
      </c>
      <c r="N150" s="617"/>
      <c r="O150" s="555">
        <f t="shared" si="91"/>
        <v>810</v>
      </c>
      <c r="P150" s="556"/>
      <c r="Q150" s="617">
        <f t="shared" si="92"/>
        <v>0</v>
      </c>
      <c r="R150" s="617"/>
      <c r="S150" s="555">
        <f t="shared" si="93"/>
        <v>0</v>
      </c>
      <c r="T150" s="556"/>
      <c r="U150" s="617">
        <f t="shared" si="94"/>
        <v>0</v>
      </c>
      <c r="V150" s="617"/>
      <c r="W150" s="619">
        <f t="shared" si="95"/>
        <v>0</v>
      </c>
      <c r="X150" s="619"/>
      <c r="Y150" s="626">
        <f t="shared" si="96"/>
        <v>3</v>
      </c>
      <c r="Z150" s="616"/>
      <c r="AA150" s="555">
        <f t="shared" si="97"/>
        <v>405</v>
      </c>
      <c r="AB150" s="623"/>
      <c r="AC150" s="625">
        <f t="shared" si="98"/>
        <v>5</v>
      </c>
      <c r="AD150" s="625"/>
      <c r="AE150" s="625"/>
      <c r="AF150" s="625"/>
      <c r="AG150" s="625"/>
      <c r="AH150" s="619">
        <f t="shared" si="99"/>
        <v>660</v>
      </c>
      <c r="AI150" s="555"/>
      <c r="AJ150" s="553">
        <f t="shared" si="84"/>
        <v>2</v>
      </c>
      <c r="AK150" s="554"/>
      <c r="AL150" s="555">
        <f t="shared" si="85"/>
        <v>260</v>
      </c>
      <c r="AM150" s="556"/>
      <c r="AN150" s="608">
        <f t="shared" si="86"/>
        <v>16</v>
      </c>
      <c r="AO150" s="609"/>
      <c r="AP150" s="610">
        <f t="shared" si="87"/>
        <v>2135</v>
      </c>
      <c r="AQ150" s="610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55"/>
      <c r="B151" s="9"/>
      <c r="C151" s="510" t="s">
        <v>31</v>
      </c>
      <c r="D151" s="510"/>
      <c r="E151" s="510"/>
      <c r="F151" s="510"/>
      <c r="G151" s="510"/>
      <c r="H151" s="566"/>
      <c r="I151" s="624">
        <f t="shared" si="88"/>
        <v>1</v>
      </c>
      <c r="J151" s="617"/>
      <c r="K151" s="555">
        <f t="shared" si="89"/>
        <v>35</v>
      </c>
      <c r="L151" s="618"/>
      <c r="M151" s="617">
        <f t="shared" si="90"/>
        <v>3</v>
      </c>
      <c r="N151" s="617"/>
      <c r="O151" s="555">
        <f t="shared" si="91"/>
        <v>105</v>
      </c>
      <c r="P151" s="556"/>
      <c r="Q151" s="617">
        <f t="shared" si="92"/>
        <v>0</v>
      </c>
      <c r="R151" s="617"/>
      <c r="S151" s="555">
        <f t="shared" si="93"/>
        <v>0</v>
      </c>
      <c r="T151" s="556"/>
      <c r="U151" s="617">
        <f t="shared" si="94"/>
        <v>0</v>
      </c>
      <c r="V151" s="617"/>
      <c r="W151" s="619">
        <f t="shared" si="95"/>
        <v>0</v>
      </c>
      <c r="X151" s="619"/>
      <c r="Y151" s="626">
        <f t="shared" si="96"/>
        <v>0</v>
      </c>
      <c r="Z151" s="616"/>
      <c r="AA151" s="555">
        <f t="shared" si="97"/>
        <v>0</v>
      </c>
      <c r="AB151" s="623"/>
      <c r="AC151" s="625">
        <f t="shared" si="98"/>
        <v>4</v>
      </c>
      <c r="AD151" s="625"/>
      <c r="AE151" s="625"/>
      <c r="AF151" s="625"/>
      <c r="AG151" s="625"/>
      <c r="AH151" s="619">
        <f t="shared" si="99"/>
        <v>140</v>
      </c>
      <c r="AI151" s="555"/>
      <c r="AJ151" s="553">
        <f t="shared" si="84"/>
        <v>0</v>
      </c>
      <c r="AK151" s="554"/>
      <c r="AL151" s="555">
        <f t="shared" si="85"/>
        <v>0</v>
      </c>
      <c r="AM151" s="556"/>
      <c r="AN151" s="608">
        <f t="shared" si="86"/>
        <v>8</v>
      </c>
      <c r="AO151" s="609"/>
      <c r="AP151" s="610">
        <f t="shared" si="87"/>
        <v>280</v>
      </c>
      <c r="AQ151" s="610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55"/>
      <c r="B152" s="9"/>
      <c r="C152" s="510" t="s">
        <v>32</v>
      </c>
      <c r="D152" s="510"/>
      <c r="E152" s="510"/>
      <c r="F152" s="510"/>
      <c r="G152" s="510"/>
      <c r="H152" s="566"/>
      <c r="I152" s="624">
        <f t="shared" si="88"/>
        <v>0</v>
      </c>
      <c r="J152" s="617"/>
      <c r="K152" s="555">
        <f t="shared" si="89"/>
        <v>0</v>
      </c>
      <c r="L152" s="618"/>
      <c r="M152" s="617">
        <f t="shared" si="90"/>
        <v>0</v>
      </c>
      <c r="N152" s="617"/>
      <c r="O152" s="555">
        <f t="shared" si="91"/>
        <v>0</v>
      </c>
      <c r="P152" s="556"/>
      <c r="Q152" s="617">
        <f t="shared" si="92"/>
        <v>0</v>
      </c>
      <c r="R152" s="617"/>
      <c r="S152" s="555">
        <f t="shared" si="93"/>
        <v>0</v>
      </c>
      <c r="T152" s="556"/>
      <c r="U152" s="617">
        <f t="shared" si="94"/>
        <v>10</v>
      </c>
      <c r="V152" s="617"/>
      <c r="W152" s="619">
        <f t="shared" si="95"/>
        <v>180</v>
      </c>
      <c r="X152" s="619"/>
      <c r="Y152" s="626">
        <f t="shared" si="96"/>
        <v>0</v>
      </c>
      <c r="Z152" s="616"/>
      <c r="AA152" s="555">
        <f t="shared" si="97"/>
        <v>0</v>
      </c>
      <c r="AB152" s="623"/>
      <c r="AC152" s="625">
        <f t="shared" si="98"/>
        <v>9</v>
      </c>
      <c r="AD152" s="625"/>
      <c r="AE152" s="625"/>
      <c r="AF152" s="625"/>
      <c r="AG152" s="625"/>
      <c r="AH152" s="619">
        <f t="shared" si="99"/>
        <v>160</v>
      </c>
      <c r="AI152" s="555"/>
      <c r="AJ152" s="553">
        <f t="shared" si="84"/>
        <v>1</v>
      </c>
      <c r="AK152" s="554"/>
      <c r="AL152" s="555">
        <f t="shared" si="85"/>
        <v>15</v>
      </c>
      <c r="AM152" s="556"/>
      <c r="AN152" s="608">
        <f t="shared" si="86"/>
        <v>20</v>
      </c>
      <c r="AO152" s="609"/>
      <c r="AP152" s="610">
        <f t="shared" si="87"/>
        <v>355</v>
      </c>
      <c r="AQ152" s="610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55"/>
      <c r="B153" s="9"/>
      <c r="C153" s="510" t="s">
        <v>33</v>
      </c>
      <c r="D153" s="510"/>
      <c r="E153" s="510"/>
      <c r="F153" s="510"/>
      <c r="G153" s="510"/>
      <c r="H153" s="566"/>
      <c r="I153" s="624">
        <f t="shared" si="88"/>
        <v>0</v>
      </c>
      <c r="J153" s="617"/>
      <c r="K153" s="555">
        <f t="shared" si="89"/>
        <v>0</v>
      </c>
      <c r="L153" s="618"/>
      <c r="M153" s="617">
        <f t="shared" si="90"/>
        <v>0</v>
      </c>
      <c r="N153" s="617"/>
      <c r="O153" s="555">
        <f t="shared" si="91"/>
        <v>0</v>
      </c>
      <c r="P153" s="556"/>
      <c r="Q153" s="617">
        <f t="shared" si="92"/>
        <v>0</v>
      </c>
      <c r="R153" s="617"/>
      <c r="S153" s="555">
        <f t="shared" si="93"/>
        <v>0</v>
      </c>
      <c r="T153" s="556"/>
      <c r="U153" s="617">
        <f t="shared" si="94"/>
        <v>10</v>
      </c>
      <c r="V153" s="617"/>
      <c r="W153" s="619">
        <f t="shared" si="95"/>
        <v>170</v>
      </c>
      <c r="X153" s="619"/>
      <c r="Y153" s="626">
        <f t="shared" si="96"/>
        <v>0</v>
      </c>
      <c r="Z153" s="616"/>
      <c r="AA153" s="555">
        <f t="shared" si="97"/>
        <v>0</v>
      </c>
      <c r="AB153" s="623"/>
      <c r="AC153" s="625">
        <f t="shared" si="98"/>
        <v>0</v>
      </c>
      <c r="AD153" s="625"/>
      <c r="AE153" s="625"/>
      <c r="AF153" s="625"/>
      <c r="AG153" s="625"/>
      <c r="AH153" s="619">
        <f t="shared" si="99"/>
        <v>0</v>
      </c>
      <c r="AI153" s="555"/>
      <c r="AJ153" s="553">
        <f t="shared" si="84"/>
        <v>0</v>
      </c>
      <c r="AK153" s="554"/>
      <c r="AL153" s="555">
        <f t="shared" si="85"/>
        <v>0</v>
      </c>
      <c r="AM153" s="556"/>
      <c r="AN153" s="608">
        <f t="shared" si="86"/>
        <v>10</v>
      </c>
      <c r="AO153" s="609"/>
      <c r="AP153" s="610">
        <f t="shared" si="87"/>
        <v>170</v>
      </c>
      <c r="AQ153" s="610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55"/>
      <c r="B154" s="9"/>
      <c r="C154" s="510" t="s">
        <v>34</v>
      </c>
      <c r="D154" s="510"/>
      <c r="E154" s="510"/>
      <c r="F154" s="510"/>
      <c r="G154" s="510"/>
      <c r="H154" s="566"/>
      <c r="I154" s="624">
        <f t="shared" si="88"/>
        <v>0</v>
      </c>
      <c r="J154" s="617"/>
      <c r="K154" s="555">
        <f t="shared" si="89"/>
        <v>0</v>
      </c>
      <c r="L154" s="618"/>
      <c r="M154" s="617">
        <f t="shared" si="90"/>
        <v>3</v>
      </c>
      <c r="N154" s="617"/>
      <c r="O154" s="555">
        <f t="shared" si="91"/>
        <v>51</v>
      </c>
      <c r="P154" s="556"/>
      <c r="Q154" s="617">
        <f t="shared" si="92"/>
        <v>0</v>
      </c>
      <c r="R154" s="617"/>
      <c r="S154" s="555">
        <f t="shared" si="93"/>
        <v>0</v>
      </c>
      <c r="T154" s="556"/>
      <c r="U154" s="617">
        <f t="shared" si="94"/>
        <v>7</v>
      </c>
      <c r="V154" s="617"/>
      <c r="W154" s="619">
        <f t="shared" si="95"/>
        <v>119</v>
      </c>
      <c r="X154" s="619"/>
      <c r="Y154" s="626">
        <f t="shared" si="96"/>
        <v>0</v>
      </c>
      <c r="Z154" s="616"/>
      <c r="AA154" s="555">
        <f t="shared" si="97"/>
        <v>0</v>
      </c>
      <c r="AB154" s="623"/>
      <c r="AC154" s="625">
        <f t="shared" si="98"/>
        <v>0</v>
      </c>
      <c r="AD154" s="625"/>
      <c r="AE154" s="625"/>
      <c r="AF154" s="625"/>
      <c r="AG154" s="625"/>
      <c r="AH154" s="619">
        <f t="shared" si="99"/>
        <v>0</v>
      </c>
      <c r="AI154" s="555"/>
      <c r="AJ154" s="553">
        <f t="shared" si="84"/>
        <v>0</v>
      </c>
      <c r="AK154" s="554"/>
      <c r="AL154" s="555">
        <f t="shared" si="85"/>
        <v>0</v>
      </c>
      <c r="AM154" s="556"/>
      <c r="AN154" s="608">
        <f t="shared" si="86"/>
        <v>10</v>
      </c>
      <c r="AO154" s="609"/>
      <c r="AP154" s="610">
        <f t="shared" si="87"/>
        <v>170</v>
      </c>
      <c r="AQ154" s="610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55"/>
      <c r="B155" s="9"/>
      <c r="C155" s="510" t="s">
        <v>35</v>
      </c>
      <c r="D155" s="510"/>
      <c r="E155" s="510"/>
      <c r="F155" s="510"/>
      <c r="G155" s="510"/>
      <c r="H155" s="566"/>
      <c r="I155" s="624">
        <f t="shared" si="88"/>
        <v>2</v>
      </c>
      <c r="J155" s="617"/>
      <c r="K155" s="555">
        <f t="shared" si="89"/>
        <v>14</v>
      </c>
      <c r="L155" s="618"/>
      <c r="M155" s="617">
        <f t="shared" si="90"/>
        <v>3</v>
      </c>
      <c r="N155" s="617"/>
      <c r="O155" s="555">
        <f t="shared" si="91"/>
        <v>21</v>
      </c>
      <c r="P155" s="556"/>
      <c r="Q155" s="617">
        <f t="shared" si="92"/>
        <v>0</v>
      </c>
      <c r="R155" s="617"/>
      <c r="S155" s="555">
        <f t="shared" si="93"/>
        <v>0</v>
      </c>
      <c r="T155" s="556"/>
      <c r="U155" s="617">
        <f t="shared" si="94"/>
        <v>5</v>
      </c>
      <c r="V155" s="617"/>
      <c r="W155" s="619">
        <f t="shared" si="95"/>
        <v>35</v>
      </c>
      <c r="X155" s="619"/>
      <c r="Y155" s="626">
        <f t="shared" si="96"/>
        <v>1</v>
      </c>
      <c r="Z155" s="616"/>
      <c r="AA155" s="555">
        <f t="shared" si="97"/>
        <v>7</v>
      </c>
      <c r="AB155" s="623"/>
      <c r="AC155" s="625">
        <f t="shared" si="98"/>
        <v>4</v>
      </c>
      <c r="AD155" s="625"/>
      <c r="AE155" s="625"/>
      <c r="AF155" s="625"/>
      <c r="AG155" s="625"/>
      <c r="AH155" s="619">
        <f t="shared" si="99"/>
        <v>28</v>
      </c>
      <c r="AI155" s="555"/>
      <c r="AJ155" s="553">
        <f t="shared" si="84"/>
        <v>0</v>
      </c>
      <c r="AK155" s="554"/>
      <c r="AL155" s="555">
        <f t="shared" si="85"/>
        <v>0</v>
      </c>
      <c r="AM155" s="556"/>
      <c r="AN155" s="608">
        <f t="shared" si="86"/>
        <v>15</v>
      </c>
      <c r="AO155" s="609"/>
      <c r="AP155" s="610">
        <f t="shared" si="87"/>
        <v>105</v>
      </c>
      <c r="AQ155" s="610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55"/>
      <c r="B156" s="9"/>
      <c r="C156" s="510" t="s">
        <v>36</v>
      </c>
      <c r="D156" s="510"/>
      <c r="E156" s="510"/>
      <c r="F156" s="510"/>
      <c r="G156" s="510"/>
      <c r="H156" s="566"/>
      <c r="I156" s="624">
        <f t="shared" si="88"/>
        <v>0</v>
      </c>
      <c r="J156" s="617"/>
      <c r="K156" s="555">
        <f t="shared" si="89"/>
        <v>0</v>
      </c>
      <c r="L156" s="618"/>
      <c r="M156" s="617">
        <f t="shared" si="90"/>
        <v>0</v>
      </c>
      <c r="N156" s="617"/>
      <c r="O156" s="555">
        <f t="shared" si="91"/>
        <v>0</v>
      </c>
      <c r="P156" s="556"/>
      <c r="Q156" s="617">
        <f t="shared" si="92"/>
        <v>0</v>
      </c>
      <c r="R156" s="617"/>
      <c r="S156" s="555">
        <f t="shared" si="93"/>
        <v>0</v>
      </c>
      <c r="T156" s="556"/>
      <c r="U156" s="617">
        <f t="shared" si="94"/>
        <v>22</v>
      </c>
      <c r="V156" s="617"/>
      <c r="W156" s="619">
        <f t="shared" si="95"/>
        <v>154</v>
      </c>
      <c r="X156" s="619"/>
      <c r="Y156" s="626">
        <f t="shared" si="96"/>
        <v>0</v>
      </c>
      <c r="Z156" s="616"/>
      <c r="AA156" s="555">
        <f t="shared" si="97"/>
        <v>0</v>
      </c>
      <c r="AB156" s="623"/>
      <c r="AC156" s="625">
        <f t="shared" si="98"/>
        <v>5</v>
      </c>
      <c r="AD156" s="625"/>
      <c r="AE156" s="625"/>
      <c r="AF156" s="625"/>
      <c r="AG156" s="625"/>
      <c r="AH156" s="619">
        <f t="shared" si="99"/>
        <v>35</v>
      </c>
      <c r="AI156" s="555"/>
      <c r="AJ156" s="553">
        <f t="shared" si="84"/>
        <v>1</v>
      </c>
      <c r="AK156" s="554"/>
      <c r="AL156" s="555">
        <f t="shared" si="85"/>
        <v>7</v>
      </c>
      <c r="AM156" s="556"/>
      <c r="AN156" s="608">
        <f t="shared" si="86"/>
        <v>28</v>
      </c>
      <c r="AO156" s="609"/>
      <c r="AP156" s="610">
        <f t="shared" si="87"/>
        <v>196</v>
      </c>
      <c r="AQ156" s="610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55"/>
      <c r="B157" s="9"/>
      <c r="C157" s="510" t="s">
        <v>37</v>
      </c>
      <c r="D157" s="510"/>
      <c r="E157" s="510"/>
      <c r="F157" s="510"/>
      <c r="G157" s="510"/>
      <c r="H157" s="566"/>
      <c r="I157" s="624">
        <f t="shared" si="88"/>
        <v>0</v>
      </c>
      <c r="J157" s="617"/>
      <c r="K157" s="555">
        <f t="shared" si="89"/>
        <v>0</v>
      </c>
      <c r="L157" s="618"/>
      <c r="M157" s="617">
        <f t="shared" si="90"/>
        <v>0</v>
      </c>
      <c r="N157" s="617"/>
      <c r="O157" s="555">
        <f t="shared" si="91"/>
        <v>0</v>
      </c>
      <c r="P157" s="556"/>
      <c r="Q157" s="617">
        <f t="shared" si="92"/>
        <v>0</v>
      </c>
      <c r="R157" s="617"/>
      <c r="S157" s="555">
        <f t="shared" si="93"/>
        <v>0</v>
      </c>
      <c r="T157" s="556"/>
      <c r="U157" s="617">
        <f t="shared" si="94"/>
        <v>10</v>
      </c>
      <c r="V157" s="617"/>
      <c r="W157" s="619">
        <f t="shared" si="95"/>
        <v>90</v>
      </c>
      <c r="X157" s="619"/>
      <c r="Y157" s="626">
        <f t="shared" si="96"/>
        <v>0</v>
      </c>
      <c r="Z157" s="616"/>
      <c r="AA157" s="555">
        <f t="shared" si="97"/>
        <v>0</v>
      </c>
      <c r="AB157" s="623"/>
      <c r="AC157" s="625">
        <f t="shared" si="98"/>
        <v>0</v>
      </c>
      <c r="AD157" s="625"/>
      <c r="AE157" s="625"/>
      <c r="AF157" s="625"/>
      <c r="AG157" s="625"/>
      <c r="AH157" s="619">
        <f t="shared" si="99"/>
        <v>0</v>
      </c>
      <c r="AI157" s="555"/>
      <c r="AJ157" s="553">
        <f t="shared" si="84"/>
        <v>0</v>
      </c>
      <c r="AK157" s="554"/>
      <c r="AL157" s="555">
        <f t="shared" si="85"/>
        <v>0</v>
      </c>
      <c r="AM157" s="556"/>
      <c r="AN157" s="608">
        <f t="shared" si="86"/>
        <v>10</v>
      </c>
      <c r="AO157" s="609"/>
      <c r="AP157" s="610">
        <f t="shared" si="87"/>
        <v>90</v>
      </c>
      <c r="AQ157" s="610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55"/>
      <c r="B158" s="9"/>
      <c r="C158" s="510" t="s">
        <v>38</v>
      </c>
      <c r="D158" s="510"/>
      <c r="E158" s="510"/>
      <c r="F158" s="510"/>
      <c r="G158" s="510"/>
      <c r="H158" s="566"/>
      <c r="I158" s="624">
        <f t="shared" si="88"/>
        <v>0</v>
      </c>
      <c r="J158" s="617"/>
      <c r="K158" s="555">
        <f t="shared" si="89"/>
        <v>0</v>
      </c>
      <c r="L158" s="618"/>
      <c r="M158" s="617">
        <f t="shared" si="90"/>
        <v>0</v>
      </c>
      <c r="N158" s="617"/>
      <c r="O158" s="555">
        <f t="shared" si="91"/>
        <v>0</v>
      </c>
      <c r="P158" s="556"/>
      <c r="Q158" s="617">
        <f t="shared" si="92"/>
        <v>1</v>
      </c>
      <c r="R158" s="617"/>
      <c r="S158" s="555">
        <f t="shared" si="93"/>
        <v>13</v>
      </c>
      <c r="T158" s="556"/>
      <c r="U158" s="617">
        <f t="shared" si="94"/>
        <v>8</v>
      </c>
      <c r="V158" s="617"/>
      <c r="W158" s="619">
        <f t="shared" si="95"/>
        <v>104</v>
      </c>
      <c r="X158" s="619"/>
      <c r="Y158" s="626">
        <f t="shared" si="96"/>
        <v>0</v>
      </c>
      <c r="Z158" s="616"/>
      <c r="AA158" s="555">
        <f t="shared" si="97"/>
        <v>0</v>
      </c>
      <c r="AB158" s="623"/>
      <c r="AC158" s="625">
        <f t="shared" si="98"/>
        <v>0</v>
      </c>
      <c r="AD158" s="625"/>
      <c r="AE158" s="625"/>
      <c r="AF158" s="625"/>
      <c r="AG158" s="625"/>
      <c r="AH158" s="619">
        <f t="shared" si="99"/>
        <v>0</v>
      </c>
      <c r="AI158" s="555"/>
      <c r="AJ158" s="553">
        <f t="shared" si="84"/>
        <v>1</v>
      </c>
      <c r="AK158" s="554"/>
      <c r="AL158" s="555">
        <f t="shared" si="85"/>
        <v>13</v>
      </c>
      <c r="AM158" s="556"/>
      <c r="AN158" s="608">
        <f t="shared" si="86"/>
        <v>10</v>
      </c>
      <c r="AO158" s="609"/>
      <c r="AP158" s="610">
        <f t="shared" si="87"/>
        <v>130</v>
      </c>
      <c r="AQ158" s="610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55"/>
      <c r="B159" s="9"/>
      <c r="C159" s="510" t="s">
        <v>39</v>
      </c>
      <c r="D159" s="510"/>
      <c r="E159" s="510"/>
      <c r="F159" s="510"/>
      <c r="G159" s="510"/>
      <c r="H159" s="566"/>
      <c r="I159" s="624">
        <f t="shared" si="88"/>
        <v>0</v>
      </c>
      <c r="J159" s="617"/>
      <c r="K159" s="555">
        <f t="shared" si="89"/>
        <v>0</v>
      </c>
      <c r="L159" s="618"/>
      <c r="M159" s="617">
        <f t="shared" si="90"/>
        <v>0</v>
      </c>
      <c r="N159" s="617"/>
      <c r="O159" s="555">
        <f t="shared" si="91"/>
        <v>0</v>
      </c>
      <c r="P159" s="556"/>
      <c r="Q159" s="617">
        <f t="shared" si="92"/>
        <v>0</v>
      </c>
      <c r="R159" s="617"/>
      <c r="S159" s="555">
        <f t="shared" si="93"/>
        <v>0</v>
      </c>
      <c r="T159" s="556"/>
      <c r="U159" s="617">
        <f t="shared" si="94"/>
        <v>9</v>
      </c>
      <c r="V159" s="617"/>
      <c r="W159" s="619">
        <f t="shared" si="95"/>
        <v>162</v>
      </c>
      <c r="X159" s="619"/>
      <c r="Y159" s="626">
        <f t="shared" si="96"/>
        <v>0</v>
      </c>
      <c r="Z159" s="616"/>
      <c r="AA159" s="555">
        <f t="shared" si="97"/>
        <v>0</v>
      </c>
      <c r="AB159" s="623"/>
      <c r="AC159" s="625">
        <f t="shared" si="98"/>
        <v>1</v>
      </c>
      <c r="AD159" s="625"/>
      <c r="AE159" s="625"/>
      <c r="AF159" s="625"/>
      <c r="AG159" s="625"/>
      <c r="AH159" s="619">
        <f t="shared" si="99"/>
        <v>18</v>
      </c>
      <c r="AI159" s="555"/>
      <c r="AJ159" s="553">
        <f t="shared" si="84"/>
        <v>0</v>
      </c>
      <c r="AK159" s="554"/>
      <c r="AL159" s="555">
        <f t="shared" si="85"/>
        <v>0</v>
      </c>
      <c r="AM159" s="556"/>
      <c r="AN159" s="608">
        <f t="shared" si="86"/>
        <v>10</v>
      </c>
      <c r="AO159" s="609"/>
      <c r="AP159" s="610">
        <f t="shared" si="87"/>
        <v>180</v>
      </c>
      <c r="AQ159" s="610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55"/>
      <c r="B160" s="9"/>
      <c r="C160" s="510" t="s">
        <v>48</v>
      </c>
      <c r="D160" s="510"/>
      <c r="E160" s="510"/>
      <c r="F160" s="510"/>
      <c r="G160" s="510"/>
      <c r="H160" s="566"/>
      <c r="I160" s="624">
        <f t="shared" si="88"/>
        <v>0</v>
      </c>
      <c r="J160" s="617"/>
      <c r="K160" s="555">
        <f t="shared" si="89"/>
        <v>0</v>
      </c>
      <c r="L160" s="618"/>
      <c r="M160" s="617">
        <f t="shared" si="90"/>
        <v>0</v>
      </c>
      <c r="N160" s="617"/>
      <c r="O160" s="555">
        <f t="shared" si="91"/>
        <v>0</v>
      </c>
      <c r="P160" s="556"/>
      <c r="Q160" s="617">
        <f t="shared" si="92"/>
        <v>0</v>
      </c>
      <c r="R160" s="617"/>
      <c r="S160" s="555">
        <f t="shared" si="93"/>
        <v>0</v>
      </c>
      <c r="T160" s="556"/>
      <c r="U160" s="617">
        <f t="shared" si="94"/>
        <v>1</v>
      </c>
      <c r="V160" s="617"/>
      <c r="W160" s="619">
        <f t="shared" si="95"/>
        <v>100</v>
      </c>
      <c r="X160" s="619"/>
      <c r="Y160" s="626">
        <f t="shared" si="96"/>
        <v>0</v>
      </c>
      <c r="Z160" s="616"/>
      <c r="AA160" s="555">
        <f t="shared" si="97"/>
        <v>0</v>
      </c>
      <c r="AB160" s="623"/>
      <c r="AC160" s="625">
        <f t="shared" si="98"/>
        <v>0</v>
      </c>
      <c r="AD160" s="625"/>
      <c r="AE160" s="625"/>
      <c r="AF160" s="625"/>
      <c r="AG160" s="625"/>
      <c r="AH160" s="619">
        <f t="shared" si="99"/>
        <v>0</v>
      </c>
      <c r="AI160" s="555"/>
      <c r="AJ160" s="553">
        <f t="shared" si="84"/>
        <v>0</v>
      </c>
      <c r="AK160" s="554"/>
      <c r="AL160" s="555">
        <f t="shared" si="85"/>
        <v>0</v>
      </c>
      <c r="AM160" s="556"/>
      <c r="AN160" s="608">
        <f t="shared" si="86"/>
        <v>1</v>
      </c>
      <c r="AO160" s="609"/>
      <c r="AP160" s="610">
        <f t="shared" si="87"/>
        <v>100</v>
      </c>
      <c r="AQ160" s="610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55"/>
      <c r="B161" s="9"/>
      <c r="C161" s="510" t="s">
        <v>40</v>
      </c>
      <c r="D161" s="510"/>
      <c r="E161" s="510"/>
      <c r="F161" s="510"/>
      <c r="G161" s="510"/>
      <c r="H161" s="566"/>
      <c r="I161" s="624">
        <f t="shared" si="88"/>
        <v>0</v>
      </c>
      <c r="J161" s="617"/>
      <c r="K161" s="555">
        <f t="shared" si="89"/>
        <v>0</v>
      </c>
      <c r="L161" s="618"/>
      <c r="M161" s="617">
        <f t="shared" si="90"/>
        <v>0</v>
      </c>
      <c r="N161" s="617"/>
      <c r="O161" s="555">
        <f t="shared" si="91"/>
        <v>0</v>
      </c>
      <c r="P161" s="556"/>
      <c r="Q161" s="617">
        <f t="shared" si="92"/>
        <v>0</v>
      </c>
      <c r="R161" s="617"/>
      <c r="S161" s="555">
        <f t="shared" si="93"/>
        <v>0</v>
      </c>
      <c r="T161" s="556"/>
      <c r="U161" s="617">
        <f t="shared" si="94"/>
        <v>1</v>
      </c>
      <c r="V161" s="617"/>
      <c r="W161" s="619">
        <f t="shared" si="95"/>
        <v>90</v>
      </c>
      <c r="X161" s="619"/>
      <c r="Y161" s="626">
        <f t="shared" si="96"/>
        <v>0</v>
      </c>
      <c r="Z161" s="616"/>
      <c r="AA161" s="555">
        <f t="shared" si="97"/>
        <v>0</v>
      </c>
      <c r="AB161" s="623"/>
      <c r="AC161" s="625">
        <f t="shared" si="98"/>
        <v>0</v>
      </c>
      <c r="AD161" s="625"/>
      <c r="AE161" s="625"/>
      <c r="AF161" s="625"/>
      <c r="AG161" s="625"/>
      <c r="AH161" s="619">
        <f t="shared" si="99"/>
        <v>0</v>
      </c>
      <c r="AI161" s="555"/>
      <c r="AJ161" s="553">
        <f t="shared" si="84"/>
        <v>0</v>
      </c>
      <c r="AK161" s="554"/>
      <c r="AL161" s="555">
        <f t="shared" si="85"/>
        <v>0</v>
      </c>
      <c r="AM161" s="556"/>
      <c r="AN161" s="608">
        <f t="shared" si="86"/>
        <v>1</v>
      </c>
      <c r="AO161" s="609"/>
      <c r="AP161" s="610">
        <f t="shared" si="87"/>
        <v>90</v>
      </c>
      <c r="AQ161" s="610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55"/>
      <c r="B162" s="9"/>
      <c r="C162" s="510" t="s">
        <v>41</v>
      </c>
      <c r="D162" s="510"/>
      <c r="E162" s="510"/>
      <c r="F162" s="510"/>
      <c r="G162" s="510"/>
      <c r="H162" s="566"/>
      <c r="I162" s="624">
        <f t="shared" si="88"/>
        <v>0</v>
      </c>
      <c r="J162" s="617"/>
      <c r="K162" s="555">
        <f t="shared" si="89"/>
        <v>0</v>
      </c>
      <c r="L162" s="618"/>
      <c r="M162" s="617">
        <f t="shared" si="90"/>
        <v>9</v>
      </c>
      <c r="N162" s="617"/>
      <c r="O162" s="555">
        <f t="shared" si="91"/>
        <v>54</v>
      </c>
      <c r="P162" s="556"/>
      <c r="Q162" s="617">
        <f t="shared" si="92"/>
        <v>0</v>
      </c>
      <c r="R162" s="617"/>
      <c r="S162" s="555">
        <f t="shared" si="93"/>
        <v>0</v>
      </c>
      <c r="T162" s="556"/>
      <c r="U162" s="617">
        <f t="shared" si="94"/>
        <v>12</v>
      </c>
      <c r="V162" s="617"/>
      <c r="W162" s="619">
        <f t="shared" si="95"/>
        <v>72</v>
      </c>
      <c r="X162" s="619"/>
      <c r="Y162" s="626">
        <f t="shared" si="96"/>
        <v>17</v>
      </c>
      <c r="Z162" s="616"/>
      <c r="AA162" s="555">
        <f t="shared" si="97"/>
        <v>126.9</v>
      </c>
      <c r="AB162" s="623"/>
      <c r="AC162" s="625">
        <f t="shared" si="98"/>
        <v>13</v>
      </c>
      <c r="AD162" s="625"/>
      <c r="AE162" s="625"/>
      <c r="AF162" s="625"/>
      <c r="AG162" s="625"/>
      <c r="AH162" s="619">
        <f t="shared" si="99"/>
        <v>117</v>
      </c>
      <c r="AI162" s="555"/>
      <c r="AJ162" s="553">
        <f t="shared" si="84"/>
        <v>0</v>
      </c>
      <c r="AK162" s="554"/>
      <c r="AL162" s="555">
        <f t="shared" si="85"/>
        <v>0</v>
      </c>
      <c r="AM162" s="556"/>
      <c r="AN162" s="608">
        <f t="shared" si="86"/>
        <v>51</v>
      </c>
      <c r="AO162" s="609"/>
      <c r="AP162" s="610">
        <f t="shared" si="87"/>
        <v>369.9</v>
      </c>
      <c r="AQ162" s="610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55"/>
      <c r="B163" s="9"/>
      <c r="C163" s="510" t="s">
        <v>42</v>
      </c>
      <c r="D163" s="510"/>
      <c r="E163" s="510"/>
      <c r="F163" s="510"/>
      <c r="G163" s="510"/>
      <c r="H163" s="566"/>
      <c r="I163" s="624">
        <f t="shared" si="88"/>
        <v>0</v>
      </c>
      <c r="J163" s="617"/>
      <c r="K163" s="555">
        <f t="shared" si="89"/>
        <v>0</v>
      </c>
      <c r="L163" s="618"/>
      <c r="M163" s="617">
        <f t="shared" si="90"/>
        <v>3</v>
      </c>
      <c r="N163" s="617"/>
      <c r="O163" s="555">
        <f t="shared" si="91"/>
        <v>18</v>
      </c>
      <c r="P163" s="556"/>
      <c r="Q163" s="617">
        <f t="shared" si="92"/>
        <v>0</v>
      </c>
      <c r="R163" s="617"/>
      <c r="S163" s="555">
        <f t="shared" si="93"/>
        <v>0</v>
      </c>
      <c r="T163" s="556"/>
      <c r="U163" s="617">
        <f t="shared" si="94"/>
        <v>6</v>
      </c>
      <c r="V163" s="617"/>
      <c r="W163" s="619">
        <f t="shared" si="95"/>
        <v>36</v>
      </c>
      <c r="X163" s="619"/>
      <c r="Y163" s="626">
        <f t="shared" si="96"/>
        <v>3</v>
      </c>
      <c r="Z163" s="616"/>
      <c r="AA163" s="555">
        <f t="shared" si="97"/>
        <v>17.100000000000001</v>
      </c>
      <c r="AB163" s="623"/>
      <c r="AC163" s="625">
        <f t="shared" si="98"/>
        <v>12</v>
      </c>
      <c r="AD163" s="625"/>
      <c r="AE163" s="625"/>
      <c r="AF163" s="625"/>
      <c r="AG163" s="625"/>
      <c r="AH163" s="619">
        <f t="shared" si="99"/>
        <v>108</v>
      </c>
      <c r="AI163" s="555"/>
      <c r="AJ163" s="553">
        <f t="shared" si="84"/>
        <v>0</v>
      </c>
      <c r="AK163" s="554"/>
      <c r="AL163" s="555">
        <f t="shared" si="85"/>
        <v>0</v>
      </c>
      <c r="AM163" s="556"/>
      <c r="AN163" s="608">
        <f t="shared" si="86"/>
        <v>24</v>
      </c>
      <c r="AO163" s="609"/>
      <c r="AP163" s="610">
        <f t="shared" si="87"/>
        <v>179.1</v>
      </c>
      <c r="AQ163" s="610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55"/>
      <c r="B164" s="9"/>
      <c r="C164" s="510" t="s">
        <v>45</v>
      </c>
      <c r="D164" s="510"/>
      <c r="E164" s="510"/>
      <c r="F164" s="510"/>
      <c r="G164" s="510"/>
      <c r="H164" s="566"/>
      <c r="I164" s="624">
        <f t="shared" si="88"/>
        <v>0</v>
      </c>
      <c r="J164" s="617"/>
      <c r="K164" s="555">
        <f t="shared" si="89"/>
        <v>0</v>
      </c>
      <c r="L164" s="618"/>
      <c r="M164" s="617">
        <f t="shared" si="90"/>
        <v>0</v>
      </c>
      <c r="N164" s="617"/>
      <c r="O164" s="555">
        <f t="shared" si="91"/>
        <v>0</v>
      </c>
      <c r="P164" s="556"/>
      <c r="Q164" s="617">
        <f t="shared" si="92"/>
        <v>0</v>
      </c>
      <c r="R164" s="617"/>
      <c r="S164" s="555">
        <f t="shared" si="93"/>
        <v>0</v>
      </c>
      <c r="T164" s="556"/>
      <c r="U164" s="617">
        <f t="shared" si="94"/>
        <v>3</v>
      </c>
      <c r="V164" s="617"/>
      <c r="W164" s="619">
        <f t="shared" si="95"/>
        <v>34.5</v>
      </c>
      <c r="X164" s="619"/>
      <c r="Y164" s="626">
        <f t="shared" si="96"/>
        <v>0</v>
      </c>
      <c r="Z164" s="616"/>
      <c r="AA164" s="555">
        <f t="shared" si="97"/>
        <v>0</v>
      </c>
      <c r="AB164" s="623"/>
      <c r="AC164" s="625">
        <f t="shared" si="98"/>
        <v>0</v>
      </c>
      <c r="AD164" s="625"/>
      <c r="AE164" s="625"/>
      <c r="AF164" s="625"/>
      <c r="AG164" s="625"/>
      <c r="AH164" s="619">
        <f t="shared" si="99"/>
        <v>0</v>
      </c>
      <c r="AI164" s="555"/>
      <c r="AJ164" s="553">
        <f t="shared" si="84"/>
        <v>0</v>
      </c>
      <c r="AK164" s="554"/>
      <c r="AL164" s="555">
        <f t="shared" si="85"/>
        <v>0</v>
      </c>
      <c r="AM164" s="556"/>
      <c r="AN164" s="608">
        <f t="shared" si="86"/>
        <v>3</v>
      </c>
      <c r="AO164" s="609"/>
      <c r="AP164" s="610">
        <f t="shared" si="87"/>
        <v>34.5</v>
      </c>
      <c r="AQ164" s="610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55"/>
      <c r="B165" s="9"/>
      <c r="C165" s="510" t="s">
        <v>163</v>
      </c>
      <c r="D165" s="510"/>
      <c r="E165" s="510"/>
      <c r="F165" s="510"/>
      <c r="G165" s="510"/>
      <c r="H165" s="566"/>
      <c r="I165" s="624">
        <f t="shared" si="88"/>
        <v>0</v>
      </c>
      <c r="J165" s="617"/>
      <c r="K165" s="555">
        <f t="shared" si="89"/>
        <v>0</v>
      </c>
      <c r="L165" s="618"/>
      <c r="M165" s="617">
        <f t="shared" si="90"/>
        <v>0</v>
      </c>
      <c r="N165" s="617"/>
      <c r="O165" s="555">
        <f t="shared" si="91"/>
        <v>0</v>
      </c>
      <c r="P165" s="556"/>
      <c r="Q165" s="617">
        <f t="shared" si="92"/>
        <v>0</v>
      </c>
      <c r="R165" s="617"/>
      <c r="S165" s="555">
        <f t="shared" si="93"/>
        <v>0</v>
      </c>
      <c r="T165" s="556"/>
      <c r="U165" s="617">
        <f t="shared" si="94"/>
        <v>6</v>
      </c>
      <c r="V165" s="617"/>
      <c r="W165" s="619">
        <f t="shared" si="95"/>
        <v>36</v>
      </c>
      <c r="X165" s="619"/>
      <c r="Y165" s="626">
        <f t="shared" si="96"/>
        <v>0</v>
      </c>
      <c r="Z165" s="616"/>
      <c r="AA165" s="555">
        <f t="shared" si="97"/>
        <v>0</v>
      </c>
      <c r="AB165" s="623"/>
      <c r="AC165" s="625">
        <f t="shared" si="98"/>
        <v>0</v>
      </c>
      <c r="AD165" s="625"/>
      <c r="AE165" s="625"/>
      <c r="AF165" s="625"/>
      <c r="AG165" s="625"/>
      <c r="AH165" s="619">
        <f t="shared" si="99"/>
        <v>0</v>
      </c>
      <c r="AI165" s="555"/>
      <c r="AJ165" s="553">
        <f t="shared" si="84"/>
        <v>0</v>
      </c>
      <c r="AK165" s="554"/>
      <c r="AL165" s="555">
        <f t="shared" si="85"/>
        <v>0</v>
      </c>
      <c r="AM165" s="556"/>
      <c r="AN165" s="608">
        <f t="shared" si="86"/>
        <v>6</v>
      </c>
      <c r="AO165" s="609"/>
      <c r="AP165" s="610">
        <f t="shared" si="87"/>
        <v>36</v>
      </c>
      <c r="AQ165" s="610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55"/>
      <c r="C166" s="510" t="s">
        <v>43</v>
      </c>
      <c r="D166" s="510"/>
      <c r="E166" s="510"/>
      <c r="F166" s="510"/>
      <c r="G166" s="510"/>
      <c r="H166" s="566"/>
      <c r="I166" s="624">
        <f t="shared" si="88"/>
        <v>0</v>
      </c>
      <c r="J166" s="617"/>
      <c r="K166" s="555">
        <f t="shared" si="89"/>
        <v>0</v>
      </c>
      <c r="L166" s="618"/>
      <c r="M166" s="617">
        <f t="shared" si="90"/>
        <v>3</v>
      </c>
      <c r="N166" s="617"/>
      <c r="O166" s="555">
        <f t="shared" si="91"/>
        <v>18</v>
      </c>
      <c r="P166" s="556"/>
      <c r="Q166" s="617">
        <f t="shared" si="92"/>
        <v>0</v>
      </c>
      <c r="R166" s="617"/>
      <c r="S166" s="555">
        <f t="shared" si="93"/>
        <v>0</v>
      </c>
      <c r="T166" s="556"/>
      <c r="U166" s="617">
        <f t="shared" si="94"/>
        <v>2</v>
      </c>
      <c r="V166" s="617"/>
      <c r="W166" s="619">
        <f t="shared" si="95"/>
        <v>12</v>
      </c>
      <c r="X166" s="619"/>
      <c r="Y166" s="626">
        <f t="shared" si="96"/>
        <v>0</v>
      </c>
      <c r="Z166" s="616"/>
      <c r="AA166" s="555">
        <f t="shared" si="97"/>
        <v>0</v>
      </c>
      <c r="AB166" s="623"/>
      <c r="AC166" s="625">
        <f t="shared" si="98"/>
        <v>0</v>
      </c>
      <c r="AD166" s="625"/>
      <c r="AE166" s="625"/>
      <c r="AF166" s="625"/>
      <c r="AG166" s="625"/>
      <c r="AH166" s="619">
        <f t="shared" si="99"/>
        <v>0</v>
      </c>
      <c r="AI166" s="555"/>
      <c r="AJ166" s="553">
        <f t="shared" si="84"/>
        <v>0</v>
      </c>
      <c r="AK166" s="554"/>
      <c r="AL166" s="555">
        <f t="shared" si="85"/>
        <v>0</v>
      </c>
      <c r="AM166" s="556"/>
      <c r="AN166" s="608">
        <f t="shared" si="86"/>
        <v>5</v>
      </c>
      <c r="AO166" s="609"/>
      <c r="AP166" s="610">
        <f t="shared" si="87"/>
        <v>30</v>
      </c>
      <c r="AQ166" s="610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55"/>
      <c r="C167" s="510" t="s">
        <v>46</v>
      </c>
      <c r="D167" s="510"/>
      <c r="E167" s="510"/>
      <c r="F167" s="510"/>
      <c r="G167" s="510"/>
      <c r="H167" s="566"/>
      <c r="I167" s="624">
        <f t="shared" si="88"/>
        <v>0</v>
      </c>
      <c r="J167" s="617"/>
      <c r="K167" s="555">
        <f t="shared" si="89"/>
        <v>0</v>
      </c>
      <c r="L167" s="618"/>
      <c r="M167" s="617">
        <f t="shared" si="90"/>
        <v>0</v>
      </c>
      <c r="N167" s="617"/>
      <c r="O167" s="555">
        <f t="shared" si="91"/>
        <v>0</v>
      </c>
      <c r="P167" s="556"/>
      <c r="Q167" s="617">
        <f t="shared" si="92"/>
        <v>0</v>
      </c>
      <c r="R167" s="617"/>
      <c r="S167" s="555">
        <f t="shared" si="93"/>
        <v>0</v>
      </c>
      <c r="T167" s="556"/>
      <c r="U167" s="617">
        <f t="shared" si="94"/>
        <v>3</v>
      </c>
      <c r="V167" s="617"/>
      <c r="W167" s="619">
        <f t="shared" si="95"/>
        <v>34.5</v>
      </c>
      <c r="X167" s="619"/>
      <c r="Y167" s="626">
        <f t="shared" si="96"/>
        <v>0</v>
      </c>
      <c r="Z167" s="616"/>
      <c r="AA167" s="555">
        <f t="shared" si="97"/>
        <v>0</v>
      </c>
      <c r="AB167" s="623"/>
      <c r="AC167" s="625">
        <f t="shared" si="98"/>
        <v>0</v>
      </c>
      <c r="AD167" s="625"/>
      <c r="AE167" s="625"/>
      <c r="AF167" s="625"/>
      <c r="AG167" s="625"/>
      <c r="AH167" s="619">
        <f t="shared" si="99"/>
        <v>0</v>
      </c>
      <c r="AI167" s="555"/>
      <c r="AJ167" s="553">
        <f t="shared" si="84"/>
        <v>0</v>
      </c>
      <c r="AK167" s="554"/>
      <c r="AL167" s="555">
        <f t="shared" si="85"/>
        <v>0</v>
      </c>
      <c r="AM167" s="556"/>
      <c r="AN167" s="608">
        <f t="shared" si="86"/>
        <v>3</v>
      </c>
      <c r="AO167" s="609"/>
      <c r="AP167" s="610">
        <f t="shared" si="87"/>
        <v>34.5</v>
      </c>
      <c r="AQ167" s="610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55"/>
      <c r="C168" s="510" t="s">
        <v>44</v>
      </c>
      <c r="D168" s="510"/>
      <c r="E168" s="510"/>
      <c r="F168" s="510"/>
      <c r="G168" s="510"/>
      <c r="H168" s="566"/>
      <c r="I168" s="624">
        <f t="shared" si="88"/>
        <v>0</v>
      </c>
      <c r="J168" s="617"/>
      <c r="K168" s="555">
        <f t="shared" si="89"/>
        <v>0</v>
      </c>
      <c r="L168" s="618"/>
      <c r="M168" s="617">
        <f t="shared" si="90"/>
        <v>3</v>
      </c>
      <c r="N168" s="617"/>
      <c r="O168" s="555">
        <f t="shared" si="91"/>
        <v>18</v>
      </c>
      <c r="P168" s="556"/>
      <c r="Q168" s="617">
        <f t="shared" si="92"/>
        <v>0</v>
      </c>
      <c r="R168" s="617"/>
      <c r="S168" s="555">
        <f t="shared" si="93"/>
        <v>0</v>
      </c>
      <c r="T168" s="556"/>
      <c r="U168" s="617">
        <f t="shared" si="94"/>
        <v>3</v>
      </c>
      <c r="V168" s="617"/>
      <c r="W168" s="619">
        <f t="shared" si="95"/>
        <v>18</v>
      </c>
      <c r="X168" s="619"/>
      <c r="Y168" s="626">
        <f t="shared" si="96"/>
        <v>0</v>
      </c>
      <c r="Z168" s="616"/>
      <c r="AA168" s="555">
        <f t="shared" si="97"/>
        <v>0</v>
      </c>
      <c r="AB168" s="623"/>
      <c r="AC168" s="625">
        <f t="shared" si="98"/>
        <v>0</v>
      </c>
      <c r="AD168" s="625"/>
      <c r="AE168" s="625"/>
      <c r="AF168" s="625"/>
      <c r="AG168" s="625"/>
      <c r="AH168" s="619">
        <f t="shared" si="99"/>
        <v>0</v>
      </c>
      <c r="AI168" s="555"/>
      <c r="AJ168" s="553">
        <f t="shared" si="84"/>
        <v>0</v>
      </c>
      <c r="AK168" s="554"/>
      <c r="AL168" s="555">
        <f t="shared" si="85"/>
        <v>0</v>
      </c>
      <c r="AM168" s="556"/>
      <c r="AN168" s="608">
        <f t="shared" si="86"/>
        <v>6</v>
      </c>
      <c r="AO168" s="609"/>
      <c r="AP168" s="610">
        <f t="shared" si="87"/>
        <v>36</v>
      </c>
      <c r="AQ168" s="610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55"/>
      <c r="C169" s="510" t="s">
        <v>162</v>
      </c>
      <c r="D169" s="510"/>
      <c r="E169" s="510"/>
      <c r="F169" s="510"/>
      <c r="G169" s="510"/>
      <c r="H169" s="566"/>
      <c r="I169" s="624">
        <f t="shared" si="88"/>
        <v>0</v>
      </c>
      <c r="J169" s="617"/>
      <c r="K169" s="555">
        <f t="shared" si="89"/>
        <v>0</v>
      </c>
      <c r="L169" s="618"/>
      <c r="M169" s="617">
        <f t="shared" si="90"/>
        <v>0</v>
      </c>
      <c r="N169" s="617"/>
      <c r="O169" s="555">
        <f t="shared" si="91"/>
        <v>0</v>
      </c>
      <c r="P169" s="556"/>
      <c r="Q169" s="617">
        <f t="shared" si="92"/>
        <v>0</v>
      </c>
      <c r="R169" s="617"/>
      <c r="S169" s="555">
        <f t="shared" si="93"/>
        <v>0</v>
      </c>
      <c r="T169" s="556"/>
      <c r="U169" s="617">
        <f t="shared" si="94"/>
        <v>6</v>
      </c>
      <c r="V169" s="617"/>
      <c r="W169" s="619">
        <f t="shared" si="95"/>
        <v>36</v>
      </c>
      <c r="X169" s="619"/>
      <c r="Y169" s="626">
        <f t="shared" si="96"/>
        <v>0</v>
      </c>
      <c r="Z169" s="616"/>
      <c r="AA169" s="555">
        <f t="shared" si="97"/>
        <v>0</v>
      </c>
      <c r="AB169" s="623"/>
      <c r="AC169" s="625">
        <f t="shared" si="98"/>
        <v>0</v>
      </c>
      <c r="AD169" s="625"/>
      <c r="AE169" s="625"/>
      <c r="AF169" s="625"/>
      <c r="AG169" s="625"/>
      <c r="AH169" s="619">
        <f t="shared" si="99"/>
        <v>0</v>
      </c>
      <c r="AI169" s="555"/>
      <c r="AJ169" s="553">
        <f t="shared" si="84"/>
        <v>0</v>
      </c>
      <c r="AK169" s="554"/>
      <c r="AL169" s="555">
        <f t="shared" si="85"/>
        <v>0</v>
      </c>
      <c r="AM169" s="556"/>
      <c r="AN169" s="608">
        <f t="shared" si="86"/>
        <v>6</v>
      </c>
      <c r="AO169" s="609"/>
      <c r="AP169" s="610">
        <f t="shared" si="87"/>
        <v>36</v>
      </c>
      <c r="AQ169" s="610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55"/>
      <c r="C170" s="510" t="s">
        <v>47</v>
      </c>
      <c r="D170" s="510"/>
      <c r="E170" s="510"/>
      <c r="F170" s="510"/>
      <c r="G170" s="510"/>
      <c r="H170" s="566"/>
      <c r="I170" s="624">
        <f t="shared" si="88"/>
        <v>0</v>
      </c>
      <c r="J170" s="617"/>
      <c r="K170" s="555">
        <f t="shared" si="89"/>
        <v>0</v>
      </c>
      <c r="L170" s="618"/>
      <c r="M170" s="617">
        <f t="shared" si="90"/>
        <v>0</v>
      </c>
      <c r="N170" s="617"/>
      <c r="O170" s="555">
        <f t="shared" si="91"/>
        <v>0</v>
      </c>
      <c r="P170" s="556"/>
      <c r="Q170" s="617">
        <f t="shared" si="92"/>
        <v>0</v>
      </c>
      <c r="R170" s="617"/>
      <c r="S170" s="555">
        <f t="shared" si="93"/>
        <v>0</v>
      </c>
      <c r="T170" s="556"/>
      <c r="U170" s="617">
        <f t="shared" si="94"/>
        <v>3</v>
      </c>
      <c r="V170" s="617"/>
      <c r="W170" s="619">
        <f t="shared" si="95"/>
        <v>34.5</v>
      </c>
      <c r="X170" s="619"/>
      <c r="Y170" s="626">
        <f t="shared" si="96"/>
        <v>0</v>
      </c>
      <c r="Z170" s="616"/>
      <c r="AA170" s="555">
        <f t="shared" si="97"/>
        <v>0</v>
      </c>
      <c r="AB170" s="623"/>
      <c r="AC170" s="625">
        <f t="shared" si="98"/>
        <v>0</v>
      </c>
      <c r="AD170" s="625"/>
      <c r="AE170" s="625"/>
      <c r="AF170" s="625"/>
      <c r="AG170" s="625"/>
      <c r="AH170" s="619">
        <f t="shared" si="99"/>
        <v>0</v>
      </c>
      <c r="AI170" s="555"/>
      <c r="AJ170" s="553">
        <f t="shared" si="84"/>
        <v>0</v>
      </c>
      <c r="AK170" s="554"/>
      <c r="AL170" s="555">
        <f t="shared" si="85"/>
        <v>0</v>
      </c>
      <c r="AM170" s="556"/>
      <c r="AN170" s="608">
        <f t="shared" si="86"/>
        <v>3</v>
      </c>
      <c r="AO170" s="609"/>
      <c r="AP170" s="610">
        <f t="shared" si="87"/>
        <v>34.5</v>
      </c>
      <c r="AQ170" s="610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55"/>
      <c r="C171" s="510" t="s">
        <v>58</v>
      </c>
      <c r="D171" s="510"/>
      <c r="E171" s="510"/>
      <c r="F171" s="510"/>
      <c r="G171" s="510"/>
      <c r="H171" s="566"/>
      <c r="I171" s="624">
        <f t="shared" si="88"/>
        <v>0</v>
      </c>
      <c r="J171" s="617"/>
      <c r="K171" s="555">
        <f t="shared" si="89"/>
        <v>0</v>
      </c>
      <c r="L171" s="618"/>
      <c r="M171" s="617">
        <f t="shared" si="90"/>
        <v>21</v>
      </c>
      <c r="N171" s="617"/>
      <c r="O171" s="555">
        <f t="shared" si="91"/>
        <v>315</v>
      </c>
      <c r="P171" s="556"/>
      <c r="Q171" s="617">
        <f t="shared" si="92"/>
        <v>25</v>
      </c>
      <c r="R171" s="617"/>
      <c r="S171" s="555">
        <f t="shared" si="93"/>
        <v>375</v>
      </c>
      <c r="T171" s="556"/>
      <c r="U171" s="617">
        <f t="shared" si="94"/>
        <v>1</v>
      </c>
      <c r="V171" s="617"/>
      <c r="W171" s="619">
        <f t="shared" si="95"/>
        <v>17</v>
      </c>
      <c r="X171" s="619"/>
      <c r="Y171" s="626">
        <f t="shared" si="96"/>
        <v>35</v>
      </c>
      <c r="Z171" s="616"/>
      <c r="AA171" s="555">
        <f t="shared" si="97"/>
        <v>577.5</v>
      </c>
      <c r="AB171" s="623"/>
      <c r="AC171" s="625">
        <f t="shared" si="98"/>
        <v>0</v>
      </c>
      <c r="AD171" s="625"/>
      <c r="AE171" s="625"/>
      <c r="AF171" s="625"/>
      <c r="AG171" s="625"/>
      <c r="AH171" s="619">
        <f t="shared" si="99"/>
        <v>0</v>
      </c>
      <c r="AI171" s="555"/>
      <c r="AJ171" s="553">
        <f t="shared" si="84"/>
        <v>10</v>
      </c>
      <c r="AK171" s="554"/>
      <c r="AL171" s="555">
        <f t="shared" si="85"/>
        <v>180</v>
      </c>
      <c r="AM171" s="556"/>
      <c r="AN171" s="608">
        <f t="shared" si="86"/>
        <v>92</v>
      </c>
      <c r="AO171" s="609"/>
      <c r="AP171" s="610">
        <f t="shared" si="87"/>
        <v>1464.5</v>
      </c>
      <c r="AQ171" s="610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55"/>
      <c r="C172" s="510" t="s">
        <v>168</v>
      </c>
      <c r="D172" s="510"/>
      <c r="E172" s="510"/>
      <c r="F172" s="510"/>
      <c r="G172" s="510"/>
      <c r="H172" s="510"/>
      <c r="I172" s="616">
        <f>M72+Y72+AP72+BD72</f>
        <v>0</v>
      </c>
      <c r="J172" s="617"/>
      <c r="K172" s="555">
        <f>N72+Z72+AQ72+BE72</f>
        <v>0</v>
      </c>
      <c r="L172" s="618"/>
      <c r="M172" s="617">
        <f>BP72+CI72+DA72+DU72</f>
        <v>0</v>
      </c>
      <c r="N172" s="617"/>
      <c r="O172" s="555">
        <f>BQ72+CJ72+DB72+DV72</f>
        <v>0</v>
      </c>
      <c r="P172" s="556"/>
      <c r="Q172" s="617">
        <f>EO72+FT72</f>
        <v>0</v>
      </c>
      <c r="R172" s="617"/>
      <c r="S172" s="555">
        <f>EP72+FU72</f>
        <v>0</v>
      </c>
      <c r="T172" s="556"/>
      <c r="U172" s="617">
        <f t="shared" ref="U172:U190" si="100">GQ72+HL72+HW72+IM72</f>
        <v>0</v>
      </c>
      <c r="V172" s="617"/>
      <c r="W172" s="619">
        <f t="shared" ref="W172:W190" si="101">GR72+HM72+HX72+IN72</f>
        <v>0</v>
      </c>
      <c r="X172" s="619"/>
      <c r="Y172" s="626">
        <f t="shared" ref="Y172:Y190" si="102">IY72+KE72+KS72+LF72</f>
        <v>4</v>
      </c>
      <c r="Z172" s="616"/>
      <c r="AA172" s="555">
        <f t="shared" ref="AA172:AA190" si="103">IZ72+KF72+KT72+LG72</f>
        <v>72</v>
      </c>
      <c r="AB172" s="623"/>
      <c r="AC172" s="625">
        <f t="shared" ref="AC172:AC190" si="104">ME72+ND72</f>
        <v>0</v>
      </c>
      <c r="AD172" s="625"/>
      <c r="AE172" s="625"/>
      <c r="AF172" s="625"/>
      <c r="AG172" s="625"/>
      <c r="AH172" s="619">
        <f t="shared" ref="AH172:AH190" si="105">MF72+NE72</f>
        <v>0</v>
      </c>
      <c r="AI172" s="555"/>
      <c r="AJ172" s="553">
        <f t="shared" si="84"/>
        <v>5</v>
      </c>
      <c r="AK172" s="554"/>
      <c r="AL172" s="555">
        <f t="shared" si="85"/>
        <v>90</v>
      </c>
      <c r="AM172" s="556"/>
      <c r="AN172" s="608">
        <f t="shared" si="86"/>
        <v>9</v>
      </c>
      <c r="AO172" s="609"/>
      <c r="AP172" s="610">
        <f t="shared" si="87"/>
        <v>162</v>
      </c>
      <c r="AQ172" s="610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55"/>
      <c r="C173" s="510" t="s">
        <v>261</v>
      </c>
      <c r="D173" s="510"/>
      <c r="E173" s="510"/>
      <c r="F173" s="510"/>
      <c r="G173" s="510"/>
      <c r="H173" s="510"/>
      <c r="I173" s="616">
        <f>M73+Y73+AP73+BD73</f>
        <v>0</v>
      </c>
      <c r="J173" s="617"/>
      <c r="K173" s="555">
        <f>N73+Z73+AQ73+BE73</f>
        <v>0</v>
      </c>
      <c r="L173" s="618"/>
      <c r="M173" s="617">
        <f>BP73+CI73+DA73+DU73</f>
        <v>0</v>
      </c>
      <c r="N173" s="617"/>
      <c r="O173" s="555">
        <f>BQ73+CJ73+DB73+DV73</f>
        <v>0</v>
      </c>
      <c r="P173" s="556"/>
      <c r="Q173" s="617">
        <f>EO73+FT73</f>
        <v>0</v>
      </c>
      <c r="R173" s="617"/>
      <c r="S173" s="555">
        <f>EP73+FU73</f>
        <v>0</v>
      </c>
      <c r="T173" s="556"/>
      <c r="U173" s="617">
        <f t="shared" si="100"/>
        <v>3</v>
      </c>
      <c r="V173" s="617"/>
      <c r="W173" s="619">
        <f t="shared" si="101"/>
        <v>225</v>
      </c>
      <c r="X173" s="619"/>
      <c r="Y173" s="626">
        <f t="shared" si="102"/>
        <v>0</v>
      </c>
      <c r="Z173" s="616"/>
      <c r="AA173" s="555">
        <f t="shared" si="103"/>
        <v>0</v>
      </c>
      <c r="AB173" s="623"/>
      <c r="AC173" s="625">
        <f t="shared" si="104"/>
        <v>0</v>
      </c>
      <c r="AD173" s="625"/>
      <c r="AE173" s="625"/>
      <c r="AF173" s="625"/>
      <c r="AG173" s="625"/>
      <c r="AH173" s="619">
        <f t="shared" si="105"/>
        <v>0</v>
      </c>
      <c r="AI173" s="555"/>
      <c r="AJ173" s="553">
        <f t="shared" ref="AJ173:AJ200" si="106">OC73</f>
        <v>0</v>
      </c>
      <c r="AK173" s="554"/>
      <c r="AL173" s="555">
        <f t="shared" ref="AL173:AL200" si="107">OD73</f>
        <v>0</v>
      </c>
      <c r="AM173" s="556"/>
      <c r="AN173" s="608">
        <f t="shared" ref="AN173:AN200" si="108">I173+M173+Q173+U173+Y173+AC173+AJ173</f>
        <v>3</v>
      </c>
      <c r="AO173" s="609"/>
      <c r="AP173" s="610">
        <f t="shared" ref="AP173:AP200" si="109">K173+O173+S173+W173+AA173+AH173+AL173</f>
        <v>225</v>
      </c>
      <c r="AQ173" s="610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55"/>
      <c r="C174" s="510" t="s">
        <v>305</v>
      </c>
      <c r="D174" s="510"/>
      <c r="E174" s="510"/>
      <c r="F174" s="510"/>
      <c r="G174" s="510"/>
      <c r="H174" s="510"/>
      <c r="I174" s="616">
        <f>M74+Y74+AP74+BD74</f>
        <v>0</v>
      </c>
      <c r="J174" s="617"/>
      <c r="K174" s="555">
        <f>N74+Z74+AQ74+BE74</f>
        <v>0</v>
      </c>
      <c r="L174" s="618"/>
      <c r="M174" s="617">
        <f>BP74+CI74+DA74+DU74</f>
        <v>0</v>
      </c>
      <c r="N174" s="617"/>
      <c r="O174" s="555">
        <f>BQ74+CJ74+DB74+DV74</f>
        <v>0</v>
      </c>
      <c r="P174" s="556"/>
      <c r="Q174" s="617">
        <f>EO74+FT74</f>
        <v>0</v>
      </c>
      <c r="R174" s="617"/>
      <c r="S174" s="555">
        <f>EP74+FU74</f>
        <v>0</v>
      </c>
      <c r="T174" s="556"/>
      <c r="U174" s="617">
        <f t="shared" si="100"/>
        <v>0</v>
      </c>
      <c r="V174" s="617"/>
      <c r="W174" s="619">
        <f t="shared" si="101"/>
        <v>0</v>
      </c>
      <c r="X174" s="619"/>
      <c r="Y174" s="626">
        <f t="shared" si="102"/>
        <v>0</v>
      </c>
      <c r="Z174" s="616"/>
      <c r="AA174" s="555">
        <f t="shared" si="103"/>
        <v>0</v>
      </c>
      <c r="AB174" s="623"/>
      <c r="AC174" s="625">
        <f t="shared" si="104"/>
        <v>5</v>
      </c>
      <c r="AD174" s="625"/>
      <c r="AE174" s="625"/>
      <c r="AF174" s="625"/>
      <c r="AG174" s="625"/>
      <c r="AH174" s="619">
        <f t="shared" si="105"/>
        <v>205</v>
      </c>
      <c r="AI174" s="555"/>
      <c r="AJ174" s="553">
        <f t="shared" si="106"/>
        <v>11</v>
      </c>
      <c r="AK174" s="554"/>
      <c r="AL174" s="555">
        <f t="shared" si="107"/>
        <v>418</v>
      </c>
      <c r="AM174" s="556"/>
      <c r="AN174" s="608">
        <f t="shared" si="108"/>
        <v>16</v>
      </c>
      <c r="AO174" s="609"/>
      <c r="AP174" s="610">
        <f t="shared" si="109"/>
        <v>623</v>
      </c>
      <c r="AQ174" s="610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55"/>
      <c r="C175" s="510" t="s">
        <v>308</v>
      </c>
      <c r="D175" s="510"/>
      <c r="E175" s="510"/>
      <c r="F175" s="510"/>
      <c r="G175" s="510"/>
      <c r="H175" s="510"/>
      <c r="I175" s="616">
        <f>M75+Y75+AP75+BD75</f>
        <v>0</v>
      </c>
      <c r="J175" s="617"/>
      <c r="K175" s="555">
        <f>N75+Z75+AQ75+BE75</f>
        <v>0</v>
      </c>
      <c r="L175" s="618"/>
      <c r="M175" s="617">
        <f>BP75+CI75+DA75+DU75</f>
        <v>0</v>
      </c>
      <c r="N175" s="617"/>
      <c r="O175" s="555">
        <f>BQ75+CJ75+DB75+DV75</f>
        <v>0</v>
      </c>
      <c r="P175" s="556"/>
      <c r="Q175" s="617">
        <f>EO75+FT75</f>
        <v>0</v>
      </c>
      <c r="R175" s="617"/>
      <c r="S175" s="555">
        <f>EP75+FU75</f>
        <v>0</v>
      </c>
      <c r="T175" s="556"/>
      <c r="U175" s="617">
        <f t="shared" si="100"/>
        <v>0</v>
      </c>
      <c r="V175" s="617"/>
      <c r="W175" s="619">
        <f t="shared" si="101"/>
        <v>0</v>
      </c>
      <c r="X175" s="619"/>
      <c r="Y175" s="626">
        <f t="shared" si="102"/>
        <v>26</v>
      </c>
      <c r="Z175" s="616"/>
      <c r="AA175" s="555">
        <f t="shared" si="103"/>
        <v>390</v>
      </c>
      <c r="AB175" s="623"/>
      <c r="AC175" s="625">
        <f t="shared" si="104"/>
        <v>28</v>
      </c>
      <c r="AD175" s="625"/>
      <c r="AE175" s="625"/>
      <c r="AF175" s="625"/>
      <c r="AG175" s="625"/>
      <c r="AH175" s="619">
        <f t="shared" si="105"/>
        <v>420</v>
      </c>
      <c r="AI175" s="555"/>
      <c r="AJ175" s="553">
        <f t="shared" si="106"/>
        <v>0</v>
      </c>
      <c r="AK175" s="554"/>
      <c r="AL175" s="555">
        <f t="shared" si="107"/>
        <v>0</v>
      </c>
      <c r="AM175" s="556"/>
      <c r="AN175" s="608">
        <f t="shared" si="108"/>
        <v>54</v>
      </c>
      <c r="AO175" s="609"/>
      <c r="AP175" s="610">
        <f t="shared" si="109"/>
        <v>810</v>
      </c>
      <c r="AQ175" s="610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55"/>
      <c r="C176" s="510" t="s">
        <v>322</v>
      </c>
      <c r="D176" s="510"/>
      <c r="E176" s="510"/>
      <c r="F176" s="510"/>
      <c r="G176" s="510"/>
      <c r="H176" s="510"/>
      <c r="I176" s="616">
        <f t="shared" ref="I176:I190" si="110">M76+Y76+AP76+BD76</f>
        <v>0</v>
      </c>
      <c r="J176" s="617"/>
      <c r="K176" s="555">
        <f t="shared" ref="K176:K190" si="111">N76+Z76+AQ76+BE76</f>
        <v>0</v>
      </c>
      <c r="L176" s="618"/>
      <c r="M176" s="617">
        <f t="shared" ref="M176:M190" si="112">BP76+CI76+DA76+DU76</f>
        <v>0</v>
      </c>
      <c r="N176" s="617"/>
      <c r="O176" s="555">
        <f t="shared" ref="O176:O190" si="113">BQ76+CJ76+DB76+DV76</f>
        <v>0</v>
      </c>
      <c r="P176" s="556"/>
      <c r="Q176" s="617">
        <f t="shared" ref="Q176:Q190" si="114">EO76+FT76</f>
        <v>0</v>
      </c>
      <c r="R176" s="617"/>
      <c r="S176" s="555">
        <f t="shared" ref="S176:S190" si="115">EP76+FU76</f>
        <v>0</v>
      </c>
      <c r="T176" s="556"/>
      <c r="U176" s="617">
        <f t="shared" si="100"/>
        <v>0</v>
      </c>
      <c r="V176" s="617"/>
      <c r="W176" s="619">
        <f t="shared" si="101"/>
        <v>0</v>
      </c>
      <c r="X176" s="619"/>
      <c r="Y176" s="626">
        <f t="shared" si="102"/>
        <v>1</v>
      </c>
      <c r="Z176" s="616"/>
      <c r="AA176" s="555">
        <f t="shared" si="103"/>
        <v>9</v>
      </c>
      <c r="AB176" s="623"/>
      <c r="AC176" s="625">
        <f t="shared" si="104"/>
        <v>0</v>
      </c>
      <c r="AD176" s="625"/>
      <c r="AE176" s="625"/>
      <c r="AF176" s="625"/>
      <c r="AG176" s="625"/>
      <c r="AH176" s="619">
        <f t="shared" si="105"/>
        <v>0</v>
      </c>
      <c r="AI176" s="555"/>
      <c r="AJ176" s="553">
        <f t="shared" si="106"/>
        <v>0</v>
      </c>
      <c r="AK176" s="554"/>
      <c r="AL176" s="555">
        <f t="shared" si="107"/>
        <v>0</v>
      </c>
      <c r="AM176" s="556"/>
      <c r="AN176" s="608">
        <f t="shared" si="108"/>
        <v>1</v>
      </c>
      <c r="AO176" s="609"/>
      <c r="AP176" s="610">
        <f t="shared" si="109"/>
        <v>9</v>
      </c>
      <c r="AQ176" s="610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55"/>
      <c r="C177" s="566" t="s">
        <v>323</v>
      </c>
      <c r="D177" s="567"/>
      <c r="E177" s="567"/>
      <c r="F177" s="567"/>
      <c r="G177" s="567"/>
      <c r="H177" s="568"/>
      <c r="I177" s="616">
        <f t="shared" si="110"/>
        <v>0</v>
      </c>
      <c r="J177" s="617"/>
      <c r="K177" s="555">
        <f t="shared" si="111"/>
        <v>0</v>
      </c>
      <c r="L177" s="618"/>
      <c r="M177" s="617">
        <f t="shared" si="112"/>
        <v>0</v>
      </c>
      <c r="N177" s="617"/>
      <c r="O177" s="555">
        <f t="shared" si="113"/>
        <v>0</v>
      </c>
      <c r="P177" s="556"/>
      <c r="Q177" s="617">
        <f t="shared" si="114"/>
        <v>0</v>
      </c>
      <c r="R177" s="617"/>
      <c r="S177" s="555">
        <f t="shared" si="115"/>
        <v>0</v>
      </c>
      <c r="T177" s="556"/>
      <c r="U177" s="617">
        <f t="shared" si="100"/>
        <v>0</v>
      </c>
      <c r="V177" s="617"/>
      <c r="W177" s="619">
        <f t="shared" si="101"/>
        <v>0</v>
      </c>
      <c r="X177" s="619"/>
      <c r="Y177" s="626">
        <f t="shared" si="102"/>
        <v>0</v>
      </c>
      <c r="Z177" s="616"/>
      <c r="AA177" s="555">
        <f t="shared" si="103"/>
        <v>0</v>
      </c>
      <c r="AB177" s="623"/>
      <c r="AC177" s="625">
        <f t="shared" si="104"/>
        <v>0</v>
      </c>
      <c r="AD177" s="625"/>
      <c r="AE177" s="625"/>
      <c r="AF177" s="625"/>
      <c r="AG177" s="625"/>
      <c r="AH177" s="619">
        <f t="shared" si="105"/>
        <v>0</v>
      </c>
      <c r="AI177" s="555"/>
      <c r="AJ177" s="553">
        <f t="shared" si="106"/>
        <v>5</v>
      </c>
      <c r="AK177" s="554"/>
      <c r="AL177" s="555">
        <f t="shared" si="107"/>
        <v>65</v>
      </c>
      <c r="AM177" s="556"/>
      <c r="AN177" s="608">
        <f t="shared" si="108"/>
        <v>5</v>
      </c>
      <c r="AO177" s="609"/>
      <c r="AP177" s="610">
        <f t="shared" si="109"/>
        <v>65</v>
      </c>
      <c r="AQ177" s="610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55"/>
      <c r="C178" s="566" t="s">
        <v>324</v>
      </c>
      <c r="D178" s="567"/>
      <c r="E178" s="567"/>
      <c r="F178" s="567"/>
      <c r="G178" s="567"/>
      <c r="H178" s="568"/>
      <c r="I178" s="616">
        <f t="shared" si="110"/>
        <v>0</v>
      </c>
      <c r="J178" s="617"/>
      <c r="K178" s="555">
        <f t="shared" si="111"/>
        <v>0</v>
      </c>
      <c r="L178" s="618"/>
      <c r="M178" s="617">
        <f t="shared" si="112"/>
        <v>0</v>
      </c>
      <c r="N178" s="617"/>
      <c r="O178" s="555">
        <f t="shared" si="113"/>
        <v>0</v>
      </c>
      <c r="P178" s="556"/>
      <c r="Q178" s="617">
        <f t="shared" si="114"/>
        <v>0</v>
      </c>
      <c r="R178" s="617"/>
      <c r="S178" s="555">
        <f t="shared" si="115"/>
        <v>0</v>
      </c>
      <c r="T178" s="556"/>
      <c r="U178" s="617">
        <f t="shared" si="100"/>
        <v>0</v>
      </c>
      <c r="V178" s="617"/>
      <c r="W178" s="619">
        <f t="shared" si="101"/>
        <v>0</v>
      </c>
      <c r="X178" s="619"/>
      <c r="Y178" s="626">
        <f t="shared" si="102"/>
        <v>0</v>
      </c>
      <c r="Z178" s="616"/>
      <c r="AA178" s="555">
        <f t="shared" si="103"/>
        <v>0</v>
      </c>
      <c r="AB178" s="623"/>
      <c r="AC178" s="625">
        <f t="shared" si="104"/>
        <v>0</v>
      </c>
      <c r="AD178" s="625"/>
      <c r="AE178" s="625"/>
      <c r="AF178" s="625"/>
      <c r="AG178" s="625"/>
      <c r="AH178" s="619">
        <f t="shared" si="105"/>
        <v>0</v>
      </c>
      <c r="AI178" s="555"/>
      <c r="AJ178" s="553">
        <f t="shared" si="106"/>
        <v>8</v>
      </c>
      <c r="AK178" s="554"/>
      <c r="AL178" s="555">
        <f t="shared" si="107"/>
        <v>80</v>
      </c>
      <c r="AM178" s="556"/>
      <c r="AN178" s="608">
        <f t="shared" si="108"/>
        <v>8</v>
      </c>
      <c r="AO178" s="609"/>
      <c r="AP178" s="610">
        <f t="shared" si="109"/>
        <v>80</v>
      </c>
      <c r="AQ178" s="610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55"/>
      <c r="C179" s="566" t="s">
        <v>326</v>
      </c>
      <c r="D179" s="567"/>
      <c r="E179" s="567"/>
      <c r="F179" s="567"/>
      <c r="G179" s="567"/>
      <c r="H179" s="568"/>
      <c r="I179" s="616">
        <f t="shared" si="110"/>
        <v>0</v>
      </c>
      <c r="J179" s="617"/>
      <c r="K179" s="555">
        <f t="shared" si="111"/>
        <v>0</v>
      </c>
      <c r="L179" s="618"/>
      <c r="M179" s="617">
        <f t="shared" si="112"/>
        <v>0</v>
      </c>
      <c r="N179" s="617"/>
      <c r="O179" s="555">
        <f t="shared" si="113"/>
        <v>0</v>
      </c>
      <c r="P179" s="556"/>
      <c r="Q179" s="617">
        <f t="shared" si="114"/>
        <v>0</v>
      </c>
      <c r="R179" s="617"/>
      <c r="S179" s="555">
        <f t="shared" si="115"/>
        <v>0</v>
      </c>
      <c r="T179" s="556"/>
      <c r="U179" s="617">
        <f t="shared" si="100"/>
        <v>0</v>
      </c>
      <c r="V179" s="617"/>
      <c r="W179" s="619">
        <f t="shared" si="101"/>
        <v>0</v>
      </c>
      <c r="X179" s="619"/>
      <c r="Y179" s="626">
        <f t="shared" si="102"/>
        <v>0</v>
      </c>
      <c r="Z179" s="616"/>
      <c r="AA179" s="555">
        <f t="shared" si="103"/>
        <v>0</v>
      </c>
      <c r="AB179" s="623"/>
      <c r="AC179" s="625">
        <f t="shared" si="104"/>
        <v>0</v>
      </c>
      <c r="AD179" s="625"/>
      <c r="AE179" s="625"/>
      <c r="AF179" s="625"/>
      <c r="AG179" s="625"/>
      <c r="AH179" s="619">
        <f t="shared" si="105"/>
        <v>0</v>
      </c>
      <c r="AI179" s="555"/>
      <c r="AJ179" s="553">
        <f t="shared" si="106"/>
        <v>0</v>
      </c>
      <c r="AK179" s="554"/>
      <c r="AL179" s="555">
        <f t="shared" si="107"/>
        <v>0</v>
      </c>
      <c r="AM179" s="556"/>
      <c r="AN179" s="608">
        <f t="shared" si="108"/>
        <v>0</v>
      </c>
      <c r="AO179" s="609"/>
      <c r="AP179" s="610">
        <f t="shared" si="109"/>
        <v>0</v>
      </c>
      <c r="AQ179" s="610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55"/>
      <c r="C180" s="566" t="s">
        <v>327</v>
      </c>
      <c r="D180" s="567"/>
      <c r="E180" s="567"/>
      <c r="F180" s="567"/>
      <c r="G180" s="567"/>
      <c r="H180" s="568"/>
      <c r="I180" s="616">
        <f t="shared" si="110"/>
        <v>0</v>
      </c>
      <c r="J180" s="617"/>
      <c r="K180" s="555">
        <f t="shared" si="111"/>
        <v>0</v>
      </c>
      <c r="L180" s="618"/>
      <c r="M180" s="617">
        <f t="shared" si="112"/>
        <v>0</v>
      </c>
      <c r="N180" s="617"/>
      <c r="O180" s="555">
        <f t="shared" si="113"/>
        <v>0</v>
      </c>
      <c r="P180" s="556"/>
      <c r="Q180" s="617">
        <f t="shared" si="114"/>
        <v>0</v>
      </c>
      <c r="R180" s="617"/>
      <c r="S180" s="555">
        <f t="shared" si="115"/>
        <v>0</v>
      </c>
      <c r="T180" s="556"/>
      <c r="U180" s="617">
        <f t="shared" si="100"/>
        <v>0</v>
      </c>
      <c r="V180" s="617"/>
      <c r="W180" s="619">
        <f t="shared" si="101"/>
        <v>0</v>
      </c>
      <c r="X180" s="619"/>
      <c r="Y180" s="626">
        <f t="shared" si="102"/>
        <v>0</v>
      </c>
      <c r="Z180" s="616"/>
      <c r="AA180" s="555">
        <f t="shared" si="103"/>
        <v>0</v>
      </c>
      <c r="AB180" s="623"/>
      <c r="AC180" s="625">
        <f t="shared" si="104"/>
        <v>0</v>
      </c>
      <c r="AD180" s="625"/>
      <c r="AE180" s="625"/>
      <c r="AF180" s="625"/>
      <c r="AG180" s="625"/>
      <c r="AH180" s="619">
        <f t="shared" si="105"/>
        <v>0</v>
      </c>
      <c r="AI180" s="555"/>
      <c r="AJ180" s="553">
        <f t="shared" si="106"/>
        <v>0</v>
      </c>
      <c r="AK180" s="554"/>
      <c r="AL180" s="555">
        <f t="shared" si="107"/>
        <v>0</v>
      </c>
      <c r="AM180" s="556"/>
      <c r="AN180" s="608">
        <f t="shared" si="108"/>
        <v>0</v>
      </c>
      <c r="AO180" s="609"/>
      <c r="AP180" s="610">
        <f t="shared" si="109"/>
        <v>0</v>
      </c>
      <c r="AQ180" s="610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55"/>
      <c r="C181" s="566" t="s">
        <v>328</v>
      </c>
      <c r="D181" s="567"/>
      <c r="E181" s="567"/>
      <c r="F181" s="567"/>
      <c r="G181" s="567"/>
      <c r="H181" s="568"/>
      <c r="I181" s="616">
        <f t="shared" si="110"/>
        <v>0</v>
      </c>
      <c r="J181" s="617"/>
      <c r="K181" s="555">
        <f t="shared" si="111"/>
        <v>0</v>
      </c>
      <c r="L181" s="618"/>
      <c r="M181" s="617">
        <f t="shared" si="112"/>
        <v>0</v>
      </c>
      <c r="N181" s="617"/>
      <c r="O181" s="555">
        <f t="shared" si="113"/>
        <v>0</v>
      </c>
      <c r="P181" s="556"/>
      <c r="Q181" s="617">
        <f t="shared" si="114"/>
        <v>0</v>
      </c>
      <c r="R181" s="617"/>
      <c r="S181" s="555">
        <f t="shared" si="115"/>
        <v>0</v>
      </c>
      <c r="T181" s="556"/>
      <c r="U181" s="617">
        <f t="shared" si="100"/>
        <v>0</v>
      </c>
      <c r="V181" s="617"/>
      <c r="W181" s="619">
        <f t="shared" si="101"/>
        <v>0</v>
      </c>
      <c r="X181" s="619"/>
      <c r="Y181" s="626">
        <f t="shared" si="102"/>
        <v>0</v>
      </c>
      <c r="Z181" s="616"/>
      <c r="AA181" s="555">
        <f t="shared" si="103"/>
        <v>0</v>
      </c>
      <c r="AB181" s="623"/>
      <c r="AC181" s="625">
        <f t="shared" si="104"/>
        <v>4</v>
      </c>
      <c r="AD181" s="625"/>
      <c r="AE181" s="625"/>
      <c r="AF181" s="625"/>
      <c r="AG181" s="625"/>
      <c r="AH181" s="619">
        <f t="shared" si="105"/>
        <v>36</v>
      </c>
      <c r="AI181" s="555"/>
      <c r="AJ181" s="553">
        <f t="shared" si="106"/>
        <v>3</v>
      </c>
      <c r="AK181" s="554"/>
      <c r="AL181" s="555">
        <f t="shared" si="107"/>
        <v>27</v>
      </c>
      <c r="AM181" s="556"/>
      <c r="AN181" s="608">
        <f t="shared" si="108"/>
        <v>7</v>
      </c>
      <c r="AO181" s="609"/>
      <c r="AP181" s="610">
        <f t="shared" si="109"/>
        <v>63</v>
      </c>
      <c r="AQ181" s="610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55"/>
      <c r="C182" s="566" t="s">
        <v>329</v>
      </c>
      <c r="D182" s="567"/>
      <c r="E182" s="567"/>
      <c r="F182" s="567"/>
      <c r="G182" s="567"/>
      <c r="H182" s="568"/>
      <c r="I182" s="616">
        <f t="shared" si="110"/>
        <v>0</v>
      </c>
      <c r="J182" s="617"/>
      <c r="K182" s="555">
        <f t="shared" si="111"/>
        <v>0</v>
      </c>
      <c r="L182" s="618"/>
      <c r="M182" s="617">
        <f t="shared" si="112"/>
        <v>0</v>
      </c>
      <c r="N182" s="617"/>
      <c r="O182" s="555">
        <f t="shared" si="113"/>
        <v>0</v>
      </c>
      <c r="P182" s="556"/>
      <c r="Q182" s="617">
        <f t="shared" si="114"/>
        <v>0</v>
      </c>
      <c r="R182" s="617"/>
      <c r="S182" s="555">
        <f t="shared" si="115"/>
        <v>0</v>
      </c>
      <c r="T182" s="556"/>
      <c r="U182" s="617">
        <f t="shared" si="100"/>
        <v>0</v>
      </c>
      <c r="V182" s="617"/>
      <c r="W182" s="619">
        <f t="shared" si="101"/>
        <v>0</v>
      </c>
      <c r="X182" s="619"/>
      <c r="Y182" s="626">
        <f t="shared" si="102"/>
        <v>0</v>
      </c>
      <c r="Z182" s="616"/>
      <c r="AA182" s="555">
        <f t="shared" si="103"/>
        <v>0</v>
      </c>
      <c r="AB182" s="623"/>
      <c r="AC182" s="625">
        <f t="shared" si="104"/>
        <v>0</v>
      </c>
      <c r="AD182" s="625"/>
      <c r="AE182" s="625"/>
      <c r="AF182" s="625"/>
      <c r="AG182" s="625"/>
      <c r="AH182" s="619">
        <f t="shared" si="105"/>
        <v>0</v>
      </c>
      <c r="AI182" s="555"/>
      <c r="AJ182" s="553">
        <f t="shared" si="106"/>
        <v>0</v>
      </c>
      <c r="AK182" s="554"/>
      <c r="AL182" s="555">
        <f t="shared" si="107"/>
        <v>0</v>
      </c>
      <c r="AM182" s="556"/>
      <c r="AN182" s="608">
        <f t="shared" si="108"/>
        <v>0</v>
      </c>
      <c r="AO182" s="609"/>
      <c r="AP182" s="610">
        <f t="shared" si="109"/>
        <v>0</v>
      </c>
      <c r="AQ182" s="610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55"/>
      <c r="C183" s="566" t="s">
        <v>330</v>
      </c>
      <c r="D183" s="567"/>
      <c r="E183" s="567"/>
      <c r="F183" s="567"/>
      <c r="G183" s="567"/>
      <c r="H183" s="568"/>
      <c r="I183" s="616">
        <f t="shared" si="110"/>
        <v>0</v>
      </c>
      <c r="J183" s="617"/>
      <c r="K183" s="555">
        <f t="shared" si="111"/>
        <v>0</v>
      </c>
      <c r="L183" s="618"/>
      <c r="M183" s="617">
        <f t="shared" si="112"/>
        <v>0</v>
      </c>
      <c r="N183" s="617"/>
      <c r="O183" s="555">
        <f t="shared" si="113"/>
        <v>0</v>
      </c>
      <c r="P183" s="556"/>
      <c r="Q183" s="617">
        <f t="shared" si="114"/>
        <v>0</v>
      </c>
      <c r="R183" s="617"/>
      <c r="S183" s="555">
        <f t="shared" si="115"/>
        <v>0</v>
      </c>
      <c r="T183" s="556"/>
      <c r="U183" s="617">
        <f t="shared" si="100"/>
        <v>0</v>
      </c>
      <c r="V183" s="617"/>
      <c r="W183" s="619">
        <f t="shared" si="101"/>
        <v>0</v>
      </c>
      <c r="X183" s="619"/>
      <c r="Y183" s="626">
        <f t="shared" si="102"/>
        <v>0</v>
      </c>
      <c r="Z183" s="616"/>
      <c r="AA183" s="555">
        <f t="shared" si="103"/>
        <v>0</v>
      </c>
      <c r="AB183" s="623"/>
      <c r="AC183" s="625">
        <f t="shared" si="104"/>
        <v>3</v>
      </c>
      <c r="AD183" s="625"/>
      <c r="AE183" s="625"/>
      <c r="AF183" s="625"/>
      <c r="AG183" s="625"/>
      <c r="AH183" s="619">
        <f t="shared" si="105"/>
        <v>48</v>
      </c>
      <c r="AI183" s="555"/>
      <c r="AJ183" s="553">
        <f t="shared" si="106"/>
        <v>1</v>
      </c>
      <c r="AK183" s="554"/>
      <c r="AL183" s="555">
        <f t="shared" si="107"/>
        <v>16</v>
      </c>
      <c r="AM183" s="556"/>
      <c r="AN183" s="608">
        <f t="shared" si="108"/>
        <v>4</v>
      </c>
      <c r="AO183" s="609"/>
      <c r="AP183" s="610">
        <f t="shared" si="109"/>
        <v>64</v>
      </c>
      <c r="AQ183" s="610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55"/>
      <c r="C184" s="566" t="s">
        <v>325</v>
      </c>
      <c r="D184" s="567"/>
      <c r="E184" s="567"/>
      <c r="F184" s="567"/>
      <c r="G184" s="567"/>
      <c r="H184" s="568"/>
      <c r="I184" s="616">
        <f t="shared" si="110"/>
        <v>0</v>
      </c>
      <c r="J184" s="617"/>
      <c r="K184" s="555">
        <f t="shared" si="111"/>
        <v>0</v>
      </c>
      <c r="L184" s="618"/>
      <c r="M184" s="617">
        <f t="shared" si="112"/>
        <v>0</v>
      </c>
      <c r="N184" s="617"/>
      <c r="O184" s="555">
        <f t="shared" si="113"/>
        <v>0</v>
      </c>
      <c r="P184" s="556"/>
      <c r="Q184" s="617">
        <f t="shared" si="114"/>
        <v>0</v>
      </c>
      <c r="R184" s="617"/>
      <c r="S184" s="555">
        <f t="shared" si="115"/>
        <v>0</v>
      </c>
      <c r="T184" s="556"/>
      <c r="U184" s="617">
        <f t="shared" si="100"/>
        <v>0</v>
      </c>
      <c r="V184" s="617"/>
      <c r="W184" s="619">
        <f t="shared" si="101"/>
        <v>0</v>
      </c>
      <c r="X184" s="619"/>
      <c r="Y184" s="626">
        <f t="shared" si="102"/>
        <v>0</v>
      </c>
      <c r="Z184" s="616"/>
      <c r="AA184" s="555">
        <f t="shared" si="103"/>
        <v>0</v>
      </c>
      <c r="AB184" s="623"/>
      <c r="AC184" s="625">
        <f t="shared" si="104"/>
        <v>0</v>
      </c>
      <c r="AD184" s="625"/>
      <c r="AE184" s="625"/>
      <c r="AF184" s="625"/>
      <c r="AG184" s="625"/>
      <c r="AH184" s="619">
        <f t="shared" si="105"/>
        <v>0</v>
      </c>
      <c r="AI184" s="555"/>
      <c r="AJ184" s="553">
        <f t="shared" si="106"/>
        <v>2</v>
      </c>
      <c r="AK184" s="554"/>
      <c r="AL184" s="555">
        <f t="shared" si="107"/>
        <v>38</v>
      </c>
      <c r="AM184" s="556"/>
      <c r="AN184" s="608">
        <f t="shared" si="108"/>
        <v>2</v>
      </c>
      <c r="AO184" s="609"/>
      <c r="AP184" s="610">
        <f t="shared" si="109"/>
        <v>38</v>
      </c>
      <c r="AQ184" s="610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55"/>
      <c r="C185" s="566" t="s">
        <v>331</v>
      </c>
      <c r="D185" s="567"/>
      <c r="E185" s="567"/>
      <c r="F185" s="567"/>
      <c r="G185" s="567"/>
      <c r="H185" s="568"/>
      <c r="I185" s="616">
        <f t="shared" si="110"/>
        <v>0</v>
      </c>
      <c r="J185" s="617"/>
      <c r="K185" s="555">
        <f t="shared" si="111"/>
        <v>0</v>
      </c>
      <c r="L185" s="618"/>
      <c r="M185" s="617">
        <f t="shared" si="112"/>
        <v>0</v>
      </c>
      <c r="N185" s="617"/>
      <c r="O185" s="555">
        <f t="shared" si="113"/>
        <v>0</v>
      </c>
      <c r="P185" s="556"/>
      <c r="Q185" s="617">
        <f t="shared" si="114"/>
        <v>0</v>
      </c>
      <c r="R185" s="617"/>
      <c r="S185" s="555">
        <f t="shared" si="115"/>
        <v>0</v>
      </c>
      <c r="T185" s="556"/>
      <c r="U185" s="617">
        <f t="shared" si="100"/>
        <v>0</v>
      </c>
      <c r="V185" s="617"/>
      <c r="W185" s="619">
        <f t="shared" si="101"/>
        <v>0</v>
      </c>
      <c r="X185" s="619"/>
      <c r="Y185" s="626">
        <f t="shared" si="102"/>
        <v>0</v>
      </c>
      <c r="Z185" s="616"/>
      <c r="AA185" s="555">
        <f t="shared" si="103"/>
        <v>0</v>
      </c>
      <c r="AB185" s="623"/>
      <c r="AC185" s="625">
        <f t="shared" si="104"/>
        <v>2</v>
      </c>
      <c r="AD185" s="625"/>
      <c r="AE185" s="625"/>
      <c r="AF185" s="625"/>
      <c r="AG185" s="625"/>
      <c r="AH185" s="619">
        <f t="shared" si="105"/>
        <v>68</v>
      </c>
      <c r="AI185" s="555"/>
      <c r="AJ185" s="553">
        <f t="shared" si="106"/>
        <v>2</v>
      </c>
      <c r="AK185" s="554"/>
      <c r="AL185" s="555">
        <f t="shared" si="107"/>
        <v>68</v>
      </c>
      <c r="AM185" s="556"/>
      <c r="AN185" s="608">
        <f t="shared" si="108"/>
        <v>4</v>
      </c>
      <c r="AO185" s="609"/>
      <c r="AP185" s="610">
        <f t="shared" si="109"/>
        <v>136</v>
      </c>
      <c r="AQ185" s="610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55"/>
      <c r="C186" s="566" t="s">
        <v>332</v>
      </c>
      <c r="D186" s="567"/>
      <c r="E186" s="567"/>
      <c r="F186" s="567"/>
      <c r="G186" s="567"/>
      <c r="H186" s="568"/>
      <c r="I186" s="616">
        <f t="shared" si="110"/>
        <v>0</v>
      </c>
      <c r="J186" s="617"/>
      <c r="K186" s="555">
        <f t="shared" si="111"/>
        <v>0</v>
      </c>
      <c r="L186" s="618"/>
      <c r="M186" s="617">
        <f t="shared" si="112"/>
        <v>0</v>
      </c>
      <c r="N186" s="617"/>
      <c r="O186" s="555">
        <f t="shared" si="113"/>
        <v>0</v>
      </c>
      <c r="P186" s="556"/>
      <c r="Q186" s="617">
        <f t="shared" si="114"/>
        <v>0</v>
      </c>
      <c r="R186" s="617"/>
      <c r="S186" s="555">
        <f t="shared" si="115"/>
        <v>0</v>
      </c>
      <c r="T186" s="556"/>
      <c r="U186" s="617">
        <f t="shared" si="100"/>
        <v>0</v>
      </c>
      <c r="V186" s="617"/>
      <c r="W186" s="619">
        <f t="shared" si="101"/>
        <v>0</v>
      </c>
      <c r="X186" s="619"/>
      <c r="Y186" s="626">
        <f t="shared" si="102"/>
        <v>0</v>
      </c>
      <c r="Z186" s="616"/>
      <c r="AA186" s="555">
        <f t="shared" si="103"/>
        <v>0</v>
      </c>
      <c r="AB186" s="623"/>
      <c r="AC186" s="625">
        <f t="shared" si="104"/>
        <v>0</v>
      </c>
      <c r="AD186" s="625"/>
      <c r="AE186" s="625"/>
      <c r="AF186" s="625"/>
      <c r="AG186" s="625"/>
      <c r="AH186" s="619">
        <f t="shared" si="105"/>
        <v>0</v>
      </c>
      <c r="AI186" s="555"/>
      <c r="AJ186" s="553">
        <f t="shared" si="106"/>
        <v>0</v>
      </c>
      <c r="AK186" s="554"/>
      <c r="AL186" s="555">
        <f t="shared" si="107"/>
        <v>0</v>
      </c>
      <c r="AM186" s="556"/>
      <c r="AN186" s="608">
        <f t="shared" si="108"/>
        <v>0</v>
      </c>
      <c r="AO186" s="609"/>
      <c r="AP186" s="610">
        <f t="shared" si="109"/>
        <v>0</v>
      </c>
      <c r="AQ186" s="610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55"/>
      <c r="C187" s="566" t="s">
        <v>333</v>
      </c>
      <c r="D187" s="567"/>
      <c r="E187" s="567"/>
      <c r="F187" s="567"/>
      <c r="G187" s="567"/>
      <c r="H187" s="568"/>
      <c r="I187" s="616">
        <f t="shared" si="110"/>
        <v>0</v>
      </c>
      <c r="J187" s="617"/>
      <c r="K187" s="555">
        <f t="shared" si="111"/>
        <v>0</v>
      </c>
      <c r="L187" s="618"/>
      <c r="M187" s="617">
        <f t="shared" si="112"/>
        <v>0</v>
      </c>
      <c r="N187" s="617"/>
      <c r="O187" s="555">
        <f t="shared" si="113"/>
        <v>0</v>
      </c>
      <c r="P187" s="556"/>
      <c r="Q187" s="617">
        <f t="shared" si="114"/>
        <v>0</v>
      </c>
      <c r="R187" s="617"/>
      <c r="S187" s="555">
        <f t="shared" si="115"/>
        <v>0</v>
      </c>
      <c r="T187" s="556"/>
      <c r="U187" s="617">
        <f t="shared" si="100"/>
        <v>0</v>
      </c>
      <c r="V187" s="617"/>
      <c r="W187" s="619">
        <f t="shared" si="101"/>
        <v>0</v>
      </c>
      <c r="X187" s="619"/>
      <c r="Y187" s="626">
        <f t="shared" si="102"/>
        <v>0</v>
      </c>
      <c r="Z187" s="616"/>
      <c r="AA187" s="555">
        <f t="shared" si="103"/>
        <v>0</v>
      </c>
      <c r="AB187" s="623"/>
      <c r="AC187" s="625">
        <f t="shared" si="104"/>
        <v>0</v>
      </c>
      <c r="AD187" s="625"/>
      <c r="AE187" s="625"/>
      <c r="AF187" s="625"/>
      <c r="AG187" s="625"/>
      <c r="AH187" s="619">
        <f t="shared" si="105"/>
        <v>0</v>
      </c>
      <c r="AI187" s="555"/>
      <c r="AJ187" s="553">
        <f t="shared" si="106"/>
        <v>0</v>
      </c>
      <c r="AK187" s="554"/>
      <c r="AL187" s="555">
        <f t="shared" si="107"/>
        <v>0</v>
      </c>
      <c r="AM187" s="556"/>
      <c r="AN187" s="608">
        <f t="shared" si="108"/>
        <v>0</v>
      </c>
      <c r="AO187" s="609"/>
      <c r="AP187" s="610">
        <f t="shared" si="109"/>
        <v>0</v>
      </c>
      <c r="AQ187" s="610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55"/>
      <c r="C188" s="566" t="s">
        <v>334</v>
      </c>
      <c r="D188" s="567"/>
      <c r="E188" s="567"/>
      <c r="F188" s="567"/>
      <c r="G188" s="567"/>
      <c r="H188" s="568"/>
      <c r="I188" s="616">
        <f t="shared" si="110"/>
        <v>0</v>
      </c>
      <c r="J188" s="617"/>
      <c r="K188" s="555">
        <f t="shared" si="111"/>
        <v>0</v>
      </c>
      <c r="L188" s="618"/>
      <c r="M188" s="617">
        <f t="shared" si="112"/>
        <v>0</v>
      </c>
      <c r="N188" s="617"/>
      <c r="O188" s="555">
        <f t="shared" si="113"/>
        <v>0</v>
      </c>
      <c r="P188" s="556"/>
      <c r="Q188" s="617">
        <f t="shared" si="114"/>
        <v>0</v>
      </c>
      <c r="R188" s="617"/>
      <c r="S188" s="555">
        <f t="shared" si="115"/>
        <v>0</v>
      </c>
      <c r="T188" s="556"/>
      <c r="U188" s="617">
        <f t="shared" si="100"/>
        <v>0</v>
      </c>
      <c r="V188" s="617"/>
      <c r="W188" s="619">
        <f t="shared" si="101"/>
        <v>0</v>
      </c>
      <c r="X188" s="619"/>
      <c r="Y188" s="626">
        <f t="shared" si="102"/>
        <v>0</v>
      </c>
      <c r="Z188" s="616"/>
      <c r="AA188" s="555">
        <f t="shared" si="103"/>
        <v>0</v>
      </c>
      <c r="AB188" s="623"/>
      <c r="AC188" s="625">
        <f t="shared" si="104"/>
        <v>0</v>
      </c>
      <c r="AD188" s="625"/>
      <c r="AE188" s="625"/>
      <c r="AF188" s="625"/>
      <c r="AG188" s="625"/>
      <c r="AH188" s="619">
        <f t="shared" si="105"/>
        <v>0</v>
      </c>
      <c r="AI188" s="555"/>
      <c r="AJ188" s="553">
        <f t="shared" si="106"/>
        <v>0</v>
      </c>
      <c r="AK188" s="554"/>
      <c r="AL188" s="555">
        <f t="shared" si="107"/>
        <v>0</v>
      </c>
      <c r="AM188" s="556"/>
      <c r="AN188" s="608">
        <f t="shared" si="108"/>
        <v>0</v>
      </c>
      <c r="AO188" s="609"/>
      <c r="AP188" s="610">
        <f t="shared" si="109"/>
        <v>0</v>
      </c>
      <c r="AQ188" s="610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55"/>
      <c r="C189" s="566" t="s">
        <v>335</v>
      </c>
      <c r="D189" s="567"/>
      <c r="E189" s="567"/>
      <c r="F189" s="567"/>
      <c r="G189" s="567"/>
      <c r="H189" s="568"/>
      <c r="I189" s="616">
        <f t="shared" si="110"/>
        <v>0</v>
      </c>
      <c r="J189" s="617"/>
      <c r="K189" s="555">
        <f t="shared" si="111"/>
        <v>0</v>
      </c>
      <c r="L189" s="618"/>
      <c r="M189" s="617">
        <f t="shared" si="112"/>
        <v>0</v>
      </c>
      <c r="N189" s="617"/>
      <c r="O189" s="555">
        <f t="shared" si="113"/>
        <v>0</v>
      </c>
      <c r="P189" s="556"/>
      <c r="Q189" s="617">
        <f t="shared" si="114"/>
        <v>0</v>
      </c>
      <c r="R189" s="617"/>
      <c r="S189" s="555">
        <f t="shared" si="115"/>
        <v>0</v>
      </c>
      <c r="T189" s="556"/>
      <c r="U189" s="617">
        <f t="shared" si="100"/>
        <v>0</v>
      </c>
      <c r="V189" s="617"/>
      <c r="W189" s="619">
        <f t="shared" si="101"/>
        <v>0</v>
      </c>
      <c r="X189" s="619"/>
      <c r="Y189" s="626">
        <f t="shared" si="102"/>
        <v>0</v>
      </c>
      <c r="Z189" s="616"/>
      <c r="AA189" s="555">
        <f t="shared" si="103"/>
        <v>0</v>
      </c>
      <c r="AB189" s="623"/>
      <c r="AC189" s="625">
        <f t="shared" si="104"/>
        <v>1</v>
      </c>
      <c r="AD189" s="625"/>
      <c r="AE189" s="625"/>
      <c r="AF189" s="625"/>
      <c r="AG189" s="625"/>
      <c r="AH189" s="619">
        <f t="shared" si="105"/>
        <v>20</v>
      </c>
      <c r="AI189" s="555"/>
      <c r="AJ189" s="553">
        <f t="shared" si="106"/>
        <v>0</v>
      </c>
      <c r="AK189" s="554"/>
      <c r="AL189" s="555">
        <f t="shared" si="107"/>
        <v>0</v>
      </c>
      <c r="AM189" s="556"/>
      <c r="AN189" s="608">
        <f t="shared" si="108"/>
        <v>1</v>
      </c>
      <c r="AO189" s="609"/>
      <c r="AP189" s="610">
        <f t="shared" si="109"/>
        <v>20</v>
      </c>
      <c r="AQ189" s="610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55"/>
      <c r="C190" s="636" t="s">
        <v>336</v>
      </c>
      <c r="D190" s="637"/>
      <c r="E190" s="637"/>
      <c r="F190" s="637"/>
      <c r="G190" s="637"/>
      <c r="H190" s="638"/>
      <c r="I190" s="639">
        <f t="shared" si="110"/>
        <v>0</v>
      </c>
      <c r="J190" s="640"/>
      <c r="K190" s="641">
        <f t="shared" si="111"/>
        <v>0</v>
      </c>
      <c r="L190" s="642"/>
      <c r="M190" s="640">
        <f t="shared" si="112"/>
        <v>0</v>
      </c>
      <c r="N190" s="640"/>
      <c r="O190" s="641">
        <f t="shared" si="113"/>
        <v>0</v>
      </c>
      <c r="P190" s="675"/>
      <c r="Q190" s="640">
        <f t="shared" si="114"/>
        <v>0</v>
      </c>
      <c r="R190" s="640"/>
      <c r="S190" s="641">
        <f t="shared" si="115"/>
        <v>0</v>
      </c>
      <c r="T190" s="675"/>
      <c r="U190" s="640">
        <f t="shared" si="100"/>
        <v>0</v>
      </c>
      <c r="V190" s="640"/>
      <c r="W190" s="649">
        <f t="shared" si="101"/>
        <v>0</v>
      </c>
      <c r="X190" s="649"/>
      <c r="Y190" s="676">
        <f t="shared" si="102"/>
        <v>0</v>
      </c>
      <c r="Z190" s="639"/>
      <c r="AA190" s="641">
        <f t="shared" si="103"/>
        <v>0</v>
      </c>
      <c r="AB190" s="677"/>
      <c r="AC190" s="666">
        <f t="shared" si="104"/>
        <v>0</v>
      </c>
      <c r="AD190" s="666"/>
      <c r="AE190" s="666"/>
      <c r="AF190" s="666"/>
      <c r="AG190" s="666"/>
      <c r="AH190" s="649">
        <f t="shared" si="105"/>
        <v>0</v>
      </c>
      <c r="AI190" s="641"/>
      <c r="AJ190" s="553">
        <f t="shared" si="106"/>
        <v>0</v>
      </c>
      <c r="AK190" s="554"/>
      <c r="AL190" s="555">
        <f t="shared" si="107"/>
        <v>0</v>
      </c>
      <c r="AM190" s="556"/>
      <c r="AN190" s="608">
        <f t="shared" si="108"/>
        <v>0</v>
      </c>
      <c r="AO190" s="609"/>
      <c r="AP190" s="610">
        <f t="shared" si="109"/>
        <v>0</v>
      </c>
      <c r="AQ190" s="610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55"/>
      <c r="C191" s="510" t="s">
        <v>370</v>
      </c>
      <c r="D191" s="510"/>
      <c r="E191" s="510"/>
      <c r="F191" s="510"/>
      <c r="G191" s="510"/>
      <c r="H191" s="510"/>
      <c r="I191" s="639">
        <f t="shared" ref="I191:I200" si="116">M91+Y91+AP91+BD91</f>
        <v>0</v>
      </c>
      <c r="J191" s="640"/>
      <c r="K191" s="641">
        <f t="shared" ref="K191:K200" si="117">N91+Z91+AQ91+BE91</f>
        <v>0</v>
      </c>
      <c r="L191" s="642"/>
      <c r="M191" s="640">
        <f t="shared" ref="M191:M200" si="118">BP91+CI91+DA91+DU91</f>
        <v>0</v>
      </c>
      <c r="N191" s="640"/>
      <c r="O191" s="641">
        <f t="shared" ref="O191:O200" si="119">BQ91+CJ91+DB91+DV91</f>
        <v>0</v>
      </c>
      <c r="P191" s="675"/>
      <c r="Q191" s="640">
        <f t="shared" ref="Q191:Q200" si="120">EO91+FT91</f>
        <v>0</v>
      </c>
      <c r="R191" s="640"/>
      <c r="S191" s="641">
        <f t="shared" ref="S191:S200" si="121">EP91+FU91</f>
        <v>0</v>
      </c>
      <c r="T191" s="675"/>
      <c r="U191" s="640">
        <f t="shared" ref="U191:U200" si="122">GQ91+HL91+HW91+IM91</f>
        <v>0</v>
      </c>
      <c r="V191" s="640"/>
      <c r="W191" s="649">
        <f t="shared" ref="W191:W200" si="123">GR91+HM91+HX91+IN91</f>
        <v>0</v>
      </c>
      <c r="X191" s="649"/>
      <c r="Y191" s="676">
        <f t="shared" ref="Y191:Y200" si="124">IY91+KE91+KS91+LF91</f>
        <v>0</v>
      </c>
      <c r="Z191" s="639"/>
      <c r="AA191" s="641">
        <f t="shared" ref="AA191:AA200" si="125">IZ91+KF91+KT91+LG91</f>
        <v>0</v>
      </c>
      <c r="AB191" s="677"/>
      <c r="AC191" s="666">
        <f t="shared" ref="AC191:AC200" si="126">ME91+ND91</f>
        <v>1</v>
      </c>
      <c r="AD191" s="666"/>
      <c r="AE191" s="666"/>
      <c r="AF191" s="666"/>
      <c r="AG191" s="666"/>
      <c r="AH191" s="649">
        <f t="shared" ref="AH191:AH200" si="127">MF91+NE91</f>
        <v>5</v>
      </c>
      <c r="AI191" s="641"/>
      <c r="AJ191" s="553">
        <f t="shared" si="106"/>
        <v>3</v>
      </c>
      <c r="AK191" s="554"/>
      <c r="AL191" s="555">
        <f t="shared" si="107"/>
        <v>15</v>
      </c>
      <c r="AM191" s="556"/>
      <c r="AN191" s="608">
        <f t="shared" si="108"/>
        <v>4</v>
      </c>
      <c r="AO191" s="609"/>
      <c r="AP191" s="610">
        <f t="shared" si="109"/>
        <v>20</v>
      </c>
      <c r="AQ191" s="610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55"/>
      <c r="C192" s="510" t="s">
        <v>371</v>
      </c>
      <c r="D192" s="510"/>
      <c r="E192" s="510"/>
      <c r="F192" s="510"/>
      <c r="G192" s="510"/>
      <c r="H192" s="510"/>
      <c r="I192" s="639">
        <f t="shared" si="116"/>
        <v>0</v>
      </c>
      <c r="J192" s="640"/>
      <c r="K192" s="641">
        <f t="shared" si="117"/>
        <v>0</v>
      </c>
      <c r="L192" s="642"/>
      <c r="M192" s="640">
        <f t="shared" si="118"/>
        <v>0</v>
      </c>
      <c r="N192" s="640"/>
      <c r="O192" s="641">
        <f t="shared" si="119"/>
        <v>0</v>
      </c>
      <c r="P192" s="675"/>
      <c r="Q192" s="640">
        <f t="shared" si="120"/>
        <v>0</v>
      </c>
      <c r="R192" s="640"/>
      <c r="S192" s="641">
        <f t="shared" si="121"/>
        <v>0</v>
      </c>
      <c r="T192" s="675"/>
      <c r="U192" s="640">
        <f t="shared" si="122"/>
        <v>0</v>
      </c>
      <c r="V192" s="640"/>
      <c r="W192" s="649">
        <f t="shared" si="123"/>
        <v>0</v>
      </c>
      <c r="X192" s="649"/>
      <c r="Y192" s="676">
        <f t="shared" si="124"/>
        <v>0</v>
      </c>
      <c r="Z192" s="639"/>
      <c r="AA192" s="641">
        <f t="shared" si="125"/>
        <v>0</v>
      </c>
      <c r="AB192" s="677"/>
      <c r="AC192" s="666">
        <f>ME92+ND92</f>
        <v>4</v>
      </c>
      <c r="AD192" s="666"/>
      <c r="AE192" s="666"/>
      <c r="AF192" s="666"/>
      <c r="AG192" s="666"/>
      <c r="AH192" s="649">
        <f t="shared" si="127"/>
        <v>24</v>
      </c>
      <c r="AI192" s="641"/>
      <c r="AJ192" s="553">
        <f t="shared" si="106"/>
        <v>2</v>
      </c>
      <c r="AK192" s="554"/>
      <c r="AL192" s="555">
        <f t="shared" si="107"/>
        <v>12</v>
      </c>
      <c r="AM192" s="556"/>
      <c r="AN192" s="608">
        <f t="shared" si="108"/>
        <v>6</v>
      </c>
      <c r="AO192" s="609"/>
      <c r="AP192" s="610">
        <f t="shared" si="109"/>
        <v>36</v>
      </c>
      <c r="AQ192" s="610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55"/>
      <c r="C193" s="510" t="s">
        <v>372</v>
      </c>
      <c r="D193" s="510"/>
      <c r="E193" s="510"/>
      <c r="F193" s="510"/>
      <c r="G193" s="510"/>
      <c r="H193" s="510"/>
      <c r="I193" s="639">
        <f t="shared" si="116"/>
        <v>0</v>
      </c>
      <c r="J193" s="640"/>
      <c r="K193" s="641">
        <f t="shared" si="117"/>
        <v>0</v>
      </c>
      <c r="L193" s="642"/>
      <c r="M193" s="640">
        <f t="shared" si="118"/>
        <v>0</v>
      </c>
      <c r="N193" s="640"/>
      <c r="O193" s="641">
        <f t="shared" si="119"/>
        <v>0</v>
      </c>
      <c r="P193" s="675"/>
      <c r="Q193" s="640">
        <f t="shared" si="120"/>
        <v>0</v>
      </c>
      <c r="R193" s="640"/>
      <c r="S193" s="641">
        <f t="shared" si="121"/>
        <v>0</v>
      </c>
      <c r="T193" s="675"/>
      <c r="U193" s="640">
        <f t="shared" si="122"/>
        <v>0</v>
      </c>
      <c r="V193" s="640"/>
      <c r="W193" s="649">
        <f t="shared" si="123"/>
        <v>0</v>
      </c>
      <c r="X193" s="649"/>
      <c r="Y193" s="676">
        <f t="shared" si="124"/>
        <v>0</v>
      </c>
      <c r="Z193" s="639"/>
      <c r="AA193" s="641">
        <f t="shared" si="125"/>
        <v>0</v>
      </c>
      <c r="AB193" s="677"/>
      <c r="AC193" s="666">
        <f t="shared" si="126"/>
        <v>1</v>
      </c>
      <c r="AD193" s="666"/>
      <c r="AE193" s="666"/>
      <c r="AF193" s="666"/>
      <c r="AG193" s="666"/>
      <c r="AH193" s="649">
        <f t="shared" si="127"/>
        <v>9</v>
      </c>
      <c r="AI193" s="641"/>
      <c r="AJ193" s="553">
        <f t="shared" si="106"/>
        <v>9</v>
      </c>
      <c r="AK193" s="554"/>
      <c r="AL193" s="555">
        <f t="shared" si="107"/>
        <v>81</v>
      </c>
      <c r="AM193" s="556"/>
      <c r="AN193" s="608">
        <f t="shared" si="108"/>
        <v>10</v>
      </c>
      <c r="AO193" s="609"/>
      <c r="AP193" s="610">
        <f t="shared" si="109"/>
        <v>90</v>
      </c>
      <c r="AQ193" s="610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55"/>
      <c r="C194" s="636"/>
      <c r="D194" s="637"/>
      <c r="E194" s="637"/>
      <c r="F194" s="637"/>
      <c r="G194" s="637"/>
      <c r="H194" s="638"/>
      <c r="I194" s="639">
        <f t="shared" si="116"/>
        <v>0</v>
      </c>
      <c r="J194" s="640"/>
      <c r="K194" s="641">
        <f t="shared" si="117"/>
        <v>0</v>
      </c>
      <c r="L194" s="642"/>
      <c r="M194" s="640">
        <f t="shared" si="118"/>
        <v>0</v>
      </c>
      <c r="N194" s="640"/>
      <c r="O194" s="641">
        <f t="shared" si="119"/>
        <v>0</v>
      </c>
      <c r="P194" s="675"/>
      <c r="Q194" s="640">
        <f t="shared" si="120"/>
        <v>0</v>
      </c>
      <c r="R194" s="640"/>
      <c r="S194" s="641">
        <f t="shared" si="121"/>
        <v>0</v>
      </c>
      <c r="T194" s="675"/>
      <c r="U194" s="640">
        <f t="shared" si="122"/>
        <v>0</v>
      </c>
      <c r="V194" s="640"/>
      <c r="W194" s="649">
        <f t="shared" si="123"/>
        <v>0</v>
      </c>
      <c r="X194" s="649"/>
      <c r="Y194" s="676">
        <f t="shared" si="124"/>
        <v>0</v>
      </c>
      <c r="Z194" s="639"/>
      <c r="AA194" s="641">
        <f t="shared" si="125"/>
        <v>0</v>
      </c>
      <c r="AB194" s="677"/>
      <c r="AC194" s="666">
        <f t="shared" si="126"/>
        <v>0</v>
      </c>
      <c r="AD194" s="666"/>
      <c r="AE194" s="666"/>
      <c r="AF194" s="666"/>
      <c r="AG194" s="666"/>
      <c r="AH194" s="649">
        <f t="shared" si="127"/>
        <v>0</v>
      </c>
      <c r="AI194" s="641"/>
      <c r="AJ194" s="553">
        <f t="shared" si="106"/>
        <v>0</v>
      </c>
      <c r="AK194" s="554"/>
      <c r="AL194" s="555">
        <f t="shared" si="107"/>
        <v>0</v>
      </c>
      <c r="AM194" s="556"/>
      <c r="AN194" s="608">
        <f t="shared" si="108"/>
        <v>0</v>
      </c>
      <c r="AO194" s="609"/>
      <c r="AP194" s="610">
        <f t="shared" si="109"/>
        <v>0</v>
      </c>
      <c r="AQ194" s="610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55"/>
      <c r="C195" s="636"/>
      <c r="D195" s="637"/>
      <c r="E195" s="637"/>
      <c r="F195" s="637"/>
      <c r="G195" s="637"/>
      <c r="H195" s="638"/>
      <c r="I195" s="639">
        <f t="shared" si="116"/>
        <v>0</v>
      </c>
      <c r="J195" s="640"/>
      <c r="K195" s="641">
        <f t="shared" si="117"/>
        <v>0</v>
      </c>
      <c r="L195" s="642"/>
      <c r="M195" s="640">
        <f t="shared" si="118"/>
        <v>0</v>
      </c>
      <c r="N195" s="640"/>
      <c r="O195" s="641">
        <f t="shared" si="119"/>
        <v>0</v>
      </c>
      <c r="P195" s="675"/>
      <c r="Q195" s="640">
        <f t="shared" si="120"/>
        <v>0</v>
      </c>
      <c r="R195" s="640"/>
      <c r="S195" s="641">
        <f t="shared" si="121"/>
        <v>0</v>
      </c>
      <c r="T195" s="675"/>
      <c r="U195" s="640">
        <f t="shared" si="122"/>
        <v>0</v>
      </c>
      <c r="V195" s="640"/>
      <c r="W195" s="649">
        <f t="shared" si="123"/>
        <v>0</v>
      </c>
      <c r="X195" s="649"/>
      <c r="Y195" s="676">
        <f t="shared" si="124"/>
        <v>0</v>
      </c>
      <c r="Z195" s="639"/>
      <c r="AA195" s="641">
        <f t="shared" si="125"/>
        <v>0</v>
      </c>
      <c r="AB195" s="677"/>
      <c r="AC195" s="666">
        <f t="shared" si="126"/>
        <v>0</v>
      </c>
      <c r="AD195" s="666"/>
      <c r="AE195" s="666"/>
      <c r="AF195" s="666"/>
      <c r="AG195" s="666"/>
      <c r="AH195" s="649">
        <f t="shared" si="127"/>
        <v>0</v>
      </c>
      <c r="AI195" s="641"/>
      <c r="AJ195" s="553">
        <f t="shared" si="106"/>
        <v>0</v>
      </c>
      <c r="AK195" s="554"/>
      <c r="AL195" s="555">
        <f t="shared" si="107"/>
        <v>0</v>
      </c>
      <c r="AM195" s="556"/>
      <c r="AN195" s="608">
        <f t="shared" si="108"/>
        <v>0</v>
      </c>
      <c r="AO195" s="609"/>
      <c r="AP195" s="610">
        <f t="shared" si="109"/>
        <v>0</v>
      </c>
      <c r="AQ195" s="610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55"/>
      <c r="C196" s="636"/>
      <c r="D196" s="637"/>
      <c r="E196" s="637"/>
      <c r="F196" s="637"/>
      <c r="G196" s="637"/>
      <c r="H196" s="638"/>
      <c r="I196" s="639">
        <f t="shared" si="116"/>
        <v>0</v>
      </c>
      <c r="J196" s="640"/>
      <c r="K196" s="641">
        <f t="shared" si="117"/>
        <v>0</v>
      </c>
      <c r="L196" s="642"/>
      <c r="M196" s="640">
        <f t="shared" si="118"/>
        <v>0</v>
      </c>
      <c r="N196" s="640"/>
      <c r="O196" s="641">
        <f t="shared" si="119"/>
        <v>0</v>
      </c>
      <c r="P196" s="675"/>
      <c r="Q196" s="640">
        <f t="shared" si="120"/>
        <v>0</v>
      </c>
      <c r="R196" s="640"/>
      <c r="S196" s="641">
        <f t="shared" si="121"/>
        <v>0</v>
      </c>
      <c r="T196" s="675"/>
      <c r="U196" s="640">
        <f t="shared" si="122"/>
        <v>0</v>
      </c>
      <c r="V196" s="640"/>
      <c r="W196" s="649">
        <f t="shared" si="123"/>
        <v>0</v>
      </c>
      <c r="X196" s="649"/>
      <c r="Y196" s="676">
        <f t="shared" si="124"/>
        <v>0</v>
      </c>
      <c r="Z196" s="639"/>
      <c r="AA196" s="641">
        <f t="shared" si="125"/>
        <v>0</v>
      </c>
      <c r="AB196" s="677"/>
      <c r="AC196" s="666">
        <f t="shared" si="126"/>
        <v>0</v>
      </c>
      <c r="AD196" s="666"/>
      <c r="AE196" s="666"/>
      <c r="AF196" s="666"/>
      <c r="AG196" s="666"/>
      <c r="AH196" s="649">
        <f t="shared" si="127"/>
        <v>0</v>
      </c>
      <c r="AI196" s="641"/>
      <c r="AJ196" s="553">
        <f t="shared" si="106"/>
        <v>0</v>
      </c>
      <c r="AK196" s="554"/>
      <c r="AL196" s="555">
        <f t="shared" si="107"/>
        <v>0</v>
      </c>
      <c r="AM196" s="556"/>
      <c r="AN196" s="608">
        <f t="shared" si="108"/>
        <v>0</v>
      </c>
      <c r="AO196" s="609"/>
      <c r="AP196" s="610">
        <f t="shared" si="109"/>
        <v>0</v>
      </c>
      <c r="AQ196" s="610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55"/>
      <c r="C197" s="636"/>
      <c r="D197" s="637"/>
      <c r="E197" s="637"/>
      <c r="F197" s="637"/>
      <c r="G197" s="637"/>
      <c r="H197" s="638"/>
      <c r="I197" s="639">
        <f t="shared" si="116"/>
        <v>0</v>
      </c>
      <c r="J197" s="640"/>
      <c r="K197" s="641">
        <f t="shared" si="117"/>
        <v>0</v>
      </c>
      <c r="L197" s="642"/>
      <c r="M197" s="640">
        <f t="shared" si="118"/>
        <v>0</v>
      </c>
      <c r="N197" s="640"/>
      <c r="O197" s="641">
        <f t="shared" si="119"/>
        <v>0</v>
      </c>
      <c r="P197" s="675"/>
      <c r="Q197" s="640">
        <f t="shared" si="120"/>
        <v>0</v>
      </c>
      <c r="R197" s="640"/>
      <c r="S197" s="641">
        <f t="shared" si="121"/>
        <v>0</v>
      </c>
      <c r="T197" s="675"/>
      <c r="U197" s="640">
        <f t="shared" si="122"/>
        <v>0</v>
      </c>
      <c r="V197" s="640"/>
      <c r="W197" s="649">
        <f t="shared" si="123"/>
        <v>0</v>
      </c>
      <c r="X197" s="649"/>
      <c r="Y197" s="676">
        <f t="shared" si="124"/>
        <v>0</v>
      </c>
      <c r="Z197" s="639"/>
      <c r="AA197" s="641">
        <f t="shared" si="125"/>
        <v>0</v>
      </c>
      <c r="AB197" s="677"/>
      <c r="AC197" s="666">
        <f t="shared" si="126"/>
        <v>0</v>
      </c>
      <c r="AD197" s="666"/>
      <c r="AE197" s="666"/>
      <c r="AF197" s="666"/>
      <c r="AG197" s="666"/>
      <c r="AH197" s="649">
        <f t="shared" si="127"/>
        <v>0</v>
      </c>
      <c r="AI197" s="641"/>
      <c r="AJ197" s="553">
        <f t="shared" si="106"/>
        <v>0</v>
      </c>
      <c r="AK197" s="554"/>
      <c r="AL197" s="555">
        <f t="shared" si="107"/>
        <v>0</v>
      </c>
      <c r="AM197" s="556"/>
      <c r="AN197" s="608">
        <f t="shared" si="108"/>
        <v>0</v>
      </c>
      <c r="AO197" s="609"/>
      <c r="AP197" s="610">
        <f t="shared" si="109"/>
        <v>0</v>
      </c>
      <c r="AQ197" s="610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55"/>
      <c r="C198" s="636"/>
      <c r="D198" s="637"/>
      <c r="E198" s="637"/>
      <c r="F198" s="637"/>
      <c r="G198" s="637"/>
      <c r="H198" s="638"/>
      <c r="I198" s="639">
        <f t="shared" si="116"/>
        <v>0</v>
      </c>
      <c r="J198" s="640"/>
      <c r="K198" s="641">
        <f t="shared" si="117"/>
        <v>0</v>
      </c>
      <c r="L198" s="642"/>
      <c r="M198" s="640">
        <f t="shared" si="118"/>
        <v>0</v>
      </c>
      <c r="N198" s="640"/>
      <c r="O198" s="641">
        <f t="shared" si="119"/>
        <v>0</v>
      </c>
      <c r="P198" s="675"/>
      <c r="Q198" s="640">
        <f t="shared" si="120"/>
        <v>0</v>
      </c>
      <c r="R198" s="640"/>
      <c r="S198" s="641">
        <f t="shared" si="121"/>
        <v>0</v>
      </c>
      <c r="T198" s="675"/>
      <c r="U198" s="640">
        <f t="shared" si="122"/>
        <v>0</v>
      </c>
      <c r="V198" s="640"/>
      <c r="W198" s="649">
        <f t="shared" si="123"/>
        <v>0</v>
      </c>
      <c r="X198" s="649"/>
      <c r="Y198" s="676">
        <f t="shared" si="124"/>
        <v>0</v>
      </c>
      <c r="Z198" s="639"/>
      <c r="AA198" s="641">
        <f t="shared" si="125"/>
        <v>0</v>
      </c>
      <c r="AB198" s="677"/>
      <c r="AC198" s="666">
        <f t="shared" si="126"/>
        <v>0</v>
      </c>
      <c r="AD198" s="666"/>
      <c r="AE198" s="666"/>
      <c r="AF198" s="666"/>
      <c r="AG198" s="666"/>
      <c r="AH198" s="649">
        <f t="shared" si="127"/>
        <v>0</v>
      </c>
      <c r="AI198" s="641"/>
      <c r="AJ198" s="553">
        <f t="shared" si="106"/>
        <v>0</v>
      </c>
      <c r="AK198" s="554"/>
      <c r="AL198" s="555">
        <f t="shared" si="107"/>
        <v>0</v>
      </c>
      <c r="AM198" s="556"/>
      <c r="AN198" s="608">
        <f t="shared" si="108"/>
        <v>0</v>
      </c>
      <c r="AO198" s="609"/>
      <c r="AP198" s="610">
        <f t="shared" si="109"/>
        <v>0</v>
      </c>
      <c r="AQ198" s="610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55"/>
      <c r="C199" s="636"/>
      <c r="D199" s="637"/>
      <c r="E199" s="637"/>
      <c r="F199" s="637"/>
      <c r="G199" s="637"/>
      <c r="H199" s="638"/>
      <c r="I199" s="639">
        <f t="shared" si="116"/>
        <v>0</v>
      </c>
      <c r="J199" s="640"/>
      <c r="K199" s="641">
        <f t="shared" si="117"/>
        <v>0</v>
      </c>
      <c r="L199" s="642"/>
      <c r="M199" s="640">
        <f t="shared" si="118"/>
        <v>0</v>
      </c>
      <c r="N199" s="640"/>
      <c r="O199" s="641">
        <f t="shared" si="119"/>
        <v>0</v>
      </c>
      <c r="P199" s="675"/>
      <c r="Q199" s="640">
        <f t="shared" si="120"/>
        <v>0</v>
      </c>
      <c r="R199" s="640"/>
      <c r="S199" s="641">
        <f t="shared" si="121"/>
        <v>0</v>
      </c>
      <c r="T199" s="675"/>
      <c r="U199" s="640">
        <f t="shared" si="122"/>
        <v>0</v>
      </c>
      <c r="V199" s="640"/>
      <c r="W199" s="649">
        <f t="shared" si="123"/>
        <v>0</v>
      </c>
      <c r="X199" s="649"/>
      <c r="Y199" s="676">
        <f t="shared" si="124"/>
        <v>0</v>
      </c>
      <c r="Z199" s="639"/>
      <c r="AA199" s="641">
        <f t="shared" si="125"/>
        <v>0</v>
      </c>
      <c r="AB199" s="677"/>
      <c r="AC199" s="666">
        <f t="shared" si="126"/>
        <v>0</v>
      </c>
      <c r="AD199" s="666"/>
      <c r="AE199" s="666"/>
      <c r="AF199" s="666"/>
      <c r="AG199" s="666"/>
      <c r="AH199" s="649">
        <f t="shared" si="127"/>
        <v>0</v>
      </c>
      <c r="AI199" s="641"/>
      <c r="AJ199" s="553">
        <f t="shared" si="106"/>
        <v>0</v>
      </c>
      <c r="AK199" s="554"/>
      <c r="AL199" s="555">
        <f t="shared" si="107"/>
        <v>0</v>
      </c>
      <c r="AM199" s="556"/>
      <c r="AN199" s="608">
        <f t="shared" si="108"/>
        <v>0</v>
      </c>
      <c r="AO199" s="609"/>
      <c r="AP199" s="610">
        <f t="shared" si="109"/>
        <v>0</v>
      </c>
      <c r="AQ199" s="610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55"/>
      <c r="C200" s="636"/>
      <c r="D200" s="637"/>
      <c r="E200" s="637"/>
      <c r="F200" s="637"/>
      <c r="G200" s="637"/>
      <c r="H200" s="638"/>
      <c r="I200" s="639">
        <f t="shared" si="116"/>
        <v>0</v>
      </c>
      <c r="J200" s="640"/>
      <c r="K200" s="641">
        <f t="shared" si="117"/>
        <v>0</v>
      </c>
      <c r="L200" s="642"/>
      <c r="M200" s="640">
        <f t="shared" si="118"/>
        <v>0</v>
      </c>
      <c r="N200" s="640"/>
      <c r="O200" s="641">
        <f t="shared" si="119"/>
        <v>0</v>
      </c>
      <c r="P200" s="675"/>
      <c r="Q200" s="640">
        <f t="shared" si="120"/>
        <v>0</v>
      </c>
      <c r="R200" s="640"/>
      <c r="S200" s="641">
        <f t="shared" si="121"/>
        <v>0</v>
      </c>
      <c r="T200" s="675"/>
      <c r="U200" s="640">
        <f t="shared" si="122"/>
        <v>0</v>
      </c>
      <c r="V200" s="640"/>
      <c r="W200" s="649">
        <f t="shared" si="123"/>
        <v>0</v>
      </c>
      <c r="X200" s="649"/>
      <c r="Y200" s="676">
        <f t="shared" si="124"/>
        <v>0</v>
      </c>
      <c r="Z200" s="639"/>
      <c r="AA200" s="641">
        <f t="shared" si="125"/>
        <v>0</v>
      </c>
      <c r="AB200" s="677"/>
      <c r="AC200" s="666">
        <f t="shared" si="126"/>
        <v>0</v>
      </c>
      <c r="AD200" s="666"/>
      <c r="AE200" s="666"/>
      <c r="AF200" s="666"/>
      <c r="AG200" s="666"/>
      <c r="AH200" s="649">
        <f t="shared" si="127"/>
        <v>0</v>
      </c>
      <c r="AI200" s="641"/>
      <c r="AJ200" s="553">
        <f t="shared" si="106"/>
        <v>0</v>
      </c>
      <c r="AK200" s="554"/>
      <c r="AL200" s="555">
        <f t="shared" si="107"/>
        <v>0</v>
      </c>
      <c r="AM200" s="556"/>
      <c r="AN200" s="608">
        <f t="shared" si="108"/>
        <v>0</v>
      </c>
      <c r="AO200" s="609"/>
      <c r="AP200" s="610">
        <f t="shared" si="109"/>
        <v>0</v>
      </c>
      <c r="AQ200" s="610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55"/>
      <c r="C201" s="669" t="s">
        <v>72</v>
      </c>
      <c r="D201" s="670"/>
      <c r="E201" s="670"/>
      <c r="F201" s="670"/>
      <c r="G201" s="670"/>
      <c r="H201" s="671"/>
      <c r="I201" s="590">
        <f>SUM(K108:L173)</f>
        <v>6977</v>
      </c>
      <c r="J201" s="591"/>
      <c r="K201" s="591"/>
      <c r="L201" s="592"/>
      <c r="M201" s="646">
        <f>SUM(O108:P173)</f>
        <v>15103.5</v>
      </c>
      <c r="N201" s="591"/>
      <c r="O201" s="591"/>
      <c r="P201" s="647"/>
      <c r="Q201" s="590">
        <f>SUM(S108:T173)</f>
        <v>12957.5</v>
      </c>
      <c r="R201" s="591"/>
      <c r="S201" s="591"/>
      <c r="T201" s="592"/>
      <c r="U201" s="646">
        <f>SUM(W108:X173)</f>
        <v>16319.5</v>
      </c>
      <c r="V201" s="591"/>
      <c r="W201" s="591"/>
      <c r="X201" s="647"/>
      <c r="Y201" s="590">
        <f>SUM(AA108:AB190)</f>
        <v>26064.5</v>
      </c>
      <c r="Z201" s="591"/>
      <c r="AA201" s="591"/>
      <c r="AB201" s="592"/>
      <c r="AC201" s="596">
        <f>SUM(AH108:AI200)</f>
        <v>59703</v>
      </c>
      <c r="AD201" s="596"/>
      <c r="AE201" s="596"/>
      <c r="AF201" s="596"/>
      <c r="AG201" s="597"/>
      <c r="AH201" s="597"/>
      <c r="AI201" s="598"/>
      <c r="AJ201" s="557">
        <f>SUM(AL108:AM200)</f>
        <v>17914</v>
      </c>
      <c r="AK201" s="558"/>
      <c r="AL201" s="558"/>
      <c r="AM201" s="559"/>
      <c r="AN201" s="602">
        <f>SUM(AP108:AQ200)</f>
        <v>155039</v>
      </c>
      <c r="AO201" s="603"/>
      <c r="AP201" s="603"/>
      <c r="AQ201" s="604"/>
      <c r="AR201" s="355"/>
      <c r="AS201" s="355"/>
      <c r="AT201" s="355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55"/>
      <c r="C202" s="672" t="s">
        <v>341</v>
      </c>
      <c r="D202" s="673"/>
      <c r="E202" s="673"/>
      <c r="F202" s="673"/>
      <c r="G202" s="673"/>
      <c r="H202" s="674"/>
      <c r="I202" s="678">
        <v>0</v>
      </c>
      <c r="J202" s="679"/>
      <c r="K202" s="679"/>
      <c r="L202" s="680"/>
      <c r="M202" s="667">
        <v>0</v>
      </c>
      <c r="N202" s="594"/>
      <c r="O202" s="594"/>
      <c r="P202" s="668"/>
      <c r="Q202" s="593">
        <v>0</v>
      </c>
      <c r="R202" s="594"/>
      <c r="S202" s="594"/>
      <c r="T202" s="595"/>
      <c r="U202" s="667">
        <v>0</v>
      </c>
      <c r="V202" s="594"/>
      <c r="W202" s="594"/>
      <c r="X202" s="668"/>
      <c r="Y202" s="593">
        <f>KF102+KT102+LG102</f>
        <v>91.09</v>
      </c>
      <c r="Z202" s="594"/>
      <c r="AA202" s="594"/>
      <c r="AB202" s="595"/>
      <c r="AC202" s="599">
        <f>MF102</f>
        <v>79.5</v>
      </c>
      <c r="AD202" s="599"/>
      <c r="AE202" s="599"/>
      <c r="AF202" s="599"/>
      <c r="AG202" s="600"/>
      <c r="AH202" s="600"/>
      <c r="AI202" s="601"/>
      <c r="AJ202" s="560">
        <f>OD102</f>
        <v>-17.5</v>
      </c>
      <c r="AK202" s="561"/>
      <c r="AL202" s="561"/>
      <c r="AM202" s="562"/>
      <c r="AN202" s="605">
        <f ca="1">SUM(I202:AP202)</f>
        <v>170.59</v>
      </c>
      <c r="AO202" s="606"/>
      <c r="AP202" s="606"/>
      <c r="AQ202" s="607"/>
      <c r="AR202" s="356"/>
      <c r="AS202" s="356"/>
      <c r="AT202" s="356"/>
    </row>
    <row r="203" spans="1:57" ht="26.25" x14ac:dyDescent="0.25">
      <c r="A203" s="55"/>
      <c r="B203" s="55"/>
      <c r="C203" s="56"/>
      <c r="D203" s="56"/>
      <c r="E203" s="56"/>
      <c r="F203" s="56"/>
      <c r="G203" s="56"/>
      <c r="H203" s="54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4"/>
      <c r="Y203" s="54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55"/>
      <c r="B204" s="55"/>
      <c r="C204" s="56"/>
      <c r="D204" s="56"/>
      <c r="E204" s="56"/>
      <c r="F204" s="56"/>
      <c r="G204" s="56"/>
      <c r="H204" s="54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4"/>
      <c r="Y204" s="54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8"/>
      <c r="B206" s="648" t="s">
        <v>93</v>
      </c>
      <c r="C206" s="648"/>
      <c r="D206" s="648"/>
      <c r="E206" s="648"/>
      <c r="F206" s="648"/>
      <c r="G206" s="648"/>
      <c r="H206" s="648"/>
      <c r="I206" s="648"/>
      <c r="J206" s="648"/>
      <c r="K206" s="648"/>
      <c r="L206" s="648"/>
      <c r="M206" s="648"/>
      <c r="N206" s="648"/>
      <c r="O206" s="648"/>
      <c r="P206" s="648"/>
      <c r="Q206" s="648"/>
      <c r="R206" s="648"/>
      <c r="S206" s="648"/>
      <c r="T206" s="648"/>
      <c r="U206" s="648"/>
      <c r="V206" s="648"/>
      <c r="W206" s="648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8"/>
      <c r="B207" s="648"/>
      <c r="C207" s="648"/>
      <c r="D207" s="648"/>
      <c r="E207" s="648"/>
      <c r="F207" s="648"/>
      <c r="G207" s="648"/>
      <c r="H207" s="648"/>
      <c r="I207" s="648"/>
      <c r="J207" s="648"/>
      <c r="K207" s="648"/>
      <c r="L207" s="648"/>
      <c r="M207" s="648"/>
      <c r="N207" s="648"/>
      <c r="O207" s="648"/>
      <c r="P207" s="648"/>
      <c r="Q207" s="648"/>
      <c r="R207" s="648"/>
      <c r="S207" s="648"/>
      <c r="T207" s="648"/>
      <c r="U207" s="648"/>
      <c r="V207" s="648"/>
      <c r="W207" s="648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8"/>
      <c r="B208" s="648"/>
      <c r="C208" s="648"/>
      <c r="D208" s="648"/>
      <c r="E208" s="648"/>
      <c r="F208" s="648"/>
      <c r="G208" s="648"/>
      <c r="H208" s="648"/>
      <c r="I208" s="648"/>
      <c r="J208" s="648"/>
      <c r="K208" s="648"/>
      <c r="L208" s="648"/>
      <c r="M208" s="648"/>
      <c r="N208" s="648"/>
      <c r="O208" s="648"/>
      <c r="P208" s="648"/>
      <c r="Q208" s="648"/>
      <c r="R208" s="648"/>
      <c r="S208" s="648"/>
      <c r="T208" s="648"/>
      <c r="U208" s="648"/>
      <c r="V208" s="648"/>
      <c r="W208" s="648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8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82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8"/>
      <c r="C210" s="653" t="s">
        <v>80</v>
      </c>
      <c r="D210" s="654"/>
      <c r="E210" s="654"/>
      <c r="F210" s="654"/>
      <c r="G210" s="654"/>
      <c r="H210" s="654"/>
      <c r="I210" s="654"/>
      <c r="J210" s="654"/>
      <c r="K210" s="654"/>
      <c r="L210" s="654"/>
      <c r="M210" s="654"/>
      <c r="N210" s="654"/>
      <c r="O210" s="654"/>
      <c r="P210" s="654"/>
      <c r="Q210" s="654"/>
      <c r="R210" s="654"/>
      <c r="S210" s="654"/>
      <c r="T210" s="654"/>
      <c r="U210" s="654"/>
      <c r="V210" s="654"/>
      <c r="W210" s="655"/>
      <c r="X210" s="654"/>
      <c r="Y210" s="654"/>
      <c r="Z210" s="654"/>
      <c r="AA210" s="656"/>
      <c r="AB210" s="656"/>
      <c r="AC210" s="656"/>
      <c r="AD210" s="657"/>
      <c r="AE210" s="657"/>
      <c r="AF210" s="657"/>
      <c r="AG210" s="658"/>
      <c r="AH210" s="133"/>
      <c r="AI210" s="8"/>
      <c r="AJ210" s="8"/>
      <c r="AK210" s="8"/>
    </row>
    <row r="211" spans="1:51" ht="27" thickBot="1" x14ac:dyDescent="0.3">
      <c r="A211" s="48"/>
      <c r="C211" s="650" t="s">
        <v>2</v>
      </c>
      <c r="D211" s="651"/>
      <c r="E211" s="651"/>
      <c r="F211" s="651"/>
      <c r="G211" s="651"/>
      <c r="H211" s="652"/>
      <c r="I211" s="471"/>
      <c r="J211" s="471"/>
      <c r="K211" s="291">
        <v>1</v>
      </c>
      <c r="L211" s="292" t="s">
        <v>91</v>
      </c>
      <c r="M211" s="293" t="s">
        <v>89</v>
      </c>
      <c r="N211" s="270">
        <v>2</v>
      </c>
      <c r="O211" s="290" t="s">
        <v>91</v>
      </c>
      <c r="P211" s="294" t="s">
        <v>89</v>
      </c>
      <c r="Q211" s="291">
        <v>3</v>
      </c>
      <c r="R211" s="292" t="s">
        <v>91</v>
      </c>
      <c r="S211" s="293" t="s">
        <v>89</v>
      </c>
      <c r="T211" s="295">
        <v>4</v>
      </c>
      <c r="U211" s="292" t="s">
        <v>91</v>
      </c>
      <c r="V211" s="296" t="s">
        <v>89</v>
      </c>
      <c r="W211" s="297">
        <v>5</v>
      </c>
      <c r="X211" s="298" t="s">
        <v>91</v>
      </c>
      <c r="Y211" s="259" t="s">
        <v>270</v>
      </c>
      <c r="Z211" s="297">
        <v>6</v>
      </c>
      <c r="AA211" s="298" t="s">
        <v>91</v>
      </c>
      <c r="AB211" s="293" t="s">
        <v>270</v>
      </c>
      <c r="AC211" s="354">
        <v>7</v>
      </c>
      <c r="AD211" s="298" t="s">
        <v>91</v>
      </c>
      <c r="AE211" s="293" t="s">
        <v>270</v>
      </c>
      <c r="AF211" s="394">
        <v>8</v>
      </c>
      <c r="AG211" s="395" t="s">
        <v>91</v>
      </c>
      <c r="AH211" s="431" t="s">
        <v>270</v>
      </c>
      <c r="AI211" s="432">
        <v>9</v>
      </c>
      <c r="AJ211" s="433" t="s">
        <v>91</v>
      </c>
      <c r="AK211" s="326" t="s">
        <v>270</v>
      </c>
      <c r="AL211" s="392" t="s">
        <v>77</v>
      </c>
      <c r="AM211" s="299" t="s">
        <v>78</v>
      </c>
      <c r="AN211" s="299" t="s">
        <v>79</v>
      </c>
      <c r="AO211" s="300" t="s">
        <v>102</v>
      </c>
      <c r="AP211" s="9"/>
      <c r="AQ211" s="9"/>
      <c r="AR211" s="9"/>
    </row>
    <row r="212" spans="1:51" ht="19.899999999999999" customHeight="1" x14ac:dyDescent="0.25">
      <c r="A212" s="48"/>
      <c r="C212" s="631" t="s">
        <v>55</v>
      </c>
      <c r="D212" s="632"/>
      <c r="E212" s="632"/>
      <c r="F212" s="632"/>
      <c r="G212" s="632"/>
      <c r="H212" s="633"/>
      <c r="I212" s="473">
        <v>6</v>
      </c>
      <c r="J212" s="473">
        <v>6</v>
      </c>
      <c r="K212" s="275"/>
      <c r="L212" s="276"/>
      <c r="M212" s="277"/>
      <c r="N212" s="278"/>
      <c r="O212" s="279"/>
      <c r="P212" s="280"/>
      <c r="Q212" s="281">
        <v>72</v>
      </c>
      <c r="R212" s="282">
        <v>6.39</v>
      </c>
      <c r="S212" s="404">
        <v>72</v>
      </c>
      <c r="T212" s="284"/>
      <c r="U212" s="285">
        <v>5.9493103448275866</v>
      </c>
      <c r="V212" s="286"/>
      <c r="W212" s="405"/>
      <c r="X212" s="287">
        <v>6.1624800000000004</v>
      </c>
      <c r="Y212" s="261"/>
      <c r="Z212" s="405">
        <v>48</v>
      </c>
      <c r="AA212" s="285">
        <v>5.9493103448275866</v>
      </c>
      <c r="AB212" s="283">
        <v>21</v>
      </c>
      <c r="AC212" s="408"/>
      <c r="AD212" s="285">
        <v>5.5086206896551726</v>
      </c>
      <c r="AE212" s="283"/>
      <c r="AF212" s="410"/>
      <c r="AG212" s="410">
        <v>6.39</v>
      </c>
      <c r="AH212" s="91"/>
      <c r="AI212" s="437"/>
      <c r="AJ212" s="285">
        <v>5.5086206896551726</v>
      </c>
      <c r="AK212" s="434"/>
      <c r="AL212" s="393">
        <f>K212+N212+T212+Q212+Z212+W212+AC212+AF212+AI212</f>
        <v>120</v>
      </c>
      <c r="AM212" s="47">
        <f t="shared" ref="AM212:AM227" si="128">AN108</f>
        <v>119</v>
      </c>
      <c r="AN212" s="288">
        <f>AL212-AM212</f>
        <v>1</v>
      </c>
      <c r="AO212" s="289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8"/>
      <c r="C213" s="634" t="s">
        <v>4</v>
      </c>
      <c r="D213" s="510"/>
      <c r="E213" s="510"/>
      <c r="F213" s="510"/>
      <c r="G213" s="510"/>
      <c r="H213" s="635"/>
      <c r="I213" s="473">
        <v>12</v>
      </c>
      <c r="J213" s="473">
        <v>12</v>
      </c>
      <c r="K213" s="76">
        <v>80</v>
      </c>
      <c r="L213" s="63">
        <v>10.32</v>
      </c>
      <c r="M213" s="89">
        <v>80</v>
      </c>
      <c r="N213" s="127"/>
      <c r="O213" s="38"/>
      <c r="P213" s="66"/>
      <c r="Q213" s="76">
        <v>60</v>
      </c>
      <c r="R213" s="63">
        <v>12.69</v>
      </c>
      <c r="S213" s="89">
        <v>60</v>
      </c>
      <c r="T213" s="67">
        <v>40</v>
      </c>
      <c r="U213" s="224">
        <v>11.814827586206897</v>
      </c>
      <c r="V213" s="320">
        <v>40</v>
      </c>
      <c r="W213" s="406">
        <v>40</v>
      </c>
      <c r="X213" s="240">
        <v>12.227760000000002</v>
      </c>
      <c r="Y213" s="260">
        <v>40</v>
      </c>
      <c r="Z213" s="406">
        <v>100</v>
      </c>
      <c r="AA213" s="224">
        <v>11.814827586206897</v>
      </c>
      <c r="AB213" s="89">
        <v>100</v>
      </c>
      <c r="AC213" s="408">
        <v>80</v>
      </c>
      <c r="AD213" s="224">
        <v>10.939655172413794</v>
      </c>
      <c r="AE213" s="89">
        <v>80</v>
      </c>
      <c r="AF213" s="410"/>
      <c r="AG213" s="410">
        <v>12.69</v>
      </c>
      <c r="AH213" s="91"/>
      <c r="AI213" s="437"/>
      <c r="AJ213" s="224">
        <v>10.939655172413794</v>
      </c>
      <c r="AK213" s="434"/>
      <c r="AL213" s="393">
        <f t="shared" ref="AL213:AL234" si="130">K213+N213+T213+Q213+Z213+W213+AC213+AF213+AI213</f>
        <v>400</v>
      </c>
      <c r="AM213" s="15">
        <f t="shared" si="128"/>
        <v>402</v>
      </c>
      <c r="AN213" s="44">
        <f>AL213-AM213</f>
        <v>-2</v>
      </c>
      <c r="AO213" s="289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8"/>
      <c r="C214" s="634" t="s">
        <v>5</v>
      </c>
      <c r="D214" s="510"/>
      <c r="E214" s="510"/>
      <c r="F214" s="510"/>
      <c r="G214" s="510"/>
      <c r="H214" s="635"/>
      <c r="I214" s="473">
        <v>32</v>
      </c>
      <c r="J214" s="473">
        <v>32</v>
      </c>
      <c r="K214" s="76">
        <v>20</v>
      </c>
      <c r="L214" s="63">
        <v>28.5</v>
      </c>
      <c r="M214" s="89">
        <v>20</v>
      </c>
      <c r="N214" s="127"/>
      <c r="O214" s="38"/>
      <c r="P214" s="66"/>
      <c r="Q214" s="76">
        <v>40</v>
      </c>
      <c r="R214" s="63">
        <v>35.04</v>
      </c>
      <c r="S214" s="89">
        <v>40</v>
      </c>
      <c r="T214" s="67">
        <v>20</v>
      </c>
      <c r="U214" s="224">
        <v>32.623448275862074</v>
      </c>
      <c r="V214" s="320">
        <v>20</v>
      </c>
      <c r="W214" s="406">
        <v>20</v>
      </c>
      <c r="X214" s="240">
        <v>33.767280000000007</v>
      </c>
      <c r="Y214" s="260">
        <v>20</v>
      </c>
      <c r="Z214" s="406">
        <v>60</v>
      </c>
      <c r="AA214" s="224">
        <v>32.623448275862074</v>
      </c>
      <c r="AB214" s="89">
        <v>60</v>
      </c>
      <c r="AC214" s="408">
        <v>30</v>
      </c>
      <c r="AD214" s="224">
        <v>30.206896551724142</v>
      </c>
      <c r="AE214" s="89">
        <v>30</v>
      </c>
      <c r="AF214" s="410">
        <v>40</v>
      </c>
      <c r="AG214" s="410">
        <v>35.040000000000006</v>
      </c>
      <c r="AH214" s="91">
        <v>25</v>
      </c>
      <c r="AI214" s="437">
        <v>36</v>
      </c>
      <c r="AJ214" s="224">
        <v>30.206896551724142</v>
      </c>
      <c r="AK214" s="434"/>
      <c r="AL214" s="393">
        <f t="shared" si="130"/>
        <v>266</v>
      </c>
      <c r="AM214" s="15">
        <f t="shared" si="128"/>
        <v>252</v>
      </c>
      <c r="AN214" s="44">
        <f t="shared" ref="AN214:AN233" si="131">AL214-AM214</f>
        <v>14</v>
      </c>
      <c r="AO214" s="289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8"/>
      <c r="C215" s="634" t="s">
        <v>56</v>
      </c>
      <c r="D215" s="510"/>
      <c r="E215" s="510"/>
      <c r="F215" s="510"/>
      <c r="G215" s="510"/>
      <c r="H215" s="635"/>
      <c r="I215" s="473">
        <v>10</v>
      </c>
      <c r="J215" s="473">
        <v>10</v>
      </c>
      <c r="K215" s="76"/>
      <c r="L215" s="63"/>
      <c r="M215" s="73"/>
      <c r="N215" s="127"/>
      <c r="O215" s="38"/>
      <c r="P215" s="66"/>
      <c r="Q215" s="76">
        <v>32</v>
      </c>
      <c r="R215" s="63">
        <v>10.7</v>
      </c>
      <c r="S215" s="89">
        <v>32</v>
      </c>
      <c r="T215" s="67"/>
      <c r="U215" s="224">
        <v>9.9620689655172416</v>
      </c>
      <c r="V215" s="223"/>
      <c r="W215" s="406"/>
      <c r="X215" s="240">
        <v>10.31292</v>
      </c>
      <c r="Y215" s="261"/>
      <c r="Z215" s="406">
        <v>20</v>
      </c>
      <c r="AA215" s="224">
        <v>9.9620689655172416</v>
      </c>
      <c r="AB215" s="89">
        <v>20</v>
      </c>
      <c r="AC215" s="408">
        <v>20</v>
      </c>
      <c r="AD215" s="224">
        <v>9.2241379310344822</v>
      </c>
      <c r="AE215" s="91">
        <v>7</v>
      </c>
      <c r="AF215" s="410"/>
      <c r="AG215" s="410">
        <v>10.7</v>
      </c>
      <c r="AH215" s="91"/>
      <c r="AI215" s="437">
        <v>40</v>
      </c>
      <c r="AJ215" s="224">
        <v>9.2241379310344822</v>
      </c>
      <c r="AK215" s="434"/>
      <c r="AL215" s="393">
        <f t="shared" si="130"/>
        <v>112</v>
      </c>
      <c r="AM215" s="15">
        <f t="shared" si="128"/>
        <v>66</v>
      </c>
      <c r="AN215" s="44">
        <f t="shared" si="131"/>
        <v>46</v>
      </c>
      <c r="AO215" s="289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8"/>
      <c r="C216" s="634" t="s">
        <v>49</v>
      </c>
      <c r="D216" s="510"/>
      <c r="E216" s="510"/>
      <c r="F216" s="510"/>
      <c r="G216" s="510"/>
      <c r="H216" s="635"/>
      <c r="I216" s="473">
        <v>21</v>
      </c>
      <c r="J216" s="473">
        <v>21</v>
      </c>
      <c r="K216" s="76"/>
      <c r="L216" s="63"/>
      <c r="M216" s="73"/>
      <c r="N216" s="127">
        <v>10</v>
      </c>
      <c r="O216" s="38">
        <v>22.1</v>
      </c>
      <c r="P216" s="220">
        <v>10</v>
      </c>
      <c r="Q216" s="76">
        <v>40</v>
      </c>
      <c r="R216" s="63">
        <v>22.81</v>
      </c>
      <c r="S216" s="89">
        <v>40</v>
      </c>
      <c r="T216" s="67">
        <v>30</v>
      </c>
      <c r="U216" s="224">
        <v>21.23689655172414</v>
      </c>
      <c r="V216" s="320">
        <v>30</v>
      </c>
      <c r="W216" s="406">
        <v>20</v>
      </c>
      <c r="X216" s="240">
        <v>22.569840000000003</v>
      </c>
      <c r="Y216" s="260">
        <v>20</v>
      </c>
      <c r="Z216" s="406">
        <v>40</v>
      </c>
      <c r="AA216" s="224">
        <v>21.23689655172414</v>
      </c>
      <c r="AB216" s="89">
        <v>40</v>
      </c>
      <c r="AC216" s="408">
        <v>40</v>
      </c>
      <c r="AD216" s="224">
        <v>19.663793103448278</v>
      </c>
      <c r="AE216" s="89">
        <v>40</v>
      </c>
      <c r="AF216" s="410">
        <v>36</v>
      </c>
      <c r="AG216" s="410">
        <v>22.81</v>
      </c>
      <c r="AH216" s="91">
        <v>27</v>
      </c>
      <c r="AI216" s="437"/>
      <c r="AJ216" s="224">
        <v>19.663793103448278</v>
      </c>
      <c r="AK216" s="434"/>
      <c r="AL216" s="393">
        <f t="shared" si="130"/>
        <v>216</v>
      </c>
      <c r="AM216" s="15">
        <f t="shared" si="128"/>
        <v>219</v>
      </c>
      <c r="AN216" s="44">
        <f t="shared" si="131"/>
        <v>-3</v>
      </c>
      <c r="AO216" s="289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8"/>
      <c r="C217" s="634" t="s">
        <v>50</v>
      </c>
      <c r="D217" s="510"/>
      <c r="E217" s="510"/>
      <c r="F217" s="510"/>
      <c r="G217" s="510"/>
      <c r="H217" s="635"/>
      <c r="I217" s="473">
        <v>6</v>
      </c>
      <c r="J217" s="473">
        <v>6</v>
      </c>
      <c r="K217" s="76"/>
      <c r="L217" s="63"/>
      <c r="M217" s="73"/>
      <c r="N217" s="127">
        <v>24</v>
      </c>
      <c r="O217" s="38">
        <v>5.67</v>
      </c>
      <c r="P217" s="221">
        <v>20</v>
      </c>
      <c r="Q217" s="76"/>
      <c r="R217" s="63">
        <v>6</v>
      </c>
      <c r="S217" s="91"/>
      <c r="T217" s="67"/>
      <c r="U217" s="224">
        <v>5.5862068965517242</v>
      </c>
      <c r="V217" s="223"/>
      <c r="W217" s="406"/>
      <c r="X217" s="240">
        <v>5.79312</v>
      </c>
      <c r="Y217" s="261"/>
      <c r="Z217" s="406">
        <v>24</v>
      </c>
      <c r="AA217" s="224">
        <v>5.5862068965517242</v>
      </c>
      <c r="AB217" s="91"/>
      <c r="AC217" s="408"/>
      <c r="AD217" s="224">
        <v>5.1724137931034484</v>
      </c>
      <c r="AE217" s="91"/>
      <c r="AF217" s="410"/>
      <c r="AG217" s="410">
        <v>6</v>
      </c>
      <c r="AH217" s="91"/>
      <c r="AI217" s="437"/>
      <c r="AJ217" s="224">
        <v>5.1724137931034484</v>
      </c>
      <c r="AK217" s="434"/>
      <c r="AL217" s="393">
        <f t="shared" si="130"/>
        <v>48</v>
      </c>
      <c r="AM217" s="15">
        <f t="shared" si="128"/>
        <v>21</v>
      </c>
      <c r="AN217" s="44">
        <f t="shared" si="131"/>
        <v>27</v>
      </c>
      <c r="AO217" s="289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8"/>
      <c r="C218" s="634" t="s">
        <v>6</v>
      </c>
      <c r="D218" s="510"/>
      <c r="E218" s="510"/>
      <c r="F218" s="510"/>
      <c r="G218" s="510"/>
      <c r="H218" s="635"/>
      <c r="I218" s="473">
        <v>9</v>
      </c>
      <c r="J218" s="473">
        <v>9</v>
      </c>
      <c r="K218" s="76">
        <v>20</v>
      </c>
      <c r="L218" s="63">
        <v>7.51</v>
      </c>
      <c r="M218" s="89">
        <v>20</v>
      </c>
      <c r="N218" s="127"/>
      <c r="O218" s="38"/>
      <c r="P218" s="66"/>
      <c r="Q218" s="76">
        <v>40</v>
      </c>
      <c r="R218" s="63">
        <v>9.23</v>
      </c>
      <c r="S218" s="89">
        <v>40</v>
      </c>
      <c r="T218" s="67"/>
      <c r="U218" s="224">
        <v>8.5934482758620696</v>
      </c>
      <c r="V218" s="223"/>
      <c r="W218" s="406"/>
      <c r="X218" s="240">
        <v>8.8938000000000024</v>
      </c>
      <c r="Y218" s="261"/>
      <c r="Z218" s="406">
        <v>40</v>
      </c>
      <c r="AA218" s="224">
        <v>8.5934482758620696</v>
      </c>
      <c r="AB218" s="89">
        <v>40</v>
      </c>
      <c r="AC218" s="408">
        <v>20</v>
      </c>
      <c r="AD218" s="224">
        <v>7.9568965517241379</v>
      </c>
      <c r="AE218" s="91">
        <v>7</v>
      </c>
      <c r="AF218" s="410"/>
      <c r="AG218" s="410">
        <v>9.2299999999999986</v>
      </c>
      <c r="AH218" s="91"/>
      <c r="AI218" s="437">
        <v>20</v>
      </c>
      <c r="AJ218" s="224">
        <v>7.9568965517241379</v>
      </c>
      <c r="AK218" s="434"/>
      <c r="AL218" s="393">
        <f t="shared" si="130"/>
        <v>140</v>
      </c>
      <c r="AM218" s="15">
        <f t="shared" si="128"/>
        <v>121</v>
      </c>
      <c r="AN218" s="44">
        <f t="shared" si="131"/>
        <v>19</v>
      </c>
      <c r="AO218" s="289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8"/>
      <c r="C219" s="634" t="s">
        <v>7</v>
      </c>
      <c r="D219" s="510"/>
      <c r="E219" s="510"/>
      <c r="F219" s="510"/>
      <c r="G219" s="510"/>
      <c r="H219" s="635"/>
      <c r="I219" s="473">
        <v>25</v>
      </c>
      <c r="J219" s="473">
        <v>25</v>
      </c>
      <c r="K219" s="76">
        <v>5</v>
      </c>
      <c r="L219" s="63">
        <v>21.99</v>
      </c>
      <c r="M219" s="89">
        <v>5</v>
      </c>
      <c r="N219" s="127"/>
      <c r="O219" s="38"/>
      <c r="P219" s="66"/>
      <c r="Q219" s="76">
        <v>30</v>
      </c>
      <c r="R219" s="63">
        <v>27.04</v>
      </c>
      <c r="S219" s="89">
        <v>30</v>
      </c>
      <c r="T219" s="67">
        <v>5</v>
      </c>
      <c r="U219" s="224">
        <v>25.175172413793106</v>
      </c>
      <c r="V219" s="320">
        <v>5</v>
      </c>
      <c r="W219" s="406">
        <v>20</v>
      </c>
      <c r="X219" s="240">
        <v>26.05932</v>
      </c>
      <c r="Y219" s="260">
        <v>20</v>
      </c>
      <c r="Z219" s="406"/>
      <c r="AA219" s="224">
        <v>25.175172413793106</v>
      </c>
      <c r="AB219" s="91"/>
      <c r="AC219" s="408">
        <v>10</v>
      </c>
      <c r="AD219" s="224">
        <v>23.310344827586206</v>
      </c>
      <c r="AE219" s="89">
        <v>10</v>
      </c>
      <c r="AF219" s="410">
        <v>10</v>
      </c>
      <c r="AG219" s="410">
        <v>27.04</v>
      </c>
      <c r="AH219" s="89">
        <v>8</v>
      </c>
      <c r="AI219" s="437">
        <v>20</v>
      </c>
      <c r="AJ219" s="224">
        <v>23.310344827586206</v>
      </c>
      <c r="AK219" s="435"/>
      <c r="AL219" s="393">
        <f t="shared" si="130"/>
        <v>100</v>
      </c>
      <c r="AM219" s="15">
        <f t="shared" si="128"/>
        <v>89</v>
      </c>
      <c r="AN219" s="44">
        <f t="shared" si="131"/>
        <v>11</v>
      </c>
      <c r="AO219" s="289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8"/>
      <c r="C220" s="634" t="s">
        <v>8</v>
      </c>
      <c r="D220" s="510"/>
      <c r="E220" s="510"/>
      <c r="F220" s="510"/>
      <c r="G220" s="510"/>
      <c r="H220" s="635"/>
      <c r="I220" s="473">
        <v>11</v>
      </c>
      <c r="J220" s="473">
        <v>11</v>
      </c>
      <c r="K220" s="76">
        <v>40</v>
      </c>
      <c r="L220" s="63">
        <v>9.5500000000000007</v>
      </c>
      <c r="M220" s="89">
        <v>40</v>
      </c>
      <c r="N220" s="127"/>
      <c r="O220" s="38"/>
      <c r="P220" s="66"/>
      <c r="Q220" s="76">
        <v>12</v>
      </c>
      <c r="R220" s="63">
        <v>11.74</v>
      </c>
      <c r="S220" s="89">
        <v>12</v>
      </c>
      <c r="T220" s="67"/>
      <c r="U220" s="224">
        <v>10.930344827586209</v>
      </c>
      <c r="V220" s="223"/>
      <c r="W220" s="406">
        <v>40</v>
      </c>
      <c r="X220" s="240">
        <v>11.314080000000002</v>
      </c>
      <c r="Y220" s="260">
        <v>40</v>
      </c>
      <c r="Z220" s="406">
        <v>20</v>
      </c>
      <c r="AA220" s="224">
        <v>10.930344827586209</v>
      </c>
      <c r="AB220" s="89">
        <v>20</v>
      </c>
      <c r="AC220" s="408">
        <v>40</v>
      </c>
      <c r="AD220" s="224">
        <v>10.120689655172415</v>
      </c>
      <c r="AE220" s="91">
        <v>17</v>
      </c>
      <c r="AF220" s="410"/>
      <c r="AG220" s="410">
        <v>11.74</v>
      </c>
      <c r="AH220" s="91"/>
      <c r="AI220" s="437">
        <v>40</v>
      </c>
      <c r="AJ220" s="224">
        <v>10.120689655172415</v>
      </c>
      <c r="AK220" s="434"/>
      <c r="AL220" s="393">
        <f t="shared" si="130"/>
        <v>192</v>
      </c>
      <c r="AM220" s="15">
        <f t="shared" si="128"/>
        <v>154</v>
      </c>
      <c r="AN220" s="44">
        <f t="shared" si="131"/>
        <v>38</v>
      </c>
      <c r="AO220" s="289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8"/>
      <c r="C221" s="634" t="s">
        <v>9</v>
      </c>
      <c r="D221" s="510"/>
      <c r="E221" s="510"/>
      <c r="F221" s="510"/>
      <c r="G221" s="510"/>
      <c r="H221" s="635"/>
      <c r="I221" s="473">
        <v>24</v>
      </c>
      <c r="J221" s="473">
        <v>24</v>
      </c>
      <c r="K221" s="76">
        <v>20</v>
      </c>
      <c r="L221" s="63">
        <v>21.82</v>
      </c>
      <c r="M221" s="89">
        <v>20</v>
      </c>
      <c r="N221" s="127">
        <v>36</v>
      </c>
      <c r="O221" s="38">
        <v>25.31</v>
      </c>
      <c r="P221" s="220">
        <v>36</v>
      </c>
      <c r="Q221" s="76">
        <v>60</v>
      </c>
      <c r="R221" s="63">
        <v>26.83</v>
      </c>
      <c r="S221" s="89">
        <v>60</v>
      </c>
      <c r="T221" s="67">
        <v>30</v>
      </c>
      <c r="U221" s="224">
        <v>24.979655172413796</v>
      </c>
      <c r="V221" s="320">
        <v>30</v>
      </c>
      <c r="W221" s="406">
        <v>40</v>
      </c>
      <c r="X221" s="240">
        <v>25.855200000000004</v>
      </c>
      <c r="Y221" s="260">
        <v>40</v>
      </c>
      <c r="Z221" s="406">
        <v>60</v>
      </c>
      <c r="AA221" s="224">
        <v>24.979655172413796</v>
      </c>
      <c r="AB221" s="89">
        <v>60</v>
      </c>
      <c r="AC221" s="408">
        <v>60</v>
      </c>
      <c r="AD221" s="224">
        <v>23.129310344827587</v>
      </c>
      <c r="AE221" s="89">
        <v>61</v>
      </c>
      <c r="AF221" s="410"/>
      <c r="AG221" s="410">
        <v>26.83</v>
      </c>
      <c r="AH221" s="91"/>
      <c r="AI221" s="437">
        <v>108</v>
      </c>
      <c r="AJ221" s="224">
        <v>23.129310344827587</v>
      </c>
      <c r="AK221" s="434"/>
      <c r="AL221" s="393">
        <f t="shared" si="130"/>
        <v>414</v>
      </c>
      <c r="AM221" s="15">
        <f t="shared" si="128"/>
        <v>344</v>
      </c>
      <c r="AN221" s="44">
        <f t="shared" si="131"/>
        <v>70</v>
      </c>
      <c r="AO221" s="289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8"/>
      <c r="C222" s="634" t="s">
        <v>10</v>
      </c>
      <c r="D222" s="510"/>
      <c r="E222" s="510"/>
      <c r="F222" s="510"/>
      <c r="G222" s="510"/>
      <c r="H222" s="635"/>
      <c r="I222" s="473">
        <v>26</v>
      </c>
      <c r="J222" s="473">
        <v>26</v>
      </c>
      <c r="K222" s="76">
        <v>20</v>
      </c>
      <c r="L222" s="63">
        <v>22.74</v>
      </c>
      <c r="M222" s="89">
        <v>20</v>
      </c>
      <c r="N222" s="127"/>
      <c r="O222" s="38"/>
      <c r="P222" s="66"/>
      <c r="Q222" s="76">
        <v>40</v>
      </c>
      <c r="R222" s="63">
        <v>27.96</v>
      </c>
      <c r="S222" s="89">
        <v>40</v>
      </c>
      <c r="T222" s="67"/>
      <c r="U222" s="224">
        <v>26.03172413793104</v>
      </c>
      <c r="V222" s="223"/>
      <c r="W222" s="406">
        <v>20</v>
      </c>
      <c r="X222" s="240">
        <v>26.943840000000002</v>
      </c>
      <c r="Y222" s="260">
        <v>20</v>
      </c>
      <c r="Z222" s="406">
        <v>12</v>
      </c>
      <c r="AA222" s="224">
        <v>26.03172413793104</v>
      </c>
      <c r="AB222" s="89">
        <v>12</v>
      </c>
      <c r="AC222" s="408">
        <v>20</v>
      </c>
      <c r="AD222" s="224">
        <v>24.103448275862071</v>
      </c>
      <c r="AE222" s="91">
        <v>16</v>
      </c>
      <c r="AF222" s="410"/>
      <c r="AG222" s="410">
        <v>27.96</v>
      </c>
      <c r="AH222" s="91"/>
      <c r="AI222" s="437"/>
      <c r="AJ222" s="224">
        <v>24.103448275862071</v>
      </c>
      <c r="AK222" s="434"/>
      <c r="AL222" s="393">
        <f t="shared" si="130"/>
        <v>112</v>
      </c>
      <c r="AM222" s="15">
        <f t="shared" si="128"/>
        <v>115</v>
      </c>
      <c r="AN222" s="44">
        <f t="shared" si="131"/>
        <v>-3</v>
      </c>
      <c r="AO222" s="289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8"/>
      <c r="C223" s="634" t="s">
        <v>11</v>
      </c>
      <c r="D223" s="510"/>
      <c r="E223" s="510"/>
      <c r="F223" s="510"/>
      <c r="G223" s="510"/>
      <c r="H223" s="635"/>
      <c r="I223" s="473">
        <v>86</v>
      </c>
      <c r="J223" s="473">
        <v>86</v>
      </c>
      <c r="K223" s="76">
        <v>20</v>
      </c>
      <c r="L223" s="63">
        <v>77.28</v>
      </c>
      <c r="M223" s="89">
        <v>20</v>
      </c>
      <c r="N223" s="127"/>
      <c r="O223" s="38"/>
      <c r="P223" s="66"/>
      <c r="Q223" s="76">
        <v>40</v>
      </c>
      <c r="R223" s="63">
        <v>95.03</v>
      </c>
      <c r="S223" s="89">
        <v>40</v>
      </c>
      <c r="T223" s="67">
        <v>15</v>
      </c>
      <c r="U223" s="224">
        <v>88.476206896551744</v>
      </c>
      <c r="V223" s="320">
        <v>15</v>
      </c>
      <c r="W223" s="406">
        <v>20</v>
      </c>
      <c r="X223" s="240">
        <v>91.562400000000011</v>
      </c>
      <c r="Y223" s="260">
        <v>20</v>
      </c>
      <c r="Z223" s="406">
        <v>34</v>
      </c>
      <c r="AA223" s="224">
        <v>88.476206896551744</v>
      </c>
      <c r="AB223" s="89">
        <v>34</v>
      </c>
      <c r="AC223" s="408">
        <v>40</v>
      </c>
      <c r="AD223" s="224">
        <v>81.922413793103459</v>
      </c>
      <c r="AE223" s="91">
        <v>19</v>
      </c>
      <c r="AF223" s="410"/>
      <c r="AG223" s="410">
        <v>95.03</v>
      </c>
      <c r="AH223" s="91"/>
      <c r="AI223" s="437">
        <v>8</v>
      </c>
      <c r="AJ223" s="224">
        <v>81.922413793103459</v>
      </c>
      <c r="AK223" s="434"/>
      <c r="AL223" s="393">
        <f t="shared" si="130"/>
        <v>177</v>
      </c>
      <c r="AM223" s="15">
        <f t="shared" si="128"/>
        <v>177</v>
      </c>
      <c r="AN223" s="44">
        <f t="shared" si="131"/>
        <v>0</v>
      </c>
      <c r="AO223" s="289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8"/>
      <c r="C224" s="634" t="s">
        <v>57</v>
      </c>
      <c r="D224" s="510"/>
      <c r="E224" s="510"/>
      <c r="F224" s="510"/>
      <c r="G224" s="510"/>
      <c r="H224" s="635"/>
      <c r="I224" s="473">
        <v>40</v>
      </c>
      <c r="J224" s="473">
        <v>40</v>
      </c>
      <c r="K224" s="76"/>
      <c r="L224" s="63"/>
      <c r="M224" s="73"/>
      <c r="N224" s="127"/>
      <c r="O224" s="38"/>
      <c r="P224" s="66"/>
      <c r="Q224" s="76">
        <v>30</v>
      </c>
      <c r="R224" s="63">
        <v>44.03</v>
      </c>
      <c r="S224" s="89">
        <v>30</v>
      </c>
      <c r="T224" s="67">
        <v>10</v>
      </c>
      <c r="U224" s="224">
        <v>40.993448275862079</v>
      </c>
      <c r="V224" s="320">
        <v>10</v>
      </c>
      <c r="W224" s="406">
        <v>20</v>
      </c>
      <c r="X224" s="240">
        <v>42.427799999999998</v>
      </c>
      <c r="Y224" s="260">
        <v>20</v>
      </c>
      <c r="Z224" s="406">
        <v>50</v>
      </c>
      <c r="AA224" s="224">
        <v>40.993448275862079</v>
      </c>
      <c r="AB224" s="89">
        <v>50</v>
      </c>
      <c r="AC224" s="408">
        <v>18</v>
      </c>
      <c r="AD224" s="224">
        <v>37.956896551724142</v>
      </c>
      <c r="AE224" s="89">
        <v>18</v>
      </c>
      <c r="AF224" s="410">
        <v>36</v>
      </c>
      <c r="AG224" s="410">
        <v>44.03</v>
      </c>
      <c r="AH224" s="91">
        <v>20</v>
      </c>
      <c r="AI224" s="437"/>
      <c r="AJ224" s="224">
        <v>37.956896551724142</v>
      </c>
      <c r="AK224" s="434"/>
      <c r="AL224" s="393">
        <f t="shared" si="130"/>
        <v>164</v>
      </c>
      <c r="AM224" s="15">
        <f t="shared" si="128"/>
        <v>164</v>
      </c>
      <c r="AN224" s="44">
        <f t="shared" si="131"/>
        <v>0</v>
      </c>
      <c r="AO224" s="289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8"/>
      <c r="C225" s="634" t="s">
        <v>51</v>
      </c>
      <c r="D225" s="510"/>
      <c r="E225" s="510"/>
      <c r="F225" s="510"/>
      <c r="G225" s="510"/>
      <c r="H225" s="635"/>
      <c r="I225" s="473">
        <v>38</v>
      </c>
      <c r="J225" s="473">
        <v>38</v>
      </c>
      <c r="K225" s="76"/>
      <c r="L225" s="63"/>
      <c r="M225" s="73"/>
      <c r="N225" s="127">
        <v>5</v>
      </c>
      <c r="O225" s="38">
        <v>39.15</v>
      </c>
      <c r="P225" s="220">
        <v>5</v>
      </c>
      <c r="Q225" s="76"/>
      <c r="R225" s="63">
        <v>41.5</v>
      </c>
      <c r="S225" s="91"/>
      <c r="T225" s="67"/>
      <c r="U225" s="224">
        <v>38.637931034482769</v>
      </c>
      <c r="V225" s="223"/>
      <c r="W225" s="406">
        <v>10</v>
      </c>
      <c r="X225" s="240">
        <v>39.988080000000004</v>
      </c>
      <c r="Y225" s="260">
        <v>10</v>
      </c>
      <c r="Z225" s="406">
        <v>10</v>
      </c>
      <c r="AA225" s="224">
        <v>38.637931034482769</v>
      </c>
      <c r="AB225" s="89">
        <v>10</v>
      </c>
      <c r="AC225" s="408"/>
      <c r="AD225" s="224">
        <v>35.775862068965523</v>
      </c>
      <c r="AE225" s="91"/>
      <c r="AF225" s="410">
        <v>5</v>
      </c>
      <c r="AG225" s="410">
        <v>41.500000000000007</v>
      </c>
      <c r="AH225" s="91">
        <v>2</v>
      </c>
      <c r="AI225" s="437">
        <v>10</v>
      </c>
      <c r="AJ225" s="224">
        <v>35.775862068965523</v>
      </c>
      <c r="AK225" s="434"/>
      <c r="AL225" s="393">
        <f t="shared" si="130"/>
        <v>40</v>
      </c>
      <c r="AM225" s="15">
        <f t="shared" si="128"/>
        <v>29</v>
      </c>
      <c r="AN225" s="44">
        <f t="shared" si="131"/>
        <v>11</v>
      </c>
      <c r="AO225" s="289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8"/>
      <c r="C226" s="634" t="s">
        <v>52</v>
      </c>
      <c r="D226" s="510"/>
      <c r="E226" s="510"/>
      <c r="F226" s="510"/>
      <c r="G226" s="510"/>
      <c r="H226" s="635"/>
      <c r="I226" s="473">
        <v>49</v>
      </c>
      <c r="J226" s="473">
        <v>49</v>
      </c>
      <c r="K226" s="76"/>
      <c r="L226" s="63"/>
      <c r="M226" s="73"/>
      <c r="N226" s="127">
        <v>10</v>
      </c>
      <c r="O226" s="38">
        <v>48.29</v>
      </c>
      <c r="P226" s="221">
        <v>9</v>
      </c>
      <c r="Q226" s="76"/>
      <c r="R226" s="63">
        <v>54.09</v>
      </c>
      <c r="S226" s="91"/>
      <c r="T226" s="67"/>
      <c r="U226" s="224">
        <v>50.359655172413802</v>
      </c>
      <c r="V226" s="223"/>
      <c r="W226" s="406"/>
      <c r="X226" s="240">
        <v>52.118639999999999</v>
      </c>
      <c r="Y226" s="261"/>
      <c r="Z226" s="406"/>
      <c r="AA226" s="224">
        <v>50.359655172413802</v>
      </c>
      <c r="AB226" s="91"/>
      <c r="AC226" s="408"/>
      <c r="AD226" s="224">
        <v>46.629310344827594</v>
      </c>
      <c r="AE226" s="91"/>
      <c r="AF226" s="410"/>
      <c r="AG226" s="410">
        <v>54.09</v>
      </c>
      <c r="AH226" s="91"/>
      <c r="AI226" s="437">
        <v>15</v>
      </c>
      <c r="AJ226" s="224">
        <v>46.629310344827594</v>
      </c>
      <c r="AK226" s="434"/>
      <c r="AL226" s="393">
        <f t="shared" si="130"/>
        <v>25</v>
      </c>
      <c r="AM226" s="15">
        <f t="shared" si="128"/>
        <v>10</v>
      </c>
      <c r="AN226" s="44">
        <f t="shared" si="131"/>
        <v>15</v>
      </c>
      <c r="AO226" s="289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8"/>
      <c r="C227" s="634" t="s">
        <v>12</v>
      </c>
      <c r="D227" s="510"/>
      <c r="E227" s="510"/>
      <c r="F227" s="510"/>
      <c r="G227" s="510"/>
      <c r="H227" s="635"/>
      <c r="I227" s="473">
        <v>27</v>
      </c>
      <c r="J227" s="473">
        <v>27</v>
      </c>
      <c r="K227" s="76">
        <v>20</v>
      </c>
      <c r="L227" s="63">
        <v>22.4</v>
      </c>
      <c r="M227" s="89">
        <v>20</v>
      </c>
      <c r="N227" s="127"/>
      <c r="O227" s="38"/>
      <c r="P227" s="66"/>
      <c r="Q227" s="76">
        <v>90</v>
      </c>
      <c r="R227" s="63">
        <v>29.1</v>
      </c>
      <c r="S227" s="89">
        <v>90</v>
      </c>
      <c r="T227" s="67"/>
      <c r="U227" s="224">
        <v>27.093103448275865</v>
      </c>
      <c r="V227" s="223"/>
      <c r="W227" s="406">
        <v>40</v>
      </c>
      <c r="X227" s="240">
        <v>28.042200000000005</v>
      </c>
      <c r="Y227" s="260">
        <v>40</v>
      </c>
      <c r="Z227" s="406"/>
      <c r="AA227" s="224">
        <v>27.093103448275865</v>
      </c>
      <c r="AB227" s="91"/>
      <c r="AC227" s="408">
        <v>60</v>
      </c>
      <c r="AD227" s="224">
        <v>25.086206896551726</v>
      </c>
      <c r="AE227" s="89">
        <v>60</v>
      </c>
      <c r="AF227" s="410"/>
      <c r="AG227" s="410">
        <v>29.1</v>
      </c>
      <c r="AH227" s="91"/>
      <c r="AI227" s="437"/>
      <c r="AJ227" s="224">
        <v>25.086206896551726</v>
      </c>
      <c r="AK227" s="434"/>
      <c r="AL227" s="393">
        <f t="shared" si="130"/>
        <v>210</v>
      </c>
      <c r="AM227" s="15">
        <f t="shared" si="128"/>
        <v>210</v>
      </c>
      <c r="AN227" s="44">
        <f t="shared" si="131"/>
        <v>0</v>
      </c>
      <c r="AO227" s="289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8"/>
      <c r="C228" s="634" t="s">
        <v>13</v>
      </c>
      <c r="D228" s="510"/>
      <c r="E228" s="510"/>
      <c r="F228" s="510"/>
      <c r="G228" s="510"/>
      <c r="H228" s="635"/>
      <c r="I228" s="473">
        <v>28</v>
      </c>
      <c r="J228" s="473">
        <v>28</v>
      </c>
      <c r="K228" s="76">
        <v>80</v>
      </c>
      <c r="L228" s="63">
        <v>23.95</v>
      </c>
      <c r="M228" s="89">
        <v>80</v>
      </c>
      <c r="N228" s="127">
        <v>127</v>
      </c>
      <c r="O228" s="38">
        <v>27.78</v>
      </c>
      <c r="P228" s="220">
        <v>127</v>
      </c>
      <c r="Q228" s="76">
        <v>220</v>
      </c>
      <c r="R228" s="63">
        <v>31.11</v>
      </c>
      <c r="S228" s="89">
        <v>220</v>
      </c>
      <c r="T228" s="67">
        <v>120</v>
      </c>
      <c r="U228" s="224">
        <v>28.964482758620694</v>
      </c>
      <c r="V228" s="320">
        <v>120</v>
      </c>
      <c r="W228" s="406">
        <v>120</v>
      </c>
      <c r="X228" s="240">
        <v>29.986200000000004</v>
      </c>
      <c r="Y228" s="260">
        <v>120</v>
      </c>
      <c r="Z228" s="406">
        <f>300</f>
        <v>300</v>
      </c>
      <c r="AA228" s="224">
        <v>28.964482758620694</v>
      </c>
      <c r="AB228" s="89">
        <v>300</v>
      </c>
      <c r="AC228" s="408">
        <v>203</v>
      </c>
      <c r="AD228" s="224">
        <v>26.818965517241381</v>
      </c>
      <c r="AE228" s="89">
        <v>203</v>
      </c>
      <c r="AF228" s="410">
        <v>150</v>
      </c>
      <c r="AG228" s="410">
        <v>31.11</v>
      </c>
      <c r="AH228" s="91">
        <v>116</v>
      </c>
      <c r="AI228" s="437">
        <v>100</v>
      </c>
      <c r="AJ228" s="224">
        <v>26.818965517241381</v>
      </c>
      <c r="AK228" s="434"/>
      <c r="AL228" s="393">
        <f t="shared" si="130"/>
        <v>1420</v>
      </c>
      <c r="AM228" s="15">
        <f>AN124+AN125</f>
        <v>1427</v>
      </c>
      <c r="AN228" s="44">
        <f t="shared" si="131"/>
        <v>-7</v>
      </c>
      <c r="AO228" s="289">
        <f t="shared" si="129"/>
        <v>-187.73275862068965</v>
      </c>
      <c r="AP228" s="9"/>
      <c r="AQ228" s="256"/>
      <c r="AR228" s="256"/>
      <c r="AS228" s="256"/>
      <c r="AT228" s="256"/>
      <c r="AU228" s="256"/>
      <c r="AV228" s="256"/>
      <c r="AW228" s="256"/>
      <c r="AX228" s="256"/>
      <c r="AY228" s="256"/>
      <c r="AZ228" s="256"/>
      <c r="BA228" s="256"/>
      <c r="BB228" s="256"/>
    </row>
    <row r="229" spans="1:54" ht="15.75" x14ac:dyDescent="0.25">
      <c r="A229" s="48"/>
      <c r="C229" s="634" t="s">
        <v>106</v>
      </c>
      <c r="D229" s="510"/>
      <c r="E229" s="510"/>
      <c r="F229" s="510"/>
      <c r="G229" s="510"/>
      <c r="H229" s="635"/>
      <c r="I229" s="472"/>
      <c r="J229" s="473">
        <f t="shared" ref="J229:J234" si="132">I229*0.9*1.16/0.9</f>
        <v>0</v>
      </c>
      <c r="K229" s="76"/>
      <c r="L229" s="63"/>
      <c r="M229" s="89"/>
      <c r="N229" s="127"/>
      <c r="O229" s="38"/>
      <c r="P229" s="220"/>
      <c r="Q229" s="76">
        <v>5</v>
      </c>
      <c r="R229" s="63">
        <v>96.22</v>
      </c>
      <c r="S229" s="73"/>
      <c r="T229" s="67"/>
      <c r="U229" s="224">
        <v>89.584137931034491</v>
      </c>
      <c r="V229" s="223"/>
      <c r="W229" s="406"/>
      <c r="X229" s="240">
        <v>99.585000000000008</v>
      </c>
      <c r="Y229" s="261"/>
      <c r="Z229" s="406"/>
      <c r="AA229" s="224">
        <v>89.584137931034491</v>
      </c>
      <c r="AB229" s="91"/>
      <c r="AC229" s="408"/>
      <c r="AD229" s="224">
        <v>82.948275862068968</v>
      </c>
      <c r="AE229" s="91"/>
      <c r="AF229" s="410"/>
      <c r="AG229" s="410">
        <v>96.22</v>
      </c>
      <c r="AH229" s="91"/>
      <c r="AI229" s="437"/>
      <c r="AJ229" s="224">
        <v>82.948275862068968</v>
      </c>
      <c r="AK229" s="434"/>
      <c r="AL229" s="393">
        <f t="shared" si="130"/>
        <v>5</v>
      </c>
      <c r="AM229" s="15">
        <f>AN126</f>
        <v>0</v>
      </c>
      <c r="AN229" s="44">
        <f t="shared" si="131"/>
        <v>5</v>
      </c>
      <c r="AO229" s="289">
        <f t="shared" si="129"/>
        <v>414.74137931034483</v>
      </c>
      <c r="AP229" s="9"/>
      <c r="AQ229" s="256"/>
      <c r="AR229" s="256"/>
      <c r="AS229" s="256"/>
      <c r="AT229" s="256"/>
      <c r="AU229" s="256"/>
      <c r="AV229" s="256"/>
      <c r="AW229" s="256"/>
      <c r="AX229" s="256"/>
      <c r="AY229" s="256"/>
      <c r="AZ229" s="256"/>
      <c r="BA229" s="256"/>
      <c r="BB229" s="256"/>
    </row>
    <row r="230" spans="1:54" ht="15.75" x14ac:dyDescent="0.25">
      <c r="A230" s="48"/>
      <c r="C230" s="634" t="s">
        <v>107</v>
      </c>
      <c r="D230" s="510"/>
      <c r="E230" s="510"/>
      <c r="F230" s="510"/>
      <c r="G230" s="510"/>
      <c r="H230" s="635"/>
      <c r="I230" s="472"/>
      <c r="J230" s="473">
        <f t="shared" si="132"/>
        <v>0</v>
      </c>
      <c r="K230" s="76"/>
      <c r="L230" s="63"/>
      <c r="M230" s="89"/>
      <c r="N230" s="127"/>
      <c r="O230" s="38"/>
      <c r="P230" s="220"/>
      <c r="Q230" s="76">
        <v>5</v>
      </c>
      <c r="R230" s="63">
        <v>106.71</v>
      </c>
      <c r="S230" s="91">
        <v>1</v>
      </c>
      <c r="T230" s="67"/>
      <c r="U230" s="224">
        <v>99.350689655172417</v>
      </c>
      <c r="V230" s="223"/>
      <c r="W230" s="406"/>
      <c r="X230" s="240">
        <v>110.44800000000001</v>
      </c>
      <c r="Y230" s="261"/>
      <c r="Z230" s="406"/>
      <c r="AA230" s="224">
        <v>99.350689655172417</v>
      </c>
      <c r="AB230" s="91"/>
      <c r="AC230" s="408"/>
      <c r="AD230" s="224">
        <v>91.991379310344826</v>
      </c>
      <c r="AE230" s="91"/>
      <c r="AF230" s="410"/>
      <c r="AG230" s="410">
        <v>106.71</v>
      </c>
      <c r="AH230" s="91"/>
      <c r="AI230" s="437"/>
      <c r="AJ230" s="224">
        <v>91.991379310344826</v>
      </c>
      <c r="AK230" s="434"/>
      <c r="AL230" s="393">
        <f t="shared" si="130"/>
        <v>5</v>
      </c>
      <c r="AM230" s="15">
        <f>AN127</f>
        <v>2</v>
      </c>
      <c r="AN230" s="44">
        <f t="shared" si="131"/>
        <v>3</v>
      </c>
      <c r="AO230" s="289">
        <f t="shared" si="129"/>
        <v>275.97413793103448</v>
      </c>
      <c r="AP230" s="9"/>
      <c r="AQ230" s="256"/>
      <c r="AR230" s="256"/>
      <c r="AS230" s="256"/>
      <c r="AT230" s="256"/>
      <c r="AU230" s="256"/>
      <c r="AV230" s="256"/>
      <c r="AW230" s="256"/>
      <c r="AX230" s="256"/>
      <c r="AY230" s="256"/>
      <c r="AZ230" s="256"/>
      <c r="BA230" s="256"/>
      <c r="BB230" s="256"/>
    </row>
    <row r="231" spans="1:54" ht="15.75" x14ac:dyDescent="0.25">
      <c r="A231" s="48"/>
      <c r="C231" s="634" t="s">
        <v>108</v>
      </c>
      <c r="D231" s="510"/>
      <c r="E231" s="510"/>
      <c r="F231" s="510"/>
      <c r="G231" s="510"/>
      <c r="H231" s="635"/>
      <c r="I231" s="472"/>
      <c r="J231" s="473">
        <f t="shared" si="132"/>
        <v>0</v>
      </c>
      <c r="K231" s="76"/>
      <c r="L231" s="63"/>
      <c r="M231" s="89"/>
      <c r="N231" s="127"/>
      <c r="O231" s="38"/>
      <c r="P231" s="220"/>
      <c r="Q231" s="76">
        <v>5</v>
      </c>
      <c r="R231" s="63">
        <v>101.44</v>
      </c>
      <c r="S231" s="91">
        <v>4</v>
      </c>
      <c r="T231" s="67"/>
      <c r="U231" s="224">
        <v>94.44413793103449</v>
      </c>
      <c r="V231" s="223"/>
      <c r="W231" s="406"/>
      <c r="X231" s="240">
        <v>104.994</v>
      </c>
      <c r="Y231" s="261"/>
      <c r="Z231" s="406"/>
      <c r="AA231" s="224">
        <v>94.44413793103449</v>
      </c>
      <c r="AB231" s="91"/>
      <c r="AC231" s="408"/>
      <c r="AD231" s="224">
        <v>87.448275862068968</v>
      </c>
      <c r="AE231" s="91"/>
      <c r="AF231" s="410"/>
      <c r="AG231" s="410">
        <v>101.44</v>
      </c>
      <c r="AH231" s="91"/>
      <c r="AI231" s="437"/>
      <c r="AJ231" s="224">
        <v>87.448275862068968</v>
      </c>
      <c r="AK231" s="434"/>
      <c r="AL231" s="393">
        <f t="shared" si="130"/>
        <v>5</v>
      </c>
      <c r="AM231" s="15">
        <f>AN128</f>
        <v>5</v>
      </c>
      <c r="AN231" s="44">
        <f t="shared" si="131"/>
        <v>0</v>
      </c>
      <c r="AO231" s="289">
        <f t="shared" si="129"/>
        <v>0</v>
      </c>
      <c r="AP231" s="9"/>
      <c r="AQ231" s="256"/>
      <c r="AR231" s="256"/>
      <c r="AS231" s="256"/>
      <c r="AT231" s="256"/>
      <c r="AU231" s="256"/>
      <c r="AV231" s="256"/>
      <c r="AW231" s="256"/>
      <c r="AX231" s="256"/>
      <c r="AY231" s="256"/>
      <c r="AZ231" s="256"/>
      <c r="BA231" s="256"/>
      <c r="BB231" s="256"/>
    </row>
    <row r="232" spans="1:54" ht="15.75" x14ac:dyDescent="0.25">
      <c r="A232" s="48"/>
      <c r="C232" s="634" t="s">
        <v>109</v>
      </c>
      <c r="D232" s="510"/>
      <c r="E232" s="510"/>
      <c r="F232" s="510"/>
      <c r="G232" s="510"/>
      <c r="H232" s="635"/>
      <c r="I232" s="472"/>
      <c r="J232" s="473">
        <f t="shared" si="132"/>
        <v>0</v>
      </c>
      <c r="K232" s="76"/>
      <c r="L232" s="63"/>
      <c r="M232" s="89"/>
      <c r="N232" s="127"/>
      <c r="O232" s="38"/>
      <c r="P232" s="220"/>
      <c r="Q232" s="76">
        <v>5</v>
      </c>
      <c r="R232" s="63">
        <v>98.59</v>
      </c>
      <c r="S232" s="91">
        <v>1</v>
      </c>
      <c r="T232" s="67"/>
      <c r="U232" s="224">
        <v>91.790689655172429</v>
      </c>
      <c r="V232" s="223"/>
      <c r="W232" s="406"/>
      <c r="X232" s="240">
        <v>102.04199999999999</v>
      </c>
      <c r="Y232" s="261"/>
      <c r="Z232" s="406"/>
      <c r="AA232" s="224">
        <v>91.790689655172429</v>
      </c>
      <c r="AB232" s="91"/>
      <c r="AC232" s="408"/>
      <c r="AD232" s="224">
        <v>84.99137931034484</v>
      </c>
      <c r="AE232" s="91"/>
      <c r="AF232" s="410"/>
      <c r="AG232" s="410">
        <v>98.59</v>
      </c>
      <c r="AH232" s="91"/>
      <c r="AI232" s="437"/>
      <c r="AJ232" s="224">
        <v>84.99137931034484</v>
      </c>
      <c r="AK232" s="434"/>
      <c r="AL232" s="393">
        <f t="shared" si="130"/>
        <v>5</v>
      </c>
      <c r="AM232" s="15">
        <f>AN129</f>
        <v>2</v>
      </c>
      <c r="AN232" s="44">
        <f t="shared" si="131"/>
        <v>3</v>
      </c>
      <c r="AO232" s="289">
        <f t="shared" si="129"/>
        <v>254.97413793103453</v>
      </c>
      <c r="AP232" s="9"/>
      <c r="AQ232" s="256"/>
      <c r="AR232" s="256"/>
      <c r="AS232" s="256"/>
      <c r="AT232" s="256"/>
      <c r="AU232" s="256"/>
      <c r="AV232" s="256"/>
      <c r="AW232" s="256"/>
      <c r="AX232" s="256"/>
      <c r="AY232" s="256"/>
      <c r="AZ232" s="256"/>
      <c r="BA232" s="256"/>
      <c r="BB232" s="256"/>
    </row>
    <row r="233" spans="1:54" ht="15.75" x14ac:dyDescent="0.25">
      <c r="A233" s="48"/>
      <c r="C233" s="634" t="s">
        <v>53</v>
      </c>
      <c r="D233" s="510"/>
      <c r="E233" s="510"/>
      <c r="F233" s="510"/>
      <c r="G233" s="510"/>
      <c r="H233" s="635"/>
      <c r="I233" s="472"/>
      <c r="J233" s="473">
        <f t="shared" si="132"/>
        <v>0</v>
      </c>
      <c r="K233" s="76"/>
      <c r="L233" s="63"/>
      <c r="M233" s="73"/>
      <c r="N233" s="127">
        <v>5</v>
      </c>
      <c r="O233" s="38">
        <v>20.67</v>
      </c>
      <c r="P233" s="221">
        <v>4</v>
      </c>
      <c r="Q233" s="76"/>
      <c r="R233" s="63">
        <v>21.91</v>
      </c>
      <c r="S233" s="73"/>
      <c r="T233" s="67"/>
      <c r="U233" s="224">
        <v>20.398965517241383</v>
      </c>
      <c r="V233" s="223"/>
      <c r="W233" s="406"/>
      <c r="X233" s="240">
        <v>21.111840000000001</v>
      </c>
      <c r="Y233" s="261"/>
      <c r="Z233" s="406"/>
      <c r="AA233" s="224">
        <v>20.398965517241383</v>
      </c>
      <c r="AB233" s="91"/>
      <c r="AC233" s="408"/>
      <c r="AD233" s="224">
        <v>18.887931034482762</v>
      </c>
      <c r="AE233" s="91"/>
      <c r="AF233" s="410"/>
      <c r="AG233" s="410">
        <v>21.91</v>
      </c>
      <c r="AH233" s="91"/>
      <c r="AI233" s="437"/>
      <c r="AJ233" s="224">
        <v>18.887931034482762</v>
      </c>
      <c r="AK233" s="434"/>
      <c r="AL233" s="393">
        <f t="shared" si="130"/>
        <v>5</v>
      </c>
      <c r="AM233" s="15">
        <f>AN130</f>
        <v>4</v>
      </c>
      <c r="AN233" s="44">
        <f t="shared" si="131"/>
        <v>1</v>
      </c>
      <c r="AO233" s="289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8"/>
      <c r="C234" s="663" t="s">
        <v>305</v>
      </c>
      <c r="D234" s="664"/>
      <c r="E234" s="664"/>
      <c r="F234" s="664"/>
      <c r="G234" s="664"/>
      <c r="H234" s="665"/>
      <c r="I234" s="474"/>
      <c r="J234" s="473">
        <f t="shared" si="132"/>
        <v>0</v>
      </c>
      <c r="K234" s="77"/>
      <c r="L234" s="70"/>
      <c r="M234" s="74"/>
      <c r="N234" s="78"/>
      <c r="O234" s="69"/>
      <c r="P234" s="222"/>
      <c r="Q234" s="77"/>
      <c r="R234" s="70"/>
      <c r="S234" s="74"/>
      <c r="T234" s="68"/>
      <c r="U234" s="271"/>
      <c r="V234" s="272"/>
      <c r="W234" s="407">
        <v>5</v>
      </c>
      <c r="X234" s="241">
        <v>32.348160000000007</v>
      </c>
      <c r="Y234" s="260">
        <v>5</v>
      </c>
      <c r="Z234" s="407"/>
      <c r="AA234" s="271"/>
      <c r="AB234" s="274"/>
      <c r="AC234" s="409">
        <v>10</v>
      </c>
      <c r="AD234" s="271">
        <v>28.94</v>
      </c>
      <c r="AE234" s="274"/>
      <c r="AF234" s="410"/>
      <c r="AG234" s="410">
        <v>33.570399999999999</v>
      </c>
      <c r="AH234" s="91"/>
      <c r="AI234" s="438"/>
      <c r="AJ234" s="271">
        <v>28.94</v>
      </c>
      <c r="AK234" s="436"/>
      <c r="AL234" s="393">
        <f t="shared" si="130"/>
        <v>15</v>
      </c>
      <c r="AM234" s="81">
        <f>AN174</f>
        <v>16</v>
      </c>
      <c r="AN234" s="273">
        <f>AL234-AM234</f>
        <v>-1</v>
      </c>
      <c r="AO234" s="289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8"/>
      <c r="C235" s="97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430"/>
      <c r="AH235" s="430"/>
      <c r="AI235" s="430"/>
      <c r="AM235" s="187">
        <f>SUM(AO212:AO234)</f>
        <v>5091.3013793103464</v>
      </c>
    </row>
    <row r="236" spans="1:54" x14ac:dyDescent="0.25">
      <c r="A236" s="48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8"/>
      <c r="C237" s="620" t="s">
        <v>81</v>
      </c>
      <c r="D237" s="620"/>
      <c r="E237" s="620"/>
      <c r="F237" s="620"/>
      <c r="G237" s="620"/>
      <c r="H237" s="620"/>
      <c r="I237" s="620"/>
      <c r="J237" s="620"/>
      <c r="K237" s="620"/>
      <c r="L237" s="620"/>
      <c r="M237" s="620"/>
      <c r="N237" s="620"/>
      <c r="O237" s="620"/>
      <c r="P237" s="620"/>
      <c r="Q237" s="236"/>
      <c r="R237" s="236"/>
      <c r="S237" s="236"/>
      <c r="T237" s="236"/>
      <c r="U237" s="236"/>
      <c r="V237" s="236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8"/>
      <c r="C238" s="645" t="s">
        <v>2</v>
      </c>
      <c r="D238" s="645"/>
      <c r="E238" s="645"/>
      <c r="F238" s="645"/>
      <c r="G238" s="645"/>
      <c r="H238" s="233"/>
      <c r="I238" s="105">
        <v>1</v>
      </c>
      <c r="J238" s="232" t="s">
        <v>91</v>
      </c>
      <c r="K238" s="87" t="s">
        <v>89</v>
      </c>
      <c r="L238" s="234" t="s">
        <v>77</v>
      </c>
      <c r="M238" s="47" t="s">
        <v>78</v>
      </c>
      <c r="N238" s="47" t="s">
        <v>79</v>
      </c>
      <c r="O238" s="235" t="s">
        <v>102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8"/>
      <c r="C239" s="510" t="s">
        <v>14</v>
      </c>
      <c r="D239" s="510"/>
      <c r="E239" s="510"/>
      <c r="F239" s="510"/>
      <c r="G239" s="510"/>
      <c r="H239" s="510"/>
      <c r="I239" s="28">
        <v>9</v>
      </c>
      <c r="J239" s="28">
        <v>75</v>
      </c>
      <c r="K239" s="118">
        <v>7</v>
      </c>
      <c r="L239" s="64">
        <f t="shared" ref="L239:L244" si="133">I239</f>
        <v>9</v>
      </c>
      <c r="M239" s="15">
        <f>AN131</f>
        <v>8</v>
      </c>
      <c r="N239" s="94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8"/>
      <c r="C240" s="510" t="s">
        <v>15</v>
      </c>
      <c r="D240" s="510"/>
      <c r="E240" s="510"/>
      <c r="F240" s="510"/>
      <c r="G240" s="510"/>
      <c r="H240" s="510"/>
      <c r="I240" s="28">
        <v>10</v>
      </c>
      <c r="J240" s="28">
        <v>80</v>
      </c>
      <c r="K240" s="118">
        <v>8</v>
      </c>
      <c r="L240" s="64">
        <f t="shared" si="133"/>
        <v>10</v>
      </c>
      <c r="M240" s="15">
        <f>AN132</f>
        <v>8</v>
      </c>
      <c r="N240" s="94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8"/>
      <c r="C241" s="510" t="s">
        <v>16</v>
      </c>
      <c r="D241" s="510"/>
      <c r="E241" s="510"/>
      <c r="F241" s="510"/>
      <c r="G241" s="510"/>
      <c r="H241" s="510"/>
      <c r="I241" s="28">
        <v>6</v>
      </c>
      <c r="J241" s="28">
        <v>120</v>
      </c>
      <c r="K241" s="118">
        <v>4</v>
      </c>
      <c r="L241" s="64">
        <f t="shared" si="133"/>
        <v>6</v>
      </c>
      <c r="M241" s="15">
        <f>AN133</f>
        <v>4</v>
      </c>
      <c r="N241" s="94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8"/>
      <c r="C242" s="510" t="s">
        <v>17</v>
      </c>
      <c r="D242" s="510"/>
      <c r="E242" s="510"/>
      <c r="F242" s="510"/>
      <c r="G242" s="510"/>
      <c r="H242" s="566"/>
      <c r="I242" s="28">
        <v>3</v>
      </c>
      <c r="J242" s="28">
        <v>120</v>
      </c>
      <c r="K242" s="118">
        <v>0</v>
      </c>
      <c r="L242" s="64">
        <f t="shared" si="133"/>
        <v>3</v>
      </c>
      <c r="M242" s="15">
        <f>AN135</f>
        <v>0</v>
      </c>
      <c r="N242" s="94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8"/>
      <c r="C243" s="510" t="s">
        <v>18</v>
      </c>
      <c r="D243" s="510"/>
      <c r="E243" s="510"/>
      <c r="F243" s="510"/>
      <c r="G243" s="510"/>
      <c r="H243" s="566"/>
      <c r="I243" s="28">
        <v>2</v>
      </c>
      <c r="J243" s="28">
        <v>210</v>
      </c>
      <c r="K243" s="118">
        <v>1</v>
      </c>
      <c r="L243" s="64">
        <f t="shared" si="133"/>
        <v>2</v>
      </c>
      <c r="M243" s="15">
        <f>AN137</f>
        <v>1</v>
      </c>
      <c r="N243" s="94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8"/>
      <c r="C244" s="510" t="s">
        <v>19</v>
      </c>
      <c r="D244" s="510"/>
      <c r="E244" s="510"/>
      <c r="F244" s="510"/>
      <c r="G244" s="510"/>
      <c r="H244" s="566"/>
      <c r="I244" s="28">
        <v>1</v>
      </c>
      <c r="J244" s="28">
        <v>250</v>
      </c>
      <c r="K244" s="118">
        <v>0</v>
      </c>
      <c r="L244" s="64">
        <f t="shared" si="133"/>
        <v>1</v>
      </c>
      <c r="M244" s="15">
        <f>AN138</f>
        <v>0</v>
      </c>
      <c r="N244" s="94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8"/>
      <c r="C245" s="97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8"/>
      <c r="C246" s="97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121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8"/>
      <c r="C247" s="97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21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8"/>
      <c r="C248" s="97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21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8"/>
      <c r="C249" s="620" t="s">
        <v>244</v>
      </c>
      <c r="D249" s="620"/>
      <c r="E249" s="620"/>
      <c r="F249" s="620"/>
      <c r="G249" s="620"/>
      <c r="H249" s="620"/>
      <c r="I249" s="620"/>
      <c r="J249" s="620"/>
      <c r="K249" s="620"/>
      <c r="L249" s="620"/>
      <c r="M249" s="620"/>
      <c r="N249" s="620"/>
      <c r="O249" s="620"/>
      <c r="P249" s="620"/>
      <c r="Q249" s="236"/>
      <c r="R249" s="236"/>
      <c r="S249" s="236"/>
      <c r="T249" s="236"/>
      <c r="U249" s="236"/>
      <c r="V249" s="236"/>
      <c r="W249" s="121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8"/>
      <c r="C250" s="645" t="s">
        <v>2</v>
      </c>
      <c r="D250" s="645"/>
      <c r="E250" s="645"/>
      <c r="F250" s="645"/>
      <c r="G250" s="645"/>
      <c r="H250" s="233"/>
      <c r="I250" s="105">
        <v>1</v>
      </c>
      <c r="J250" s="232" t="s">
        <v>91</v>
      </c>
      <c r="K250" s="87" t="s">
        <v>89</v>
      </c>
      <c r="L250" s="105">
        <v>2</v>
      </c>
      <c r="M250" s="232" t="s">
        <v>91</v>
      </c>
      <c r="N250" s="87" t="s">
        <v>89</v>
      </c>
      <c r="O250" s="234" t="s">
        <v>77</v>
      </c>
      <c r="P250" s="47" t="s">
        <v>78</v>
      </c>
      <c r="Q250" s="47" t="s">
        <v>79</v>
      </c>
      <c r="R250" s="235" t="s">
        <v>102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8"/>
      <c r="C251" s="510" t="s">
        <v>16</v>
      </c>
      <c r="D251" s="510"/>
      <c r="E251" s="510"/>
      <c r="F251" s="510"/>
      <c r="G251" s="510"/>
      <c r="H251" s="510"/>
      <c r="I251" s="28">
        <v>31</v>
      </c>
      <c r="J251" s="28">
        <v>80</v>
      </c>
      <c r="K251" s="118">
        <v>25</v>
      </c>
      <c r="L251" s="28"/>
      <c r="M251" s="28">
        <v>70</v>
      </c>
      <c r="N251" s="118"/>
      <c r="O251" s="64">
        <f>I251+L251</f>
        <v>31</v>
      </c>
      <c r="P251" s="15">
        <f>AN134</f>
        <v>28</v>
      </c>
      <c r="Q251" s="94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8"/>
      <c r="C252" s="510" t="s">
        <v>97</v>
      </c>
      <c r="D252" s="510"/>
      <c r="E252" s="510"/>
      <c r="F252" s="510"/>
      <c r="G252" s="510"/>
      <c r="H252" s="510"/>
      <c r="I252" s="28">
        <v>25</v>
      </c>
      <c r="J252" s="28">
        <v>80</v>
      </c>
      <c r="K252" s="118">
        <v>22</v>
      </c>
      <c r="L252" s="28">
        <v>13</v>
      </c>
      <c r="M252" s="28">
        <v>70</v>
      </c>
      <c r="N252" s="118"/>
      <c r="O252" s="64">
        <f>I252+L252</f>
        <v>38</v>
      </c>
      <c r="P252" s="15">
        <f>AN136</f>
        <v>25</v>
      </c>
      <c r="Q252" s="94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8"/>
      <c r="C253" s="97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8"/>
      <c r="C254" s="97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121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8"/>
      <c r="C255" s="97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21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8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8"/>
      <c r="C257" s="620" t="s">
        <v>82</v>
      </c>
      <c r="D257" s="620"/>
      <c r="E257" s="620"/>
      <c r="F257" s="620"/>
      <c r="G257" s="620"/>
      <c r="H257" s="620"/>
      <c r="I257" s="620"/>
      <c r="J257" s="620"/>
      <c r="K257" s="620"/>
      <c r="L257" s="620"/>
      <c r="M257" s="620"/>
      <c r="N257" s="620"/>
      <c r="O257" s="620"/>
      <c r="P257" s="620"/>
      <c r="Q257" s="620"/>
      <c r="R257" s="620"/>
      <c r="S257" s="620"/>
      <c r="T257" s="620"/>
      <c r="U257" s="620"/>
      <c r="V257" s="620"/>
      <c r="W257" s="620"/>
      <c r="X257" s="620"/>
      <c r="Y257" s="620"/>
      <c r="Z257" s="620"/>
      <c r="AA257" s="620"/>
      <c r="AB257" s="620"/>
      <c r="AC257" s="620"/>
      <c r="AD257" s="620"/>
      <c r="AE257" s="620"/>
      <c r="AF257" s="620"/>
      <c r="AG257" s="620"/>
      <c r="AH257" s="14"/>
      <c r="AI257" s="14"/>
      <c r="AJ257" s="8"/>
      <c r="AK257" s="8"/>
      <c r="AL257" s="8"/>
    </row>
    <row r="258" spans="1:49" ht="24" x14ac:dyDescent="0.25">
      <c r="A258" s="48"/>
      <c r="C258" s="645" t="s">
        <v>2</v>
      </c>
      <c r="D258" s="645"/>
      <c r="E258" s="645"/>
      <c r="F258" s="645"/>
      <c r="G258" s="645"/>
      <c r="H258" s="26"/>
      <c r="I258" s="349">
        <v>1</v>
      </c>
      <c r="J258" s="232" t="s">
        <v>91</v>
      </c>
      <c r="K258" s="350" t="s">
        <v>89</v>
      </c>
      <c r="L258" s="351">
        <v>2</v>
      </c>
      <c r="M258" s="84" t="s">
        <v>91</v>
      </c>
      <c r="N258" s="352" t="s">
        <v>270</v>
      </c>
      <c r="O258" s="349">
        <v>3</v>
      </c>
      <c r="P258" s="232" t="s">
        <v>91</v>
      </c>
      <c r="Q258" s="350" t="s">
        <v>89</v>
      </c>
      <c r="R258" s="349">
        <v>4</v>
      </c>
      <c r="S258" s="232" t="s">
        <v>91</v>
      </c>
      <c r="T258" s="350" t="s">
        <v>89</v>
      </c>
      <c r="U258" s="349">
        <v>5</v>
      </c>
      <c r="V258" s="232" t="s">
        <v>91</v>
      </c>
      <c r="W258" s="350" t="s">
        <v>89</v>
      </c>
      <c r="X258" s="349">
        <v>6</v>
      </c>
      <c r="Y258" s="232" t="s">
        <v>91</v>
      </c>
      <c r="Z258" s="350" t="s">
        <v>89</v>
      </c>
      <c r="AA258" s="234" t="s">
        <v>77</v>
      </c>
      <c r="AB258" s="47" t="s">
        <v>78</v>
      </c>
      <c r="AC258" s="47" t="s">
        <v>79</v>
      </c>
      <c r="AD258" s="47" t="s">
        <v>91</v>
      </c>
      <c r="AE258" s="235" t="s">
        <v>102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8"/>
      <c r="C259" s="510" t="s">
        <v>20</v>
      </c>
      <c r="D259" s="510"/>
      <c r="E259" s="510"/>
      <c r="F259" s="510"/>
      <c r="G259" s="510"/>
      <c r="H259" s="566"/>
      <c r="I259" s="327">
        <v>28</v>
      </c>
      <c r="J259" s="28">
        <v>3.45</v>
      </c>
      <c r="K259" s="329">
        <v>28</v>
      </c>
      <c r="L259" s="327"/>
      <c r="M259" s="28"/>
      <c r="N259" s="334"/>
      <c r="O259" s="327"/>
      <c r="P259" s="323">
        <v>4.29</v>
      </c>
      <c r="Q259" s="334"/>
      <c r="R259" s="327"/>
      <c r="S259" s="323">
        <v>4.9400000000000004</v>
      </c>
      <c r="T259" s="223"/>
      <c r="U259" s="327">
        <v>20</v>
      </c>
      <c r="V259" s="323">
        <v>2.83</v>
      </c>
      <c r="W259" s="89">
        <v>21</v>
      </c>
      <c r="X259" s="420">
        <v>40</v>
      </c>
      <c r="Y259" s="420">
        <v>3.23</v>
      </c>
      <c r="Z259" s="260">
        <f>X259*Y259</f>
        <v>129.19999999999999</v>
      </c>
      <c r="AA259" s="64">
        <f>I259+U259+L259+O259+R259+X259</f>
        <v>88</v>
      </c>
      <c r="AB259" s="15">
        <f t="shared" ref="AB259:AB290" si="136">AN139</f>
        <v>49</v>
      </c>
      <c r="AC259" s="44">
        <f>AA259-AB259</f>
        <v>39</v>
      </c>
      <c r="AD259" s="44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8"/>
      <c r="C260" s="510" t="s">
        <v>21</v>
      </c>
      <c r="D260" s="510"/>
      <c r="E260" s="510"/>
      <c r="F260" s="510"/>
      <c r="G260" s="510"/>
      <c r="H260" s="566"/>
      <c r="I260" s="327">
        <v>8</v>
      </c>
      <c r="J260" s="28">
        <v>7.66</v>
      </c>
      <c r="K260" s="329">
        <v>8</v>
      </c>
      <c r="L260" s="327">
        <v>2</v>
      </c>
      <c r="M260" s="28">
        <v>13</v>
      </c>
      <c r="N260" s="329">
        <v>2</v>
      </c>
      <c r="O260" s="327"/>
      <c r="P260" s="323">
        <v>10.130000000000001</v>
      </c>
      <c r="Q260" s="334"/>
      <c r="R260" s="327">
        <v>6</v>
      </c>
      <c r="S260" s="323">
        <v>8.42</v>
      </c>
      <c r="T260" s="320">
        <v>6</v>
      </c>
      <c r="U260" s="327"/>
      <c r="V260" s="323"/>
      <c r="W260" s="91"/>
      <c r="X260" s="420">
        <v>10</v>
      </c>
      <c r="Y260" s="420">
        <v>7.31</v>
      </c>
      <c r="Z260" s="260">
        <f t="shared" ref="Z260:Z292" si="138">X260*Y260</f>
        <v>73.099999999999994</v>
      </c>
      <c r="AA260" s="64">
        <f t="shared" ref="AA260:AA292" si="139">I260+U260+L260+O260+R260+X260</f>
        <v>26</v>
      </c>
      <c r="AB260" s="15">
        <f t="shared" si="136"/>
        <v>18</v>
      </c>
      <c r="AC260" s="44">
        <f>AA260-AB260</f>
        <v>8</v>
      </c>
      <c r="AD260" s="44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8"/>
      <c r="C261" s="510" t="s">
        <v>22</v>
      </c>
      <c r="D261" s="510"/>
      <c r="E261" s="510"/>
      <c r="F261" s="510"/>
      <c r="G261" s="510"/>
      <c r="H261" s="566"/>
      <c r="I261" s="327">
        <v>12</v>
      </c>
      <c r="J261" s="28">
        <v>7.81</v>
      </c>
      <c r="K261" s="329">
        <v>12</v>
      </c>
      <c r="L261" s="327"/>
      <c r="M261" s="28"/>
      <c r="N261" s="334"/>
      <c r="O261" s="327"/>
      <c r="P261" s="323">
        <v>9.1</v>
      </c>
      <c r="Q261" s="334"/>
      <c r="R261" s="327"/>
      <c r="S261" s="323">
        <v>8.57</v>
      </c>
      <c r="T261" s="223"/>
      <c r="U261" s="327">
        <v>6</v>
      </c>
      <c r="V261" s="323">
        <v>6.56</v>
      </c>
      <c r="W261" s="91">
        <v>5</v>
      </c>
      <c r="X261" s="420">
        <v>10</v>
      </c>
      <c r="Y261" s="420">
        <v>7.45</v>
      </c>
      <c r="Z261" s="260">
        <f t="shared" si="138"/>
        <v>74.5</v>
      </c>
      <c r="AA261" s="64">
        <f t="shared" si="139"/>
        <v>28</v>
      </c>
      <c r="AB261" s="15">
        <f t="shared" si="136"/>
        <v>18</v>
      </c>
      <c r="AC261" s="44">
        <f t="shared" ref="AC261:AC284" si="141">AA261-AB261</f>
        <v>10</v>
      </c>
      <c r="AD261" s="44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8"/>
      <c r="C262" s="510" t="s">
        <v>23</v>
      </c>
      <c r="D262" s="510"/>
      <c r="E262" s="510"/>
      <c r="F262" s="510"/>
      <c r="G262" s="510"/>
      <c r="H262" s="566"/>
      <c r="I262" s="327">
        <v>18</v>
      </c>
      <c r="J262" s="28">
        <v>1.9</v>
      </c>
      <c r="K262" s="328">
        <v>11</v>
      </c>
      <c r="L262" s="327"/>
      <c r="M262" s="28"/>
      <c r="N262" s="334"/>
      <c r="O262" s="327"/>
      <c r="P262" s="323">
        <v>2.83</v>
      </c>
      <c r="Q262" s="334"/>
      <c r="R262" s="327"/>
      <c r="S262" s="323">
        <v>2.08</v>
      </c>
      <c r="T262" s="223"/>
      <c r="U262" s="327"/>
      <c r="V262" s="323"/>
      <c r="W262" s="91"/>
      <c r="X262" s="420"/>
      <c r="Y262" s="420"/>
      <c r="Z262" s="260">
        <f t="shared" si="138"/>
        <v>0</v>
      </c>
      <c r="AA262" s="64">
        <f t="shared" si="139"/>
        <v>18</v>
      </c>
      <c r="AB262" s="15">
        <f t="shared" si="136"/>
        <v>11</v>
      </c>
      <c r="AC262" s="44">
        <f t="shared" si="141"/>
        <v>7</v>
      </c>
      <c r="AD262" s="44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8"/>
      <c r="C263" s="510" t="s">
        <v>24</v>
      </c>
      <c r="D263" s="510"/>
      <c r="E263" s="510"/>
      <c r="F263" s="510"/>
      <c r="G263" s="510"/>
      <c r="H263" s="566"/>
      <c r="I263" s="327">
        <v>8</v>
      </c>
      <c r="J263" s="28">
        <v>4.29</v>
      </c>
      <c r="K263" s="329">
        <v>8</v>
      </c>
      <c r="L263" s="327"/>
      <c r="M263" s="28"/>
      <c r="N263" s="334"/>
      <c r="O263" s="327"/>
      <c r="P263" s="323">
        <v>6.5</v>
      </c>
      <c r="Q263" s="334"/>
      <c r="R263" s="327"/>
      <c r="S263" s="323">
        <v>4.72</v>
      </c>
      <c r="T263" s="223"/>
      <c r="U263" s="327">
        <v>6</v>
      </c>
      <c r="V263" s="323">
        <v>3.61</v>
      </c>
      <c r="W263" s="89">
        <v>16</v>
      </c>
      <c r="X263" s="420">
        <v>20</v>
      </c>
      <c r="Y263" s="420">
        <v>4.0999999999999996</v>
      </c>
      <c r="Z263" s="260">
        <f t="shared" si="138"/>
        <v>82</v>
      </c>
      <c r="AA263" s="64">
        <f t="shared" si="139"/>
        <v>34</v>
      </c>
      <c r="AB263" s="15">
        <f t="shared" si="136"/>
        <v>24</v>
      </c>
      <c r="AC263" s="44">
        <f t="shared" si="141"/>
        <v>10</v>
      </c>
      <c r="AD263" s="44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8"/>
      <c r="C264" s="510" t="s">
        <v>25</v>
      </c>
      <c r="D264" s="510"/>
      <c r="E264" s="510"/>
      <c r="F264" s="510"/>
      <c r="G264" s="510"/>
      <c r="H264" s="566"/>
      <c r="I264" s="327">
        <v>2</v>
      </c>
      <c r="J264" s="28">
        <v>18.059999999999999</v>
      </c>
      <c r="K264" s="329">
        <v>2</v>
      </c>
      <c r="L264" s="327"/>
      <c r="M264" s="28"/>
      <c r="N264" s="334"/>
      <c r="O264" s="327"/>
      <c r="P264" s="323">
        <v>19.940000000000001</v>
      </c>
      <c r="Q264" s="334"/>
      <c r="R264" s="327"/>
      <c r="S264" s="323">
        <v>14.26</v>
      </c>
      <c r="T264" s="223"/>
      <c r="U264" s="327"/>
      <c r="V264" s="323"/>
      <c r="W264" s="91"/>
      <c r="X264" s="420"/>
      <c r="Y264" s="420"/>
      <c r="Z264" s="260">
        <f t="shared" si="138"/>
        <v>0</v>
      </c>
      <c r="AA264" s="64">
        <f t="shared" si="139"/>
        <v>2</v>
      </c>
      <c r="AB264" s="15">
        <f t="shared" si="136"/>
        <v>2</v>
      </c>
      <c r="AC264" s="44">
        <f t="shared" si="141"/>
        <v>0</v>
      </c>
      <c r="AD264" s="44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8"/>
      <c r="C265" s="510" t="s">
        <v>26</v>
      </c>
      <c r="D265" s="510"/>
      <c r="E265" s="510"/>
      <c r="F265" s="510"/>
      <c r="G265" s="510"/>
      <c r="H265" s="566"/>
      <c r="I265" s="327">
        <v>2</v>
      </c>
      <c r="J265" s="28">
        <v>22.95</v>
      </c>
      <c r="K265" s="329">
        <v>2</v>
      </c>
      <c r="L265" s="327"/>
      <c r="M265" s="28"/>
      <c r="N265" s="334"/>
      <c r="O265" s="327"/>
      <c r="P265" s="323">
        <v>31.74</v>
      </c>
      <c r="Q265" s="334"/>
      <c r="R265" s="327"/>
      <c r="S265" s="323">
        <v>36.5</v>
      </c>
      <c r="T265" s="223"/>
      <c r="U265" s="327"/>
      <c r="V265" s="323"/>
      <c r="W265" s="91"/>
      <c r="X265" s="420"/>
      <c r="Y265" s="420"/>
      <c r="Z265" s="260">
        <f t="shared" si="138"/>
        <v>0</v>
      </c>
      <c r="AA265" s="64">
        <f t="shared" si="139"/>
        <v>2</v>
      </c>
      <c r="AB265" s="15">
        <f t="shared" si="136"/>
        <v>2</v>
      </c>
      <c r="AC265" s="44">
        <f t="shared" si="141"/>
        <v>0</v>
      </c>
      <c r="AD265" s="44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8"/>
      <c r="C266" s="510" t="s">
        <v>27</v>
      </c>
      <c r="D266" s="510"/>
      <c r="E266" s="510"/>
      <c r="F266" s="510"/>
      <c r="G266" s="510"/>
      <c r="H266" s="566"/>
      <c r="I266" s="327">
        <v>6</v>
      </c>
      <c r="J266" s="28">
        <v>95.86</v>
      </c>
      <c r="K266" s="329">
        <v>6</v>
      </c>
      <c r="L266" s="327"/>
      <c r="M266" s="28"/>
      <c r="N266" s="334"/>
      <c r="O266" s="327">
        <v>5</v>
      </c>
      <c r="P266" s="323">
        <v>121.42</v>
      </c>
      <c r="Q266" s="329">
        <v>5</v>
      </c>
      <c r="R266" s="327">
        <v>6</v>
      </c>
      <c r="S266" s="323">
        <v>119.6</v>
      </c>
      <c r="T266" s="320">
        <v>6</v>
      </c>
      <c r="U266" s="327">
        <v>12</v>
      </c>
      <c r="V266" s="323">
        <v>103.99</v>
      </c>
      <c r="W266" s="91">
        <v>9</v>
      </c>
      <c r="X266" s="420">
        <v>5</v>
      </c>
      <c r="Y266" s="420">
        <v>104</v>
      </c>
      <c r="Z266" s="260">
        <f t="shared" si="138"/>
        <v>520</v>
      </c>
      <c r="AA266" s="64">
        <f t="shared" si="139"/>
        <v>34</v>
      </c>
      <c r="AB266" s="15">
        <f t="shared" si="136"/>
        <v>34</v>
      </c>
      <c r="AC266" s="44">
        <f t="shared" si="141"/>
        <v>0</v>
      </c>
      <c r="AD266" s="44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8"/>
      <c r="C267" s="510" t="s">
        <v>28</v>
      </c>
      <c r="D267" s="510"/>
      <c r="E267" s="510"/>
      <c r="F267" s="510"/>
      <c r="G267" s="510"/>
      <c r="H267" s="566"/>
      <c r="I267" s="327">
        <v>8</v>
      </c>
      <c r="J267" s="28">
        <v>21.99</v>
      </c>
      <c r="K267" s="329">
        <v>8</v>
      </c>
      <c r="L267" s="327"/>
      <c r="M267" s="28"/>
      <c r="N267" s="334"/>
      <c r="O267" s="327">
        <v>12</v>
      </c>
      <c r="P267" s="323">
        <v>27.34</v>
      </c>
      <c r="Q267" s="320">
        <v>12</v>
      </c>
      <c r="R267" s="327"/>
      <c r="S267" s="323">
        <v>25.65</v>
      </c>
      <c r="T267" s="223">
        <v>2</v>
      </c>
      <c r="U267" s="327"/>
      <c r="V267" s="323"/>
      <c r="W267" s="91"/>
      <c r="X267" s="420">
        <v>12</v>
      </c>
      <c r="Y267" s="420">
        <v>22.3</v>
      </c>
      <c r="Z267" s="260">
        <f t="shared" si="138"/>
        <v>267.60000000000002</v>
      </c>
      <c r="AA267" s="64">
        <f t="shared" si="139"/>
        <v>32</v>
      </c>
      <c r="AB267" s="15">
        <f t="shared" si="136"/>
        <v>24</v>
      </c>
      <c r="AC267" s="44">
        <f>AA267-AB267</f>
        <v>8</v>
      </c>
      <c r="AD267" s="44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8"/>
      <c r="C268" s="510" t="s">
        <v>29</v>
      </c>
      <c r="D268" s="510"/>
      <c r="E268" s="510"/>
      <c r="F268" s="510"/>
      <c r="G268" s="510"/>
      <c r="H268" s="566"/>
      <c r="I268" s="327">
        <v>6</v>
      </c>
      <c r="J268" s="28">
        <v>95.86</v>
      </c>
      <c r="K268" s="329">
        <v>6</v>
      </c>
      <c r="L268" s="327"/>
      <c r="M268" s="28"/>
      <c r="N268" s="334"/>
      <c r="O268" s="327"/>
      <c r="P268" s="323">
        <v>121.42</v>
      </c>
      <c r="Q268" s="223"/>
      <c r="R268" s="327">
        <v>8</v>
      </c>
      <c r="S268" s="323">
        <v>119.6</v>
      </c>
      <c r="T268" s="320">
        <v>8</v>
      </c>
      <c r="U268" s="327">
        <v>12</v>
      </c>
      <c r="V268" s="323">
        <v>103.99</v>
      </c>
      <c r="W268" s="91">
        <v>7</v>
      </c>
      <c r="X268" s="420">
        <v>5</v>
      </c>
      <c r="Y268" s="420">
        <v>104</v>
      </c>
      <c r="Z268" s="260">
        <f t="shared" si="138"/>
        <v>520</v>
      </c>
      <c r="AA268" s="64">
        <f t="shared" si="139"/>
        <v>31</v>
      </c>
      <c r="AB268" s="15">
        <f t="shared" si="136"/>
        <v>26</v>
      </c>
      <c r="AC268" s="44">
        <f t="shared" si="141"/>
        <v>5</v>
      </c>
      <c r="AD268" s="44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8"/>
      <c r="C269" s="510" t="s">
        <v>161</v>
      </c>
      <c r="D269" s="510"/>
      <c r="E269" s="510"/>
      <c r="F269" s="510"/>
      <c r="G269" s="510"/>
      <c r="H269" s="566"/>
      <c r="I269" s="327"/>
      <c r="J269" s="28"/>
      <c r="K269" s="328"/>
      <c r="L269" s="327"/>
      <c r="M269" s="28"/>
      <c r="N269" s="334"/>
      <c r="O269" s="327">
        <v>8</v>
      </c>
      <c r="P269" s="323">
        <v>27.34</v>
      </c>
      <c r="Q269" s="320">
        <v>8</v>
      </c>
      <c r="R269" s="327"/>
      <c r="S269" s="323">
        <v>25.65</v>
      </c>
      <c r="T269" s="223"/>
      <c r="U269" s="327"/>
      <c r="V269" s="323"/>
      <c r="W269" s="91"/>
      <c r="X269" s="420">
        <v>12</v>
      </c>
      <c r="Y269" s="420">
        <v>22.3</v>
      </c>
      <c r="Z269" s="260">
        <f t="shared" si="138"/>
        <v>267.60000000000002</v>
      </c>
      <c r="AA269" s="64">
        <f t="shared" si="139"/>
        <v>20</v>
      </c>
      <c r="AB269" s="15">
        <f t="shared" si="136"/>
        <v>11</v>
      </c>
      <c r="AC269" s="44">
        <f>AA269-AB269</f>
        <v>9</v>
      </c>
      <c r="AD269" s="44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8"/>
      <c r="C270" s="510" t="s">
        <v>30</v>
      </c>
      <c r="D270" s="510"/>
      <c r="E270" s="510"/>
      <c r="F270" s="510"/>
      <c r="G270" s="510"/>
      <c r="H270" s="566"/>
      <c r="I270" s="327">
        <v>6</v>
      </c>
      <c r="J270" s="28">
        <v>95.86</v>
      </c>
      <c r="K270" s="329">
        <v>6</v>
      </c>
      <c r="L270" s="327"/>
      <c r="M270" s="28"/>
      <c r="N270" s="334"/>
      <c r="O270" s="327">
        <v>8</v>
      </c>
      <c r="P270" s="323">
        <v>121.42</v>
      </c>
      <c r="Q270" s="320">
        <v>8</v>
      </c>
      <c r="R270" s="327"/>
      <c r="S270" s="323">
        <v>119.6</v>
      </c>
      <c r="T270" s="223"/>
      <c r="U270" s="327">
        <v>8</v>
      </c>
      <c r="V270" s="323">
        <v>103.99</v>
      </c>
      <c r="W270" s="91"/>
      <c r="X270" s="261"/>
      <c r="Y270" s="261"/>
      <c r="Z270" s="260">
        <f t="shared" si="138"/>
        <v>0</v>
      </c>
      <c r="AA270" s="64">
        <f t="shared" si="139"/>
        <v>22</v>
      </c>
      <c r="AB270" s="15">
        <f t="shared" si="136"/>
        <v>16</v>
      </c>
      <c r="AC270" s="44">
        <f t="shared" si="141"/>
        <v>6</v>
      </c>
      <c r="AD270" s="44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8"/>
      <c r="C271" s="510" t="s">
        <v>31</v>
      </c>
      <c r="D271" s="510"/>
      <c r="E271" s="510"/>
      <c r="F271" s="510"/>
      <c r="G271" s="510"/>
      <c r="H271" s="566"/>
      <c r="I271" s="327">
        <v>8</v>
      </c>
      <c r="J271" s="28">
        <v>21.99</v>
      </c>
      <c r="K271" s="329">
        <v>8</v>
      </c>
      <c r="L271" s="327"/>
      <c r="M271" s="28"/>
      <c r="N271" s="334"/>
      <c r="O271" s="327"/>
      <c r="P271" s="323">
        <v>27.34</v>
      </c>
      <c r="Q271" s="223"/>
      <c r="R271" s="327"/>
      <c r="S271" s="323">
        <v>25.65</v>
      </c>
      <c r="T271" s="223"/>
      <c r="U271" s="327"/>
      <c r="V271" s="323"/>
      <c r="W271" s="91"/>
      <c r="X271" s="261"/>
      <c r="Y271" s="261"/>
      <c r="Z271" s="260">
        <f t="shared" si="138"/>
        <v>0</v>
      </c>
      <c r="AA271" s="64">
        <f t="shared" si="139"/>
        <v>8</v>
      </c>
      <c r="AB271" s="15">
        <f t="shared" si="136"/>
        <v>8</v>
      </c>
      <c r="AC271" s="44">
        <f t="shared" si="141"/>
        <v>0</v>
      </c>
      <c r="AD271" s="44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8"/>
      <c r="C272" s="510" t="s">
        <v>32</v>
      </c>
      <c r="D272" s="510"/>
      <c r="E272" s="510"/>
      <c r="F272" s="510"/>
      <c r="G272" s="510"/>
      <c r="H272" s="566"/>
      <c r="I272" s="327">
        <v>12</v>
      </c>
      <c r="J272" s="28">
        <v>11.4</v>
      </c>
      <c r="K272" s="329">
        <v>12</v>
      </c>
      <c r="L272" s="327"/>
      <c r="M272" s="28"/>
      <c r="N272" s="334"/>
      <c r="O272" s="327"/>
      <c r="P272" s="323">
        <v>14.07</v>
      </c>
      <c r="Q272" s="223"/>
      <c r="R272" s="327"/>
      <c r="S272" s="323">
        <v>13.23</v>
      </c>
      <c r="T272" s="223"/>
      <c r="U272" s="327">
        <v>12</v>
      </c>
      <c r="V272" s="323">
        <v>10.5</v>
      </c>
      <c r="W272" s="91">
        <v>7</v>
      </c>
      <c r="X272" s="261"/>
      <c r="Y272" s="261"/>
      <c r="Z272" s="260">
        <f t="shared" si="138"/>
        <v>0</v>
      </c>
      <c r="AA272" s="64">
        <f t="shared" si="139"/>
        <v>24</v>
      </c>
      <c r="AB272" s="15">
        <f t="shared" si="136"/>
        <v>20</v>
      </c>
      <c r="AC272" s="44">
        <f t="shared" si="141"/>
        <v>4</v>
      </c>
      <c r="AD272" s="44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8"/>
      <c r="C273" s="510" t="s">
        <v>33</v>
      </c>
      <c r="D273" s="510"/>
      <c r="E273" s="510"/>
      <c r="F273" s="510"/>
      <c r="G273" s="510"/>
      <c r="H273" s="566"/>
      <c r="I273" s="327">
        <v>12</v>
      </c>
      <c r="J273" s="28">
        <v>11.4</v>
      </c>
      <c r="K273" s="328">
        <v>10</v>
      </c>
      <c r="L273" s="327"/>
      <c r="M273" s="28"/>
      <c r="N273" s="334"/>
      <c r="O273" s="327"/>
      <c r="P273" s="323">
        <v>13.59</v>
      </c>
      <c r="Q273" s="223"/>
      <c r="R273" s="327"/>
      <c r="S273" s="323">
        <v>13.23</v>
      </c>
      <c r="T273" s="223"/>
      <c r="U273" s="327"/>
      <c r="V273" s="323"/>
      <c r="W273" s="91"/>
      <c r="X273" s="261"/>
      <c r="Y273" s="261"/>
      <c r="Z273" s="260">
        <f t="shared" si="138"/>
        <v>0</v>
      </c>
      <c r="AA273" s="64">
        <f t="shared" si="139"/>
        <v>12</v>
      </c>
      <c r="AB273" s="15">
        <f t="shared" si="136"/>
        <v>10</v>
      </c>
      <c r="AC273" s="44">
        <f t="shared" si="141"/>
        <v>2</v>
      </c>
      <c r="AD273" s="44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8"/>
      <c r="C274" s="510" t="s">
        <v>34</v>
      </c>
      <c r="D274" s="510"/>
      <c r="E274" s="510"/>
      <c r="F274" s="510"/>
      <c r="G274" s="510"/>
      <c r="H274" s="566"/>
      <c r="I274" s="327">
        <v>12</v>
      </c>
      <c r="J274" s="28">
        <v>11.4</v>
      </c>
      <c r="K274" s="328">
        <v>10</v>
      </c>
      <c r="L274" s="327"/>
      <c r="M274" s="28"/>
      <c r="N274" s="334"/>
      <c r="O274" s="327"/>
      <c r="P274" s="323">
        <v>13.59</v>
      </c>
      <c r="Q274" s="223"/>
      <c r="R274" s="327"/>
      <c r="S274" s="323">
        <v>13.23</v>
      </c>
      <c r="T274" s="223"/>
      <c r="U274" s="327"/>
      <c r="V274" s="323"/>
      <c r="W274" s="91"/>
      <c r="X274" s="261"/>
      <c r="Y274" s="261"/>
      <c r="Z274" s="260">
        <f t="shared" si="138"/>
        <v>0</v>
      </c>
      <c r="AA274" s="64">
        <f t="shared" si="139"/>
        <v>12</v>
      </c>
      <c r="AB274" s="15">
        <f t="shared" si="136"/>
        <v>10</v>
      </c>
      <c r="AC274" s="44">
        <f t="shared" si="141"/>
        <v>2</v>
      </c>
      <c r="AD274" s="44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8"/>
      <c r="C275" s="510" t="s">
        <v>35</v>
      </c>
      <c r="D275" s="510"/>
      <c r="E275" s="510"/>
      <c r="F275" s="510"/>
      <c r="G275" s="510"/>
      <c r="H275" s="566"/>
      <c r="I275" s="327">
        <v>12</v>
      </c>
      <c r="J275" s="28">
        <v>4.0599999999999996</v>
      </c>
      <c r="K275" s="329">
        <v>12</v>
      </c>
      <c r="L275" s="327"/>
      <c r="M275" s="28"/>
      <c r="N275" s="334"/>
      <c r="O275" s="327"/>
      <c r="P275" s="323">
        <v>5.44</v>
      </c>
      <c r="Q275" s="223"/>
      <c r="R275" s="327"/>
      <c r="S275" s="323">
        <v>4.83</v>
      </c>
      <c r="T275" s="223"/>
      <c r="U275" s="327">
        <v>12</v>
      </c>
      <c r="V275" s="323">
        <v>3.87</v>
      </c>
      <c r="W275" s="91">
        <v>3</v>
      </c>
      <c r="X275" s="261"/>
      <c r="Y275" s="261"/>
      <c r="Z275" s="260">
        <f t="shared" si="138"/>
        <v>0</v>
      </c>
      <c r="AA275" s="64">
        <f t="shared" si="139"/>
        <v>24</v>
      </c>
      <c r="AB275" s="15">
        <f t="shared" si="136"/>
        <v>15</v>
      </c>
      <c r="AC275" s="44">
        <f t="shared" si="141"/>
        <v>9</v>
      </c>
      <c r="AD275" s="44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8"/>
      <c r="C276" s="510" t="s">
        <v>36</v>
      </c>
      <c r="D276" s="510"/>
      <c r="E276" s="510"/>
      <c r="F276" s="510"/>
      <c r="G276" s="510"/>
      <c r="H276" s="566"/>
      <c r="I276" s="327">
        <v>24</v>
      </c>
      <c r="J276" s="28">
        <v>3.68</v>
      </c>
      <c r="K276" s="329">
        <v>27</v>
      </c>
      <c r="L276" s="327"/>
      <c r="M276" s="28"/>
      <c r="N276" s="334"/>
      <c r="O276" s="327"/>
      <c r="P276" s="323">
        <v>5.31</v>
      </c>
      <c r="Q276" s="223"/>
      <c r="R276" s="327"/>
      <c r="S276" s="323">
        <v>5.18</v>
      </c>
      <c r="T276" s="223"/>
      <c r="U276" s="327"/>
      <c r="V276" s="323"/>
      <c r="W276" s="91"/>
      <c r="X276" s="261"/>
      <c r="Y276" s="261"/>
      <c r="Z276" s="260">
        <f t="shared" si="138"/>
        <v>0</v>
      </c>
      <c r="AA276" s="64">
        <f t="shared" si="139"/>
        <v>24</v>
      </c>
      <c r="AB276" s="15">
        <f t="shared" si="136"/>
        <v>28</v>
      </c>
      <c r="AC276" s="44">
        <f t="shared" si="141"/>
        <v>-4</v>
      </c>
      <c r="AD276" s="44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8"/>
      <c r="C277" s="510" t="s">
        <v>37</v>
      </c>
      <c r="D277" s="510"/>
      <c r="E277" s="510"/>
      <c r="F277" s="510"/>
      <c r="G277" s="510"/>
      <c r="H277" s="566"/>
      <c r="I277" s="327">
        <v>12</v>
      </c>
      <c r="J277" s="28">
        <v>5.31</v>
      </c>
      <c r="K277" s="328">
        <v>10</v>
      </c>
      <c r="L277" s="327"/>
      <c r="M277" s="28"/>
      <c r="N277" s="334"/>
      <c r="O277" s="327"/>
      <c r="P277" s="323">
        <v>7.09</v>
      </c>
      <c r="Q277" s="223"/>
      <c r="R277" s="327"/>
      <c r="S277" s="323">
        <v>7.2</v>
      </c>
      <c r="T277" s="223"/>
      <c r="U277" s="327"/>
      <c r="V277" s="323"/>
      <c r="W277" s="91"/>
      <c r="X277" s="261"/>
      <c r="Y277" s="261"/>
      <c r="Z277" s="260">
        <f t="shared" si="138"/>
        <v>0</v>
      </c>
      <c r="AA277" s="64">
        <f t="shared" si="139"/>
        <v>12</v>
      </c>
      <c r="AB277" s="15">
        <f t="shared" si="136"/>
        <v>10</v>
      </c>
      <c r="AC277" s="44">
        <f t="shared" si="141"/>
        <v>2</v>
      </c>
      <c r="AD277" s="44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8"/>
      <c r="C278" s="510" t="s">
        <v>38</v>
      </c>
      <c r="D278" s="510"/>
      <c r="E278" s="510"/>
      <c r="F278" s="510"/>
      <c r="G278" s="510"/>
      <c r="H278" s="566"/>
      <c r="I278" s="327">
        <v>12</v>
      </c>
      <c r="J278" s="28">
        <v>7.49</v>
      </c>
      <c r="K278" s="328">
        <v>9</v>
      </c>
      <c r="L278" s="327"/>
      <c r="M278" s="28"/>
      <c r="N278" s="334"/>
      <c r="O278" s="327"/>
      <c r="P278" s="323">
        <v>10.130000000000001</v>
      </c>
      <c r="Q278" s="223"/>
      <c r="R278" s="327"/>
      <c r="S278" s="323">
        <v>9.3699999999999992</v>
      </c>
      <c r="T278" s="223"/>
      <c r="U278" s="327"/>
      <c r="V278" s="323"/>
      <c r="W278" s="91"/>
      <c r="X278" s="261"/>
      <c r="Y278" s="261"/>
      <c r="Z278" s="260">
        <f t="shared" si="138"/>
        <v>0</v>
      </c>
      <c r="AA278" s="64">
        <f t="shared" si="139"/>
        <v>12</v>
      </c>
      <c r="AB278" s="15">
        <f t="shared" si="136"/>
        <v>10</v>
      </c>
      <c r="AC278" s="44">
        <f t="shared" si="141"/>
        <v>2</v>
      </c>
      <c r="AD278" s="44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8"/>
      <c r="C279" s="510" t="s">
        <v>39</v>
      </c>
      <c r="D279" s="510"/>
      <c r="E279" s="510"/>
      <c r="F279" s="510"/>
      <c r="G279" s="510"/>
      <c r="H279" s="566"/>
      <c r="I279" s="327">
        <v>12</v>
      </c>
      <c r="J279" s="28">
        <v>10.220000000000001</v>
      </c>
      <c r="K279" s="328">
        <v>10</v>
      </c>
      <c r="L279" s="327"/>
      <c r="M279" s="28"/>
      <c r="N279" s="334"/>
      <c r="O279" s="327"/>
      <c r="P279" s="323">
        <v>13.96</v>
      </c>
      <c r="Q279" s="223"/>
      <c r="R279" s="327"/>
      <c r="S279" s="323">
        <v>12.91</v>
      </c>
      <c r="T279" s="223"/>
      <c r="U279" s="327"/>
      <c r="V279" s="323"/>
      <c r="W279" s="91"/>
      <c r="X279" s="261"/>
      <c r="Y279" s="261"/>
      <c r="Z279" s="260">
        <f t="shared" si="138"/>
        <v>0</v>
      </c>
      <c r="AA279" s="64">
        <f t="shared" si="139"/>
        <v>12</v>
      </c>
      <c r="AB279" s="15">
        <f t="shared" si="136"/>
        <v>10</v>
      </c>
      <c r="AC279" s="44">
        <f t="shared" si="141"/>
        <v>2</v>
      </c>
      <c r="AD279" s="44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8"/>
      <c r="C280" s="510" t="s">
        <v>48</v>
      </c>
      <c r="D280" s="510"/>
      <c r="E280" s="510"/>
      <c r="F280" s="510"/>
      <c r="G280" s="510"/>
      <c r="H280" s="566"/>
      <c r="I280" s="327">
        <v>2</v>
      </c>
      <c r="J280" s="28">
        <v>56.52</v>
      </c>
      <c r="K280" s="328">
        <v>1</v>
      </c>
      <c r="L280" s="327"/>
      <c r="M280" s="28"/>
      <c r="N280" s="334"/>
      <c r="O280" s="327"/>
      <c r="P280" s="323">
        <v>80</v>
      </c>
      <c r="Q280" s="223"/>
      <c r="R280" s="327"/>
      <c r="S280" s="323">
        <v>92</v>
      </c>
      <c r="T280" s="223"/>
      <c r="U280" s="327"/>
      <c r="V280" s="323"/>
      <c r="W280" s="91"/>
      <c r="X280" s="261"/>
      <c r="Y280" s="261"/>
      <c r="Z280" s="260">
        <f t="shared" si="138"/>
        <v>0</v>
      </c>
      <c r="AA280" s="64">
        <f t="shared" si="139"/>
        <v>2</v>
      </c>
      <c r="AB280" s="15">
        <f t="shared" si="136"/>
        <v>1</v>
      </c>
      <c r="AC280" s="44">
        <f t="shared" si="141"/>
        <v>1</v>
      </c>
      <c r="AD280" s="44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8"/>
      <c r="C281" s="510" t="s">
        <v>40</v>
      </c>
      <c r="D281" s="510"/>
      <c r="E281" s="510"/>
      <c r="F281" s="510"/>
      <c r="G281" s="510"/>
      <c r="H281" s="566"/>
      <c r="I281" s="327">
        <v>2</v>
      </c>
      <c r="J281" s="28">
        <v>39.340000000000003</v>
      </c>
      <c r="K281" s="328">
        <v>1</v>
      </c>
      <c r="L281" s="327"/>
      <c r="M281" s="28"/>
      <c r="N281" s="334"/>
      <c r="O281" s="327"/>
      <c r="P281" s="323">
        <v>71.45</v>
      </c>
      <c r="Q281" s="223"/>
      <c r="R281" s="327"/>
      <c r="S281" s="323">
        <v>82.17</v>
      </c>
      <c r="T281" s="223"/>
      <c r="U281" s="327"/>
      <c r="V281" s="323"/>
      <c r="W281" s="91"/>
      <c r="X281" s="261"/>
      <c r="Y281" s="261"/>
      <c r="Z281" s="260">
        <f t="shared" si="138"/>
        <v>0</v>
      </c>
      <c r="AA281" s="64">
        <f t="shared" si="139"/>
        <v>2</v>
      </c>
      <c r="AB281" s="15">
        <f t="shared" si="136"/>
        <v>1</v>
      </c>
      <c r="AC281" s="44">
        <f t="shared" si="141"/>
        <v>1</v>
      </c>
      <c r="AD281" s="44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8"/>
      <c r="C282" s="510" t="s">
        <v>41</v>
      </c>
      <c r="D282" s="510"/>
      <c r="E282" s="510"/>
      <c r="F282" s="510"/>
      <c r="G282" s="510"/>
      <c r="H282" s="566"/>
      <c r="I282" s="327">
        <v>16</v>
      </c>
      <c r="J282" s="28">
        <v>3.4</v>
      </c>
      <c r="K282" s="329">
        <v>16</v>
      </c>
      <c r="L282" s="327"/>
      <c r="M282" s="28"/>
      <c r="N282" s="334"/>
      <c r="O282" s="327">
        <v>8</v>
      </c>
      <c r="P282" s="323">
        <v>4.84</v>
      </c>
      <c r="Q282" s="320">
        <v>8</v>
      </c>
      <c r="R282" s="327">
        <v>24</v>
      </c>
      <c r="S282" s="323">
        <v>6.1</v>
      </c>
      <c r="T282" s="320">
        <v>24</v>
      </c>
      <c r="U282" s="327">
        <v>32</v>
      </c>
      <c r="V282" s="323">
        <v>6.1</v>
      </c>
      <c r="W282" s="91">
        <v>3</v>
      </c>
      <c r="X282" s="261"/>
      <c r="Y282" s="261"/>
      <c r="Z282" s="260">
        <f t="shared" si="138"/>
        <v>0</v>
      </c>
      <c r="AA282" s="64">
        <f t="shared" si="139"/>
        <v>80</v>
      </c>
      <c r="AB282" s="15">
        <f t="shared" si="136"/>
        <v>51</v>
      </c>
      <c r="AC282" s="44">
        <f t="shared" si="141"/>
        <v>29</v>
      </c>
      <c r="AD282" s="44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8"/>
      <c r="C283" s="510" t="s">
        <v>42</v>
      </c>
      <c r="D283" s="510"/>
      <c r="E283" s="510"/>
      <c r="F283" s="510"/>
      <c r="G283" s="510"/>
      <c r="H283" s="566"/>
      <c r="I283" s="327">
        <v>4</v>
      </c>
      <c r="J283" s="28">
        <v>3.4</v>
      </c>
      <c r="K283" s="329">
        <v>4</v>
      </c>
      <c r="L283" s="327"/>
      <c r="M283" s="28"/>
      <c r="N283" s="334"/>
      <c r="O283" s="327">
        <v>8</v>
      </c>
      <c r="P283" s="323">
        <v>4.84</v>
      </c>
      <c r="Q283" s="320">
        <v>8</v>
      </c>
      <c r="R283" s="327">
        <v>16</v>
      </c>
      <c r="S283" s="323">
        <v>6.1</v>
      </c>
      <c r="T283" s="223">
        <v>12</v>
      </c>
      <c r="U283" s="327"/>
      <c r="V283" s="323"/>
      <c r="W283" s="91"/>
      <c r="X283" s="261"/>
      <c r="Y283" s="261"/>
      <c r="Z283" s="260">
        <f t="shared" si="138"/>
        <v>0</v>
      </c>
      <c r="AA283" s="64">
        <f t="shared" si="139"/>
        <v>28</v>
      </c>
      <c r="AB283" s="15">
        <f t="shared" si="136"/>
        <v>24</v>
      </c>
      <c r="AC283" s="44">
        <f t="shared" si="141"/>
        <v>4</v>
      </c>
      <c r="AD283" s="44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8"/>
      <c r="C284" s="510" t="s">
        <v>45</v>
      </c>
      <c r="D284" s="510"/>
      <c r="E284" s="510"/>
      <c r="F284" s="510"/>
      <c r="G284" s="510"/>
      <c r="H284" s="566"/>
      <c r="I284" s="327">
        <v>4</v>
      </c>
      <c r="J284" s="28">
        <v>7.27</v>
      </c>
      <c r="K284" s="328">
        <v>3</v>
      </c>
      <c r="L284" s="327"/>
      <c r="M284" s="28"/>
      <c r="N284" s="334"/>
      <c r="O284" s="327"/>
      <c r="P284" s="323">
        <v>9.17</v>
      </c>
      <c r="Q284" s="223"/>
      <c r="R284" s="327"/>
      <c r="S284" s="323">
        <v>11.59</v>
      </c>
      <c r="T284" s="223"/>
      <c r="U284" s="327"/>
      <c r="V284" s="323"/>
      <c r="W284" s="91"/>
      <c r="X284" s="261"/>
      <c r="Y284" s="261"/>
      <c r="Z284" s="260">
        <f t="shared" si="138"/>
        <v>0</v>
      </c>
      <c r="AA284" s="64">
        <f t="shared" si="139"/>
        <v>4</v>
      </c>
      <c r="AB284" s="15">
        <f t="shared" si="136"/>
        <v>3</v>
      </c>
      <c r="AC284" s="44">
        <f t="shared" si="141"/>
        <v>1</v>
      </c>
      <c r="AD284" s="44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8"/>
      <c r="C285" s="510" t="s">
        <v>163</v>
      </c>
      <c r="D285" s="510"/>
      <c r="E285" s="510"/>
      <c r="F285" s="510"/>
      <c r="G285" s="510"/>
      <c r="H285" s="566"/>
      <c r="I285" s="327"/>
      <c r="J285" s="28"/>
      <c r="K285" s="328"/>
      <c r="L285" s="327"/>
      <c r="M285" s="28"/>
      <c r="N285" s="334"/>
      <c r="O285" s="327">
        <v>8</v>
      </c>
      <c r="P285" s="323">
        <v>4.84</v>
      </c>
      <c r="Q285" s="223">
        <v>6</v>
      </c>
      <c r="R285" s="327"/>
      <c r="S285" s="323">
        <v>6.1</v>
      </c>
      <c r="T285" s="223">
        <v>6</v>
      </c>
      <c r="U285" s="327">
        <v>8</v>
      </c>
      <c r="V285" s="323">
        <v>6.1</v>
      </c>
      <c r="W285" s="91"/>
      <c r="X285" s="261"/>
      <c r="Y285" s="261"/>
      <c r="Z285" s="260">
        <f t="shared" si="138"/>
        <v>0</v>
      </c>
      <c r="AA285" s="64">
        <f t="shared" si="139"/>
        <v>16</v>
      </c>
      <c r="AB285" s="15">
        <f t="shared" si="136"/>
        <v>6</v>
      </c>
      <c r="AC285" s="44">
        <f t="shared" ref="AC285:AC290" si="142">AA285-AB285</f>
        <v>10</v>
      </c>
      <c r="AD285" s="44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8"/>
      <c r="C286" s="510" t="s">
        <v>43</v>
      </c>
      <c r="D286" s="510"/>
      <c r="E286" s="510"/>
      <c r="F286" s="510"/>
      <c r="G286" s="510"/>
      <c r="H286" s="566"/>
      <c r="I286" s="330">
        <v>8</v>
      </c>
      <c r="J286" s="106">
        <v>3.4</v>
      </c>
      <c r="K286" s="328">
        <v>5</v>
      </c>
      <c r="L286" s="327"/>
      <c r="M286" s="28"/>
      <c r="N286" s="334"/>
      <c r="O286" s="330"/>
      <c r="P286" s="323">
        <v>4.84</v>
      </c>
      <c r="Q286" s="338"/>
      <c r="R286" s="330"/>
      <c r="S286" s="323">
        <v>6.1</v>
      </c>
      <c r="T286" s="338"/>
      <c r="U286" s="330"/>
      <c r="V286" s="323"/>
      <c r="W286" s="417"/>
      <c r="X286" s="419"/>
      <c r="Y286" s="419"/>
      <c r="Z286" s="260">
        <f t="shared" si="138"/>
        <v>0</v>
      </c>
      <c r="AA286" s="64">
        <f t="shared" si="139"/>
        <v>8</v>
      </c>
      <c r="AB286" s="15">
        <f t="shared" si="136"/>
        <v>5</v>
      </c>
      <c r="AC286" s="44">
        <f t="shared" si="142"/>
        <v>3</v>
      </c>
      <c r="AD286" s="44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8"/>
      <c r="C287" s="510" t="s">
        <v>46</v>
      </c>
      <c r="D287" s="510"/>
      <c r="E287" s="510"/>
      <c r="F287" s="510"/>
      <c r="G287" s="510"/>
      <c r="H287" s="566"/>
      <c r="I287" s="327">
        <v>4</v>
      </c>
      <c r="J287" s="28">
        <v>7.27</v>
      </c>
      <c r="K287" s="328">
        <v>3</v>
      </c>
      <c r="L287" s="327"/>
      <c r="M287" s="28"/>
      <c r="N287" s="334"/>
      <c r="O287" s="330"/>
      <c r="P287" s="323">
        <v>9.17</v>
      </c>
      <c r="Q287" s="338"/>
      <c r="R287" s="330"/>
      <c r="S287" s="323">
        <v>11.59</v>
      </c>
      <c r="T287" s="338"/>
      <c r="U287" s="330"/>
      <c r="V287" s="323"/>
      <c r="W287" s="417"/>
      <c r="X287" s="419"/>
      <c r="Y287" s="419"/>
      <c r="Z287" s="260">
        <f t="shared" si="138"/>
        <v>0</v>
      </c>
      <c r="AA287" s="64">
        <f t="shared" si="139"/>
        <v>4</v>
      </c>
      <c r="AB287" s="15">
        <f t="shared" si="136"/>
        <v>3</v>
      </c>
      <c r="AC287" s="44">
        <f t="shared" si="142"/>
        <v>1</v>
      </c>
      <c r="AD287" s="44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8"/>
      <c r="C288" s="566" t="s">
        <v>44</v>
      </c>
      <c r="D288" s="567"/>
      <c r="E288" s="567"/>
      <c r="F288" s="567"/>
      <c r="G288" s="567"/>
      <c r="H288" s="567"/>
      <c r="I288" s="327">
        <v>8</v>
      </c>
      <c r="J288" s="28">
        <v>3.4</v>
      </c>
      <c r="K288" s="328">
        <v>6</v>
      </c>
      <c r="L288" s="327"/>
      <c r="M288" s="28"/>
      <c r="N288" s="334"/>
      <c r="O288" s="330"/>
      <c r="P288" s="323">
        <v>4.84</v>
      </c>
      <c r="Q288" s="338"/>
      <c r="R288" s="330"/>
      <c r="S288" s="323">
        <v>6.1</v>
      </c>
      <c r="T288" s="338"/>
      <c r="U288" s="330"/>
      <c r="V288" s="323"/>
      <c r="W288" s="417"/>
      <c r="X288" s="419"/>
      <c r="Y288" s="419"/>
      <c r="Z288" s="260">
        <f t="shared" si="138"/>
        <v>0</v>
      </c>
      <c r="AA288" s="64">
        <f t="shared" si="139"/>
        <v>8</v>
      </c>
      <c r="AB288" s="15">
        <f t="shared" si="136"/>
        <v>6</v>
      </c>
      <c r="AC288" s="44">
        <f t="shared" si="142"/>
        <v>2</v>
      </c>
      <c r="AD288" s="44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8"/>
      <c r="C289" s="566" t="s">
        <v>162</v>
      </c>
      <c r="D289" s="567"/>
      <c r="E289" s="567"/>
      <c r="F289" s="567"/>
      <c r="G289" s="567"/>
      <c r="H289" s="567"/>
      <c r="I289" s="327"/>
      <c r="J289" s="28"/>
      <c r="K289" s="328"/>
      <c r="L289" s="327"/>
      <c r="M289" s="28"/>
      <c r="N289" s="334"/>
      <c r="O289" s="330">
        <v>8</v>
      </c>
      <c r="P289" s="323">
        <v>4.84</v>
      </c>
      <c r="Q289" s="338">
        <v>6</v>
      </c>
      <c r="R289" s="330"/>
      <c r="S289" s="323">
        <v>6.1</v>
      </c>
      <c r="T289" s="338">
        <v>6</v>
      </c>
      <c r="U289" s="330"/>
      <c r="V289" s="323"/>
      <c r="W289" s="417"/>
      <c r="X289" s="419"/>
      <c r="Y289" s="419"/>
      <c r="Z289" s="260">
        <f t="shared" si="138"/>
        <v>0</v>
      </c>
      <c r="AA289" s="64">
        <f t="shared" si="139"/>
        <v>8</v>
      </c>
      <c r="AB289" s="15">
        <f t="shared" si="136"/>
        <v>6</v>
      </c>
      <c r="AC289" s="44">
        <f t="shared" si="142"/>
        <v>2</v>
      </c>
      <c r="AD289" s="44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8"/>
      <c r="C290" s="510" t="s">
        <v>47</v>
      </c>
      <c r="D290" s="510"/>
      <c r="E290" s="510"/>
      <c r="F290" s="510"/>
      <c r="G290" s="510"/>
      <c r="H290" s="566"/>
      <c r="I290" s="327">
        <v>4</v>
      </c>
      <c r="J290" s="28">
        <v>7.27</v>
      </c>
      <c r="K290" s="328">
        <v>3</v>
      </c>
      <c r="L290" s="327"/>
      <c r="M290" s="28"/>
      <c r="N290" s="334"/>
      <c r="O290" s="330"/>
      <c r="P290" s="323">
        <v>9.17</v>
      </c>
      <c r="Q290" s="338"/>
      <c r="R290" s="330"/>
      <c r="S290" s="323">
        <v>11.59</v>
      </c>
      <c r="T290" s="338"/>
      <c r="U290" s="330"/>
      <c r="V290" s="323"/>
      <c r="W290" s="417"/>
      <c r="X290" s="419"/>
      <c r="Y290" s="419"/>
      <c r="Z290" s="260">
        <f t="shared" si="138"/>
        <v>0</v>
      </c>
      <c r="AA290" s="64">
        <f t="shared" si="139"/>
        <v>4</v>
      </c>
      <c r="AB290" s="15">
        <f t="shared" si="136"/>
        <v>3</v>
      </c>
      <c r="AC290" s="44">
        <f t="shared" si="142"/>
        <v>1</v>
      </c>
      <c r="AD290" s="44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8"/>
      <c r="C291" s="566" t="s">
        <v>322</v>
      </c>
      <c r="D291" s="567"/>
      <c r="E291" s="567"/>
      <c r="F291" s="567"/>
      <c r="G291" s="567"/>
      <c r="H291" s="567"/>
      <c r="I291" s="331"/>
      <c r="J291" s="332"/>
      <c r="K291" s="333"/>
      <c r="L291" s="331"/>
      <c r="M291" s="332"/>
      <c r="N291" s="335"/>
      <c r="O291" s="336"/>
      <c r="P291" s="337"/>
      <c r="Q291" s="339"/>
      <c r="R291" s="336">
        <v>16</v>
      </c>
      <c r="S291" s="337">
        <v>6.1</v>
      </c>
      <c r="T291" s="339">
        <v>1</v>
      </c>
      <c r="U291" s="336"/>
      <c r="V291" s="337"/>
      <c r="W291" s="418"/>
      <c r="X291" s="419"/>
      <c r="Y291" s="419"/>
      <c r="Z291" s="260">
        <f t="shared" si="138"/>
        <v>0</v>
      </c>
      <c r="AA291" s="64">
        <f t="shared" si="139"/>
        <v>16</v>
      </c>
      <c r="AB291" s="15">
        <f>AN176</f>
        <v>1</v>
      </c>
      <c r="AC291" s="44">
        <f>AA291-AB291</f>
        <v>15</v>
      </c>
      <c r="AD291" s="44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8"/>
      <c r="C292" s="510" t="s">
        <v>372</v>
      </c>
      <c r="D292" s="510"/>
      <c r="E292" s="510"/>
      <c r="F292" s="510"/>
      <c r="G292" s="510"/>
      <c r="H292" s="510"/>
      <c r="I292" s="331">
        <v>1</v>
      </c>
      <c r="J292" s="332">
        <v>0</v>
      </c>
      <c r="K292" s="333"/>
      <c r="L292" s="331"/>
      <c r="M292" s="332"/>
      <c r="N292" s="335"/>
      <c r="O292" s="336"/>
      <c r="P292" s="337"/>
      <c r="Q292" s="339"/>
      <c r="R292" s="336"/>
      <c r="S292" s="337"/>
      <c r="T292" s="339"/>
      <c r="U292" s="336"/>
      <c r="V292" s="337"/>
      <c r="W292" s="418"/>
      <c r="X292" s="421">
        <v>40</v>
      </c>
      <c r="Y292" s="421">
        <v>6.56</v>
      </c>
      <c r="Z292" s="260">
        <f t="shared" si="138"/>
        <v>262.39999999999998</v>
      </c>
      <c r="AA292" s="64">
        <f t="shared" si="139"/>
        <v>41</v>
      </c>
      <c r="AB292" s="15">
        <f>AN193</f>
        <v>10</v>
      </c>
      <c r="AC292" s="44">
        <f>AA292-AB292</f>
        <v>31</v>
      </c>
      <c r="AD292" s="44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8"/>
      <c r="C293" s="97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470">
        <f>SUM(Z259:Z292)</f>
        <v>2196.4</v>
      </c>
      <c r="AE293" s="187">
        <f>SUM(AE259:AE291)</f>
        <v>2533.3200000000006</v>
      </c>
    </row>
    <row r="294" spans="1:40" x14ac:dyDescent="0.25">
      <c r="A294" s="48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8"/>
      <c r="C295" s="621" t="s">
        <v>361</v>
      </c>
      <c r="D295" s="621"/>
      <c r="E295" s="621"/>
      <c r="F295" s="621"/>
      <c r="G295" s="621"/>
      <c r="H295" s="621"/>
      <c r="I295" s="622"/>
      <c r="J295" s="622"/>
      <c r="K295" s="622"/>
      <c r="L295" s="622"/>
      <c r="M295" s="622"/>
      <c r="N295" s="622"/>
      <c r="O295" s="621"/>
      <c r="P295" s="621"/>
      <c r="Q295" s="621"/>
      <c r="R295" s="621"/>
      <c r="S295" s="621"/>
      <c r="T295" s="621"/>
      <c r="U295" s="621"/>
      <c r="W295" s="8"/>
    </row>
    <row r="296" spans="1:40" ht="24" x14ac:dyDescent="0.25">
      <c r="A296" s="48"/>
      <c r="C296" s="659" t="s">
        <v>2</v>
      </c>
      <c r="D296" s="660"/>
      <c r="E296" s="660"/>
      <c r="F296" s="660"/>
      <c r="G296" s="660"/>
      <c r="H296" s="661"/>
      <c r="I296" s="324">
        <v>1</v>
      </c>
      <c r="J296" s="325" t="s">
        <v>91</v>
      </c>
      <c r="K296" s="326" t="s">
        <v>89</v>
      </c>
      <c r="L296" s="324">
        <v>2</v>
      </c>
      <c r="M296" s="325" t="s">
        <v>91</v>
      </c>
      <c r="N296" s="326" t="s">
        <v>89</v>
      </c>
      <c r="O296" s="234" t="s">
        <v>77</v>
      </c>
      <c r="P296" s="15" t="s">
        <v>78</v>
      </c>
      <c r="Q296" s="15" t="s">
        <v>79</v>
      </c>
      <c r="R296" s="13" t="s">
        <v>102</v>
      </c>
    </row>
    <row r="297" spans="1:40" ht="15.75" x14ac:dyDescent="0.25">
      <c r="A297" s="48"/>
      <c r="C297" s="510" t="s">
        <v>83</v>
      </c>
      <c r="D297" s="510"/>
      <c r="E297" s="510"/>
      <c r="F297" s="510"/>
      <c r="G297" s="510"/>
      <c r="H297" s="566"/>
      <c r="I297" s="327">
        <v>46</v>
      </c>
      <c r="J297" s="28">
        <v>11.5</v>
      </c>
      <c r="K297" s="329">
        <v>46</v>
      </c>
      <c r="L297" s="327">
        <v>98</v>
      </c>
      <c r="M297" s="28">
        <v>13</v>
      </c>
      <c r="N297" s="223">
        <v>36</v>
      </c>
      <c r="O297" s="64">
        <f t="shared" ref="O297:O313" si="143">L297+I297</f>
        <v>144</v>
      </c>
      <c r="P297" s="15">
        <f>AN171</f>
        <v>92</v>
      </c>
      <c r="Q297" s="44">
        <f>O297-P297</f>
        <v>52</v>
      </c>
      <c r="R297" s="13">
        <f>Q297*M297</f>
        <v>676</v>
      </c>
      <c r="S297" t="s">
        <v>94</v>
      </c>
      <c r="T297" s="256"/>
      <c r="U297" s="256"/>
      <c r="V297" s="256"/>
      <c r="W297" s="256"/>
      <c r="X297" s="256"/>
      <c r="Y297" s="256"/>
    </row>
    <row r="298" spans="1:40" ht="15.75" x14ac:dyDescent="0.25">
      <c r="A298" s="48"/>
      <c r="C298" s="510" t="s">
        <v>240</v>
      </c>
      <c r="D298" s="510"/>
      <c r="E298" s="510"/>
      <c r="F298" s="510"/>
      <c r="G298" s="510"/>
      <c r="H298" s="566"/>
      <c r="I298" s="327">
        <v>25</v>
      </c>
      <c r="J298" s="28">
        <v>14.51</v>
      </c>
      <c r="K298" s="328">
        <v>4</v>
      </c>
      <c r="L298" s="327"/>
      <c r="M298" s="28">
        <v>14.51</v>
      </c>
      <c r="N298" s="223"/>
      <c r="O298" s="64">
        <f t="shared" si="143"/>
        <v>25</v>
      </c>
      <c r="P298" s="15">
        <f>AN172</f>
        <v>9</v>
      </c>
      <c r="Q298" s="44">
        <f>O298-P298</f>
        <v>16</v>
      </c>
      <c r="R298" s="13">
        <f t="shared" ref="R298:R313" si="144">Q298*M298</f>
        <v>232.16</v>
      </c>
      <c r="T298" s="256"/>
      <c r="U298" s="256"/>
      <c r="V298" s="256"/>
      <c r="W298" s="256"/>
      <c r="X298" s="256"/>
      <c r="Y298" s="256"/>
    </row>
    <row r="299" spans="1:40" ht="15.75" x14ac:dyDescent="0.25">
      <c r="A299" s="48"/>
      <c r="C299" s="566" t="s">
        <v>307</v>
      </c>
      <c r="D299" s="567"/>
      <c r="E299" s="567"/>
      <c r="F299" s="567"/>
      <c r="G299" s="567"/>
      <c r="H299" s="567"/>
      <c r="I299" s="327">
        <v>50</v>
      </c>
      <c r="J299" s="28">
        <v>12</v>
      </c>
      <c r="K299" s="329">
        <v>50</v>
      </c>
      <c r="L299" s="327">
        <v>20</v>
      </c>
      <c r="M299" s="28">
        <v>12</v>
      </c>
      <c r="N299" s="223">
        <v>4</v>
      </c>
      <c r="O299" s="64">
        <f t="shared" si="143"/>
        <v>70</v>
      </c>
      <c r="P299" s="15">
        <f>AN175</f>
        <v>54</v>
      </c>
      <c r="Q299" s="44">
        <f>O299-P299</f>
        <v>16</v>
      </c>
      <c r="R299" s="13">
        <f t="shared" si="144"/>
        <v>192</v>
      </c>
      <c r="T299" s="256"/>
      <c r="U299" s="256"/>
      <c r="V299" s="256"/>
      <c r="W299" s="256"/>
      <c r="X299" s="256"/>
      <c r="Y299" s="256"/>
    </row>
    <row r="300" spans="1:40" ht="15.75" x14ac:dyDescent="0.25">
      <c r="A300" s="48"/>
      <c r="C300" s="566" t="s">
        <v>323</v>
      </c>
      <c r="D300" s="567"/>
      <c r="E300" s="567"/>
      <c r="F300" s="567"/>
      <c r="G300" s="567"/>
      <c r="H300" s="567"/>
      <c r="I300" s="327">
        <v>20</v>
      </c>
      <c r="J300" s="28">
        <v>10</v>
      </c>
      <c r="K300" s="328"/>
      <c r="L300" s="327"/>
      <c r="M300" s="28">
        <v>10</v>
      </c>
      <c r="N300" s="223"/>
      <c r="O300" s="64">
        <f t="shared" si="143"/>
        <v>20</v>
      </c>
      <c r="P300" s="15">
        <f t="shared" ref="P300:P313" si="145">AN177</f>
        <v>5</v>
      </c>
      <c r="Q300" s="44">
        <f t="shared" ref="Q300:Q313" si="146">O300-P300</f>
        <v>15</v>
      </c>
      <c r="R300" s="13">
        <f t="shared" si="144"/>
        <v>150</v>
      </c>
      <c r="T300" s="256"/>
      <c r="U300" s="256"/>
      <c r="V300" s="256"/>
      <c r="W300" s="256"/>
      <c r="X300" s="256"/>
      <c r="Y300" s="256"/>
    </row>
    <row r="301" spans="1:40" ht="15.75" x14ac:dyDescent="0.25">
      <c r="A301" s="48"/>
      <c r="C301" s="566" t="s">
        <v>324</v>
      </c>
      <c r="D301" s="567"/>
      <c r="E301" s="567"/>
      <c r="F301" s="567"/>
      <c r="G301" s="567"/>
      <c r="H301" s="567"/>
      <c r="I301" s="327">
        <v>20</v>
      </c>
      <c r="J301" s="28">
        <v>8</v>
      </c>
      <c r="K301" s="328"/>
      <c r="L301" s="327"/>
      <c r="M301" s="28">
        <v>8</v>
      </c>
      <c r="N301" s="223"/>
      <c r="O301" s="64">
        <f t="shared" si="143"/>
        <v>20</v>
      </c>
      <c r="P301" s="15">
        <f t="shared" si="145"/>
        <v>8</v>
      </c>
      <c r="Q301" s="44">
        <f t="shared" si="146"/>
        <v>12</v>
      </c>
      <c r="R301" s="13">
        <f t="shared" si="144"/>
        <v>96</v>
      </c>
      <c r="T301" s="256"/>
      <c r="U301" s="256"/>
      <c r="V301" s="256"/>
      <c r="W301" s="256"/>
      <c r="X301" s="256"/>
      <c r="Y301" s="256"/>
    </row>
    <row r="302" spans="1:40" ht="15.75" x14ac:dyDescent="0.25">
      <c r="A302" s="48"/>
      <c r="C302" s="566" t="s">
        <v>326</v>
      </c>
      <c r="D302" s="567"/>
      <c r="E302" s="567"/>
      <c r="F302" s="567"/>
      <c r="G302" s="567"/>
      <c r="H302" s="567"/>
      <c r="I302" s="327">
        <v>10</v>
      </c>
      <c r="J302" s="28">
        <v>26.33</v>
      </c>
      <c r="K302" s="328"/>
      <c r="L302" s="327"/>
      <c r="M302" s="28">
        <v>26.33</v>
      </c>
      <c r="N302" s="223"/>
      <c r="O302" s="64">
        <f t="shared" si="143"/>
        <v>10</v>
      </c>
      <c r="P302" s="15">
        <f t="shared" si="145"/>
        <v>0</v>
      </c>
      <c r="Q302" s="44">
        <f t="shared" si="146"/>
        <v>10</v>
      </c>
      <c r="R302" s="13">
        <f t="shared" si="144"/>
        <v>263.29999999999995</v>
      </c>
      <c r="T302" s="256"/>
      <c r="U302" s="256"/>
      <c r="V302" s="256"/>
      <c r="W302" s="256"/>
      <c r="X302" s="256"/>
      <c r="Y302" s="256"/>
    </row>
    <row r="303" spans="1:40" ht="15.75" x14ac:dyDescent="0.25">
      <c r="A303" s="48"/>
      <c r="C303" s="566" t="s">
        <v>327</v>
      </c>
      <c r="D303" s="567"/>
      <c r="E303" s="567"/>
      <c r="F303" s="567"/>
      <c r="G303" s="567"/>
      <c r="H303" s="567"/>
      <c r="I303" s="327">
        <v>10</v>
      </c>
      <c r="J303" s="28">
        <v>9.92</v>
      </c>
      <c r="K303" s="328"/>
      <c r="L303" s="327"/>
      <c r="M303" s="28">
        <v>9.92</v>
      </c>
      <c r="N303" s="223"/>
      <c r="O303" s="64">
        <f t="shared" si="143"/>
        <v>10</v>
      </c>
      <c r="P303" s="15">
        <f t="shared" si="145"/>
        <v>0</v>
      </c>
      <c r="Q303" s="44">
        <f t="shared" si="146"/>
        <v>10</v>
      </c>
      <c r="R303" s="13">
        <f t="shared" si="144"/>
        <v>99.2</v>
      </c>
      <c r="T303" s="256"/>
      <c r="U303" s="256"/>
      <c r="V303" s="256"/>
      <c r="W303" s="256"/>
      <c r="X303" s="256"/>
      <c r="Y303" s="256"/>
    </row>
    <row r="304" spans="1:40" ht="15.75" x14ac:dyDescent="0.25">
      <c r="A304" s="48"/>
      <c r="C304" s="566" t="s">
        <v>328</v>
      </c>
      <c r="D304" s="567"/>
      <c r="E304" s="567"/>
      <c r="F304" s="567"/>
      <c r="G304" s="567"/>
      <c r="H304" s="567"/>
      <c r="I304" s="327">
        <v>10</v>
      </c>
      <c r="J304" s="28">
        <v>7.26</v>
      </c>
      <c r="K304" s="328">
        <v>4</v>
      </c>
      <c r="L304" s="327"/>
      <c r="M304" s="28">
        <v>7.26</v>
      </c>
      <c r="N304" s="223"/>
      <c r="O304" s="64">
        <f t="shared" si="143"/>
        <v>10</v>
      </c>
      <c r="P304" s="15">
        <f t="shared" si="145"/>
        <v>7</v>
      </c>
      <c r="Q304" s="44">
        <f t="shared" si="146"/>
        <v>3</v>
      </c>
      <c r="R304" s="13">
        <f t="shared" si="144"/>
        <v>21.78</v>
      </c>
      <c r="T304" s="256"/>
      <c r="U304" s="256"/>
      <c r="V304" s="256"/>
      <c r="W304" s="256"/>
      <c r="X304" s="256"/>
      <c r="Y304" s="256"/>
    </row>
    <row r="305" spans="1:25" ht="15.75" x14ac:dyDescent="0.25">
      <c r="A305" s="48"/>
      <c r="C305" s="566" t="s">
        <v>329</v>
      </c>
      <c r="D305" s="567"/>
      <c r="E305" s="567"/>
      <c r="F305" s="567"/>
      <c r="G305" s="567"/>
      <c r="H305" s="567"/>
      <c r="I305" s="327">
        <v>5</v>
      </c>
      <c r="J305" s="28">
        <v>26.33</v>
      </c>
      <c r="K305" s="328"/>
      <c r="L305" s="327"/>
      <c r="M305" s="28">
        <v>26.33</v>
      </c>
      <c r="N305" s="223"/>
      <c r="O305" s="64">
        <f t="shared" si="143"/>
        <v>5</v>
      </c>
      <c r="P305" s="15">
        <f t="shared" si="145"/>
        <v>0</v>
      </c>
      <c r="Q305" s="44">
        <f t="shared" si="146"/>
        <v>5</v>
      </c>
      <c r="R305" s="13">
        <f t="shared" si="144"/>
        <v>131.64999999999998</v>
      </c>
      <c r="T305" s="256"/>
      <c r="U305" s="256"/>
      <c r="V305" s="256"/>
      <c r="W305" s="256"/>
      <c r="X305" s="256"/>
      <c r="Y305" s="256"/>
    </row>
    <row r="306" spans="1:25" ht="15.75" x14ac:dyDescent="0.25">
      <c r="A306" s="48"/>
      <c r="C306" s="566" t="s">
        <v>330</v>
      </c>
      <c r="D306" s="567"/>
      <c r="E306" s="567"/>
      <c r="F306" s="567"/>
      <c r="G306" s="567"/>
      <c r="H306" s="567"/>
      <c r="I306" s="327">
        <v>10</v>
      </c>
      <c r="J306" s="28">
        <v>12.67</v>
      </c>
      <c r="K306" s="328"/>
      <c r="L306" s="327"/>
      <c r="M306" s="28">
        <v>12.67</v>
      </c>
      <c r="N306" s="223"/>
      <c r="O306" s="64">
        <f t="shared" si="143"/>
        <v>10</v>
      </c>
      <c r="P306" s="15">
        <f t="shared" si="145"/>
        <v>4</v>
      </c>
      <c r="Q306" s="44">
        <f t="shared" si="146"/>
        <v>6</v>
      </c>
      <c r="R306" s="13">
        <f t="shared" si="144"/>
        <v>76.02</v>
      </c>
      <c r="T306" s="256"/>
      <c r="U306" s="256"/>
      <c r="V306" s="256"/>
      <c r="W306" s="256"/>
      <c r="X306" s="256"/>
      <c r="Y306" s="256"/>
    </row>
    <row r="307" spans="1:25" ht="15.75" x14ac:dyDescent="0.25">
      <c r="A307" s="48"/>
      <c r="C307" s="566" t="s">
        <v>325</v>
      </c>
      <c r="D307" s="567"/>
      <c r="E307" s="567"/>
      <c r="F307" s="567"/>
      <c r="G307" s="567"/>
      <c r="H307" s="567"/>
      <c r="I307" s="327">
        <v>10</v>
      </c>
      <c r="J307" s="28">
        <v>15.18</v>
      </c>
      <c r="K307" s="328"/>
      <c r="L307" s="327"/>
      <c r="M307" s="28">
        <v>15.18</v>
      </c>
      <c r="N307" s="223"/>
      <c r="O307" s="64">
        <f t="shared" si="143"/>
        <v>10</v>
      </c>
      <c r="P307" s="15">
        <f t="shared" si="145"/>
        <v>2</v>
      </c>
      <c r="Q307" s="44">
        <f t="shared" si="146"/>
        <v>8</v>
      </c>
      <c r="R307" s="13">
        <f t="shared" si="144"/>
        <v>121.44</v>
      </c>
      <c r="T307" s="256"/>
      <c r="U307" s="256"/>
      <c r="V307" s="256"/>
      <c r="W307" s="256"/>
      <c r="X307" s="256"/>
      <c r="Y307" s="256"/>
    </row>
    <row r="308" spans="1:25" ht="15.75" x14ac:dyDescent="0.25">
      <c r="A308" s="48"/>
      <c r="C308" s="566" t="s">
        <v>331</v>
      </c>
      <c r="D308" s="567"/>
      <c r="E308" s="567"/>
      <c r="F308" s="567"/>
      <c r="G308" s="567"/>
      <c r="H308" s="567"/>
      <c r="I308" s="327">
        <v>10</v>
      </c>
      <c r="J308" s="28">
        <v>26.69</v>
      </c>
      <c r="K308" s="328"/>
      <c r="L308" s="327"/>
      <c r="M308" s="28">
        <v>26.69</v>
      </c>
      <c r="N308" s="223"/>
      <c r="O308" s="64">
        <f t="shared" si="143"/>
        <v>10</v>
      </c>
      <c r="P308" s="15">
        <f t="shared" si="145"/>
        <v>4</v>
      </c>
      <c r="Q308" s="44">
        <f t="shared" si="146"/>
        <v>6</v>
      </c>
      <c r="R308" s="13">
        <f t="shared" si="144"/>
        <v>160.14000000000001</v>
      </c>
      <c r="T308" s="256"/>
      <c r="U308" s="256"/>
      <c r="V308" s="256"/>
      <c r="W308" s="256"/>
      <c r="X308" s="256"/>
      <c r="Y308" s="256"/>
    </row>
    <row r="309" spans="1:25" ht="15.75" x14ac:dyDescent="0.25">
      <c r="A309" s="48"/>
      <c r="C309" s="566" t="s">
        <v>332</v>
      </c>
      <c r="D309" s="567"/>
      <c r="E309" s="567"/>
      <c r="F309" s="567"/>
      <c r="G309" s="567"/>
      <c r="H309" s="567"/>
      <c r="I309" s="327">
        <v>10</v>
      </c>
      <c r="J309" s="28">
        <v>8.33</v>
      </c>
      <c r="K309" s="328"/>
      <c r="L309" s="327"/>
      <c r="M309" s="28">
        <v>8.33</v>
      </c>
      <c r="N309" s="223"/>
      <c r="O309" s="64">
        <f t="shared" si="143"/>
        <v>10</v>
      </c>
      <c r="P309" s="15">
        <f t="shared" si="145"/>
        <v>0</v>
      </c>
      <c r="Q309" s="44">
        <f t="shared" si="146"/>
        <v>10</v>
      </c>
      <c r="R309" s="13">
        <f t="shared" si="144"/>
        <v>83.3</v>
      </c>
      <c r="T309" s="256"/>
      <c r="U309" s="256"/>
      <c r="V309" s="256"/>
      <c r="W309" s="256"/>
      <c r="X309" s="256"/>
      <c r="Y309" s="256"/>
    </row>
    <row r="310" spans="1:25" ht="15.75" x14ac:dyDescent="0.25">
      <c r="A310" s="48"/>
      <c r="C310" s="566" t="s">
        <v>333</v>
      </c>
      <c r="D310" s="567"/>
      <c r="E310" s="567"/>
      <c r="F310" s="567"/>
      <c r="G310" s="567"/>
      <c r="H310" s="567"/>
      <c r="I310" s="327">
        <v>10</v>
      </c>
      <c r="J310" s="28">
        <v>10.59</v>
      </c>
      <c r="K310" s="328"/>
      <c r="L310" s="327"/>
      <c r="M310" s="28">
        <v>10.59</v>
      </c>
      <c r="N310" s="223"/>
      <c r="O310" s="64">
        <f t="shared" si="143"/>
        <v>10</v>
      </c>
      <c r="P310" s="15">
        <f t="shared" si="145"/>
        <v>0</v>
      </c>
      <c r="Q310" s="44">
        <f t="shared" si="146"/>
        <v>10</v>
      </c>
      <c r="R310" s="13">
        <f t="shared" si="144"/>
        <v>105.9</v>
      </c>
      <c r="T310" s="256"/>
      <c r="U310" s="256"/>
      <c r="V310" s="256"/>
      <c r="W310" s="256"/>
      <c r="X310" s="256"/>
      <c r="Y310" s="256"/>
    </row>
    <row r="311" spans="1:25" ht="15.75" x14ac:dyDescent="0.25">
      <c r="A311" s="48"/>
      <c r="C311" s="566" t="s">
        <v>334</v>
      </c>
      <c r="D311" s="567"/>
      <c r="E311" s="567"/>
      <c r="F311" s="567"/>
      <c r="G311" s="567"/>
      <c r="H311" s="567"/>
      <c r="I311" s="327">
        <v>10</v>
      </c>
      <c r="J311" s="28">
        <v>12.05</v>
      </c>
      <c r="K311" s="328"/>
      <c r="L311" s="327"/>
      <c r="M311" s="28">
        <v>12.05</v>
      </c>
      <c r="N311" s="223"/>
      <c r="O311" s="64">
        <f t="shared" si="143"/>
        <v>10</v>
      </c>
      <c r="P311" s="15">
        <f t="shared" si="145"/>
        <v>0</v>
      </c>
      <c r="Q311" s="44">
        <f t="shared" si="146"/>
        <v>10</v>
      </c>
      <c r="R311" s="13">
        <f t="shared" si="144"/>
        <v>120.5</v>
      </c>
      <c r="T311" s="256"/>
      <c r="U311" s="256"/>
      <c r="V311" s="256"/>
      <c r="W311" s="256"/>
      <c r="X311" s="256"/>
      <c r="Y311" s="256"/>
    </row>
    <row r="312" spans="1:25" ht="15.75" x14ac:dyDescent="0.25">
      <c r="A312" s="48"/>
      <c r="C312" s="566" t="s">
        <v>335</v>
      </c>
      <c r="D312" s="567"/>
      <c r="E312" s="567"/>
      <c r="F312" s="567"/>
      <c r="G312" s="567"/>
      <c r="H312" s="567"/>
      <c r="I312" s="327">
        <v>10</v>
      </c>
      <c r="J312" s="28">
        <v>15.83</v>
      </c>
      <c r="K312" s="328"/>
      <c r="L312" s="327"/>
      <c r="M312" s="28">
        <v>15.83</v>
      </c>
      <c r="N312" s="223"/>
      <c r="O312" s="64">
        <f t="shared" si="143"/>
        <v>10</v>
      </c>
      <c r="P312" s="15">
        <f t="shared" si="145"/>
        <v>1</v>
      </c>
      <c r="Q312" s="44">
        <f t="shared" si="146"/>
        <v>9</v>
      </c>
      <c r="R312" s="13">
        <f t="shared" si="144"/>
        <v>142.47</v>
      </c>
      <c r="T312" s="256"/>
      <c r="U312" s="256"/>
      <c r="V312" s="256"/>
      <c r="W312" s="256"/>
      <c r="X312" s="256"/>
      <c r="Y312" s="256"/>
    </row>
    <row r="313" spans="1:25" ht="16.5" thickBot="1" x14ac:dyDescent="0.3">
      <c r="A313" s="48"/>
      <c r="C313" s="566" t="s">
        <v>336</v>
      </c>
      <c r="D313" s="567"/>
      <c r="E313" s="567"/>
      <c r="F313" s="567"/>
      <c r="G313" s="567"/>
      <c r="H313" s="567"/>
      <c r="I313" s="331">
        <v>10</v>
      </c>
      <c r="J313" s="332">
        <v>13.2</v>
      </c>
      <c r="K313" s="333"/>
      <c r="L313" s="331"/>
      <c r="M313" s="332">
        <v>13.2</v>
      </c>
      <c r="N313" s="272"/>
      <c r="O313" s="64">
        <f t="shared" si="143"/>
        <v>10</v>
      </c>
      <c r="P313" s="15">
        <f t="shared" si="145"/>
        <v>0</v>
      </c>
      <c r="Q313" s="44">
        <f t="shared" si="146"/>
        <v>10</v>
      </c>
      <c r="R313" s="13">
        <f t="shared" si="144"/>
        <v>132</v>
      </c>
      <c r="T313" s="256"/>
      <c r="U313" s="256"/>
      <c r="V313" s="256"/>
      <c r="W313" s="256"/>
      <c r="X313" s="256"/>
      <c r="Y313" s="256"/>
    </row>
    <row r="314" spans="1:25" x14ac:dyDescent="0.25">
      <c r="A314" s="48"/>
      <c r="C314" s="97"/>
      <c r="R314" s="235">
        <f>SUM(R297:R313)</f>
        <v>2803.8599999999997</v>
      </c>
    </row>
    <row r="315" spans="1:25" x14ac:dyDescent="0.25">
      <c r="A315" s="48"/>
    </row>
    <row r="316" spans="1:25" ht="21" x14ac:dyDescent="0.35">
      <c r="A316" s="48"/>
      <c r="C316" s="621" t="s">
        <v>262</v>
      </c>
      <c r="D316" s="621"/>
      <c r="E316" s="621"/>
      <c r="F316" s="621"/>
      <c r="G316" s="621"/>
      <c r="H316" s="621"/>
      <c r="I316" s="621"/>
      <c r="J316" s="621"/>
      <c r="K316" s="621"/>
      <c r="L316" s="621"/>
      <c r="M316" s="621"/>
      <c r="N316" s="621"/>
      <c r="O316" s="621"/>
      <c r="P316" s="621"/>
      <c r="Q316" s="237"/>
      <c r="R316" s="237"/>
      <c r="W316" s="8"/>
    </row>
    <row r="317" spans="1:25" ht="24" x14ac:dyDescent="0.25">
      <c r="A317" s="48"/>
      <c r="C317" s="659" t="s">
        <v>2</v>
      </c>
      <c r="D317" s="660"/>
      <c r="E317" s="660"/>
      <c r="F317" s="660"/>
      <c r="G317" s="660"/>
      <c r="H317" s="611"/>
      <c r="I317" s="46">
        <v>1</v>
      </c>
      <c r="J317" s="126" t="s">
        <v>91</v>
      </c>
      <c r="K317" s="130" t="s">
        <v>89</v>
      </c>
      <c r="L317" s="47" t="s">
        <v>77</v>
      </c>
      <c r="M317" s="47" t="s">
        <v>78</v>
      </c>
      <c r="N317" s="47" t="s">
        <v>79</v>
      </c>
      <c r="O317" s="235" t="s">
        <v>102</v>
      </c>
    </row>
    <row r="318" spans="1:25" x14ac:dyDescent="0.25">
      <c r="A318" s="48"/>
      <c r="C318" s="510" t="s">
        <v>261</v>
      </c>
      <c r="D318" s="510"/>
      <c r="E318" s="510"/>
      <c r="F318" s="510"/>
      <c r="G318" s="510"/>
      <c r="H318" s="566"/>
      <c r="I318" s="15">
        <v>3</v>
      </c>
      <c r="J318" s="15">
        <v>59.23</v>
      </c>
      <c r="K318" s="214"/>
      <c r="L318" s="15">
        <f>I318</f>
        <v>3</v>
      </c>
      <c r="M318" s="15">
        <f>AN173</f>
        <v>3</v>
      </c>
      <c r="N318" s="44">
        <f>L318-M318</f>
        <v>0</v>
      </c>
      <c r="O318" s="13">
        <f>N318*J318</f>
        <v>0</v>
      </c>
    </row>
    <row r="319" spans="1:25" x14ac:dyDescent="0.25">
      <c r="A319" s="48"/>
      <c r="C319" s="97"/>
      <c r="O319" s="13">
        <f>SUM(O318:O318)</f>
        <v>0</v>
      </c>
    </row>
    <row r="320" spans="1:25" x14ac:dyDescent="0.25">
      <c r="A320" s="48"/>
      <c r="W320" s="8"/>
    </row>
    <row r="321" spans="1:23" x14ac:dyDescent="0.25">
      <c r="A321" s="48"/>
      <c r="W321" s="8"/>
    </row>
    <row r="322" spans="1:23" ht="21" x14ac:dyDescent="0.35">
      <c r="A322" s="48"/>
      <c r="C322" s="621" t="s">
        <v>373</v>
      </c>
      <c r="D322" s="621"/>
      <c r="E322" s="621"/>
      <c r="F322" s="621"/>
      <c r="G322" s="621"/>
      <c r="H322" s="621"/>
      <c r="I322" s="621"/>
      <c r="J322" s="621"/>
      <c r="K322" s="621"/>
      <c r="L322" s="621"/>
      <c r="M322" s="621"/>
      <c r="N322" s="621"/>
      <c r="O322" s="621"/>
      <c r="P322" s="621"/>
      <c r="W322" s="8"/>
    </row>
    <row r="323" spans="1:23" ht="24" x14ac:dyDescent="0.25">
      <c r="A323" s="48"/>
      <c r="B323" s="8"/>
      <c r="C323" s="659" t="s">
        <v>2</v>
      </c>
      <c r="D323" s="660"/>
      <c r="E323" s="660"/>
      <c r="F323" s="660"/>
      <c r="G323" s="660"/>
      <c r="H323" s="611"/>
      <c r="I323" s="46">
        <v>1</v>
      </c>
      <c r="J323" s="126" t="s">
        <v>91</v>
      </c>
      <c r="K323" s="130" t="s">
        <v>89</v>
      </c>
      <c r="L323" s="47" t="s">
        <v>77</v>
      </c>
      <c r="M323" s="47" t="s">
        <v>78</v>
      </c>
      <c r="N323" s="47" t="s">
        <v>79</v>
      </c>
      <c r="O323" s="235" t="s">
        <v>102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8"/>
      <c r="B324" s="8"/>
      <c r="C324" s="510" t="s">
        <v>370</v>
      </c>
      <c r="D324" s="510"/>
      <c r="E324" s="510"/>
      <c r="F324" s="510"/>
      <c r="G324" s="510"/>
      <c r="H324" s="510"/>
      <c r="I324" s="47">
        <v>5</v>
      </c>
      <c r="J324" s="126">
        <v>5</v>
      </c>
      <c r="K324" s="130"/>
      <c r="L324" s="15">
        <f>I324</f>
        <v>5</v>
      </c>
      <c r="M324" s="15">
        <f>AN191</f>
        <v>4</v>
      </c>
      <c r="N324" s="44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8"/>
      <c r="B325" s="8"/>
      <c r="C325" s="510" t="s">
        <v>371</v>
      </c>
      <c r="D325" s="510"/>
      <c r="E325" s="510"/>
      <c r="F325" s="510"/>
      <c r="G325" s="510"/>
      <c r="H325" s="510"/>
      <c r="I325" s="15">
        <v>6</v>
      </c>
      <c r="J325" s="15">
        <v>6</v>
      </c>
      <c r="K325" s="214"/>
      <c r="L325" s="15">
        <f>I325</f>
        <v>6</v>
      </c>
      <c r="M325" s="15">
        <f>AN192</f>
        <v>6</v>
      </c>
      <c r="N325" s="44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8"/>
      <c r="B326" s="8"/>
      <c r="C326" s="97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227"/>
      <c r="I327" s="6"/>
      <c r="W327" s="8"/>
    </row>
    <row r="328" spans="1:23" x14ac:dyDescent="0.25">
      <c r="A328" s="8"/>
      <c r="C328" s="6"/>
      <c r="D328" s="6"/>
      <c r="E328" s="6"/>
      <c r="F328" s="6"/>
      <c r="G328" s="227"/>
      <c r="I328" s="6"/>
      <c r="W328" s="8"/>
    </row>
    <row r="329" spans="1:23" x14ac:dyDescent="0.25">
      <c r="A329" s="8"/>
      <c r="C329" s="3"/>
      <c r="D329" s="6"/>
      <c r="E329" s="6"/>
      <c r="F329" s="6"/>
      <c r="G329" s="227"/>
      <c r="I329" s="6"/>
      <c r="W329" s="8"/>
    </row>
    <row r="330" spans="1:23" x14ac:dyDescent="0.25">
      <c r="A330" s="8"/>
      <c r="C330" s="6"/>
      <c r="D330" s="6"/>
      <c r="E330" s="6"/>
      <c r="F330" s="6"/>
      <c r="G330" s="227"/>
      <c r="I330" s="6"/>
      <c r="W330" s="8"/>
    </row>
    <row r="331" spans="1:23" ht="15.75" x14ac:dyDescent="0.25">
      <c r="A331" s="8"/>
      <c r="C331" s="228"/>
      <c r="D331" s="204"/>
      <c r="E331" s="204"/>
      <c r="F331" s="229"/>
      <c r="G331" s="230"/>
      <c r="I331" s="231"/>
      <c r="W331" s="8"/>
    </row>
    <row r="332" spans="1:23" x14ac:dyDescent="0.25">
      <c r="A332" s="8"/>
      <c r="C332" s="97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300"/>
  <sheetViews>
    <sheetView topLeftCell="A177" zoomScale="70" zoomScaleNormal="70" workbookViewId="0">
      <selection activeCell="T211" sqref="T211"/>
    </sheetView>
  </sheetViews>
  <sheetFormatPr baseColWidth="10" defaultRowHeight="15" x14ac:dyDescent="0.25"/>
  <cols>
    <col min="1" max="1" width="9.140625" customWidth="1"/>
    <col min="7" max="7" width="8.85546875" customWidth="1"/>
    <col min="8" max="8" width="11.5703125" hidden="1" customWidth="1"/>
    <col min="21" max="21" width="16" customWidth="1"/>
    <col min="22" max="22" width="15.28515625" customWidth="1"/>
    <col min="72" max="76" width="11.5703125" customWidth="1"/>
    <col min="91" max="100" width="11.5703125" customWidth="1"/>
    <col min="109" max="116" width="11.5703125" customWidth="1"/>
  </cols>
  <sheetData>
    <row r="1" spans="1:138" x14ac:dyDescent="0.25">
      <c r="A1" s="627" t="s">
        <v>86</v>
      </c>
      <c r="B1" s="627"/>
      <c r="C1" s="627"/>
      <c r="D1" s="627"/>
      <c r="E1" s="627"/>
      <c r="F1" s="627"/>
      <c r="G1" s="627"/>
      <c r="H1" s="627"/>
      <c r="I1" s="627"/>
      <c r="J1" s="627"/>
      <c r="K1" s="627"/>
      <c r="L1" s="627"/>
      <c r="M1" s="627"/>
      <c r="N1" s="627"/>
      <c r="O1" s="627"/>
      <c r="P1" s="627"/>
      <c r="Q1" s="627"/>
      <c r="R1" s="627"/>
      <c r="S1" s="627"/>
      <c r="T1" s="627"/>
      <c r="U1" s="627"/>
      <c r="V1" s="627"/>
      <c r="W1" s="627"/>
      <c r="X1" s="627"/>
      <c r="Y1" s="627"/>
      <c r="Z1" s="627"/>
      <c r="AA1" s="627"/>
      <c r="AB1" s="627"/>
      <c r="AC1" s="627"/>
      <c r="AD1" s="627"/>
      <c r="AE1" s="627"/>
      <c r="AF1" s="627"/>
      <c r="AG1" s="627"/>
      <c r="AH1" s="627"/>
      <c r="AI1" s="627"/>
      <c r="AJ1" s="627"/>
      <c r="AK1" s="627"/>
      <c r="AL1" s="627"/>
      <c r="AM1" s="627"/>
      <c r="AN1" s="627"/>
      <c r="AO1" s="627"/>
      <c r="AP1" s="627"/>
      <c r="AQ1" s="627"/>
      <c r="AR1" s="627"/>
      <c r="AS1" s="627"/>
      <c r="AT1" s="627"/>
      <c r="AU1" s="627"/>
      <c r="AV1" s="627"/>
      <c r="AW1" s="627"/>
      <c r="AX1" s="627"/>
      <c r="AY1" s="627"/>
      <c r="AZ1" s="627"/>
      <c r="BA1" s="627"/>
      <c r="BB1" s="627"/>
      <c r="BC1" s="627"/>
      <c r="BD1" s="627"/>
      <c r="BE1" s="627"/>
      <c r="BF1" s="627"/>
      <c r="BG1" s="627"/>
      <c r="BH1" s="627"/>
      <c r="BI1" s="627"/>
      <c r="BJ1" s="627"/>
      <c r="BK1" s="627"/>
      <c r="BL1" s="627"/>
      <c r="BM1" s="627"/>
      <c r="BN1" s="627"/>
      <c r="BO1" s="627"/>
      <c r="BP1" s="627"/>
      <c r="BQ1" s="627"/>
      <c r="BR1" s="627"/>
      <c r="BS1" s="627"/>
      <c r="BT1" s="627"/>
      <c r="BU1" s="627"/>
      <c r="BV1" s="627"/>
      <c r="BW1" s="627"/>
      <c r="BX1" s="627"/>
      <c r="BY1" s="627"/>
      <c r="BZ1" s="627"/>
      <c r="CA1" s="627"/>
      <c r="CB1" s="627"/>
      <c r="CC1" s="627"/>
      <c r="CD1" s="627"/>
      <c r="CE1" s="627"/>
      <c r="CF1" s="627"/>
      <c r="CG1" s="627"/>
      <c r="CH1" s="627"/>
      <c r="CI1" s="627"/>
      <c r="CJ1" s="627"/>
      <c r="CK1" s="627"/>
      <c r="CL1" s="627"/>
      <c r="CM1" s="627"/>
      <c r="CN1" s="627"/>
      <c r="CO1" s="627"/>
      <c r="CP1" s="627"/>
      <c r="CQ1" s="627"/>
      <c r="CR1" s="627"/>
      <c r="CS1" s="627"/>
      <c r="CT1" s="627"/>
      <c r="CU1" s="627"/>
      <c r="CV1" s="627"/>
      <c r="CW1" s="627"/>
      <c r="CX1" s="627"/>
      <c r="CY1" s="627"/>
      <c r="CZ1" s="627"/>
      <c r="DA1" s="627"/>
      <c r="DB1" s="627"/>
      <c r="DC1" s="627"/>
      <c r="DD1" s="627"/>
      <c r="DE1" s="627"/>
      <c r="DF1" s="627"/>
      <c r="DG1" s="627"/>
      <c r="DH1" s="627"/>
      <c r="DI1" s="627"/>
      <c r="DJ1" s="627"/>
      <c r="DK1" s="627"/>
      <c r="DL1" s="627"/>
      <c r="DM1" s="627"/>
      <c r="DN1" s="627"/>
      <c r="DO1" s="627"/>
      <c r="DP1" s="627"/>
    </row>
    <row r="2" spans="1:138" x14ac:dyDescent="0.25">
      <c r="A2" s="627"/>
      <c r="B2" s="627"/>
      <c r="C2" s="627"/>
      <c r="D2" s="627"/>
      <c r="E2" s="627"/>
      <c r="F2" s="627"/>
      <c r="G2" s="627"/>
      <c r="H2" s="627"/>
      <c r="I2" s="627"/>
      <c r="J2" s="627"/>
      <c r="K2" s="627"/>
      <c r="L2" s="627"/>
      <c r="M2" s="627"/>
      <c r="N2" s="627"/>
      <c r="O2" s="627"/>
      <c r="P2" s="627"/>
      <c r="Q2" s="627"/>
      <c r="R2" s="627"/>
      <c r="S2" s="627"/>
      <c r="T2" s="627"/>
      <c r="U2" s="627"/>
      <c r="V2" s="627"/>
      <c r="W2" s="627"/>
      <c r="X2" s="627"/>
      <c r="Y2" s="627"/>
      <c r="Z2" s="627"/>
      <c r="AA2" s="627"/>
      <c r="AB2" s="627"/>
      <c r="AC2" s="627"/>
      <c r="AD2" s="627"/>
      <c r="AE2" s="627"/>
      <c r="AF2" s="627"/>
      <c r="AG2" s="627"/>
      <c r="AH2" s="627"/>
      <c r="AI2" s="627"/>
      <c r="AJ2" s="627"/>
      <c r="AK2" s="627"/>
      <c r="AL2" s="627"/>
      <c r="AM2" s="627"/>
      <c r="AN2" s="627"/>
      <c r="AO2" s="627"/>
      <c r="AP2" s="627"/>
      <c r="AQ2" s="627"/>
      <c r="AR2" s="627"/>
      <c r="AS2" s="627"/>
      <c r="AT2" s="627"/>
      <c r="AU2" s="627"/>
      <c r="AV2" s="627"/>
      <c r="AW2" s="627"/>
      <c r="AX2" s="627"/>
      <c r="AY2" s="627"/>
      <c r="AZ2" s="627"/>
      <c r="BA2" s="627"/>
      <c r="BB2" s="627"/>
      <c r="BC2" s="627"/>
      <c r="BD2" s="627"/>
      <c r="BE2" s="627"/>
      <c r="BF2" s="627"/>
      <c r="BG2" s="627"/>
      <c r="BH2" s="627"/>
      <c r="BI2" s="627"/>
      <c r="BJ2" s="627"/>
      <c r="BK2" s="627"/>
      <c r="BL2" s="627"/>
      <c r="BM2" s="627"/>
      <c r="BN2" s="627"/>
      <c r="BO2" s="627"/>
      <c r="BP2" s="627"/>
      <c r="BQ2" s="627"/>
      <c r="BR2" s="627"/>
      <c r="BS2" s="627"/>
      <c r="BT2" s="627"/>
      <c r="BU2" s="627"/>
      <c r="BV2" s="627"/>
      <c r="BW2" s="627"/>
      <c r="BX2" s="627"/>
      <c r="BY2" s="627"/>
      <c r="BZ2" s="627"/>
      <c r="CA2" s="627"/>
      <c r="CB2" s="627"/>
      <c r="CC2" s="627"/>
      <c r="CD2" s="627"/>
      <c r="CE2" s="627"/>
      <c r="CF2" s="627"/>
      <c r="CG2" s="627"/>
      <c r="CH2" s="627"/>
      <c r="CI2" s="627"/>
      <c r="CJ2" s="627"/>
      <c r="CK2" s="627"/>
      <c r="CL2" s="627"/>
      <c r="CM2" s="627"/>
      <c r="CN2" s="627"/>
      <c r="CO2" s="627"/>
      <c r="CP2" s="627"/>
      <c r="CQ2" s="627"/>
      <c r="CR2" s="627"/>
      <c r="CS2" s="627"/>
      <c r="CT2" s="627"/>
      <c r="CU2" s="627"/>
      <c r="CV2" s="627"/>
      <c r="CW2" s="627"/>
      <c r="CX2" s="627"/>
      <c r="CY2" s="627"/>
      <c r="CZ2" s="627"/>
      <c r="DA2" s="627"/>
      <c r="DB2" s="627"/>
      <c r="DC2" s="627"/>
      <c r="DD2" s="627"/>
      <c r="DE2" s="627"/>
      <c r="DF2" s="627"/>
      <c r="DG2" s="627"/>
      <c r="DH2" s="627"/>
      <c r="DI2" s="627"/>
      <c r="DJ2" s="627"/>
      <c r="DK2" s="627"/>
      <c r="DL2" s="627"/>
      <c r="DM2" s="627"/>
      <c r="DN2" s="627"/>
      <c r="DO2" s="627"/>
      <c r="DP2" s="627"/>
    </row>
    <row r="3" spans="1:138" x14ac:dyDescent="0.25">
      <c r="A3" s="627"/>
      <c r="B3" s="627"/>
      <c r="C3" s="627"/>
      <c r="D3" s="627"/>
      <c r="E3" s="627"/>
      <c r="F3" s="627"/>
      <c r="G3" s="627"/>
      <c r="H3" s="627"/>
      <c r="I3" s="627"/>
      <c r="J3" s="627"/>
      <c r="K3" s="627"/>
      <c r="L3" s="627"/>
      <c r="M3" s="627"/>
      <c r="N3" s="627"/>
      <c r="O3" s="627"/>
      <c r="P3" s="627"/>
      <c r="Q3" s="627"/>
      <c r="R3" s="627"/>
      <c r="S3" s="627"/>
      <c r="T3" s="627"/>
      <c r="U3" s="627"/>
      <c r="V3" s="627"/>
      <c r="W3" s="627"/>
      <c r="X3" s="627"/>
      <c r="Y3" s="627"/>
      <c r="Z3" s="627"/>
      <c r="AA3" s="627"/>
      <c r="AB3" s="627"/>
      <c r="AC3" s="627"/>
      <c r="AD3" s="627"/>
      <c r="AE3" s="627"/>
      <c r="AF3" s="627"/>
      <c r="AG3" s="627"/>
      <c r="AH3" s="627"/>
      <c r="AI3" s="627"/>
      <c r="AJ3" s="627"/>
      <c r="AK3" s="627"/>
      <c r="AL3" s="627"/>
      <c r="AM3" s="627"/>
      <c r="AN3" s="627"/>
      <c r="AO3" s="627"/>
      <c r="AP3" s="627"/>
      <c r="AQ3" s="627"/>
      <c r="AR3" s="627"/>
      <c r="AS3" s="627"/>
      <c r="AT3" s="627"/>
      <c r="AU3" s="627"/>
      <c r="AV3" s="627"/>
      <c r="AW3" s="627"/>
      <c r="AX3" s="627"/>
      <c r="AY3" s="627"/>
      <c r="AZ3" s="627"/>
      <c r="BA3" s="627"/>
      <c r="BB3" s="627"/>
      <c r="BC3" s="627"/>
      <c r="BD3" s="627"/>
      <c r="BE3" s="627"/>
      <c r="BF3" s="627"/>
      <c r="BG3" s="627"/>
      <c r="BH3" s="627"/>
      <c r="BI3" s="627"/>
      <c r="BJ3" s="627"/>
      <c r="BK3" s="627"/>
      <c r="BL3" s="627"/>
      <c r="BM3" s="627"/>
      <c r="BN3" s="627"/>
      <c r="BO3" s="627"/>
      <c r="BP3" s="627"/>
      <c r="BQ3" s="627"/>
      <c r="BR3" s="627"/>
      <c r="BS3" s="627"/>
      <c r="BT3" s="627"/>
      <c r="BU3" s="627"/>
      <c r="BV3" s="627"/>
      <c r="BW3" s="627"/>
      <c r="BX3" s="627"/>
      <c r="BY3" s="627"/>
      <c r="BZ3" s="627"/>
      <c r="CA3" s="627"/>
      <c r="CB3" s="627"/>
      <c r="CC3" s="627"/>
      <c r="CD3" s="627"/>
      <c r="CE3" s="627"/>
      <c r="CF3" s="627"/>
      <c r="CG3" s="627"/>
      <c r="CH3" s="627"/>
      <c r="CI3" s="627"/>
      <c r="CJ3" s="627"/>
      <c r="CK3" s="627"/>
      <c r="CL3" s="627"/>
      <c r="CM3" s="627"/>
      <c r="CN3" s="627"/>
      <c r="CO3" s="627"/>
      <c r="CP3" s="627"/>
      <c r="CQ3" s="627"/>
      <c r="CR3" s="627"/>
      <c r="CS3" s="627"/>
      <c r="CT3" s="627"/>
      <c r="CU3" s="627"/>
      <c r="CV3" s="627"/>
      <c r="CW3" s="627"/>
      <c r="CX3" s="627"/>
      <c r="CY3" s="627"/>
      <c r="CZ3" s="627"/>
      <c r="DA3" s="627"/>
      <c r="DB3" s="627"/>
      <c r="DC3" s="627"/>
      <c r="DD3" s="627"/>
      <c r="DE3" s="627"/>
      <c r="DF3" s="627"/>
      <c r="DG3" s="627"/>
      <c r="DH3" s="627"/>
      <c r="DI3" s="627"/>
      <c r="DJ3" s="627"/>
      <c r="DK3" s="627"/>
      <c r="DL3" s="627"/>
      <c r="DM3" s="627"/>
      <c r="DN3" s="627"/>
      <c r="DO3" s="627"/>
      <c r="DP3" s="627"/>
    </row>
    <row r="4" spans="1:138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138" ht="14.45" customHeight="1" x14ac:dyDescent="0.25">
      <c r="A5" s="58"/>
      <c r="B5" s="7"/>
      <c r="C5" s="504" t="s">
        <v>71</v>
      </c>
      <c r="D5" s="504"/>
      <c r="E5" s="504"/>
      <c r="F5" s="504"/>
      <c r="G5" s="504"/>
      <c r="H5" s="504"/>
      <c r="I5" s="504"/>
      <c r="J5" s="5"/>
      <c r="K5" s="7"/>
      <c r="L5" s="9"/>
      <c r="M5" s="9"/>
      <c r="N5" s="9"/>
      <c r="O5" s="9"/>
      <c r="P5" s="504" t="s">
        <v>60</v>
      </c>
      <c r="Q5" s="504"/>
      <c r="R5" s="504"/>
      <c r="S5" s="504"/>
      <c r="T5" s="504"/>
      <c r="U5" s="504"/>
      <c r="V5" s="504"/>
      <c r="W5" s="7"/>
      <c r="X5" s="9"/>
      <c r="Y5" s="9"/>
      <c r="Z5" s="9"/>
      <c r="AB5" s="573" t="s">
        <v>61</v>
      </c>
      <c r="AC5" s="504"/>
      <c r="AD5" s="504"/>
      <c r="AE5" s="504"/>
      <c r="AF5" s="504"/>
      <c r="AG5" s="504"/>
      <c r="AH5" s="504"/>
      <c r="AI5" s="7"/>
      <c r="AJ5" s="7"/>
      <c r="AK5" s="7"/>
      <c r="AM5" s="573" t="s">
        <v>62</v>
      </c>
      <c r="AN5" s="504"/>
      <c r="AO5" s="504"/>
      <c r="AP5" s="504"/>
      <c r="AQ5" s="504"/>
      <c r="AR5" s="504"/>
      <c r="AS5" s="504"/>
      <c r="AT5" s="7"/>
      <c r="BA5" s="573" t="s">
        <v>63</v>
      </c>
      <c r="BB5" s="504"/>
      <c r="BC5" s="504"/>
      <c r="BD5" s="504"/>
      <c r="BE5" s="504"/>
      <c r="BF5" s="504"/>
      <c r="BG5" s="504"/>
      <c r="BH5" s="7"/>
      <c r="BM5" s="573" t="s">
        <v>65</v>
      </c>
      <c r="BN5" s="504"/>
      <c r="BO5" s="504"/>
      <c r="BP5" s="504"/>
      <c r="BQ5" s="504"/>
      <c r="BR5" s="504"/>
      <c r="BS5" s="504"/>
      <c r="BT5" s="7"/>
      <c r="CF5" s="573" t="s">
        <v>69</v>
      </c>
      <c r="CG5" s="504"/>
      <c r="CH5" s="504"/>
      <c r="CI5" s="504"/>
      <c r="CJ5" s="504"/>
      <c r="CK5" s="504"/>
      <c r="CL5" s="504"/>
      <c r="CM5" s="7"/>
      <c r="CX5" s="573" t="s">
        <v>76</v>
      </c>
      <c r="CY5" s="504"/>
      <c r="CZ5" s="504"/>
      <c r="DA5" s="504"/>
      <c r="DB5" s="504"/>
      <c r="DC5" s="504"/>
      <c r="DD5" s="504"/>
      <c r="DR5" s="573" t="s">
        <v>87</v>
      </c>
      <c r="DS5" s="504"/>
      <c r="DT5" s="504"/>
      <c r="DU5" s="504"/>
      <c r="DV5" s="504"/>
      <c r="DW5" s="504"/>
      <c r="DX5" s="504"/>
    </row>
    <row r="6" spans="1:138" ht="14.45" customHeight="1" x14ac:dyDescent="0.25">
      <c r="A6" s="58"/>
      <c r="B6" s="7"/>
      <c r="C6" s="504"/>
      <c r="D6" s="504"/>
      <c r="E6" s="504"/>
      <c r="F6" s="504"/>
      <c r="G6" s="504"/>
      <c r="H6" s="504"/>
      <c r="I6" s="504"/>
      <c r="J6" s="5"/>
      <c r="K6" s="7"/>
      <c r="L6" s="9"/>
      <c r="M6" s="9"/>
      <c r="N6" s="9"/>
      <c r="O6" s="9"/>
      <c r="P6" s="504"/>
      <c r="Q6" s="504"/>
      <c r="R6" s="504"/>
      <c r="S6" s="504"/>
      <c r="T6" s="504"/>
      <c r="U6" s="504"/>
      <c r="V6" s="504"/>
      <c r="W6" s="7"/>
      <c r="X6" s="9"/>
      <c r="Y6" s="9"/>
      <c r="Z6" s="9"/>
      <c r="AB6" s="504"/>
      <c r="AC6" s="504"/>
      <c r="AD6" s="504"/>
      <c r="AE6" s="504"/>
      <c r="AF6" s="504"/>
      <c r="AG6" s="504"/>
      <c r="AH6" s="504"/>
      <c r="AI6" s="7"/>
      <c r="AJ6" s="7"/>
      <c r="AK6" s="7"/>
      <c r="AM6" s="504"/>
      <c r="AN6" s="504"/>
      <c r="AO6" s="504"/>
      <c r="AP6" s="504"/>
      <c r="AQ6" s="504"/>
      <c r="AR6" s="504"/>
      <c r="AS6" s="504"/>
      <c r="AT6" s="7"/>
      <c r="BA6" s="504"/>
      <c r="BB6" s="504"/>
      <c r="BC6" s="504"/>
      <c r="BD6" s="504"/>
      <c r="BE6" s="504"/>
      <c r="BF6" s="504"/>
      <c r="BG6" s="504"/>
      <c r="BH6" s="7"/>
      <c r="BM6" s="504"/>
      <c r="BN6" s="504"/>
      <c r="BO6" s="504"/>
      <c r="BP6" s="504"/>
      <c r="BQ6" s="504"/>
      <c r="BR6" s="504"/>
      <c r="BS6" s="504"/>
      <c r="BT6" s="7"/>
      <c r="CF6" s="504"/>
      <c r="CG6" s="504"/>
      <c r="CH6" s="504"/>
      <c r="CI6" s="504"/>
      <c r="CJ6" s="504"/>
      <c r="CK6" s="504"/>
      <c r="CL6" s="504"/>
      <c r="CM6" s="7"/>
      <c r="CX6" s="504"/>
      <c r="CY6" s="504"/>
      <c r="CZ6" s="504"/>
      <c r="DA6" s="504"/>
      <c r="DB6" s="504"/>
      <c r="DC6" s="504"/>
      <c r="DD6" s="504"/>
      <c r="DR6" s="504"/>
      <c r="DS6" s="504"/>
      <c r="DT6" s="504"/>
      <c r="DU6" s="504"/>
      <c r="DV6" s="504"/>
      <c r="DW6" s="504"/>
      <c r="DX6" s="504"/>
    </row>
    <row r="7" spans="1:138" ht="14.45" customHeight="1" x14ac:dyDescent="0.25">
      <c r="A7" s="58"/>
      <c r="B7" s="10"/>
      <c r="C7" s="589" t="s">
        <v>2</v>
      </c>
      <c r="D7" s="589"/>
      <c r="E7" s="589"/>
      <c r="F7" s="589"/>
      <c r="G7" s="589"/>
      <c r="H7" s="589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589" t="s">
        <v>2</v>
      </c>
      <c r="Q7" s="589"/>
      <c r="R7" s="589"/>
      <c r="S7" s="589"/>
      <c r="T7" s="589"/>
      <c r="U7" s="589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17"/>
      <c r="AB7" s="589" t="s">
        <v>2</v>
      </c>
      <c r="AC7" s="589"/>
      <c r="AD7" s="589"/>
      <c r="AE7" s="589"/>
      <c r="AF7" s="589"/>
      <c r="AG7" s="589"/>
      <c r="AH7" s="11" t="s">
        <v>3</v>
      </c>
      <c r="AI7" s="18">
        <v>27</v>
      </c>
      <c r="AJ7" s="22" t="s">
        <v>1</v>
      </c>
      <c r="AK7" s="18" t="s">
        <v>72</v>
      </c>
      <c r="AM7" s="589" t="s">
        <v>2</v>
      </c>
      <c r="AN7" s="589"/>
      <c r="AO7" s="589"/>
      <c r="AP7" s="589"/>
      <c r="AQ7" s="589"/>
      <c r="AR7" s="589"/>
      <c r="AS7" s="11" t="s">
        <v>3</v>
      </c>
      <c r="AT7" s="18">
        <v>28</v>
      </c>
      <c r="AU7" s="18">
        <v>29</v>
      </c>
      <c r="AV7" s="18">
        <v>30</v>
      </c>
      <c r="AW7" s="18">
        <v>31</v>
      </c>
      <c r="AX7" s="22" t="s">
        <v>1</v>
      </c>
      <c r="AY7" s="18" t="s">
        <v>72</v>
      </c>
      <c r="AZ7" s="24"/>
      <c r="BA7" s="589" t="s">
        <v>2</v>
      </c>
      <c r="BB7" s="589"/>
      <c r="BC7" s="589"/>
      <c r="BD7" s="589"/>
      <c r="BE7" s="589"/>
      <c r="BF7" s="589"/>
      <c r="BG7" s="11" t="s">
        <v>3</v>
      </c>
      <c r="BH7" s="18">
        <v>1</v>
      </c>
      <c r="BI7" s="18">
        <v>2</v>
      </c>
      <c r="BJ7" s="22" t="s">
        <v>1</v>
      </c>
      <c r="BK7" s="18" t="s">
        <v>72</v>
      </c>
      <c r="BL7" s="24"/>
      <c r="BM7" s="589" t="s">
        <v>2</v>
      </c>
      <c r="BN7" s="589"/>
      <c r="BO7" s="589"/>
      <c r="BP7" s="589"/>
      <c r="BQ7" s="589"/>
      <c r="BR7" s="589"/>
      <c r="BS7" s="11" t="s">
        <v>3</v>
      </c>
      <c r="BT7" s="18">
        <v>3</v>
      </c>
      <c r="BU7" s="18">
        <v>4</v>
      </c>
      <c r="BV7" s="18">
        <v>5</v>
      </c>
      <c r="BW7" s="18">
        <v>6</v>
      </c>
      <c r="BX7" s="18">
        <v>7</v>
      </c>
      <c r="BY7" s="18">
        <v>8</v>
      </c>
      <c r="BZ7" s="18">
        <v>9</v>
      </c>
      <c r="CA7" s="18">
        <v>10</v>
      </c>
      <c r="CB7" s="18">
        <v>11</v>
      </c>
      <c r="CC7" s="22" t="s">
        <v>1</v>
      </c>
      <c r="CD7" s="18" t="s">
        <v>72</v>
      </c>
      <c r="CE7" s="24"/>
      <c r="CF7" s="589" t="s">
        <v>2</v>
      </c>
      <c r="CG7" s="589"/>
      <c r="CH7" s="589"/>
      <c r="CI7" s="589"/>
      <c r="CJ7" s="589"/>
      <c r="CK7" s="589"/>
      <c r="CL7" s="11" t="s">
        <v>3</v>
      </c>
      <c r="CM7" s="18">
        <v>13</v>
      </c>
      <c r="CN7" s="18">
        <v>14</v>
      </c>
      <c r="CO7" s="18">
        <v>15</v>
      </c>
      <c r="CP7" s="18">
        <v>16</v>
      </c>
      <c r="CQ7" s="18">
        <v>17</v>
      </c>
      <c r="CR7" s="18">
        <v>18</v>
      </c>
      <c r="CS7" s="18">
        <v>19</v>
      </c>
      <c r="CT7" s="18">
        <v>20</v>
      </c>
      <c r="CU7" s="22" t="s">
        <v>1</v>
      </c>
      <c r="CV7" s="18" t="s">
        <v>72</v>
      </c>
      <c r="CW7" s="24"/>
      <c r="CX7" s="589" t="s">
        <v>2</v>
      </c>
      <c r="CY7" s="589"/>
      <c r="CZ7" s="589"/>
      <c r="DA7" s="589"/>
      <c r="DB7" s="589"/>
      <c r="DC7" s="589"/>
      <c r="DD7" s="11" t="s">
        <v>3</v>
      </c>
      <c r="DE7" s="18">
        <v>21</v>
      </c>
      <c r="DF7" s="18">
        <v>22</v>
      </c>
      <c r="DG7" s="18">
        <v>23</v>
      </c>
      <c r="DH7" s="18">
        <v>24</v>
      </c>
      <c r="DI7" s="18">
        <v>25</v>
      </c>
      <c r="DJ7" s="18">
        <v>26</v>
      </c>
      <c r="DK7" s="18">
        <v>27</v>
      </c>
      <c r="DL7" s="18">
        <v>28</v>
      </c>
      <c r="DM7" s="18">
        <v>29</v>
      </c>
      <c r="DN7" s="18">
        <v>30</v>
      </c>
      <c r="DO7" s="22" t="s">
        <v>1</v>
      </c>
      <c r="DP7" s="18" t="s">
        <v>72</v>
      </c>
      <c r="DR7" s="589" t="s">
        <v>2</v>
      </c>
      <c r="DS7" s="589"/>
      <c r="DT7" s="589"/>
      <c r="DU7" s="589"/>
      <c r="DV7" s="589"/>
      <c r="DW7" s="589"/>
      <c r="DX7" s="11" t="s">
        <v>3</v>
      </c>
      <c r="DY7" s="18">
        <v>1</v>
      </c>
      <c r="DZ7" s="18">
        <v>2</v>
      </c>
      <c r="EA7" s="18">
        <v>3</v>
      </c>
      <c r="EB7" s="18">
        <v>4</v>
      </c>
      <c r="EC7" s="18">
        <v>5</v>
      </c>
      <c r="ED7" s="18">
        <v>6</v>
      </c>
      <c r="EE7" s="18">
        <v>7</v>
      </c>
      <c r="EF7" s="18">
        <v>8</v>
      </c>
      <c r="EG7" s="18">
        <v>9</v>
      </c>
      <c r="EH7" s="18">
        <v>10</v>
      </c>
    </row>
    <row r="8" spans="1:138" ht="14.45" customHeight="1" x14ac:dyDescent="0.25">
      <c r="A8" s="58"/>
      <c r="B8" s="12"/>
      <c r="C8" s="532" t="s">
        <v>55</v>
      </c>
      <c r="D8" s="532"/>
      <c r="E8" s="532"/>
      <c r="F8" s="532"/>
      <c r="G8" s="532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532" t="s">
        <v>55</v>
      </c>
      <c r="Q8" s="532"/>
      <c r="R8" s="532"/>
      <c r="S8" s="532"/>
      <c r="T8" s="532"/>
      <c r="U8" s="11"/>
      <c r="V8" s="13"/>
      <c r="W8" s="19"/>
      <c r="X8" s="19"/>
      <c r="Y8" s="23">
        <f>SUM(W8:X8)</f>
        <v>0</v>
      </c>
      <c r="Z8" s="19">
        <f>Y8*V8</f>
        <v>0</v>
      </c>
      <c r="AA8" s="6"/>
      <c r="AB8" s="532" t="s">
        <v>55</v>
      </c>
      <c r="AC8" s="532"/>
      <c r="AD8" s="532"/>
      <c r="AE8" s="532"/>
      <c r="AF8" s="532"/>
      <c r="AG8" s="11"/>
      <c r="AH8" s="13"/>
      <c r="AI8" s="19"/>
      <c r="AJ8" s="23">
        <f>SUM(AI8)</f>
        <v>0</v>
      </c>
      <c r="AK8" s="19">
        <f>AJ8*AH8</f>
        <v>0</v>
      </c>
      <c r="AM8" s="569" t="s">
        <v>55</v>
      </c>
      <c r="AN8" s="570"/>
      <c r="AO8" s="570"/>
      <c r="AP8" s="570"/>
      <c r="AQ8" s="570"/>
      <c r="AR8" s="571"/>
      <c r="AS8" s="28"/>
      <c r="AT8" s="28"/>
      <c r="AU8" s="28"/>
      <c r="AV8" s="28"/>
      <c r="AW8" s="28"/>
      <c r="AX8" s="30">
        <f>SUM(AT8:AW8)</f>
        <v>0</v>
      </c>
      <c r="AY8" s="28">
        <f>AX8*AS8</f>
        <v>0</v>
      </c>
      <c r="AZ8" s="14"/>
      <c r="BA8" s="569" t="s">
        <v>55</v>
      </c>
      <c r="BB8" s="570"/>
      <c r="BC8" s="570"/>
      <c r="BD8" s="570"/>
      <c r="BE8" s="570"/>
      <c r="BF8" s="571"/>
      <c r="BG8" s="28"/>
      <c r="BH8" s="28"/>
      <c r="BI8" s="28"/>
      <c r="BJ8" s="30">
        <f>SUM(BH8:BI8)</f>
        <v>0</v>
      </c>
      <c r="BK8" s="28">
        <f>BJ8*BG8</f>
        <v>0</v>
      </c>
      <c r="BL8" s="14"/>
      <c r="BM8" s="569" t="s">
        <v>55</v>
      </c>
      <c r="BN8" s="570"/>
      <c r="BO8" s="570"/>
      <c r="BP8" s="570"/>
      <c r="BQ8" s="570"/>
      <c r="BR8" s="571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30">
        <f>SUM(BT8:CB8)</f>
        <v>0</v>
      </c>
      <c r="CD8" s="28">
        <f>CC8*BS8</f>
        <v>0</v>
      </c>
      <c r="CE8" s="14"/>
      <c r="CF8" s="569" t="s">
        <v>55</v>
      </c>
      <c r="CG8" s="570"/>
      <c r="CH8" s="570"/>
      <c r="CI8" s="570"/>
      <c r="CJ8" s="570"/>
      <c r="CK8" s="571"/>
      <c r="CL8" s="28">
        <v>7</v>
      </c>
      <c r="CM8" s="28"/>
      <c r="CN8" s="28"/>
      <c r="CO8" s="28">
        <v>1</v>
      </c>
      <c r="CP8" s="28"/>
      <c r="CQ8" s="28">
        <v>1</v>
      </c>
      <c r="CR8" s="28"/>
      <c r="CS8" s="28"/>
      <c r="CT8" s="28"/>
      <c r="CU8" s="30">
        <f>SUM(CM8:CT8)</f>
        <v>2</v>
      </c>
      <c r="CV8" s="28">
        <f>CU8*CL8</f>
        <v>14</v>
      </c>
      <c r="CW8" s="14"/>
      <c r="CX8" s="569" t="s">
        <v>55</v>
      </c>
      <c r="CY8" s="570"/>
      <c r="CZ8" s="570"/>
      <c r="DA8" s="570"/>
      <c r="DB8" s="570"/>
      <c r="DC8" s="571"/>
      <c r="DD8" s="28">
        <v>7.5</v>
      </c>
      <c r="DE8" s="28">
        <v>22</v>
      </c>
      <c r="DF8" s="28"/>
      <c r="DG8" s="28"/>
      <c r="DH8" s="28"/>
      <c r="DI8" s="28"/>
      <c r="DJ8" s="28"/>
      <c r="DK8" s="28"/>
      <c r="DL8" s="28">
        <v>1</v>
      </c>
      <c r="DM8" s="28"/>
      <c r="DN8" s="28">
        <v>1</v>
      </c>
      <c r="DO8" s="30">
        <f>SUM(DE8:DN8)</f>
        <v>24</v>
      </c>
      <c r="DP8" s="28">
        <f>DO8*DD8</f>
        <v>180</v>
      </c>
      <c r="DR8" s="569" t="s">
        <v>55</v>
      </c>
      <c r="DS8" s="570"/>
      <c r="DT8" s="570"/>
      <c r="DU8" s="570"/>
      <c r="DV8" s="570"/>
      <c r="DW8" s="571"/>
      <c r="DX8" s="28">
        <v>7.5</v>
      </c>
      <c r="DY8" s="28"/>
      <c r="DZ8" s="28"/>
      <c r="EA8" s="28"/>
      <c r="EB8" s="28"/>
      <c r="EC8" s="28"/>
      <c r="ED8" s="28"/>
      <c r="EE8" s="28"/>
      <c r="EF8" s="28"/>
      <c r="EG8" s="28"/>
      <c r="EH8" s="28"/>
    </row>
    <row r="9" spans="1:138" ht="14.45" customHeight="1" x14ac:dyDescent="0.25">
      <c r="A9" s="58"/>
      <c r="B9" s="12"/>
      <c r="C9" s="532" t="s">
        <v>4</v>
      </c>
      <c r="D9" s="532"/>
      <c r="E9" s="532"/>
      <c r="F9" s="532"/>
      <c r="G9" s="532"/>
      <c r="H9" s="532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64" si="0">M9*I9</f>
        <v>273</v>
      </c>
      <c r="O9" s="12"/>
      <c r="P9" s="532" t="s">
        <v>4</v>
      </c>
      <c r="Q9" s="532"/>
      <c r="R9" s="532"/>
      <c r="S9" s="532"/>
      <c r="T9" s="532"/>
      <c r="U9" s="532"/>
      <c r="V9" s="13">
        <v>13</v>
      </c>
      <c r="W9" s="19">
        <v>9</v>
      </c>
      <c r="X9" s="19">
        <v>1</v>
      </c>
      <c r="Y9" s="23">
        <f t="shared" ref="Y9:Y64" si="1">SUM(W9:X9)</f>
        <v>10</v>
      </c>
      <c r="Z9" s="19">
        <f t="shared" ref="Z9:Z64" si="2">Y9*V9</f>
        <v>130</v>
      </c>
      <c r="AA9" s="6"/>
      <c r="AB9" s="532" t="s">
        <v>4</v>
      </c>
      <c r="AC9" s="532"/>
      <c r="AD9" s="532"/>
      <c r="AE9" s="532"/>
      <c r="AF9" s="532"/>
      <c r="AG9" s="532"/>
      <c r="AH9" s="13">
        <v>14</v>
      </c>
      <c r="AI9" s="19">
        <v>1</v>
      </c>
      <c r="AJ9" s="23">
        <f t="shared" ref="AJ9:AJ64" si="3">SUM(AI9)</f>
        <v>1</v>
      </c>
      <c r="AK9" s="19">
        <f t="shared" ref="AK9:AK64" si="4">AJ9*AH9</f>
        <v>14</v>
      </c>
      <c r="AM9" s="532" t="s">
        <v>4</v>
      </c>
      <c r="AN9" s="532"/>
      <c r="AO9" s="532"/>
      <c r="AP9" s="532"/>
      <c r="AQ9" s="532"/>
      <c r="AR9" s="532"/>
      <c r="AS9" s="13">
        <v>14</v>
      </c>
      <c r="AT9" s="19"/>
      <c r="AU9" s="19"/>
      <c r="AV9" s="19">
        <v>1</v>
      </c>
      <c r="AW9" s="19"/>
      <c r="AX9" s="30">
        <f t="shared" ref="AX9:AX64" si="5">SUM(AT9:AW9)</f>
        <v>1</v>
      </c>
      <c r="AY9" s="28">
        <f t="shared" ref="AY9:AY64" si="6">AX9*AS9</f>
        <v>14</v>
      </c>
      <c r="AZ9" s="14"/>
      <c r="BA9" s="532" t="s">
        <v>4</v>
      </c>
      <c r="BB9" s="532"/>
      <c r="BC9" s="532"/>
      <c r="BD9" s="532"/>
      <c r="BE9" s="532"/>
      <c r="BF9" s="532"/>
      <c r="BG9" s="13">
        <v>14</v>
      </c>
      <c r="BH9" s="19"/>
      <c r="BI9" s="19"/>
      <c r="BJ9" s="30">
        <f t="shared" ref="BJ9:BJ64" si="7">SUM(BH9:BI9)</f>
        <v>0</v>
      </c>
      <c r="BK9" s="28">
        <f t="shared" ref="BK9:BK64" si="8">BJ9*BG9</f>
        <v>0</v>
      </c>
      <c r="BL9" s="14"/>
      <c r="BM9" s="532" t="s">
        <v>4</v>
      </c>
      <c r="BN9" s="532"/>
      <c r="BO9" s="532"/>
      <c r="BP9" s="532"/>
      <c r="BQ9" s="532"/>
      <c r="BR9" s="532"/>
      <c r="BS9" s="13">
        <v>14</v>
      </c>
      <c r="BT9" s="19">
        <v>1</v>
      </c>
      <c r="BU9" s="19"/>
      <c r="BV9" s="19"/>
      <c r="BW9" s="19"/>
      <c r="BX9" s="19"/>
      <c r="BY9" s="19"/>
      <c r="BZ9" s="19"/>
      <c r="CA9" s="19"/>
      <c r="CB9" s="19"/>
      <c r="CC9" s="30">
        <f t="shared" ref="CC9:CC64" si="9">SUM(BT9:CB9)</f>
        <v>1</v>
      </c>
      <c r="CD9" s="28">
        <f t="shared" ref="CD9:CD64" si="10">CC9*BS9</f>
        <v>14</v>
      </c>
      <c r="CE9" s="14"/>
      <c r="CF9" s="532" t="s">
        <v>4</v>
      </c>
      <c r="CG9" s="532"/>
      <c r="CH9" s="532"/>
      <c r="CI9" s="532"/>
      <c r="CJ9" s="532"/>
      <c r="CK9" s="532"/>
      <c r="CL9" s="13">
        <v>15</v>
      </c>
      <c r="CM9" s="19">
        <v>1</v>
      </c>
      <c r="CN9" s="19">
        <v>1</v>
      </c>
      <c r="CO9" s="19">
        <v>2</v>
      </c>
      <c r="CP9" s="19">
        <v>1</v>
      </c>
      <c r="CQ9" s="19"/>
      <c r="CR9" s="19">
        <v>1</v>
      </c>
      <c r="CS9" s="19"/>
      <c r="CT9" s="19"/>
      <c r="CU9" s="30">
        <f t="shared" ref="CU9:CU64" si="11">SUM(CM9:CT9)</f>
        <v>6</v>
      </c>
      <c r="CV9" s="28">
        <f t="shared" ref="CV9:CV64" si="12">CU9*CL9</f>
        <v>90</v>
      </c>
      <c r="CW9" s="14"/>
      <c r="CX9" s="532" t="s">
        <v>4</v>
      </c>
      <c r="CY9" s="532"/>
      <c r="CZ9" s="532"/>
      <c r="DA9" s="532"/>
      <c r="DB9" s="532"/>
      <c r="DC9" s="532"/>
      <c r="DD9" s="13">
        <v>15</v>
      </c>
      <c r="DE9" s="19">
        <v>1</v>
      </c>
      <c r="DF9" s="19"/>
      <c r="DG9" s="19">
        <v>2</v>
      </c>
      <c r="DH9" s="19">
        <v>1</v>
      </c>
      <c r="DI9" s="19">
        <v>1</v>
      </c>
      <c r="DJ9" s="19"/>
      <c r="DK9" s="19">
        <v>1</v>
      </c>
      <c r="DL9" s="19">
        <v>8</v>
      </c>
      <c r="DM9" s="19">
        <v>1</v>
      </c>
      <c r="DN9" s="19"/>
      <c r="DO9" s="30">
        <f t="shared" ref="DO9:DO64" si="13">SUM(DE9:DN9)</f>
        <v>15</v>
      </c>
      <c r="DP9" s="28">
        <f t="shared" ref="DP9:DP64" si="14">DO9*DD9</f>
        <v>225</v>
      </c>
      <c r="DR9" s="532" t="s">
        <v>4</v>
      </c>
      <c r="DS9" s="532"/>
      <c r="DT9" s="532"/>
      <c r="DU9" s="532"/>
      <c r="DV9" s="532"/>
      <c r="DW9" s="532"/>
      <c r="DX9" s="13">
        <v>15</v>
      </c>
      <c r="DY9" s="19"/>
      <c r="DZ9" s="19"/>
      <c r="EA9" s="19"/>
      <c r="EB9" s="19"/>
      <c r="EC9" s="19"/>
      <c r="ED9" s="19"/>
      <c r="EE9" s="19"/>
      <c r="EF9" s="19"/>
      <c r="EG9" s="19"/>
      <c r="EH9" s="19"/>
    </row>
    <row r="10" spans="1:138" ht="14.45" customHeight="1" x14ac:dyDescent="0.25">
      <c r="A10" s="58"/>
      <c r="B10" s="12"/>
      <c r="C10" s="532" t="s">
        <v>5</v>
      </c>
      <c r="D10" s="532"/>
      <c r="E10" s="532"/>
      <c r="F10" s="532"/>
      <c r="G10" s="532"/>
      <c r="H10" s="532"/>
      <c r="I10" s="13">
        <v>36</v>
      </c>
      <c r="J10" s="13">
        <v>7</v>
      </c>
      <c r="K10" s="19"/>
      <c r="L10" s="19">
        <v>1</v>
      </c>
      <c r="M10" s="19">
        <f t="shared" ref="M10:M64" si="15">SUM(J10:L10)</f>
        <v>8</v>
      </c>
      <c r="N10" s="19">
        <f t="shared" si="0"/>
        <v>288</v>
      </c>
      <c r="O10" s="12"/>
      <c r="P10" s="532" t="s">
        <v>5</v>
      </c>
      <c r="Q10" s="532"/>
      <c r="R10" s="532"/>
      <c r="S10" s="532"/>
      <c r="T10" s="532"/>
      <c r="U10" s="532"/>
      <c r="V10" s="13">
        <v>36</v>
      </c>
      <c r="W10" s="19">
        <v>2</v>
      </c>
      <c r="X10" s="19"/>
      <c r="Y10" s="23">
        <f t="shared" si="1"/>
        <v>2</v>
      </c>
      <c r="Z10" s="19">
        <f t="shared" si="2"/>
        <v>72</v>
      </c>
      <c r="AA10" s="6"/>
      <c r="AB10" s="532" t="s">
        <v>5</v>
      </c>
      <c r="AC10" s="532"/>
      <c r="AD10" s="532"/>
      <c r="AE10" s="532"/>
      <c r="AF10" s="532"/>
      <c r="AG10" s="532"/>
      <c r="AH10" s="13">
        <v>39</v>
      </c>
      <c r="AI10" s="19">
        <v>1</v>
      </c>
      <c r="AJ10" s="23">
        <f t="shared" si="3"/>
        <v>1</v>
      </c>
      <c r="AK10" s="19">
        <f t="shared" si="4"/>
        <v>39</v>
      </c>
      <c r="AM10" s="572" t="s">
        <v>5</v>
      </c>
      <c r="AN10" s="572"/>
      <c r="AO10" s="572"/>
      <c r="AP10" s="572"/>
      <c r="AQ10" s="572"/>
      <c r="AR10" s="572"/>
      <c r="AS10" s="28">
        <v>38</v>
      </c>
      <c r="AT10" s="28"/>
      <c r="AU10" s="28"/>
      <c r="AV10" s="28">
        <v>1</v>
      </c>
      <c r="AW10" s="28"/>
      <c r="AX10" s="30">
        <f t="shared" si="5"/>
        <v>1</v>
      </c>
      <c r="AY10" s="28">
        <f t="shared" si="6"/>
        <v>38</v>
      </c>
      <c r="AZ10" s="14"/>
      <c r="BA10" s="572" t="s">
        <v>5</v>
      </c>
      <c r="BB10" s="572"/>
      <c r="BC10" s="572"/>
      <c r="BD10" s="572"/>
      <c r="BE10" s="572"/>
      <c r="BF10" s="572"/>
      <c r="BG10" s="28">
        <v>38</v>
      </c>
      <c r="BH10" s="28">
        <v>1</v>
      </c>
      <c r="BI10" s="28"/>
      <c r="BJ10" s="30">
        <f t="shared" si="7"/>
        <v>1</v>
      </c>
      <c r="BK10" s="28">
        <f t="shared" si="8"/>
        <v>38</v>
      </c>
      <c r="BL10" s="14"/>
      <c r="BM10" s="572" t="s">
        <v>5</v>
      </c>
      <c r="BN10" s="572"/>
      <c r="BO10" s="572"/>
      <c r="BP10" s="572"/>
      <c r="BQ10" s="572"/>
      <c r="BR10" s="572"/>
      <c r="BS10" s="28">
        <v>40</v>
      </c>
      <c r="BT10" s="28">
        <v>2</v>
      </c>
      <c r="BU10" s="28"/>
      <c r="BV10" s="28"/>
      <c r="BW10" s="28"/>
      <c r="BX10" s="28"/>
      <c r="BY10" s="28"/>
      <c r="BZ10" s="28"/>
      <c r="CA10" s="28"/>
      <c r="CB10" s="28"/>
      <c r="CC10" s="30">
        <f t="shared" si="9"/>
        <v>2</v>
      </c>
      <c r="CD10" s="28">
        <f t="shared" si="10"/>
        <v>80</v>
      </c>
      <c r="CE10" s="14"/>
      <c r="CF10" s="572" t="s">
        <v>5</v>
      </c>
      <c r="CG10" s="572"/>
      <c r="CH10" s="572"/>
      <c r="CI10" s="572"/>
      <c r="CJ10" s="572"/>
      <c r="CK10" s="572"/>
      <c r="CL10" s="28">
        <v>40</v>
      </c>
      <c r="CM10" s="28"/>
      <c r="CN10" s="28"/>
      <c r="CO10" s="28">
        <v>1</v>
      </c>
      <c r="CP10" s="28">
        <v>1</v>
      </c>
      <c r="CQ10" s="28">
        <v>1</v>
      </c>
      <c r="CR10" s="28">
        <v>3</v>
      </c>
      <c r="CS10" s="28"/>
      <c r="CT10" s="28">
        <v>1</v>
      </c>
      <c r="CU10" s="30">
        <f t="shared" si="11"/>
        <v>7</v>
      </c>
      <c r="CV10" s="28">
        <f t="shared" si="12"/>
        <v>280</v>
      </c>
      <c r="CW10" s="14"/>
      <c r="CX10" s="572" t="s">
        <v>5</v>
      </c>
      <c r="CY10" s="572"/>
      <c r="CZ10" s="572"/>
      <c r="DA10" s="572"/>
      <c r="DB10" s="572"/>
      <c r="DC10" s="572"/>
      <c r="DD10" s="28">
        <v>40</v>
      </c>
      <c r="DE10" s="28">
        <v>2</v>
      </c>
      <c r="DF10" s="28"/>
      <c r="DG10" s="28">
        <v>1</v>
      </c>
      <c r="DH10" s="28"/>
      <c r="DI10" s="28">
        <v>2</v>
      </c>
      <c r="DJ10" s="28"/>
      <c r="DK10" s="28"/>
      <c r="DL10" s="28">
        <v>1</v>
      </c>
      <c r="DM10" s="28"/>
      <c r="DN10" s="28">
        <v>2</v>
      </c>
      <c r="DO10" s="30">
        <f t="shared" si="13"/>
        <v>8</v>
      </c>
      <c r="DP10" s="28">
        <f t="shared" si="14"/>
        <v>320</v>
      </c>
      <c r="DR10" s="572" t="s">
        <v>5</v>
      </c>
      <c r="DS10" s="572"/>
      <c r="DT10" s="572"/>
      <c r="DU10" s="572"/>
      <c r="DV10" s="572"/>
      <c r="DW10" s="572"/>
      <c r="DX10" s="28">
        <v>40</v>
      </c>
      <c r="DY10" s="28"/>
      <c r="DZ10" s="28"/>
      <c r="EA10" s="28"/>
      <c r="EB10" s="28"/>
      <c r="EC10" s="28"/>
      <c r="ED10" s="28"/>
      <c r="EE10" s="28"/>
      <c r="EF10" s="28"/>
      <c r="EG10" s="28"/>
      <c r="EH10" s="28"/>
    </row>
    <row r="11" spans="1:138" ht="14.45" customHeight="1" x14ac:dyDescent="0.25">
      <c r="A11" s="58"/>
      <c r="B11" s="12"/>
      <c r="C11" s="510" t="s">
        <v>56</v>
      </c>
      <c r="D11" s="510"/>
      <c r="E11" s="510"/>
      <c r="F11" s="510"/>
      <c r="G11" s="510"/>
      <c r="H11" s="510"/>
      <c r="I11" s="13"/>
      <c r="J11" s="13"/>
      <c r="K11" s="19"/>
      <c r="L11" s="19"/>
      <c r="M11" s="19">
        <f t="shared" si="15"/>
        <v>0</v>
      </c>
      <c r="N11" s="19">
        <f t="shared" si="0"/>
        <v>0</v>
      </c>
      <c r="O11" s="12"/>
      <c r="P11" s="510" t="s">
        <v>56</v>
      </c>
      <c r="Q11" s="510"/>
      <c r="R11" s="510"/>
      <c r="S11" s="510"/>
      <c r="T11" s="510"/>
      <c r="U11" s="510"/>
      <c r="V11" s="13"/>
      <c r="W11" s="19"/>
      <c r="X11" s="19"/>
      <c r="Y11" s="23">
        <f t="shared" si="1"/>
        <v>0</v>
      </c>
      <c r="Z11" s="19">
        <f t="shared" si="2"/>
        <v>0</v>
      </c>
      <c r="AA11" s="6"/>
      <c r="AB11" s="510" t="s">
        <v>56</v>
      </c>
      <c r="AC11" s="510"/>
      <c r="AD11" s="510"/>
      <c r="AE11" s="510"/>
      <c r="AF11" s="510"/>
      <c r="AG11" s="510"/>
      <c r="AH11" s="13"/>
      <c r="AI11" s="19"/>
      <c r="AJ11" s="23">
        <f t="shared" si="3"/>
        <v>0</v>
      </c>
      <c r="AK11" s="19">
        <f t="shared" si="4"/>
        <v>0</v>
      </c>
      <c r="AM11" s="510" t="s">
        <v>56</v>
      </c>
      <c r="AN11" s="510"/>
      <c r="AO11" s="510"/>
      <c r="AP11" s="510"/>
      <c r="AQ11" s="510"/>
      <c r="AR11" s="510"/>
      <c r="AS11" s="13"/>
      <c r="AT11" s="19"/>
      <c r="AU11" s="19"/>
      <c r="AV11" s="19"/>
      <c r="AW11" s="19"/>
      <c r="AX11" s="30">
        <f t="shared" si="5"/>
        <v>0</v>
      </c>
      <c r="AY11" s="28">
        <f t="shared" si="6"/>
        <v>0</v>
      </c>
      <c r="AZ11" s="14"/>
      <c r="BA11" s="510" t="s">
        <v>56</v>
      </c>
      <c r="BB11" s="510"/>
      <c r="BC11" s="510"/>
      <c r="BD11" s="510"/>
      <c r="BE11" s="510"/>
      <c r="BF11" s="510"/>
      <c r="BG11" s="13"/>
      <c r="BH11" s="19"/>
      <c r="BI11" s="19"/>
      <c r="BJ11" s="30">
        <f t="shared" si="7"/>
        <v>0</v>
      </c>
      <c r="BK11" s="28">
        <f t="shared" si="8"/>
        <v>0</v>
      </c>
      <c r="BL11" s="14"/>
      <c r="BM11" s="510" t="s">
        <v>56</v>
      </c>
      <c r="BN11" s="510"/>
      <c r="BO11" s="510"/>
      <c r="BP11" s="510"/>
      <c r="BQ11" s="510"/>
      <c r="BR11" s="510"/>
      <c r="BS11" s="13"/>
      <c r="BT11" s="19"/>
      <c r="BU11" s="19"/>
      <c r="BV11" s="19"/>
      <c r="BW11" s="19"/>
      <c r="BX11" s="19"/>
      <c r="BY11" s="19"/>
      <c r="BZ11" s="19"/>
      <c r="CA11" s="19"/>
      <c r="CB11" s="19"/>
      <c r="CC11" s="30">
        <f t="shared" si="9"/>
        <v>0</v>
      </c>
      <c r="CD11" s="28">
        <f t="shared" si="10"/>
        <v>0</v>
      </c>
      <c r="CE11" s="14"/>
      <c r="CF11" s="510" t="s">
        <v>56</v>
      </c>
      <c r="CG11" s="510"/>
      <c r="CH11" s="510"/>
      <c r="CI11" s="510"/>
      <c r="CJ11" s="510"/>
      <c r="CK11" s="510"/>
      <c r="CL11" s="13"/>
      <c r="CM11" s="19"/>
      <c r="CN11" s="19"/>
      <c r="CO11" s="19"/>
      <c r="CP11" s="19"/>
      <c r="CQ11" s="19"/>
      <c r="CR11" s="19"/>
      <c r="CS11" s="19"/>
      <c r="CT11" s="19"/>
      <c r="CU11" s="30">
        <f t="shared" si="11"/>
        <v>0</v>
      </c>
      <c r="CV11" s="28">
        <f t="shared" si="12"/>
        <v>0</v>
      </c>
      <c r="CW11" s="14"/>
      <c r="CX11" s="510" t="s">
        <v>56</v>
      </c>
      <c r="CY11" s="510"/>
      <c r="CZ11" s="510"/>
      <c r="DA11" s="510"/>
      <c r="DB11" s="510"/>
      <c r="DC11" s="510"/>
      <c r="DD11" s="13">
        <v>12</v>
      </c>
      <c r="DE11" s="19"/>
      <c r="DF11" s="19"/>
      <c r="DG11" s="19"/>
      <c r="DH11" s="19"/>
      <c r="DI11" s="19"/>
      <c r="DJ11" s="19"/>
      <c r="DK11" s="19"/>
      <c r="DL11" s="19"/>
      <c r="DM11" s="19">
        <v>1</v>
      </c>
      <c r="DN11" s="19"/>
      <c r="DO11" s="30">
        <f t="shared" si="13"/>
        <v>1</v>
      </c>
      <c r="DP11" s="28">
        <f t="shared" si="14"/>
        <v>12</v>
      </c>
      <c r="DR11" s="510" t="s">
        <v>56</v>
      </c>
      <c r="DS11" s="510"/>
      <c r="DT11" s="510"/>
      <c r="DU11" s="510"/>
      <c r="DV11" s="510"/>
      <c r="DW11" s="510"/>
      <c r="DX11" s="13">
        <v>12</v>
      </c>
      <c r="DY11" s="19"/>
      <c r="DZ11" s="19"/>
      <c r="EA11" s="19"/>
      <c r="EB11" s="19"/>
      <c r="EC11" s="19"/>
      <c r="ED11" s="19"/>
      <c r="EE11" s="19"/>
      <c r="EF11" s="19"/>
      <c r="EG11" s="19"/>
      <c r="EH11" s="19"/>
    </row>
    <row r="12" spans="1:138" ht="14.45" customHeight="1" x14ac:dyDescent="0.25">
      <c r="A12" s="58"/>
      <c r="B12" s="14"/>
      <c r="C12" s="510" t="s">
        <v>49</v>
      </c>
      <c r="D12" s="510"/>
      <c r="E12" s="510"/>
      <c r="F12" s="510"/>
      <c r="G12" s="510"/>
      <c r="H12" s="510"/>
      <c r="I12" s="13"/>
      <c r="J12" s="13"/>
      <c r="K12" s="19"/>
      <c r="L12" s="19"/>
      <c r="M12" s="19">
        <f t="shared" si="15"/>
        <v>0</v>
      </c>
      <c r="N12" s="19">
        <f t="shared" si="0"/>
        <v>0</v>
      </c>
      <c r="O12" s="12"/>
      <c r="P12" s="510" t="s">
        <v>49</v>
      </c>
      <c r="Q12" s="510"/>
      <c r="R12" s="510"/>
      <c r="S12" s="510"/>
      <c r="T12" s="510"/>
      <c r="U12" s="510"/>
      <c r="V12" s="13"/>
      <c r="W12" s="19"/>
      <c r="X12" s="19"/>
      <c r="Y12" s="23">
        <f t="shared" si="1"/>
        <v>0</v>
      </c>
      <c r="Z12" s="19">
        <f t="shared" si="2"/>
        <v>0</v>
      </c>
      <c r="AA12" s="6"/>
      <c r="AB12" s="510" t="s">
        <v>49</v>
      </c>
      <c r="AC12" s="510"/>
      <c r="AD12" s="510"/>
      <c r="AE12" s="510"/>
      <c r="AF12" s="510"/>
      <c r="AG12" s="510"/>
      <c r="AH12" s="13"/>
      <c r="AI12" s="19"/>
      <c r="AJ12" s="23">
        <f t="shared" si="3"/>
        <v>0</v>
      </c>
      <c r="AK12" s="19">
        <f t="shared" si="4"/>
        <v>0</v>
      </c>
      <c r="AM12" s="572" t="s">
        <v>49</v>
      </c>
      <c r="AN12" s="572"/>
      <c r="AO12" s="572"/>
      <c r="AP12" s="572"/>
      <c r="AQ12" s="572"/>
      <c r="AR12" s="572"/>
      <c r="AS12" s="28"/>
      <c r="AT12" s="28"/>
      <c r="AU12" s="28"/>
      <c r="AV12" s="28"/>
      <c r="AW12" s="28"/>
      <c r="AX12" s="30">
        <f t="shared" si="5"/>
        <v>0</v>
      </c>
      <c r="AY12" s="28">
        <f t="shared" si="6"/>
        <v>0</v>
      </c>
      <c r="AZ12" s="14"/>
      <c r="BA12" s="572" t="s">
        <v>49</v>
      </c>
      <c r="BB12" s="572"/>
      <c r="BC12" s="572"/>
      <c r="BD12" s="572"/>
      <c r="BE12" s="572"/>
      <c r="BF12" s="572"/>
      <c r="BG12" s="28">
        <v>26</v>
      </c>
      <c r="BH12" s="28"/>
      <c r="BI12" s="28">
        <v>1</v>
      </c>
      <c r="BJ12" s="30">
        <f t="shared" si="7"/>
        <v>1</v>
      </c>
      <c r="BK12" s="28">
        <f t="shared" si="8"/>
        <v>26</v>
      </c>
      <c r="BL12" s="14"/>
      <c r="BM12" s="572" t="s">
        <v>49</v>
      </c>
      <c r="BN12" s="572"/>
      <c r="BO12" s="572"/>
      <c r="BP12" s="572"/>
      <c r="BQ12" s="572"/>
      <c r="BR12" s="572"/>
      <c r="BS12" s="28">
        <v>27</v>
      </c>
      <c r="BT12" s="28">
        <v>2</v>
      </c>
      <c r="BU12" s="28"/>
      <c r="BV12" s="28"/>
      <c r="BW12" s="28"/>
      <c r="BX12" s="28"/>
      <c r="BY12" s="28">
        <v>2</v>
      </c>
      <c r="BZ12" s="28"/>
      <c r="CA12" s="28"/>
      <c r="CB12" s="28">
        <v>2</v>
      </c>
      <c r="CC12" s="30">
        <f t="shared" si="9"/>
        <v>6</v>
      </c>
      <c r="CD12" s="28">
        <f t="shared" si="10"/>
        <v>162</v>
      </c>
      <c r="CE12" s="14"/>
      <c r="CF12" s="572" t="s">
        <v>49</v>
      </c>
      <c r="CG12" s="572"/>
      <c r="CH12" s="572"/>
      <c r="CI12" s="572"/>
      <c r="CJ12" s="572"/>
      <c r="CK12" s="572"/>
      <c r="CL12" s="28">
        <v>27</v>
      </c>
      <c r="CM12" s="28"/>
      <c r="CN12" s="28">
        <v>2</v>
      </c>
      <c r="CO12" s="28">
        <v>2</v>
      </c>
      <c r="CP12" s="28"/>
      <c r="CQ12" s="28">
        <v>2</v>
      </c>
      <c r="CR12" s="28">
        <v>1</v>
      </c>
      <c r="CS12" s="28"/>
      <c r="CT12" s="28">
        <v>4</v>
      </c>
      <c r="CU12" s="30">
        <f t="shared" si="11"/>
        <v>11</v>
      </c>
      <c r="CV12" s="28">
        <f t="shared" si="12"/>
        <v>297</v>
      </c>
      <c r="CW12" s="14"/>
      <c r="CX12" s="572" t="s">
        <v>49</v>
      </c>
      <c r="CY12" s="572"/>
      <c r="CZ12" s="572"/>
      <c r="DA12" s="572"/>
      <c r="DB12" s="572"/>
      <c r="DC12" s="572"/>
      <c r="DD12" s="28">
        <v>27</v>
      </c>
      <c r="DE12" s="28"/>
      <c r="DF12" s="28">
        <v>2</v>
      </c>
      <c r="DG12" s="28"/>
      <c r="DH12" s="28"/>
      <c r="DI12" s="28"/>
      <c r="DJ12" s="28"/>
      <c r="DK12" s="28">
        <v>1</v>
      </c>
      <c r="DL12" s="28"/>
      <c r="DM12" s="28">
        <v>1</v>
      </c>
      <c r="DN12" s="28"/>
      <c r="DO12" s="30">
        <f t="shared" si="13"/>
        <v>4</v>
      </c>
      <c r="DP12" s="28">
        <f t="shared" si="14"/>
        <v>108</v>
      </c>
      <c r="DR12" s="572" t="s">
        <v>49</v>
      </c>
      <c r="DS12" s="572"/>
      <c r="DT12" s="572"/>
      <c r="DU12" s="572"/>
      <c r="DV12" s="572"/>
      <c r="DW12" s="572"/>
      <c r="DX12" s="28">
        <v>27</v>
      </c>
      <c r="DY12" s="28"/>
      <c r="DZ12" s="28"/>
      <c r="EA12" s="28"/>
      <c r="EB12" s="28"/>
      <c r="EC12" s="28"/>
      <c r="ED12" s="28"/>
      <c r="EE12" s="28"/>
      <c r="EF12" s="28"/>
      <c r="EG12" s="28"/>
      <c r="EH12" s="28"/>
    </row>
    <row r="13" spans="1:138" ht="14.45" customHeight="1" x14ac:dyDescent="0.25">
      <c r="A13" s="58"/>
      <c r="B13" s="14"/>
      <c r="C13" s="510" t="s">
        <v>50</v>
      </c>
      <c r="D13" s="510"/>
      <c r="E13" s="510"/>
      <c r="F13" s="510"/>
      <c r="G13" s="510"/>
      <c r="H13" s="510"/>
      <c r="I13" s="13"/>
      <c r="J13" s="13"/>
      <c r="K13" s="19"/>
      <c r="L13" s="19"/>
      <c r="M13" s="19">
        <f t="shared" si="15"/>
        <v>0</v>
      </c>
      <c r="N13" s="19">
        <f t="shared" si="0"/>
        <v>0</v>
      </c>
      <c r="O13" s="12"/>
      <c r="P13" s="510" t="s">
        <v>50</v>
      </c>
      <c r="Q13" s="510"/>
      <c r="R13" s="510"/>
      <c r="S13" s="510"/>
      <c r="T13" s="510"/>
      <c r="U13" s="510"/>
      <c r="V13" s="13"/>
      <c r="W13" s="19"/>
      <c r="X13" s="19"/>
      <c r="Y13" s="23">
        <f t="shared" si="1"/>
        <v>0</v>
      </c>
      <c r="Z13" s="19">
        <f t="shared" si="2"/>
        <v>0</v>
      </c>
      <c r="AA13" s="6"/>
      <c r="AB13" s="510" t="s">
        <v>50</v>
      </c>
      <c r="AC13" s="510"/>
      <c r="AD13" s="510"/>
      <c r="AE13" s="510"/>
      <c r="AF13" s="510"/>
      <c r="AG13" s="510"/>
      <c r="AH13" s="13"/>
      <c r="AI13" s="19"/>
      <c r="AJ13" s="23">
        <f t="shared" si="3"/>
        <v>0</v>
      </c>
      <c r="AK13" s="19">
        <f t="shared" si="4"/>
        <v>0</v>
      </c>
      <c r="AM13" s="510" t="s">
        <v>50</v>
      </c>
      <c r="AN13" s="510"/>
      <c r="AO13" s="510"/>
      <c r="AP13" s="510"/>
      <c r="AQ13" s="510"/>
      <c r="AR13" s="510"/>
      <c r="AS13" s="13"/>
      <c r="AT13" s="19"/>
      <c r="AU13" s="19"/>
      <c r="AV13" s="19"/>
      <c r="AW13" s="19"/>
      <c r="AX13" s="30">
        <f t="shared" si="5"/>
        <v>0</v>
      </c>
      <c r="AY13" s="28">
        <f t="shared" si="6"/>
        <v>0</v>
      </c>
      <c r="AZ13" s="14"/>
      <c r="BA13" s="510" t="s">
        <v>50</v>
      </c>
      <c r="BB13" s="510"/>
      <c r="BC13" s="510"/>
      <c r="BD13" s="510"/>
      <c r="BE13" s="510"/>
      <c r="BF13" s="510"/>
      <c r="BG13" s="13"/>
      <c r="BH13" s="19"/>
      <c r="BI13" s="19"/>
      <c r="BJ13" s="30">
        <f t="shared" si="7"/>
        <v>0</v>
      </c>
      <c r="BK13" s="28">
        <f t="shared" si="8"/>
        <v>0</v>
      </c>
      <c r="BL13" s="14"/>
      <c r="BM13" s="510" t="s">
        <v>50</v>
      </c>
      <c r="BN13" s="510"/>
      <c r="BO13" s="510"/>
      <c r="BP13" s="510"/>
      <c r="BQ13" s="510"/>
      <c r="BR13" s="510"/>
      <c r="BS13" s="13"/>
      <c r="BT13" s="19"/>
      <c r="BU13" s="19"/>
      <c r="BV13" s="19"/>
      <c r="BW13" s="19"/>
      <c r="BX13" s="19"/>
      <c r="BY13" s="19"/>
      <c r="BZ13" s="19"/>
      <c r="CA13" s="19"/>
      <c r="CB13" s="19"/>
      <c r="CC13" s="30">
        <f t="shared" si="9"/>
        <v>0</v>
      </c>
      <c r="CD13" s="28">
        <f t="shared" si="10"/>
        <v>0</v>
      </c>
      <c r="CE13" s="14"/>
      <c r="CF13" s="510" t="s">
        <v>50</v>
      </c>
      <c r="CG13" s="510"/>
      <c r="CH13" s="510"/>
      <c r="CI13" s="510"/>
      <c r="CJ13" s="510"/>
      <c r="CK13" s="510"/>
      <c r="CL13" s="13"/>
      <c r="CM13" s="19"/>
      <c r="CN13" s="19"/>
      <c r="CO13" s="19"/>
      <c r="CP13" s="19"/>
      <c r="CQ13" s="19"/>
      <c r="CR13" s="19"/>
      <c r="CS13" s="19"/>
      <c r="CT13" s="19"/>
      <c r="CU13" s="30">
        <f t="shared" si="11"/>
        <v>0</v>
      </c>
      <c r="CV13" s="28">
        <f t="shared" si="12"/>
        <v>0</v>
      </c>
      <c r="CW13" s="14"/>
      <c r="CX13" s="510" t="s">
        <v>50</v>
      </c>
      <c r="CY13" s="510"/>
      <c r="CZ13" s="510"/>
      <c r="DA13" s="510"/>
      <c r="DB13" s="510"/>
      <c r="DC13" s="510"/>
      <c r="DD13" s="13">
        <v>7</v>
      </c>
      <c r="DE13" s="19"/>
      <c r="DF13" s="19"/>
      <c r="DG13" s="19"/>
      <c r="DH13" s="19"/>
      <c r="DI13" s="19"/>
      <c r="DJ13" s="19"/>
      <c r="DK13" s="19">
        <v>1</v>
      </c>
      <c r="DL13" s="19"/>
      <c r="DM13" s="19"/>
      <c r="DN13" s="19"/>
      <c r="DO13" s="30">
        <f t="shared" si="13"/>
        <v>1</v>
      </c>
      <c r="DP13" s="28">
        <f t="shared" si="14"/>
        <v>7</v>
      </c>
      <c r="DR13" s="510" t="s">
        <v>50</v>
      </c>
      <c r="DS13" s="510"/>
      <c r="DT13" s="510"/>
      <c r="DU13" s="510"/>
      <c r="DV13" s="510"/>
      <c r="DW13" s="510"/>
      <c r="DX13" s="13">
        <v>7</v>
      </c>
      <c r="DY13" s="19"/>
      <c r="DZ13" s="19"/>
      <c r="EA13" s="19"/>
      <c r="EB13" s="19"/>
      <c r="EC13" s="19"/>
      <c r="ED13" s="19"/>
      <c r="EE13" s="19"/>
      <c r="EF13" s="19"/>
      <c r="EG13" s="19"/>
      <c r="EH13" s="19"/>
    </row>
    <row r="14" spans="1:138" ht="14.45" customHeight="1" x14ac:dyDescent="0.25">
      <c r="A14" s="58"/>
      <c r="B14" s="14"/>
      <c r="C14" s="510" t="s">
        <v>6</v>
      </c>
      <c r="D14" s="510"/>
      <c r="E14" s="510"/>
      <c r="F14" s="510"/>
      <c r="G14" s="510"/>
      <c r="H14" s="510"/>
      <c r="I14" s="13">
        <v>10</v>
      </c>
      <c r="J14" s="13">
        <v>4</v>
      </c>
      <c r="K14" s="19"/>
      <c r="L14" s="19">
        <v>8</v>
      </c>
      <c r="M14" s="19">
        <f t="shared" si="15"/>
        <v>12</v>
      </c>
      <c r="N14" s="19">
        <f t="shared" si="0"/>
        <v>120</v>
      </c>
      <c r="O14" s="12"/>
      <c r="P14" s="510" t="s">
        <v>6</v>
      </c>
      <c r="Q14" s="510"/>
      <c r="R14" s="510"/>
      <c r="S14" s="510"/>
      <c r="T14" s="510"/>
      <c r="U14" s="510"/>
      <c r="V14" s="13">
        <v>10</v>
      </c>
      <c r="W14" s="19">
        <v>9</v>
      </c>
      <c r="X14" s="19"/>
      <c r="Y14" s="23">
        <f t="shared" si="1"/>
        <v>9</v>
      </c>
      <c r="Z14" s="19">
        <f t="shared" si="2"/>
        <v>90</v>
      </c>
      <c r="AA14" s="6"/>
      <c r="AB14" s="510" t="s">
        <v>6</v>
      </c>
      <c r="AC14" s="510"/>
      <c r="AD14" s="510"/>
      <c r="AE14" s="510"/>
      <c r="AF14" s="510"/>
      <c r="AG14" s="510"/>
      <c r="AH14" s="13">
        <v>10.5</v>
      </c>
      <c r="AI14" s="19"/>
      <c r="AJ14" s="23">
        <f t="shared" si="3"/>
        <v>0</v>
      </c>
      <c r="AK14" s="19">
        <f t="shared" si="4"/>
        <v>0</v>
      </c>
      <c r="AM14" s="572" t="s">
        <v>6</v>
      </c>
      <c r="AN14" s="572"/>
      <c r="AO14" s="572"/>
      <c r="AP14" s="572"/>
      <c r="AQ14" s="572"/>
      <c r="AR14" s="572"/>
      <c r="AS14" s="28">
        <v>10.5</v>
      </c>
      <c r="AT14" s="28">
        <v>1</v>
      </c>
      <c r="AU14" s="28"/>
      <c r="AV14" s="28"/>
      <c r="AW14" s="28">
        <v>1</v>
      </c>
      <c r="AX14" s="30">
        <f t="shared" si="5"/>
        <v>2</v>
      </c>
      <c r="AY14" s="28">
        <f t="shared" si="6"/>
        <v>21</v>
      </c>
      <c r="AZ14" s="14"/>
      <c r="BA14" s="572" t="s">
        <v>6</v>
      </c>
      <c r="BB14" s="572"/>
      <c r="BC14" s="572"/>
      <c r="BD14" s="572"/>
      <c r="BE14" s="572"/>
      <c r="BF14" s="572"/>
      <c r="BG14" s="28">
        <v>10.5</v>
      </c>
      <c r="BH14" s="28"/>
      <c r="BI14" s="28"/>
      <c r="BJ14" s="30">
        <f t="shared" si="7"/>
        <v>0</v>
      </c>
      <c r="BK14" s="28">
        <f t="shared" si="8"/>
        <v>0</v>
      </c>
      <c r="BL14" s="14"/>
      <c r="BM14" s="572" t="s">
        <v>6</v>
      </c>
      <c r="BN14" s="572"/>
      <c r="BO14" s="572"/>
      <c r="BP14" s="572"/>
      <c r="BQ14" s="572"/>
      <c r="BR14" s="572"/>
      <c r="BS14" s="28">
        <v>10.5</v>
      </c>
      <c r="BT14" s="28"/>
      <c r="BU14" s="28">
        <v>1</v>
      </c>
      <c r="BV14" s="28"/>
      <c r="BW14" s="28"/>
      <c r="BX14" s="28"/>
      <c r="BY14" s="28"/>
      <c r="BZ14" s="28"/>
      <c r="CA14" s="28"/>
      <c r="CB14" s="28"/>
      <c r="CC14" s="30">
        <f t="shared" si="9"/>
        <v>1</v>
      </c>
      <c r="CD14" s="28">
        <f t="shared" si="10"/>
        <v>10.5</v>
      </c>
      <c r="CE14" s="14"/>
      <c r="CF14" s="572" t="s">
        <v>6</v>
      </c>
      <c r="CG14" s="572"/>
      <c r="CH14" s="572"/>
      <c r="CI14" s="572"/>
      <c r="CJ14" s="572"/>
      <c r="CK14" s="572"/>
      <c r="CL14" s="28">
        <v>10.5</v>
      </c>
      <c r="CM14" s="28"/>
      <c r="CN14" s="28"/>
      <c r="CO14" s="28"/>
      <c r="CP14" s="28"/>
      <c r="CQ14" s="28"/>
      <c r="CR14" s="28"/>
      <c r="CS14" s="28"/>
      <c r="CT14" s="28"/>
      <c r="CU14" s="30">
        <f t="shared" si="11"/>
        <v>0</v>
      </c>
      <c r="CV14" s="28">
        <f t="shared" si="12"/>
        <v>0</v>
      </c>
      <c r="CW14" s="14"/>
      <c r="CX14" s="572" t="s">
        <v>6</v>
      </c>
      <c r="CY14" s="572"/>
      <c r="CZ14" s="572"/>
      <c r="DA14" s="572"/>
      <c r="DB14" s="572"/>
      <c r="DC14" s="572"/>
      <c r="DD14" s="28">
        <v>10.5</v>
      </c>
      <c r="DE14" s="28"/>
      <c r="DF14" s="28"/>
      <c r="DG14" s="28"/>
      <c r="DH14" s="28"/>
      <c r="DI14" s="28"/>
      <c r="DJ14" s="28"/>
      <c r="DK14" s="28"/>
      <c r="DL14" s="28">
        <v>1</v>
      </c>
      <c r="DM14" s="28"/>
      <c r="DN14" s="28"/>
      <c r="DO14" s="30">
        <f t="shared" si="13"/>
        <v>1</v>
      </c>
      <c r="DP14" s="28">
        <f t="shared" si="14"/>
        <v>10.5</v>
      </c>
      <c r="DR14" s="572" t="s">
        <v>6</v>
      </c>
      <c r="DS14" s="572"/>
      <c r="DT14" s="572"/>
      <c r="DU14" s="572"/>
      <c r="DV14" s="572"/>
      <c r="DW14" s="572"/>
      <c r="DX14" s="28">
        <v>10.5</v>
      </c>
      <c r="DY14" s="28"/>
      <c r="DZ14" s="28"/>
      <c r="EA14" s="28"/>
      <c r="EB14" s="28"/>
      <c r="EC14" s="28"/>
      <c r="ED14" s="28"/>
      <c r="EE14" s="28"/>
      <c r="EF14" s="28"/>
      <c r="EG14" s="28"/>
      <c r="EH14" s="28"/>
    </row>
    <row r="15" spans="1:138" ht="14.45" customHeight="1" x14ac:dyDescent="0.25">
      <c r="A15" s="58"/>
      <c r="B15" s="14"/>
      <c r="C15" s="510" t="s">
        <v>7</v>
      </c>
      <c r="D15" s="510"/>
      <c r="E15" s="510"/>
      <c r="F15" s="510"/>
      <c r="G15" s="510"/>
      <c r="H15" s="510"/>
      <c r="I15" s="13">
        <v>28</v>
      </c>
      <c r="J15" s="13">
        <v>5</v>
      </c>
      <c r="K15" s="19"/>
      <c r="L15" s="19"/>
      <c r="M15" s="19">
        <f t="shared" si="15"/>
        <v>5</v>
      </c>
      <c r="N15" s="19">
        <f t="shared" si="0"/>
        <v>140</v>
      </c>
      <c r="O15" s="12"/>
      <c r="P15" s="510" t="s">
        <v>7</v>
      </c>
      <c r="Q15" s="510"/>
      <c r="R15" s="510"/>
      <c r="S15" s="510"/>
      <c r="T15" s="510"/>
      <c r="U15" s="510"/>
      <c r="V15" s="13"/>
      <c r="W15" s="19"/>
      <c r="X15" s="19"/>
      <c r="Y15" s="23">
        <f t="shared" si="1"/>
        <v>0</v>
      </c>
      <c r="Z15" s="19">
        <f t="shared" si="2"/>
        <v>0</v>
      </c>
      <c r="AA15" s="6"/>
      <c r="AB15" s="510" t="s">
        <v>7</v>
      </c>
      <c r="AC15" s="510"/>
      <c r="AD15" s="510"/>
      <c r="AE15" s="510"/>
      <c r="AF15" s="510"/>
      <c r="AG15" s="510"/>
      <c r="AH15" s="13"/>
      <c r="AI15" s="19"/>
      <c r="AJ15" s="23">
        <f t="shared" si="3"/>
        <v>0</v>
      </c>
      <c r="AK15" s="19">
        <f t="shared" si="4"/>
        <v>0</v>
      </c>
      <c r="AM15" s="510" t="s">
        <v>7</v>
      </c>
      <c r="AN15" s="510"/>
      <c r="AO15" s="510"/>
      <c r="AP15" s="510"/>
      <c r="AQ15" s="510"/>
      <c r="AR15" s="510"/>
      <c r="AS15" s="13"/>
      <c r="AT15" s="19"/>
      <c r="AU15" s="19"/>
      <c r="AV15" s="19"/>
      <c r="AW15" s="19"/>
      <c r="AX15" s="30">
        <f t="shared" si="5"/>
        <v>0</v>
      </c>
      <c r="AY15" s="28">
        <f t="shared" si="6"/>
        <v>0</v>
      </c>
      <c r="AZ15" s="14"/>
      <c r="BA15" s="510" t="s">
        <v>7</v>
      </c>
      <c r="BB15" s="510"/>
      <c r="BC15" s="510"/>
      <c r="BD15" s="510"/>
      <c r="BE15" s="510"/>
      <c r="BF15" s="510"/>
      <c r="BG15" s="13"/>
      <c r="BH15" s="19"/>
      <c r="BI15" s="19"/>
      <c r="BJ15" s="30">
        <f t="shared" si="7"/>
        <v>0</v>
      </c>
      <c r="BK15" s="28">
        <f t="shared" si="8"/>
        <v>0</v>
      </c>
      <c r="BL15" s="14"/>
      <c r="BM15" s="510" t="s">
        <v>7</v>
      </c>
      <c r="BN15" s="510"/>
      <c r="BO15" s="510"/>
      <c r="BP15" s="510"/>
      <c r="BQ15" s="510"/>
      <c r="BR15" s="510"/>
      <c r="BS15" s="13"/>
      <c r="BT15" s="19"/>
      <c r="BU15" s="19"/>
      <c r="BV15" s="19"/>
      <c r="BW15" s="19"/>
      <c r="BX15" s="19"/>
      <c r="BY15" s="19"/>
      <c r="BZ15" s="19"/>
      <c r="CA15" s="19"/>
      <c r="CB15" s="19"/>
      <c r="CC15" s="30">
        <f t="shared" si="9"/>
        <v>0</v>
      </c>
      <c r="CD15" s="28">
        <f t="shared" si="10"/>
        <v>0</v>
      </c>
      <c r="CE15" s="14"/>
      <c r="CF15" s="510" t="s">
        <v>7</v>
      </c>
      <c r="CG15" s="510"/>
      <c r="CH15" s="510"/>
      <c r="CI15" s="510"/>
      <c r="CJ15" s="510"/>
      <c r="CK15" s="510"/>
      <c r="CL15" s="13">
        <v>30</v>
      </c>
      <c r="CM15" s="19"/>
      <c r="CN15" s="19"/>
      <c r="CO15" s="19"/>
      <c r="CP15" s="19">
        <v>1</v>
      </c>
      <c r="CQ15" s="19">
        <v>1</v>
      </c>
      <c r="CR15" s="19"/>
      <c r="CS15" s="19"/>
      <c r="CT15" s="19"/>
      <c r="CU15" s="30">
        <f t="shared" si="11"/>
        <v>2</v>
      </c>
      <c r="CV15" s="28">
        <f t="shared" si="12"/>
        <v>60</v>
      </c>
      <c r="CW15" s="14"/>
      <c r="CX15" s="510" t="s">
        <v>7</v>
      </c>
      <c r="CY15" s="510"/>
      <c r="CZ15" s="510"/>
      <c r="DA15" s="510"/>
      <c r="DB15" s="510"/>
      <c r="DC15" s="510"/>
      <c r="DD15" s="13">
        <v>30</v>
      </c>
      <c r="DE15" s="19"/>
      <c r="DF15" s="19">
        <v>3</v>
      </c>
      <c r="DG15" s="19"/>
      <c r="DH15" s="19"/>
      <c r="DI15" s="19"/>
      <c r="DJ15" s="19"/>
      <c r="DK15" s="19"/>
      <c r="DL15" s="19"/>
      <c r="DM15" s="19"/>
      <c r="DN15" s="19">
        <v>2</v>
      </c>
      <c r="DO15" s="30">
        <f t="shared" si="13"/>
        <v>5</v>
      </c>
      <c r="DP15" s="28">
        <f t="shared" si="14"/>
        <v>150</v>
      </c>
      <c r="DR15" s="510" t="s">
        <v>7</v>
      </c>
      <c r="DS15" s="510"/>
      <c r="DT15" s="510"/>
      <c r="DU15" s="510"/>
      <c r="DV15" s="510"/>
      <c r="DW15" s="510"/>
      <c r="DX15" s="13">
        <v>30</v>
      </c>
      <c r="DY15" s="19"/>
      <c r="DZ15" s="19"/>
      <c r="EA15" s="19"/>
      <c r="EB15" s="19"/>
      <c r="EC15" s="19"/>
      <c r="ED15" s="19"/>
      <c r="EE15" s="19"/>
      <c r="EF15" s="19"/>
      <c r="EG15" s="19"/>
      <c r="EH15" s="19"/>
    </row>
    <row r="16" spans="1:138" ht="14.45" customHeight="1" x14ac:dyDescent="0.25">
      <c r="A16" s="58"/>
      <c r="B16" s="14"/>
      <c r="C16" s="510" t="s">
        <v>8</v>
      </c>
      <c r="D16" s="510"/>
      <c r="E16" s="510"/>
      <c r="F16" s="510"/>
      <c r="G16" s="510"/>
      <c r="H16" s="510"/>
      <c r="I16" s="13">
        <v>12</v>
      </c>
      <c r="J16" s="13">
        <v>8</v>
      </c>
      <c r="K16" s="19"/>
      <c r="L16" s="19"/>
      <c r="M16" s="19">
        <f t="shared" si="15"/>
        <v>8</v>
      </c>
      <c r="N16" s="19">
        <f t="shared" si="0"/>
        <v>96</v>
      </c>
      <c r="O16" s="12"/>
      <c r="P16" s="510" t="s">
        <v>8</v>
      </c>
      <c r="Q16" s="510"/>
      <c r="R16" s="510"/>
      <c r="S16" s="510"/>
      <c r="T16" s="510"/>
      <c r="U16" s="510"/>
      <c r="V16" s="13">
        <v>12</v>
      </c>
      <c r="W16" s="19">
        <v>4</v>
      </c>
      <c r="X16" s="19"/>
      <c r="Y16" s="23">
        <f t="shared" si="1"/>
        <v>4</v>
      </c>
      <c r="Z16" s="19">
        <f t="shared" si="2"/>
        <v>48</v>
      </c>
      <c r="AA16" s="6"/>
      <c r="AB16" s="510" t="s">
        <v>8</v>
      </c>
      <c r="AC16" s="510"/>
      <c r="AD16" s="510"/>
      <c r="AE16" s="510"/>
      <c r="AF16" s="510"/>
      <c r="AG16" s="510"/>
      <c r="AH16" s="13">
        <v>12</v>
      </c>
      <c r="AI16" s="19"/>
      <c r="AJ16" s="23">
        <f t="shared" si="3"/>
        <v>0</v>
      </c>
      <c r="AK16" s="19">
        <f t="shared" si="4"/>
        <v>0</v>
      </c>
      <c r="AM16" s="572" t="s">
        <v>8</v>
      </c>
      <c r="AN16" s="572"/>
      <c r="AO16" s="572"/>
      <c r="AP16" s="572"/>
      <c r="AQ16" s="572"/>
      <c r="AR16" s="572"/>
      <c r="AS16" s="28">
        <v>12</v>
      </c>
      <c r="AT16" s="28"/>
      <c r="AU16" s="28"/>
      <c r="AV16" s="28"/>
      <c r="AW16" s="28"/>
      <c r="AX16" s="30">
        <f t="shared" si="5"/>
        <v>0</v>
      </c>
      <c r="AY16" s="28">
        <f t="shared" si="6"/>
        <v>0</v>
      </c>
      <c r="AZ16" s="14"/>
      <c r="BA16" s="572" t="s">
        <v>8</v>
      </c>
      <c r="BB16" s="572"/>
      <c r="BC16" s="572"/>
      <c r="BD16" s="572"/>
      <c r="BE16" s="572"/>
      <c r="BF16" s="572"/>
      <c r="BG16" s="28">
        <v>13</v>
      </c>
      <c r="BH16" s="28"/>
      <c r="BI16" s="28"/>
      <c r="BJ16" s="30">
        <f t="shared" si="7"/>
        <v>0</v>
      </c>
      <c r="BK16" s="28">
        <f t="shared" si="8"/>
        <v>0</v>
      </c>
      <c r="BL16" s="14"/>
      <c r="BM16" s="572" t="s">
        <v>8</v>
      </c>
      <c r="BN16" s="572"/>
      <c r="BO16" s="572"/>
      <c r="BP16" s="572"/>
      <c r="BQ16" s="572"/>
      <c r="BR16" s="572"/>
      <c r="BS16" s="28">
        <v>13</v>
      </c>
      <c r="BT16" s="28">
        <v>1</v>
      </c>
      <c r="BU16" s="28"/>
      <c r="BV16" s="28"/>
      <c r="BW16" s="28"/>
      <c r="BX16" s="28"/>
      <c r="BY16" s="28"/>
      <c r="BZ16" s="28"/>
      <c r="CA16" s="28"/>
      <c r="CB16" s="28"/>
      <c r="CC16" s="30">
        <f t="shared" si="9"/>
        <v>1</v>
      </c>
      <c r="CD16" s="28">
        <f t="shared" si="10"/>
        <v>13</v>
      </c>
      <c r="CE16" s="14"/>
      <c r="CF16" s="572" t="s">
        <v>8</v>
      </c>
      <c r="CG16" s="572"/>
      <c r="CH16" s="572"/>
      <c r="CI16" s="572"/>
      <c r="CJ16" s="572"/>
      <c r="CK16" s="572"/>
      <c r="CL16" s="28">
        <v>14</v>
      </c>
      <c r="CM16" s="28"/>
      <c r="CN16" s="28"/>
      <c r="CO16" s="28"/>
      <c r="CP16" s="28">
        <v>1</v>
      </c>
      <c r="CQ16" s="28">
        <v>2</v>
      </c>
      <c r="CR16" s="28"/>
      <c r="CS16" s="28"/>
      <c r="CT16" s="28"/>
      <c r="CU16" s="30">
        <f t="shared" si="11"/>
        <v>3</v>
      </c>
      <c r="CV16" s="28">
        <f t="shared" si="12"/>
        <v>42</v>
      </c>
      <c r="CW16" s="14"/>
      <c r="CX16" s="572" t="s">
        <v>8</v>
      </c>
      <c r="CY16" s="572"/>
      <c r="CZ16" s="572"/>
      <c r="DA16" s="572"/>
      <c r="DB16" s="572"/>
      <c r="DC16" s="572"/>
      <c r="DD16" s="28">
        <v>14</v>
      </c>
      <c r="DE16" s="28"/>
      <c r="DF16" s="28">
        <v>1</v>
      </c>
      <c r="DG16" s="28"/>
      <c r="DH16" s="28"/>
      <c r="DI16" s="28"/>
      <c r="DJ16" s="28"/>
      <c r="DK16" s="28">
        <v>1</v>
      </c>
      <c r="DL16" s="28"/>
      <c r="DM16" s="28"/>
      <c r="DN16" s="28">
        <v>1</v>
      </c>
      <c r="DO16" s="30">
        <f t="shared" si="13"/>
        <v>3</v>
      </c>
      <c r="DP16" s="28">
        <f t="shared" si="14"/>
        <v>42</v>
      </c>
      <c r="DR16" s="572" t="s">
        <v>8</v>
      </c>
      <c r="DS16" s="572"/>
      <c r="DT16" s="572"/>
      <c r="DU16" s="572"/>
      <c r="DV16" s="572"/>
      <c r="DW16" s="572"/>
      <c r="DX16" s="28">
        <v>14</v>
      </c>
      <c r="DY16" s="28"/>
      <c r="DZ16" s="28"/>
      <c r="EA16" s="28"/>
      <c r="EB16" s="28"/>
      <c r="EC16" s="28"/>
      <c r="ED16" s="28"/>
      <c r="EE16" s="28"/>
      <c r="EF16" s="28"/>
      <c r="EG16" s="28"/>
      <c r="EH16" s="28"/>
    </row>
    <row r="17" spans="1:138" ht="14.45" customHeight="1" x14ac:dyDescent="0.25">
      <c r="A17" s="58"/>
      <c r="B17" s="14"/>
      <c r="C17" s="510" t="s">
        <v>9</v>
      </c>
      <c r="D17" s="510"/>
      <c r="E17" s="510"/>
      <c r="F17" s="510"/>
      <c r="G17" s="510"/>
      <c r="H17" s="510"/>
      <c r="I17" s="13">
        <v>28</v>
      </c>
      <c r="J17" s="13">
        <v>11</v>
      </c>
      <c r="K17" s="19">
        <v>3</v>
      </c>
      <c r="L17" s="19">
        <v>1</v>
      </c>
      <c r="M17" s="19">
        <f t="shared" si="15"/>
        <v>15</v>
      </c>
      <c r="N17" s="19">
        <f t="shared" si="0"/>
        <v>420</v>
      </c>
      <c r="O17" s="12"/>
      <c r="P17" s="510" t="s">
        <v>9</v>
      </c>
      <c r="Q17" s="510"/>
      <c r="R17" s="510"/>
      <c r="S17" s="510"/>
      <c r="T17" s="510"/>
      <c r="U17" s="510"/>
      <c r="V17" s="13">
        <v>28</v>
      </c>
      <c r="W17" s="19">
        <v>6</v>
      </c>
      <c r="X17" s="19"/>
      <c r="Y17" s="23">
        <f t="shared" si="1"/>
        <v>6</v>
      </c>
      <c r="Z17" s="19">
        <f t="shared" si="2"/>
        <v>168</v>
      </c>
      <c r="AA17" s="6"/>
      <c r="AB17" s="510" t="s">
        <v>9</v>
      </c>
      <c r="AC17" s="510"/>
      <c r="AD17" s="510"/>
      <c r="AE17" s="510"/>
      <c r="AF17" s="510"/>
      <c r="AG17" s="510"/>
      <c r="AH17" s="13">
        <v>30</v>
      </c>
      <c r="AI17" s="19">
        <v>1</v>
      </c>
      <c r="AJ17" s="23">
        <f t="shared" si="3"/>
        <v>1</v>
      </c>
      <c r="AK17" s="19">
        <f t="shared" si="4"/>
        <v>30</v>
      </c>
      <c r="AM17" s="510" t="s">
        <v>9</v>
      </c>
      <c r="AN17" s="510"/>
      <c r="AO17" s="510"/>
      <c r="AP17" s="510"/>
      <c r="AQ17" s="510"/>
      <c r="AR17" s="510"/>
      <c r="AS17" s="13">
        <v>30</v>
      </c>
      <c r="AT17" s="19"/>
      <c r="AU17" s="19"/>
      <c r="AV17" s="19"/>
      <c r="AW17" s="19"/>
      <c r="AX17" s="30">
        <f t="shared" si="5"/>
        <v>0</v>
      </c>
      <c r="AY17" s="28">
        <f t="shared" si="6"/>
        <v>0</v>
      </c>
      <c r="AZ17" s="14"/>
      <c r="BA17" s="510" t="s">
        <v>9</v>
      </c>
      <c r="BB17" s="510"/>
      <c r="BC17" s="510"/>
      <c r="BD17" s="510"/>
      <c r="BE17" s="510"/>
      <c r="BF17" s="510"/>
      <c r="BG17" s="13">
        <v>27</v>
      </c>
      <c r="BH17" s="19">
        <v>3</v>
      </c>
      <c r="BI17" s="19"/>
      <c r="BJ17" s="30">
        <f t="shared" si="7"/>
        <v>3</v>
      </c>
      <c r="BK17" s="28">
        <f t="shared" si="8"/>
        <v>81</v>
      </c>
      <c r="BL17" s="14"/>
      <c r="BM17" s="510" t="s">
        <v>9</v>
      </c>
      <c r="BN17" s="510"/>
      <c r="BO17" s="510"/>
      <c r="BP17" s="510"/>
      <c r="BQ17" s="510"/>
      <c r="BR17" s="510"/>
      <c r="BS17" s="13">
        <v>30</v>
      </c>
      <c r="BT17" s="19">
        <v>2</v>
      </c>
      <c r="BU17" s="19"/>
      <c r="BV17" s="19"/>
      <c r="BW17" s="19"/>
      <c r="BX17" s="19">
        <v>1</v>
      </c>
      <c r="BY17" s="19">
        <v>1</v>
      </c>
      <c r="BZ17" s="19">
        <v>3</v>
      </c>
      <c r="CA17" s="19"/>
      <c r="CB17" s="19"/>
      <c r="CC17" s="30">
        <f t="shared" si="9"/>
        <v>7</v>
      </c>
      <c r="CD17" s="28">
        <f t="shared" si="10"/>
        <v>210</v>
      </c>
      <c r="CE17" s="14"/>
      <c r="CF17" s="510" t="s">
        <v>9</v>
      </c>
      <c r="CG17" s="510"/>
      <c r="CH17" s="510"/>
      <c r="CI17" s="510"/>
      <c r="CJ17" s="510"/>
      <c r="CK17" s="510"/>
      <c r="CL17" s="13">
        <v>30</v>
      </c>
      <c r="CM17" s="19"/>
      <c r="CN17" s="19">
        <v>2</v>
      </c>
      <c r="CO17" s="19">
        <v>5</v>
      </c>
      <c r="CP17" s="19">
        <v>2</v>
      </c>
      <c r="CQ17" s="19">
        <v>3</v>
      </c>
      <c r="CR17" s="19">
        <v>1</v>
      </c>
      <c r="CS17" s="19"/>
      <c r="CT17" s="19"/>
      <c r="CU17" s="30">
        <f t="shared" si="11"/>
        <v>13</v>
      </c>
      <c r="CV17" s="28">
        <f t="shared" si="12"/>
        <v>390</v>
      </c>
      <c r="CW17" s="14"/>
      <c r="CX17" s="510" t="s">
        <v>9</v>
      </c>
      <c r="CY17" s="510"/>
      <c r="CZ17" s="510"/>
      <c r="DA17" s="510"/>
      <c r="DB17" s="510"/>
      <c r="DC17" s="510"/>
      <c r="DD17" s="13">
        <v>30</v>
      </c>
      <c r="DE17" s="19">
        <v>2</v>
      </c>
      <c r="DF17" s="19">
        <v>1</v>
      </c>
      <c r="DG17" s="19">
        <v>2</v>
      </c>
      <c r="DH17" s="19">
        <v>3</v>
      </c>
      <c r="DI17" s="19">
        <v>2</v>
      </c>
      <c r="DJ17" s="19"/>
      <c r="DK17" s="19">
        <v>2</v>
      </c>
      <c r="DL17" s="19">
        <v>2</v>
      </c>
      <c r="DM17" s="19">
        <v>2</v>
      </c>
      <c r="DN17" s="19">
        <v>2</v>
      </c>
      <c r="DO17" s="30">
        <f t="shared" si="13"/>
        <v>18</v>
      </c>
      <c r="DP17" s="28">
        <f t="shared" si="14"/>
        <v>540</v>
      </c>
      <c r="DR17" s="510" t="s">
        <v>9</v>
      </c>
      <c r="DS17" s="510"/>
      <c r="DT17" s="510"/>
      <c r="DU17" s="510"/>
      <c r="DV17" s="510"/>
      <c r="DW17" s="510"/>
      <c r="DX17" s="13">
        <v>30</v>
      </c>
      <c r="DY17" s="19"/>
      <c r="DZ17" s="19"/>
      <c r="EA17" s="19"/>
      <c r="EB17" s="19"/>
      <c r="EC17" s="19"/>
      <c r="ED17" s="19"/>
      <c r="EE17" s="19"/>
      <c r="EF17" s="19"/>
      <c r="EG17" s="19"/>
      <c r="EH17" s="19"/>
    </row>
    <row r="18" spans="1:138" ht="14.45" customHeight="1" x14ac:dyDescent="0.25">
      <c r="A18" s="58"/>
      <c r="B18" s="14"/>
      <c r="C18" s="510" t="s">
        <v>10</v>
      </c>
      <c r="D18" s="510"/>
      <c r="E18" s="510"/>
      <c r="F18" s="510"/>
      <c r="G18" s="510"/>
      <c r="H18" s="510"/>
      <c r="I18" s="13">
        <v>29</v>
      </c>
      <c r="J18" s="13"/>
      <c r="K18" s="19"/>
      <c r="L18" s="19">
        <v>3</v>
      </c>
      <c r="M18" s="19">
        <f t="shared" si="15"/>
        <v>3</v>
      </c>
      <c r="N18" s="19">
        <f t="shared" si="0"/>
        <v>87</v>
      </c>
      <c r="O18" s="12"/>
      <c r="P18" s="510" t="s">
        <v>10</v>
      </c>
      <c r="Q18" s="510"/>
      <c r="R18" s="510"/>
      <c r="S18" s="510"/>
      <c r="T18" s="510"/>
      <c r="U18" s="510"/>
      <c r="V18" s="13">
        <v>29</v>
      </c>
      <c r="W18" s="19">
        <v>2</v>
      </c>
      <c r="X18" s="19">
        <v>4</v>
      </c>
      <c r="Y18" s="23">
        <f t="shared" si="1"/>
        <v>6</v>
      </c>
      <c r="Z18" s="19">
        <f t="shared" si="2"/>
        <v>174</v>
      </c>
      <c r="AA18" s="6"/>
      <c r="AB18" s="510" t="s">
        <v>10</v>
      </c>
      <c r="AC18" s="510"/>
      <c r="AD18" s="510"/>
      <c r="AE18" s="510"/>
      <c r="AF18" s="510"/>
      <c r="AG18" s="510"/>
      <c r="AH18" s="13">
        <v>31</v>
      </c>
      <c r="AI18" s="19">
        <v>2</v>
      </c>
      <c r="AJ18" s="23">
        <f t="shared" si="3"/>
        <v>2</v>
      </c>
      <c r="AK18" s="19">
        <f t="shared" si="4"/>
        <v>62</v>
      </c>
      <c r="AM18" s="572" t="s">
        <v>10</v>
      </c>
      <c r="AN18" s="572"/>
      <c r="AO18" s="572"/>
      <c r="AP18" s="572"/>
      <c r="AQ18" s="572"/>
      <c r="AR18" s="572"/>
      <c r="AS18" s="28">
        <v>31</v>
      </c>
      <c r="AT18" s="28"/>
      <c r="AU18" s="28"/>
      <c r="AV18" s="28">
        <v>3</v>
      </c>
      <c r="AW18" s="28">
        <v>3</v>
      </c>
      <c r="AX18" s="30">
        <f t="shared" si="5"/>
        <v>6</v>
      </c>
      <c r="AY18" s="28">
        <f t="shared" si="6"/>
        <v>186</v>
      </c>
      <c r="AZ18" s="14"/>
      <c r="BA18" s="572" t="s">
        <v>10</v>
      </c>
      <c r="BB18" s="572"/>
      <c r="BC18" s="572"/>
      <c r="BD18" s="572"/>
      <c r="BE18" s="572"/>
      <c r="BF18" s="572"/>
      <c r="BG18" s="28">
        <v>31</v>
      </c>
      <c r="BH18" s="28">
        <v>1</v>
      </c>
      <c r="BI18" s="28"/>
      <c r="BJ18" s="30">
        <f t="shared" si="7"/>
        <v>1</v>
      </c>
      <c r="BK18" s="28">
        <f t="shared" si="8"/>
        <v>31</v>
      </c>
      <c r="BL18" s="14"/>
      <c r="BM18" s="572" t="s">
        <v>10</v>
      </c>
      <c r="BN18" s="572"/>
      <c r="BO18" s="572"/>
      <c r="BP18" s="572"/>
      <c r="BQ18" s="572"/>
      <c r="BR18" s="572"/>
      <c r="BS18" s="28">
        <v>32</v>
      </c>
      <c r="BT18" s="28">
        <v>3</v>
      </c>
      <c r="BU18" s="28"/>
      <c r="BV18" s="28"/>
      <c r="BW18" s="28"/>
      <c r="BX18" s="28"/>
      <c r="BY18" s="28">
        <v>3</v>
      </c>
      <c r="BZ18" s="28"/>
      <c r="CA18" s="28"/>
      <c r="CB18" s="28"/>
      <c r="CC18" s="30">
        <f t="shared" si="9"/>
        <v>6</v>
      </c>
      <c r="CD18" s="28">
        <f t="shared" si="10"/>
        <v>192</v>
      </c>
      <c r="CE18" s="14"/>
      <c r="CF18" s="572" t="s">
        <v>10</v>
      </c>
      <c r="CG18" s="572"/>
      <c r="CH18" s="572"/>
      <c r="CI18" s="572"/>
      <c r="CJ18" s="572"/>
      <c r="CK18" s="572"/>
      <c r="CL18" s="28">
        <v>32</v>
      </c>
      <c r="CM18" s="28"/>
      <c r="CN18" s="28"/>
      <c r="CO18" s="28"/>
      <c r="CP18" s="28">
        <v>2</v>
      </c>
      <c r="CQ18" s="28">
        <v>1</v>
      </c>
      <c r="CR18" s="28"/>
      <c r="CS18" s="28"/>
      <c r="CT18" s="28"/>
      <c r="CU18" s="30">
        <f t="shared" si="11"/>
        <v>3</v>
      </c>
      <c r="CV18" s="28">
        <f t="shared" si="12"/>
        <v>96</v>
      </c>
      <c r="CW18" s="14"/>
      <c r="CX18" s="572" t="s">
        <v>10</v>
      </c>
      <c r="CY18" s="572"/>
      <c r="CZ18" s="572"/>
      <c r="DA18" s="572"/>
      <c r="DB18" s="572"/>
      <c r="DC18" s="572"/>
      <c r="DD18" s="28">
        <v>32</v>
      </c>
      <c r="DE18" s="28"/>
      <c r="DF18" s="28">
        <v>1</v>
      </c>
      <c r="DG18" s="28"/>
      <c r="DH18" s="28"/>
      <c r="DI18" s="28"/>
      <c r="DJ18" s="28"/>
      <c r="DK18" s="28">
        <v>1</v>
      </c>
      <c r="DL18" s="28"/>
      <c r="DM18" s="28"/>
      <c r="DN18" s="28"/>
      <c r="DO18" s="30">
        <f t="shared" si="13"/>
        <v>2</v>
      </c>
      <c r="DP18" s="28">
        <f t="shared" si="14"/>
        <v>64</v>
      </c>
      <c r="DR18" s="572" t="s">
        <v>10</v>
      </c>
      <c r="DS18" s="572"/>
      <c r="DT18" s="572"/>
      <c r="DU18" s="572"/>
      <c r="DV18" s="572"/>
      <c r="DW18" s="572"/>
      <c r="DX18" s="28">
        <v>32</v>
      </c>
      <c r="DY18" s="28"/>
      <c r="DZ18" s="28"/>
      <c r="EA18" s="28"/>
      <c r="EB18" s="28"/>
      <c r="EC18" s="28"/>
      <c r="ED18" s="28"/>
      <c r="EE18" s="28"/>
      <c r="EF18" s="28"/>
      <c r="EG18" s="28"/>
      <c r="EH18" s="28"/>
    </row>
    <row r="19" spans="1:138" ht="14.45" customHeight="1" x14ac:dyDescent="0.25">
      <c r="A19" s="58"/>
      <c r="B19" s="14"/>
      <c r="C19" s="510" t="s">
        <v>11</v>
      </c>
      <c r="D19" s="510"/>
      <c r="E19" s="510"/>
      <c r="F19" s="510"/>
      <c r="G19" s="510"/>
      <c r="H19" s="510"/>
      <c r="I19" s="13">
        <v>97</v>
      </c>
      <c r="J19" s="13">
        <v>2</v>
      </c>
      <c r="K19" s="19">
        <v>1</v>
      </c>
      <c r="L19" s="19">
        <v>2</v>
      </c>
      <c r="M19" s="19">
        <f t="shared" si="15"/>
        <v>5</v>
      </c>
      <c r="N19" s="19">
        <f t="shared" si="0"/>
        <v>485</v>
      </c>
      <c r="O19" s="12"/>
      <c r="P19" s="510" t="s">
        <v>11</v>
      </c>
      <c r="Q19" s="510"/>
      <c r="R19" s="510"/>
      <c r="S19" s="510"/>
      <c r="T19" s="510"/>
      <c r="U19" s="510"/>
      <c r="V19" s="13">
        <v>105</v>
      </c>
      <c r="W19" s="19">
        <v>2</v>
      </c>
      <c r="X19" s="19"/>
      <c r="Y19" s="23">
        <f t="shared" si="1"/>
        <v>2</v>
      </c>
      <c r="Z19" s="19">
        <f t="shared" si="2"/>
        <v>210</v>
      </c>
      <c r="AA19" s="6"/>
      <c r="AB19" s="510" t="s">
        <v>11</v>
      </c>
      <c r="AC19" s="510"/>
      <c r="AD19" s="510"/>
      <c r="AE19" s="510"/>
      <c r="AF19" s="510"/>
      <c r="AG19" s="510"/>
      <c r="AH19" s="13">
        <v>105</v>
      </c>
      <c r="AI19" s="19">
        <v>2</v>
      </c>
      <c r="AJ19" s="23">
        <f t="shared" si="3"/>
        <v>2</v>
      </c>
      <c r="AK19" s="19">
        <f t="shared" si="4"/>
        <v>210</v>
      </c>
      <c r="AM19" s="510" t="s">
        <v>11</v>
      </c>
      <c r="AN19" s="510"/>
      <c r="AO19" s="510"/>
      <c r="AP19" s="510"/>
      <c r="AQ19" s="510"/>
      <c r="AR19" s="510"/>
      <c r="AS19" s="13">
        <v>105</v>
      </c>
      <c r="AT19" s="19"/>
      <c r="AU19" s="19"/>
      <c r="AV19" s="19"/>
      <c r="AW19" s="19"/>
      <c r="AX19" s="30">
        <f t="shared" si="5"/>
        <v>0</v>
      </c>
      <c r="AY19" s="28">
        <f t="shared" si="6"/>
        <v>0</v>
      </c>
      <c r="AZ19" s="14"/>
      <c r="BA19" s="510" t="s">
        <v>11</v>
      </c>
      <c r="BB19" s="510"/>
      <c r="BC19" s="510"/>
      <c r="BD19" s="510"/>
      <c r="BE19" s="510"/>
      <c r="BF19" s="510"/>
      <c r="BG19" s="13">
        <v>105</v>
      </c>
      <c r="BH19" s="19"/>
      <c r="BI19" s="19"/>
      <c r="BJ19" s="30">
        <f t="shared" si="7"/>
        <v>0</v>
      </c>
      <c r="BK19" s="28">
        <f t="shared" si="8"/>
        <v>0</v>
      </c>
      <c r="BL19" s="14"/>
      <c r="BM19" s="510" t="s">
        <v>11</v>
      </c>
      <c r="BN19" s="510"/>
      <c r="BO19" s="510"/>
      <c r="BP19" s="510"/>
      <c r="BQ19" s="510"/>
      <c r="BR19" s="510"/>
      <c r="BS19" s="13">
        <v>110</v>
      </c>
      <c r="BT19" s="19">
        <v>1</v>
      </c>
      <c r="BU19" s="19"/>
      <c r="BV19" s="19"/>
      <c r="BW19" s="19"/>
      <c r="BX19" s="19"/>
      <c r="BY19" s="19">
        <v>1</v>
      </c>
      <c r="BZ19" s="19"/>
      <c r="CA19" s="19"/>
      <c r="CB19" s="19"/>
      <c r="CC19" s="30">
        <f t="shared" si="9"/>
        <v>2</v>
      </c>
      <c r="CD19" s="28">
        <f t="shared" si="10"/>
        <v>220</v>
      </c>
      <c r="CE19" s="14"/>
      <c r="CF19" s="510" t="s">
        <v>11</v>
      </c>
      <c r="CG19" s="510"/>
      <c r="CH19" s="510"/>
      <c r="CI19" s="510"/>
      <c r="CJ19" s="510"/>
      <c r="CK19" s="510"/>
      <c r="CL19" s="13">
        <v>105</v>
      </c>
      <c r="CM19" s="19"/>
      <c r="CN19" s="19"/>
      <c r="CO19" s="19">
        <v>2</v>
      </c>
      <c r="CP19" s="19">
        <v>2</v>
      </c>
      <c r="CQ19" s="19"/>
      <c r="CR19" s="19"/>
      <c r="CS19" s="19"/>
      <c r="CT19" s="19">
        <v>1</v>
      </c>
      <c r="CU19" s="30">
        <f t="shared" si="11"/>
        <v>5</v>
      </c>
      <c r="CV19" s="28">
        <f t="shared" si="12"/>
        <v>525</v>
      </c>
      <c r="CW19" s="14"/>
      <c r="CX19" s="510" t="s">
        <v>11</v>
      </c>
      <c r="CY19" s="510"/>
      <c r="CZ19" s="510"/>
      <c r="DA19" s="510"/>
      <c r="DB19" s="510"/>
      <c r="DC19" s="510"/>
      <c r="DD19" s="13">
        <v>105</v>
      </c>
      <c r="DE19" s="19">
        <v>1</v>
      </c>
      <c r="DF19" s="19">
        <v>3</v>
      </c>
      <c r="DG19" s="19"/>
      <c r="DH19" s="19"/>
      <c r="DI19" s="19"/>
      <c r="DJ19" s="19"/>
      <c r="DK19" s="19"/>
      <c r="DL19" s="19"/>
      <c r="DM19" s="19">
        <v>2</v>
      </c>
      <c r="DN19" s="19">
        <v>3</v>
      </c>
      <c r="DO19" s="30">
        <f t="shared" si="13"/>
        <v>9</v>
      </c>
      <c r="DP19" s="28">
        <f t="shared" si="14"/>
        <v>945</v>
      </c>
      <c r="DR19" s="510" t="s">
        <v>11</v>
      </c>
      <c r="DS19" s="510"/>
      <c r="DT19" s="510"/>
      <c r="DU19" s="510"/>
      <c r="DV19" s="510"/>
      <c r="DW19" s="510"/>
      <c r="DX19" s="13">
        <v>105</v>
      </c>
      <c r="DY19" s="19"/>
      <c r="DZ19" s="19"/>
      <c r="EA19" s="19"/>
      <c r="EB19" s="19"/>
      <c r="EC19" s="19"/>
      <c r="ED19" s="19"/>
      <c r="EE19" s="19"/>
      <c r="EF19" s="19"/>
      <c r="EG19" s="19"/>
      <c r="EH19" s="19"/>
    </row>
    <row r="20" spans="1:138" ht="14.45" customHeight="1" x14ac:dyDescent="0.25">
      <c r="A20" s="58"/>
      <c r="B20" s="14"/>
      <c r="C20" s="510" t="s">
        <v>57</v>
      </c>
      <c r="D20" s="510"/>
      <c r="E20" s="510"/>
      <c r="F20" s="510"/>
      <c r="G20" s="510"/>
      <c r="H20" s="15"/>
      <c r="I20" s="13"/>
      <c r="J20" s="13"/>
      <c r="K20" s="19"/>
      <c r="L20" s="19"/>
      <c r="M20" s="19">
        <f t="shared" si="15"/>
        <v>0</v>
      </c>
      <c r="N20" s="19">
        <f t="shared" si="0"/>
        <v>0</v>
      </c>
      <c r="O20" s="12"/>
      <c r="P20" s="510" t="s">
        <v>57</v>
      </c>
      <c r="Q20" s="510"/>
      <c r="R20" s="510"/>
      <c r="S20" s="510"/>
      <c r="T20" s="510"/>
      <c r="U20" s="15"/>
      <c r="V20" s="13"/>
      <c r="W20" s="19"/>
      <c r="X20" s="19"/>
      <c r="Y20" s="23">
        <f t="shared" si="1"/>
        <v>0</v>
      </c>
      <c r="Z20" s="19">
        <f t="shared" si="2"/>
        <v>0</v>
      </c>
      <c r="AA20" s="6"/>
      <c r="AB20" s="510" t="s">
        <v>57</v>
      </c>
      <c r="AC20" s="510"/>
      <c r="AD20" s="510"/>
      <c r="AE20" s="510"/>
      <c r="AF20" s="510"/>
      <c r="AG20" s="15"/>
      <c r="AH20" s="13"/>
      <c r="AI20" s="19"/>
      <c r="AJ20" s="23">
        <f t="shared" si="3"/>
        <v>0</v>
      </c>
      <c r="AK20" s="19">
        <f t="shared" si="4"/>
        <v>0</v>
      </c>
      <c r="AM20" s="569" t="s">
        <v>57</v>
      </c>
      <c r="AN20" s="570"/>
      <c r="AO20" s="570"/>
      <c r="AP20" s="570"/>
      <c r="AQ20" s="570"/>
      <c r="AR20" s="571"/>
      <c r="AS20" s="28"/>
      <c r="AT20" s="28"/>
      <c r="AU20" s="28"/>
      <c r="AV20" s="28"/>
      <c r="AW20" s="28"/>
      <c r="AX20" s="30">
        <f t="shared" si="5"/>
        <v>0</v>
      </c>
      <c r="AY20" s="28">
        <f t="shared" si="6"/>
        <v>0</v>
      </c>
      <c r="AZ20" s="14"/>
      <c r="BA20" s="569" t="s">
        <v>57</v>
      </c>
      <c r="BB20" s="570"/>
      <c r="BC20" s="570"/>
      <c r="BD20" s="570"/>
      <c r="BE20" s="570"/>
      <c r="BF20" s="571"/>
      <c r="BG20" s="28"/>
      <c r="BH20" s="28"/>
      <c r="BI20" s="28"/>
      <c r="BJ20" s="30">
        <f t="shared" si="7"/>
        <v>0</v>
      </c>
      <c r="BK20" s="28">
        <f t="shared" si="8"/>
        <v>0</v>
      </c>
      <c r="BL20" s="14"/>
      <c r="BM20" s="569" t="s">
        <v>57</v>
      </c>
      <c r="BN20" s="570"/>
      <c r="BO20" s="570"/>
      <c r="BP20" s="570"/>
      <c r="BQ20" s="570"/>
      <c r="BR20" s="571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30">
        <f t="shared" si="9"/>
        <v>0</v>
      </c>
      <c r="CD20" s="28">
        <f t="shared" si="10"/>
        <v>0</v>
      </c>
      <c r="CE20" s="14"/>
      <c r="CF20" s="569" t="s">
        <v>57</v>
      </c>
      <c r="CG20" s="570"/>
      <c r="CH20" s="570"/>
      <c r="CI20" s="570"/>
      <c r="CJ20" s="570"/>
      <c r="CK20" s="571"/>
      <c r="CL20" s="28">
        <v>50</v>
      </c>
      <c r="CM20" s="28"/>
      <c r="CN20" s="28"/>
      <c r="CO20" s="28"/>
      <c r="CP20" s="28">
        <v>4</v>
      </c>
      <c r="CQ20" s="28">
        <v>1</v>
      </c>
      <c r="CR20" s="28">
        <v>1</v>
      </c>
      <c r="CS20" s="28"/>
      <c r="CT20" s="28"/>
      <c r="CU20" s="30">
        <f t="shared" si="11"/>
        <v>6</v>
      </c>
      <c r="CV20" s="28">
        <f t="shared" si="12"/>
        <v>300</v>
      </c>
      <c r="CW20" s="14"/>
      <c r="CX20" s="569" t="s">
        <v>57</v>
      </c>
      <c r="CY20" s="570"/>
      <c r="CZ20" s="570"/>
      <c r="DA20" s="570"/>
      <c r="DB20" s="570"/>
      <c r="DC20" s="571"/>
      <c r="DD20" s="28">
        <v>50</v>
      </c>
      <c r="DE20" s="28"/>
      <c r="DF20" s="28"/>
      <c r="DG20" s="28"/>
      <c r="DH20" s="28"/>
      <c r="DI20" s="28"/>
      <c r="DJ20" s="28"/>
      <c r="DK20" s="28"/>
      <c r="DL20" s="28"/>
      <c r="DM20" s="28"/>
      <c r="DN20" s="28">
        <v>1</v>
      </c>
      <c r="DO20" s="30">
        <f t="shared" si="13"/>
        <v>1</v>
      </c>
      <c r="DP20" s="28">
        <f t="shared" si="14"/>
        <v>50</v>
      </c>
      <c r="DR20" s="569" t="s">
        <v>57</v>
      </c>
      <c r="DS20" s="570"/>
      <c r="DT20" s="570"/>
      <c r="DU20" s="570"/>
      <c r="DV20" s="570"/>
      <c r="DW20" s="571"/>
      <c r="DX20" s="28">
        <v>50</v>
      </c>
      <c r="DY20" s="28"/>
      <c r="DZ20" s="28"/>
      <c r="EA20" s="28"/>
      <c r="EB20" s="28"/>
      <c r="EC20" s="28"/>
      <c r="ED20" s="28"/>
      <c r="EE20" s="28"/>
      <c r="EF20" s="28"/>
      <c r="EG20" s="28"/>
      <c r="EH20" s="28"/>
    </row>
    <row r="21" spans="1:138" ht="14.45" customHeight="1" x14ac:dyDescent="0.25">
      <c r="A21" s="58"/>
      <c r="B21" s="14"/>
      <c r="C21" s="510" t="s">
        <v>51</v>
      </c>
      <c r="D21" s="510"/>
      <c r="E21" s="510"/>
      <c r="F21" s="510"/>
      <c r="G21" s="510"/>
      <c r="H21" s="510"/>
      <c r="I21" s="13"/>
      <c r="J21" s="13"/>
      <c r="K21" s="19"/>
      <c r="L21" s="19"/>
      <c r="M21" s="19">
        <f t="shared" si="15"/>
        <v>0</v>
      </c>
      <c r="N21" s="19">
        <f t="shared" si="0"/>
        <v>0</v>
      </c>
      <c r="O21" s="12"/>
      <c r="P21" s="510" t="s">
        <v>51</v>
      </c>
      <c r="Q21" s="510"/>
      <c r="R21" s="510"/>
      <c r="S21" s="510"/>
      <c r="T21" s="510"/>
      <c r="U21" s="510"/>
      <c r="V21" s="13"/>
      <c r="W21" s="19"/>
      <c r="X21" s="19"/>
      <c r="Y21" s="23">
        <f t="shared" si="1"/>
        <v>0</v>
      </c>
      <c r="Z21" s="19">
        <f t="shared" si="2"/>
        <v>0</v>
      </c>
      <c r="AA21" s="6"/>
      <c r="AB21" s="510" t="s">
        <v>51</v>
      </c>
      <c r="AC21" s="510"/>
      <c r="AD21" s="510"/>
      <c r="AE21" s="510"/>
      <c r="AF21" s="510"/>
      <c r="AG21" s="510"/>
      <c r="AH21" s="13"/>
      <c r="AI21" s="19"/>
      <c r="AJ21" s="23">
        <f t="shared" si="3"/>
        <v>0</v>
      </c>
      <c r="AK21" s="19">
        <f t="shared" si="4"/>
        <v>0</v>
      </c>
      <c r="AM21" s="510" t="s">
        <v>51</v>
      </c>
      <c r="AN21" s="510"/>
      <c r="AO21" s="510"/>
      <c r="AP21" s="510"/>
      <c r="AQ21" s="510"/>
      <c r="AR21" s="510"/>
      <c r="AS21" s="13"/>
      <c r="AT21" s="19"/>
      <c r="AU21" s="19"/>
      <c r="AV21" s="19"/>
      <c r="AW21" s="19"/>
      <c r="AX21" s="30">
        <f t="shared" si="5"/>
        <v>0</v>
      </c>
      <c r="AY21" s="28">
        <f t="shared" si="6"/>
        <v>0</v>
      </c>
      <c r="AZ21" s="14"/>
      <c r="BA21" s="510" t="s">
        <v>51</v>
      </c>
      <c r="BB21" s="510"/>
      <c r="BC21" s="510"/>
      <c r="BD21" s="510"/>
      <c r="BE21" s="510"/>
      <c r="BF21" s="510"/>
      <c r="BG21" s="13"/>
      <c r="BH21" s="19"/>
      <c r="BI21" s="19"/>
      <c r="BJ21" s="30">
        <f t="shared" si="7"/>
        <v>0</v>
      </c>
      <c r="BK21" s="28">
        <f t="shared" si="8"/>
        <v>0</v>
      </c>
      <c r="BL21" s="14"/>
      <c r="BM21" s="510" t="s">
        <v>51</v>
      </c>
      <c r="BN21" s="510"/>
      <c r="BO21" s="510"/>
      <c r="BP21" s="510"/>
      <c r="BQ21" s="510"/>
      <c r="BR21" s="510"/>
      <c r="BS21" s="13"/>
      <c r="BT21" s="19"/>
      <c r="BU21" s="19"/>
      <c r="BV21" s="19"/>
      <c r="BW21" s="19"/>
      <c r="BX21" s="19"/>
      <c r="BY21" s="19"/>
      <c r="BZ21" s="19"/>
      <c r="CA21" s="19"/>
      <c r="CB21" s="19"/>
      <c r="CC21" s="30">
        <f t="shared" si="9"/>
        <v>0</v>
      </c>
      <c r="CD21" s="28">
        <f t="shared" si="10"/>
        <v>0</v>
      </c>
      <c r="CE21" s="14"/>
      <c r="CF21" s="510" t="s">
        <v>51</v>
      </c>
      <c r="CG21" s="510"/>
      <c r="CH21" s="510"/>
      <c r="CI21" s="510"/>
      <c r="CJ21" s="510"/>
      <c r="CK21" s="510"/>
      <c r="CL21" s="13"/>
      <c r="CM21" s="19"/>
      <c r="CN21" s="19"/>
      <c r="CO21" s="19"/>
      <c r="CP21" s="19"/>
      <c r="CQ21" s="19"/>
      <c r="CR21" s="19"/>
      <c r="CS21" s="19"/>
      <c r="CT21" s="19"/>
      <c r="CU21" s="30">
        <f t="shared" si="11"/>
        <v>0</v>
      </c>
      <c r="CV21" s="28">
        <f t="shared" si="12"/>
        <v>0</v>
      </c>
      <c r="CW21" s="14"/>
      <c r="CX21" s="510" t="s">
        <v>51</v>
      </c>
      <c r="CY21" s="510"/>
      <c r="CZ21" s="510"/>
      <c r="DA21" s="510"/>
      <c r="DB21" s="510"/>
      <c r="DC21" s="510"/>
      <c r="DD21" s="13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30">
        <f t="shared" si="13"/>
        <v>0</v>
      </c>
      <c r="DP21" s="28">
        <f t="shared" si="14"/>
        <v>0</v>
      </c>
      <c r="DR21" s="510" t="s">
        <v>51</v>
      </c>
      <c r="DS21" s="510"/>
      <c r="DT21" s="510"/>
      <c r="DU21" s="510"/>
      <c r="DV21" s="510"/>
      <c r="DW21" s="510"/>
      <c r="DX21" s="13"/>
      <c r="DY21" s="19"/>
      <c r="DZ21" s="19"/>
      <c r="EA21" s="19"/>
      <c r="EB21" s="19"/>
      <c r="EC21" s="19"/>
      <c r="ED21" s="19"/>
      <c r="EE21" s="19"/>
      <c r="EF21" s="19"/>
      <c r="EG21" s="19"/>
      <c r="EH21" s="19"/>
    </row>
    <row r="22" spans="1:138" ht="14.45" customHeight="1" x14ac:dyDescent="0.25">
      <c r="A22" s="58"/>
      <c r="B22" s="14"/>
      <c r="C22" s="510" t="s">
        <v>52</v>
      </c>
      <c r="D22" s="510"/>
      <c r="E22" s="510"/>
      <c r="F22" s="510"/>
      <c r="G22" s="510"/>
      <c r="H22" s="510"/>
      <c r="I22" s="13"/>
      <c r="J22" s="13"/>
      <c r="K22" s="19"/>
      <c r="L22" s="19"/>
      <c r="M22" s="19">
        <f t="shared" si="15"/>
        <v>0</v>
      </c>
      <c r="N22" s="19">
        <f t="shared" si="0"/>
        <v>0</v>
      </c>
      <c r="O22" s="12"/>
      <c r="P22" s="510" t="s">
        <v>52</v>
      </c>
      <c r="Q22" s="510"/>
      <c r="R22" s="510"/>
      <c r="S22" s="510"/>
      <c r="T22" s="510"/>
      <c r="U22" s="510"/>
      <c r="V22" s="13"/>
      <c r="W22" s="19"/>
      <c r="X22" s="19"/>
      <c r="Y22" s="23">
        <f t="shared" si="1"/>
        <v>0</v>
      </c>
      <c r="Z22" s="19">
        <f t="shared" si="2"/>
        <v>0</v>
      </c>
      <c r="AA22" s="6"/>
      <c r="AB22" s="510" t="s">
        <v>52</v>
      </c>
      <c r="AC22" s="510"/>
      <c r="AD22" s="510"/>
      <c r="AE22" s="510"/>
      <c r="AF22" s="510"/>
      <c r="AG22" s="510"/>
      <c r="AH22" s="13"/>
      <c r="AI22" s="19"/>
      <c r="AJ22" s="23">
        <f t="shared" si="3"/>
        <v>0</v>
      </c>
      <c r="AK22" s="19">
        <f t="shared" si="4"/>
        <v>0</v>
      </c>
      <c r="AM22" s="572" t="s">
        <v>52</v>
      </c>
      <c r="AN22" s="572"/>
      <c r="AO22" s="572"/>
      <c r="AP22" s="572"/>
      <c r="AQ22" s="572"/>
      <c r="AR22" s="572"/>
      <c r="AS22" s="28"/>
      <c r="AT22" s="28"/>
      <c r="AU22" s="28"/>
      <c r="AV22" s="28"/>
      <c r="AW22" s="28"/>
      <c r="AX22" s="30">
        <f t="shared" si="5"/>
        <v>0</v>
      </c>
      <c r="AY22" s="28">
        <f t="shared" si="6"/>
        <v>0</v>
      </c>
      <c r="AZ22" s="14"/>
      <c r="BA22" s="572" t="s">
        <v>52</v>
      </c>
      <c r="BB22" s="572"/>
      <c r="BC22" s="572"/>
      <c r="BD22" s="572"/>
      <c r="BE22" s="572"/>
      <c r="BF22" s="572"/>
      <c r="BG22" s="28"/>
      <c r="BH22" s="28"/>
      <c r="BI22" s="28"/>
      <c r="BJ22" s="30">
        <f t="shared" si="7"/>
        <v>0</v>
      </c>
      <c r="BK22" s="28">
        <f t="shared" si="8"/>
        <v>0</v>
      </c>
      <c r="BL22" s="14"/>
      <c r="BM22" s="572" t="s">
        <v>52</v>
      </c>
      <c r="BN22" s="572"/>
      <c r="BO22" s="572"/>
      <c r="BP22" s="572"/>
      <c r="BQ22" s="572"/>
      <c r="BR22" s="572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30">
        <f t="shared" si="9"/>
        <v>0</v>
      </c>
      <c r="CD22" s="28">
        <f t="shared" si="10"/>
        <v>0</v>
      </c>
      <c r="CE22" s="14"/>
      <c r="CF22" s="572" t="s">
        <v>52</v>
      </c>
      <c r="CG22" s="572"/>
      <c r="CH22" s="572"/>
      <c r="CI22" s="572"/>
      <c r="CJ22" s="572"/>
      <c r="CK22" s="572"/>
      <c r="CL22" s="28"/>
      <c r="CM22" s="28"/>
      <c r="CN22" s="28"/>
      <c r="CO22" s="28"/>
      <c r="CP22" s="28"/>
      <c r="CQ22" s="28"/>
      <c r="CR22" s="28"/>
      <c r="CS22" s="28"/>
      <c r="CT22" s="28"/>
      <c r="CU22" s="30">
        <f t="shared" si="11"/>
        <v>0</v>
      </c>
      <c r="CV22" s="28">
        <f t="shared" si="12"/>
        <v>0</v>
      </c>
      <c r="CW22" s="14"/>
      <c r="CX22" s="572" t="s">
        <v>52</v>
      </c>
      <c r="CY22" s="572"/>
      <c r="CZ22" s="572"/>
      <c r="DA22" s="572"/>
      <c r="DB22" s="572"/>
      <c r="DC22" s="572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30">
        <f t="shared" si="13"/>
        <v>0</v>
      </c>
      <c r="DP22" s="28">
        <f t="shared" si="14"/>
        <v>0</v>
      </c>
      <c r="DR22" s="572" t="s">
        <v>52</v>
      </c>
      <c r="DS22" s="572"/>
      <c r="DT22" s="572"/>
      <c r="DU22" s="572"/>
      <c r="DV22" s="572"/>
      <c r="DW22" s="572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</row>
    <row r="23" spans="1:138" ht="14.45" customHeight="1" x14ac:dyDescent="0.25">
      <c r="A23" s="58"/>
      <c r="B23" s="14"/>
      <c r="C23" s="510" t="s">
        <v>12</v>
      </c>
      <c r="D23" s="510"/>
      <c r="E23" s="510"/>
      <c r="F23" s="510"/>
      <c r="G23" s="510"/>
      <c r="H23" s="510"/>
      <c r="I23" s="13">
        <v>26</v>
      </c>
      <c r="J23" s="13"/>
      <c r="K23" s="19"/>
      <c r="L23" s="19"/>
      <c r="M23" s="19">
        <f t="shared" si="15"/>
        <v>0</v>
      </c>
      <c r="N23" s="19">
        <f t="shared" si="0"/>
        <v>0</v>
      </c>
      <c r="O23" s="12"/>
      <c r="P23" s="510" t="s">
        <v>12</v>
      </c>
      <c r="Q23" s="510"/>
      <c r="R23" s="510"/>
      <c r="S23" s="510"/>
      <c r="T23" s="510"/>
      <c r="U23" s="510"/>
      <c r="V23" s="13">
        <v>26</v>
      </c>
      <c r="W23" s="19">
        <v>1</v>
      </c>
      <c r="X23" s="19">
        <v>5</v>
      </c>
      <c r="Y23" s="23">
        <f t="shared" si="1"/>
        <v>6</v>
      </c>
      <c r="Z23" s="19">
        <f t="shared" si="2"/>
        <v>156</v>
      </c>
      <c r="AA23" s="6"/>
      <c r="AB23" s="510" t="s">
        <v>12</v>
      </c>
      <c r="AC23" s="510"/>
      <c r="AD23" s="510"/>
      <c r="AE23" s="510"/>
      <c r="AF23" s="510"/>
      <c r="AG23" s="510"/>
      <c r="AH23" s="13">
        <v>26</v>
      </c>
      <c r="AI23" s="19"/>
      <c r="AJ23" s="23">
        <f t="shared" si="3"/>
        <v>0</v>
      </c>
      <c r="AK23" s="19">
        <f t="shared" si="4"/>
        <v>0</v>
      </c>
      <c r="AM23" s="510" t="s">
        <v>12</v>
      </c>
      <c r="AN23" s="510"/>
      <c r="AO23" s="510"/>
      <c r="AP23" s="510"/>
      <c r="AQ23" s="510"/>
      <c r="AR23" s="510"/>
      <c r="AS23" s="13">
        <v>26</v>
      </c>
      <c r="AT23" s="19"/>
      <c r="AU23" s="19"/>
      <c r="AV23" s="19"/>
      <c r="AW23" s="19"/>
      <c r="AX23" s="30">
        <f t="shared" si="5"/>
        <v>0</v>
      </c>
      <c r="AY23" s="28">
        <f t="shared" si="6"/>
        <v>0</v>
      </c>
      <c r="AZ23" s="14"/>
      <c r="BA23" s="510" t="s">
        <v>12</v>
      </c>
      <c r="BB23" s="510"/>
      <c r="BC23" s="510"/>
      <c r="BD23" s="510"/>
      <c r="BE23" s="510"/>
      <c r="BF23" s="510"/>
      <c r="BG23" s="13">
        <v>27</v>
      </c>
      <c r="BH23" s="19">
        <v>14</v>
      </c>
      <c r="BI23" s="19"/>
      <c r="BJ23" s="30">
        <f t="shared" si="7"/>
        <v>14</v>
      </c>
      <c r="BK23" s="28">
        <f t="shared" si="8"/>
        <v>378</v>
      </c>
      <c r="BL23" s="14"/>
      <c r="BM23" s="510" t="s">
        <v>12</v>
      </c>
      <c r="BN23" s="510"/>
      <c r="BO23" s="510"/>
      <c r="BP23" s="510"/>
      <c r="BQ23" s="510"/>
      <c r="BR23" s="510"/>
      <c r="BS23" s="13">
        <v>27</v>
      </c>
      <c r="BT23" s="19"/>
      <c r="BU23" s="19"/>
      <c r="BV23" s="19"/>
      <c r="BW23" s="19"/>
      <c r="BX23" s="19"/>
      <c r="BY23" s="19"/>
      <c r="BZ23" s="19"/>
      <c r="CA23" s="19"/>
      <c r="CB23" s="19"/>
      <c r="CC23" s="30">
        <f t="shared" si="9"/>
        <v>0</v>
      </c>
      <c r="CD23" s="28">
        <f t="shared" si="10"/>
        <v>0</v>
      </c>
      <c r="CE23" s="14"/>
      <c r="CF23" s="510" t="s">
        <v>12</v>
      </c>
      <c r="CG23" s="510"/>
      <c r="CH23" s="510"/>
      <c r="CI23" s="510"/>
      <c r="CJ23" s="510"/>
      <c r="CK23" s="510"/>
      <c r="CL23" s="13">
        <v>31</v>
      </c>
      <c r="CM23" s="19"/>
      <c r="CN23" s="19"/>
      <c r="CO23" s="19">
        <v>1</v>
      </c>
      <c r="CP23" s="19">
        <v>10</v>
      </c>
      <c r="CQ23" s="19">
        <v>2</v>
      </c>
      <c r="CR23" s="19"/>
      <c r="CS23" s="19"/>
      <c r="CT23" s="19"/>
      <c r="CU23" s="30">
        <f t="shared" si="11"/>
        <v>13</v>
      </c>
      <c r="CV23" s="28">
        <f t="shared" si="12"/>
        <v>403</v>
      </c>
      <c r="CW23" s="14"/>
      <c r="CX23" s="510" t="s">
        <v>12</v>
      </c>
      <c r="CY23" s="510"/>
      <c r="CZ23" s="510"/>
      <c r="DA23" s="510"/>
      <c r="DB23" s="510"/>
      <c r="DC23" s="510"/>
      <c r="DD23" s="13">
        <v>31</v>
      </c>
      <c r="DE23" s="19"/>
      <c r="DF23" s="19"/>
      <c r="DG23" s="19"/>
      <c r="DH23" s="19"/>
      <c r="DI23" s="19">
        <v>4</v>
      </c>
      <c r="DJ23" s="19"/>
      <c r="DK23" s="19">
        <v>2</v>
      </c>
      <c r="DL23" s="19"/>
      <c r="DM23" s="19"/>
      <c r="DN23" s="19">
        <v>15</v>
      </c>
      <c r="DO23" s="30">
        <f t="shared" si="13"/>
        <v>21</v>
      </c>
      <c r="DP23" s="28">
        <f t="shared" si="14"/>
        <v>651</v>
      </c>
      <c r="DR23" s="510" t="s">
        <v>12</v>
      </c>
      <c r="DS23" s="510"/>
      <c r="DT23" s="510"/>
      <c r="DU23" s="510"/>
      <c r="DV23" s="510"/>
      <c r="DW23" s="510"/>
      <c r="DX23" s="13">
        <v>31</v>
      </c>
      <c r="DY23" s="19"/>
      <c r="DZ23" s="19"/>
      <c r="EA23" s="19"/>
      <c r="EB23" s="19"/>
      <c r="EC23" s="19"/>
      <c r="ED23" s="19"/>
      <c r="EE23" s="19"/>
      <c r="EF23" s="19"/>
      <c r="EG23" s="19"/>
      <c r="EH23" s="19"/>
    </row>
    <row r="24" spans="1:138" ht="14.45" customHeight="1" x14ac:dyDescent="0.25">
      <c r="A24" s="58"/>
      <c r="B24" s="14"/>
      <c r="C24" s="510" t="s">
        <v>13</v>
      </c>
      <c r="D24" s="510"/>
      <c r="E24" s="510"/>
      <c r="F24" s="510"/>
      <c r="G24" s="510"/>
      <c r="H24" s="510"/>
      <c r="I24" s="13">
        <v>28</v>
      </c>
      <c r="J24" s="13">
        <v>2</v>
      </c>
      <c r="K24" s="19">
        <v>2</v>
      </c>
      <c r="L24" s="19">
        <v>27</v>
      </c>
      <c r="M24" s="19">
        <f t="shared" si="15"/>
        <v>31</v>
      </c>
      <c r="N24" s="19">
        <f t="shared" si="0"/>
        <v>868</v>
      </c>
      <c r="O24" s="12"/>
      <c r="P24" s="510" t="s">
        <v>13</v>
      </c>
      <c r="Q24" s="510"/>
      <c r="R24" s="510"/>
      <c r="S24" s="510"/>
      <c r="T24" s="510"/>
      <c r="U24" s="510"/>
      <c r="V24" s="13">
        <v>28</v>
      </c>
      <c r="W24" s="19">
        <v>36</v>
      </c>
      <c r="X24" s="19">
        <v>13</v>
      </c>
      <c r="Y24" s="23">
        <f t="shared" si="1"/>
        <v>49</v>
      </c>
      <c r="Z24" s="19">
        <f t="shared" si="2"/>
        <v>1372</v>
      </c>
      <c r="AA24" s="6"/>
      <c r="AB24" s="510" t="s">
        <v>13</v>
      </c>
      <c r="AC24" s="510"/>
      <c r="AD24" s="510"/>
      <c r="AE24" s="510"/>
      <c r="AF24" s="510"/>
      <c r="AG24" s="510"/>
      <c r="AH24" s="13">
        <v>30</v>
      </c>
      <c r="AI24" s="19">
        <v>4</v>
      </c>
      <c r="AJ24" s="23">
        <f t="shared" si="3"/>
        <v>4</v>
      </c>
      <c r="AK24" s="19">
        <f t="shared" si="4"/>
        <v>120</v>
      </c>
      <c r="AM24" s="572" t="s">
        <v>13</v>
      </c>
      <c r="AN24" s="572"/>
      <c r="AO24" s="572"/>
      <c r="AP24" s="572"/>
      <c r="AQ24" s="572"/>
      <c r="AR24" s="572"/>
      <c r="AS24" s="28">
        <v>29</v>
      </c>
      <c r="AT24" s="28">
        <v>2</v>
      </c>
      <c r="AU24" s="28"/>
      <c r="AV24" s="28"/>
      <c r="AW24" s="28"/>
      <c r="AX24" s="30">
        <f t="shared" si="5"/>
        <v>2</v>
      </c>
      <c r="AY24" s="28">
        <f t="shared" si="6"/>
        <v>58</v>
      </c>
      <c r="AZ24" s="14"/>
      <c r="BA24" s="572" t="s">
        <v>13</v>
      </c>
      <c r="BB24" s="572"/>
      <c r="BC24" s="572"/>
      <c r="BD24" s="572"/>
      <c r="BE24" s="572"/>
      <c r="BF24" s="572"/>
      <c r="BG24" s="28">
        <v>29</v>
      </c>
      <c r="BH24" s="28">
        <v>8</v>
      </c>
      <c r="BI24" s="28">
        <v>2</v>
      </c>
      <c r="BJ24" s="30">
        <f t="shared" si="7"/>
        <v>10</v>
      </c>
      <c r="BK24" s="28">
        <f t="shared" si="8"/>
        <v>290</v>
      </c>
      <c r="BL24" s="14"/>
      <c r="BM24" s="572" t="s">
        <v>13</v>
      </c>
      <c r="BN24" s="572"/>
      <c r="BO24" s="572"/>
      <c r="BP24" s="572"/>
      <c r="BQ24" s="572"/>
      <c r="BR24" s="572"/>
      <c r="BS24" s="28">
        <v>33</v>
      </c>
      <c r="BT24" s="28">
        <v>9</v>
      </c>
      <c r="BU24" s="28"/>
      <c r="BV24" s="28"/>
      <c r="BW24" s="28">
        <v>1</v>
      </c>
      <c r="BX24" s="28"/>
      <c r="BY24" s="28">
        <v>2</v>
      </c>
      <c r="BZ24" s="28">
        <v>12</v>
      </c>
      <c r="CA24" s="28"/>
      <c r="CB24" s="28"/>
      <c r="CC24" s="30">
        <f t="shared" si="9"/>
        <v>24</v>
      </c>
      <c r="CD24" s="28">
        <f t="shared" si="10"/>
        <v>792</v>
      </c>
      <c r="CE24" s="14"/>
      <c r="CF24" s="572" t="s">
        <v>13</v>
      </c>
      <c r="CG24" s="572"/>
      <c r="CH24" s="572"/>
      <c r="CI24" s="572"/>
      <c r="CJ24" s="572"/>
      <c r="CK24" s="572"/>
      <c r="CL24" s="28">
        <v>33</v>
      </c>
      <c r="CM24" s="28"/>
      <c r="CN24" s="28">
        <v>9</v>
      </c>
      <c r="CO24" s="28">
        <v>33</v>
      </c>
      <c r="CP24" s="28">
        <v>26</v>
      </c>
      <c r="CQ24" s="28">
        <v>12</v>
      </c>
      <c r="CR24" s="28">
        <v>3</v>
      </c>
      <c r="CS24" s="28"/>
      <c r="CT24" s="28"/>
      <c r="CU24" s="30">
        <f t="shared" si="11"/>
        <v>83</v>
      </c>
      <c r="CV24" s="28">
        <f t="shared" si="12"/>
        <v>2739</v>
      </c>
      <c r="CW24" s="14"/>
      <c r="CX24" s="572" t="s">
        <v>13</v>
      </c>
      <c r="CY24" s="572"/>
      <c r="CZ24" s="572"/>
      <c r="DA24" s="572"/>
      <c r="DB24" s="572"/>
      <c r="DC24" s="572"/>
      <c r="DD24" s="28">
        <v>33</v>
      </c>
      <c r="DE24" s="28">
        <v>7</v>
      </c>
      <c r="DF24" s="28">
        <v>1</v>
      </c>
      <c r="DG24" s="28">
        <v>2</v>
      </c>
      <c r="DH24" s="28"/>
      <c r="DI24" s="28">
        <v>1</v>
      </c>
      <c r="DJ24" s="28"/>
      <c r="DK24" s="28">
        <v>1</v>
      </c>
      <c r="DL24" s="28">
        <v>3</v>
      </c>
      <c r="DM24" s="28"/>
      <c r="DN24" s="28">
        <v>3</v>
      </c>
      <c r="DO24" s="30">
        <f t="shared" si="13"/>
        <v>18</v>
      </c>
      <c r="DP24" s="28">
        <f t="shared" si="14"/>
        <v>594</v>
      </c>
      <c r="DR24" s="572" t="s">
        <v>13</v>
      </c>
      <c r="DS24" s="572"/>
      <c r="DT24" s="572"/>
      <c r="DU24" s="572"/>
      <c r="DV24" s="572"/>
      <c r="DW24" s="572"/>
      <c r="DX24" s="28">
        <v>33</v>
      </c>
      <c r="DY24" s="28"/>
      <c r="DZ24" s="28"/>
      <c r="EA24" s="28"/>
      <c r="EB24" s="28"/>
      <c r="EC24" s="28"/>
      <c r="ED24" s="28"/>
      <c r="EE24" s="28"/>
      <c r="EF24" s="28"/>
      <c r="EG24" s="28"/>
      <c r="EH24" s="28"/>
    </row>
    <row r="25" spans="1:138" ht="14.45" customHeight="1" x14ac:dyDescent="0.25">
      <c r="A25" s="58"/>
      <c r="B25" s="14"/>
      <c r="C25" s="15"/>
      <c r="D25" s="15"/>
      <c r="E25" s="15"/>
      <c r="F25" s="15"/>
      <c r="G25" s="15"/>
      <c r="H25" s="15"/>
      <c r="I25" s="13"/>
      <c r="J25" s="13"/>
      <c r="K25" s="19"/>
      <c r="L25" s="19"/>
      <c r="M25" s="19"/>
      <c r="N25" s="19">
        <f t="shared" si="0"/>
        <v>0</v>
      </c>
      <c r="O25" s="12"/>
      <c r="P25" s="15"/>
      <c r="Q25" s="15"/>
      <c r="R25" s="15"/>
      <c r="S25" s="15"/>
      <c r="T25" s="15"/>
      <c r="U25" s="15"/>
      <c r="V25" s="13"/>
      <c r="W25" s="19"/>
      <c r="X25" s="19"/>
      <c r="Y25" s="23"/>
      <c r="Z25" s="19">
        <f t="shared" si="2"/>
        <v>0</v>
      </c>
      <c r="AA25" s="6"/>
      <c r="AB25" s="15"/>
      <c r="AC25" s="15"/>
      <c r="AD25" s="15"/>
      <c r="AE25" s="15"/>
      <c r="AF25" s="15"/>
      <c r="AG25" s="15"/>
      <c r="AH25" s="13"/>
      <c r="AI25" s="19"/>
      <c r="AJ25" s="23"/>
      <c r="AK25" s="19">
        <f t="shared" si="4"/>
        <v>0</v>
      </c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30"/>
      <c r="AY25" s="28">
        <f t="shared" si="6"/>
        <v>0</v>
      </c>
      <c r="AZ25" s="14"/>
      <c r="BA25" s="28"/>
      <c r="BB25" s="28"/>
      <c r="BC25" s="28"/>
      <c r="BD25" s="28"/>
      <c r="BE25" s="28"/>
      <c r="BF25" s="28"/>
      <c r="BG25" s="28"/>
      <c r="BH25" s="28"/>
      <c r="BI25" s="28"/>
      <c r="BJ25" s="30"/>
      <c r="BK25" s="28">
        <f t="shared" si="8"/>
        <v>0</v>
      </c>
      <c r="BL25" s="14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30"/>
      <c r="CD25" s="28">
        <f t="shared" si="10"/>
        <v>0</v>
      </c>
      <c r="CE25" s="14"/>
      <c r="CF25" s="542" t="s">
        <v>67</v>
      </c>
      <c r="CG25" s="542"/>
      <c r="CH25" s="542"/>
      <c r="CI25" s="542"/>
      <c r="CJ25" s="542"/>
      <c r="CK25" s="542"/>
      <c r="CL25" s="1">
        <v>28</v>
      </c>
      <c r="CM25" s="1"/>
      <c r="CN25" s="1"/>
      <c r="CO25" s="1"/>
      <c r="CP25" s="1"/>
      <c r="CQ25" s="1">
        <v>2</v>
      </c>
      <c r="CR25" s="1"/>
      <c r="CS25" s="1"/>
      <c r="CT25" s="1">
        <v>1</v>
      </c>
      <c r="CU25" s="30">
        <f t="shared" si="11"/>
        <v>3</v>
      </c>
      <c r="CV25" s="28">
        <f t="shared" si="12"/>
        <v>84</v>
      </c>
      <c r="CW25" s="3"/>
      <c r="CX25" s="542" t="s">
        <v>67</v>
      </c>
      <c r="CY25" s="542"/>
      <c r="CZ25" s="542"/>
      <c r="DA25" s="542"/>
      <c r="DB25" s="542"/>
      <c r="DC25" s="542"/>
      <c r="DD25" s="1">
        <v>28</v>
      </c>
      <c r="DE25" s="1">
        <v>3</v>
      </c>
      <c r="DF25" s="1">
        <v>1</v>
      </c>
      <c r="DG25" s="1"/>
      <c r="DH25" s="1"/>
      <c r="DI25" s="1"/>
      <c r="DJ25" s="1"/>
      <c r="DK25" s="1">
        <v>1</v>
      </c>
      <c r="DL25" s="1"/>
      <c r="DM25" s="1"/>
      <c r="DN25" s="1"/>
      <c r="DO25" s="30">
        <f t="shared" si="13"/>
        <v>5</v>
      </c>
      <c r="DP25" s="28">
        <f t="shared" si="14"/>
        <v>140</v>
      </c>
      <c r="DR25" s="542" t="s">
        <v>67</v>
      </c>
      <c r="DS25" s="542"/>
      <c r="DT25" s="542"/>
      <c r="DU25" s="542"/>
      <c r="DV25" s="542"/>
      <c r="DW25" s="542"/>
      <c r="DX25" s="1">
        <v>28</v>
      </c>
      <c r="DY25" s="1"/>
      <c r="DZ25" s="1"/>
      <c r="EA25" s="1"/>
      <c r="EB25" s="1"/>
      <c r="EC25" s="1"/>
      <c r="ED25" s="1"/>
      <c r="EE25" s="1"/>
      <c r="EF25" s="1"/>
      <c r="EG25" s="1"/>
      <c r="EH25" s="1"/>
    </row>
    <row r="26" spans="1:138" ht="14.45" customHeight="1" x14ac:dyDescent="0.25">
      <c r="A26" s="58"/>
      <c r="B26" s="14"/>
      <c r="C26" s="510" t="s">
        <v>53</v>
      </c>
      <c r="D26" s="510"/>
      <c r="E26" s="510"/>
      <c r="F26" s="510"/>
      <c r="G26" s="510"/>
      <c r="H26" s="510"/>
      <c r="I26" s="13"/>
      <c r="J26" s="13"/>
      <c r="K26" s="19"/>
      <c r="L26" s="19"/>
      <c r="M26" s="19">
        <f t="shared" si="15"/>
        <v>0</v>
      </c>
      <c r="N26" s="19">
        <f t="shared" si="0"/>
        <v>0</v>
      </c>
      <c r="O26" s="12"/>
      <c r="P26" s="510" t="s">
        <v>53</v>
      </c>
      <c r="Q26" s="510"/>
      <c r="R26" s="510"/>
      <c r="S26" s="510"/>
      <c r="T26" s="510"/>
      <c r="U26" s="510"/>
      <c r="V26" s="13"/>
      <c r="W26" s="19"/>
      <c r="X26" s="19"/>
      <c r="Y26" s="23">
        <f t="shared" si="1"/>
        <v>0</v>
      </c>
      <c r="Z26" s="19">
        <f t="shared" si="2"/>
        <v>0</v>
      </c>
      <c r="AA26" s="6"/>
      <c r="AB26" s="510" t="s">
        <v>53</v>
      </c>
      <c r="AC26" s="510"/>
      <c r="AD26" s="510"/>
      <c r="AE26" s="510"/>
      <c r="AF26" s="510"/>
      <c r="AG26" s="510"/>
      <c r="AH26" s="13"/>
      <c r="AI26" s="19"/>
      <c r="AJ26" s="23">
        <f t="shared" si="3"/>
        <v>0</v>
      </c>
      <c r="AK26" s="19">
        <f t="shared" si="4"/>
        <v>0</v>
      </c>
      <c r="AM26" s="510" t="s">
        <v>53</v>
      </c>
      <c r="AN26" s="510"/>
      <c r="AO26" s="510"/>
      <c r="AP26" s="510"/>
      <c r="AQ26" s="510"/>
      <c r="AR26" s="510"/>
      <c r="AS26" s="13"/>
      <c r="AT26" s="19"/>
      <c r="AU26" s="19"/>
      <c r="AV26" s="19"/>
      <c r="AW26" s="19"/>
      <c r="AX26" s="30">
        <f t="shared" si="5"/>
        <v>0</v>
      </c>
      <c r="AY26" s="28">
        <f t="shared" si="6"/>
        <v>0</v>
      </c>
      <c r="AZ26" s="14"/>
      <c r="BA26" s="510" t="s">
        <v>53</v>
      </c>
      <c r="BB26" s="510"/>
      <c r="BC26" s="510"/>
      <c r="BD26" s="510"/>
      <c r="BE26" s="510"/>
      <c r="BF26" s="510"/>
      <c r="BG26" s="13"/>
      <c r="BH26" s="19"/>
      <c r="BI26" s="19"/>
      <c r="BJ26" s="30">
        <f t="shared" si="7"/>
        <v>0</v>
      </c>
      <c r="BK26" s="28">
        <f t="shared" si="8"/>
        <v>0</v>
      </c>
      <c r="BL26" s="14"/>
      <c r="BM26" s="510" t="s">
        <v>53</v>
      </c>
      <c r="BN26" s="510"/>
      <c r="BO26" s="510"/>
      <c r="BP26" s="510"/>
      <c r="BQ26" s="510"/>
      <c r="BR26" s="510"/>
      <c r="BS26" s="13"/>
      <c r="BT26" s="19"/>
      <c r="BU26" s="19"/>
      <c r="BV26" s="19"/>
      <c r="BW26" s="19"/>
      <c r="BX26" s="19"/>
      <c r="BY26" s="19"/>
      <c r="BZ26" s="19"/>
      <c r="CA26" s="19"/>
      <c r="CB26" s="19"/>
      <c r="CC26" s="30">
        <f t="shared" si="9"/>
        <v>0</v>
      </c>
      <c r="CD26" s="28">
        <f t="shared" si="10"/>
        <v>0</v>
      </c>
      <c r="CE26" s="14"/>
      <c r="CF26" s="510" t="s">
        <v>53</v>
      </c>
      <c r="CG26" s="510"/>
      <c r="CH26" s="510"/>
      <c r="CI26" s="510"/>
      <c r="CJ26" s="510"/>
      <c r="CK26" s="510"/>
      <c r="CL26" s="13"/>
      <c r="CM26" s="19"/>
      <c r="CN26" s="19"/>
      <c r="CO26" s="19"/>
      <c r="CP26" s="19"/>
      <c r="CQ26" s="19"/>
      <c r="CR26" s="19"/>
      <c r="CS26" s="19"/>
      <c r="CT26" s="19"/>
      <c r="CU26" s="30">
        <f t="shared" si="11"/>
        <v>0</v>
      </c>
      <c r="CV26" s="28">
        <f t="shared" si="12"/>
        <v>0</v>
      </c>
      <c r="CW26" s="14"/>
      <c r="CX26" s="510" t="s">
        <v>53</v>
      </c>
      <c r="CY26" s="510"/>
      <c r="CZ26" s="510"/>
      <c r="DA26" s="510"/>
      <c r="DB26" s="510"/>
      <c r="DC26" s="510"/>
      <c r="DD26" s="13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30">
        <f t="shared" si="13"/>
        <v>0</v>
      </c>
      <c r="DP26" s="28">
        <f t="shared" si="14"/>
        <v>0</v>
      </c>
      <c r="DR26" s="510" t="s">
        <v>53</v>
      </c>
      <c r="DS26" s="510"/>
      <c r="DT26" s="510"/>
      <c r="DU26" s="510"/>
      <c r="DV26" s="510"/>
      <c r="DW26" s="510"/>
      <c r="DX26" s="13"/>
      <c r="DY26" s="19"/>
      <c r="DZ26" s="19"/>
      <c r="EA26" s="19"/>
      <c r="EB26" s="19"/>
      <c r="EC26" s="19"/>
      <c r="ED26" s="19"/>
      <c r="EE26" s="19"/>
      <c r="EF26" s="19"/>
      <c r="EG26" s="19"/>
      <c r="EH26" s="19"/>
    </row>
    <row r="27" spans="1:138" ht="14.45" customHeight="1" x14ac:dyDescent="0.25">
      <c r="A27" s="58"/>
      <c r="B27" s="12"/>
      <c r="C27" s="532" t="s">
        <v>14</v>
      </c>
      <c r="D27" s="532"/>
      <c r="E27" s="532"/>
      <c r="F27" s="532"/>
      <c r="G27" s="532"/>
      <c r="H27" s="532"/>
      <c r="I27" s="13">
        <v>90</v>
      </c>
      <c r="J27" s="13">
        <v>1</v>
      </c>
      <c r="K27" s="19"/>
      <c r="L27" s="19"/>
      <c r="M27" s="19">
        <f t="shared" si="15"/>
        <v>1</v>
      </c>
      <c r="N27" s="19">
        <f t="shared" si="0"/>
        <v>90</v>
      </c>
      <c r="O27" s="12"/>
      <c r="P27" s="532" t="s">
        <v>14</v>
      </c>
      <c r="Q27" s="532"/>
      <c r="R27" s="532"/>
      <c r="S27" s="532"/>
      <c r="T27" s="532"/>
      <c r="U27" s="532"/>
      <c r="V27" s="13"/>
      <c r="W27" s="19"/>
      <c r="X27" s="19"/>
      <c r="Y27" s="23">
        <f t="shared" si="1"/>
        <v>0</v>
      </c>
      <c r="Z27" s="19">
        <f t="shared" si="2"/>
        <v>0</v>
      </c>
      <c r="AA27" s="6"/>
      <c r="AB27" s="532" t="s">
        <v>14</v>
      </c>
      <c r="AC27" s="532"/>
      <c r="AD27" s="532"/>
      <c r="AE27" s="532"/>
      <c r="AF27" s="532"/>
      <c r="AG27" s="532"/>
      <c r="AH27" s="13"/>
      <c r="AI27" s="19"/>
      <c r="AJ27" s="23">
        <f t="shared" si="3"/>
        <v>0</v>
      </c>
      <c r="AK27" s="19">
        <f t="shared" si="4"/>
        <v>0</v>
      </c>
      <c r="AM27" s="572" t="s">
        <v>14</v>
      </c>
      <c r="AN27" s="572"/>
      <c r="AO27" s="572"/>
      <c r="AP27" s="572"/>
      <c r="AQ27" s="572"/>
      <c r="AR27" s="572"/>
      <c r="AS27" s="28"/>
      <c r="AT27" s="28"/>
      <c r="AU27" s="28"/>
      <c r="AV27" s="28"/>
      <c r="AW27" s="28"/>
      <c r="AX27" s="30">
        <f t="shared" si="5"/>
        <v>0</v>
      </c>
      <c r="AY27" s="28">
        <f t="shared" si="6"/>
        <v>0</v>
      </c>
      <c r="AZ27" s="14"/>
      <c r="BA27" s="572" t="s">
        <v>14</v>
      </c>
      <c r="BB27" s="572"/>
      <c r="BC27" s="572"/>
      <c r="BD27" s="572"/>
      <c r="BE27" s="572"/>
      <c r="BF27" s="572"/>
      <c r="BG27" s="28"/>
      <c r="BH27" s="28"/>
      <c r="BI27" s="28"/>
      <c r="BJ27" s="30">
        <f t="shared" si="7"/>
        <v>0</v>
      </c>
      <c r="BK27" s="28">
        <f t="shared" si="8"/>
        <v>0</v>
      </c>
      <c r="BL27" s="14"/>
      <c r="BM27" s="572" t="s">
        <v>14</v>
      </c>
      <c r="BN27" s="572"/>
      <c r="BO27" s="572"/>
      <c r="BP27" s="572"/>
      <c r="BQ27" s="572"/>
      <c r="BR27" s="572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30">
        <f t="shared" si="9"/>
        <v>0</v>
      </c>
      <c r="CD27" s="28">
        <f t="shared" si="10"/>
        <v>0</v>
      </c>
      <c r="CE27" s="14"/>
      <c r="CF27" s="572" t="s">
        <v>14</v>
      </c>
      <c r="CG27" s="572"/>
      <c r="CH27" s="572"/>
      <c r="CI27" s="572"/>
      <c r="CJ27" s="572"/>
      <c r="CK27" s="572"/>
      <c r="CL27" s="28"/>
      <c r="CM27" s="28"/>
      <c r="CN27" s="28"/>
      <c r="CO27" s="28"/>
      <c r="CP27" s="28"/>
      <c r="CQ27" s="28"/>
      <c r="CR27" s="28"/>
      <c r="CS27" s="28"/>
      <c r="CT27" s="28"/>
      <c r="CU27" s="30">
        <f t="shared" si="11"/>
        <v>0</v>
      </c>
      <c r="CV27" s="28">
        <f t="shared" si="12"/>
        <v>0</v>
      </c>
      <c r="CW27" s="14"/>
      <c r="CX27" s="572" t="s">
        <v>14</v>
      </c>
      <c r="CY27" s="572"/>
      <c r="CZ27" s="572"/>
      <c r="DA27" s="572"/>
      <c r="DB27" s="572"/>
      <c r="DC27" s="572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30">
        <f t="shared" si="13"/>
        <v>0</v>
      </c>
      <c r="DP27" s="28">
        <f t="shared" si="14"/>
        <v>0</v>
      </c>
      <c r="DR27" s="572" t="s">
        <v>14</v>
      </c>
      <c r="DS27" s="572"/>
      <c r="DT27" s="572"/>
      <c r="DU27" s="572"/>
      <c r="DV27" s="572"/>
      <c r="DW27" s="572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</row>
    <row r="28" spans="1:138" ht="14.45" customHeight="1" x14ac:dyDescent="0.25">
      <c r="A28" s="58"/>
      <c r="B28" s="12"/>
      <c r="C28" s="532" t="s">
        <v>15</v>
      </c>
      <c r="D28" s="532"/>
      <c r="E28" s="532"/>
      <c r="F28" s="532"/>
      <c r="G28" s="532"/>
      <c r="H28" s="532"/>
      <c r="I28" s="13">
        <v>95</v>
      </c>
      <c r="J28" s="13">
        <v>1</v>
      </c>
      <c r="K28" s="19"/>
      <c r="L28" s="19"/>
      <c r="M28" s="19">
        <f t="shared" si="15"/>
        <v>1</v>
      </c>
      <c r="N28" s="19">
        <f t="shared" si="0"/>
        <v>95</v>
      </c>
      <c r="O28" s="12"/>
      <c r="P28" s="532" t="s">
        <v>15</v>
      </c>
      <c r="Q28" s="532"/>
      <c r="R28" s="532"/>
      <c r="S28" s="532"/>
      <c r="T28" s="532"/>
      <c r="U28" s="532"/>
      <c r="V28" s="13"/>
      <c r="W28" s="19"/>
      <c r="X28" s="19"/>
      <c r="Y28" s="23">
        <f t="shared" si="1"/>
        <v>0</v>
      </c>
      <c r="Z28" s="19">
        <f t="shared" si="2"/>
        <v>0</v>
      </c>
      <c r="AA28" s="6"/>
      <c r="AB28" s="532" t="s">
        <v>15</v>
      </c>
      <c r="AC28" s="532"/>
      <c r="AD28" s="532"/>
      <c r="AE28" s="532"/>
      <c r="AF28" s="532"/>
      <c r="AG28" s="532"/>
      <c r="AH28" s="13"/>
      <c r="AI28" s="19"/>
      <c r="AJ28" s="23">
        <f t="shared" si="3"/>
        <v>0</v>
      </c>
      <c r="AK28" s="19">
        <f t="shared" si="4"/>
        <v>0</v>
      </c>
      <c r="AM28" s="532" t="s">
        <v>15</v>
      </c>
      <c r="AN28" s="532"/>
      <c r="AO28" s="532"/>
      <c r="AP28" s="532"/>
      <c r="AQ28" s="532"/>
      <c r="AR28" s="532"/>
      <c r="AS28" s="13">
        <v>95</v>
      </c>
      <c r="AT28" s="19"/>
      <c r="AU28" s="19"/>
      <c r="AV28" s="19">
        <v>1</v>
      </c>
      <c r="AW28" s="19"/>
      <c r="AX28" s="30">
        <f t="shared" si="5"/>
        <v>1</v>
      </c>
      <c r="AY28" s="28">
        <f t="shared" si="6"/>
        <v>95</v>
      </c>
      <c r="AZ28" s="14"/>
      <c r="BA28" s="532" t="s">
        <v>15</v>
      </c>
      <c r="BB28" s="532"/>
      <c r="BC28" s="532"/>
      <c r="BD28" s="532"/>
      <c r="BE28" s="532"/>
      <c r="BF28" s="532"/>
      <c r="BG28" s="13">
        <v>95</v>
      </c>
      <c r="BH28" s="19"/>
      <c r="BI28" s="19">
        <v>1</v>
      </c>
      <c r="BJ28" s="30">
        <f t="shared" si="7"/>
        <v>1</v>
      </c>
      <c r="BK28" s="28">
        <f t="shared" si="8"/>
        <v>95</v>
      </c>
      <c r="BL28" s="14"/>
      <c r="BM28" s="532" t="s">
        <v>15</v>
      </c>
      <c r="BN28" s="532"/>
      <c r="BO28" s="532"/>
      <c r="BP28" s="532"/>
      <c r="BQ28" s="532"/>
      <c r="BR28" s="532"/>
      <c r="BS28" s="13">
        <v>95</v>
      </c>
      <c r="BT28" s="19"/>
      <c r="BU28" s="19"/>
      <c r="BV28" s="19"/>
      <c r="BW28" s="19"/>
      <c r="BX28" s="19"/>
      <c r="BY28" s="19"/>
      <c r="BZ28" s="19"/>
      <c r="CA28" s="19"/>
      <c r="CB28" s="19"/>
      <c r="CC28" s="30">
        <f t="shared" si="9"/>
        <v>0</v>
      </c>
      <c r="CD28" s="28">
        <f t="shared" si="10"/>
        <v>0</v>
      </c>
      <c r="CE28" s="14"/>
      <c r="CF28" s="532" t="s">
        <v>15</v>
      </c>
      <c r="CG28" s="532"/>
      <c r="CH28" s="532"/>
      <c r="CI28" s="532"/>
      <c r="CJ28" s="532"/>
      <c r="CK28" s="532"/>
      <c r="CL28" s="13">
        <v>95</v>
      </c>
      <c r="CM28" s="19"/>
      <c r="CN28" s="19"/>
      <c r="CO28" s="19"/>
      <c r="CP28" s="19"/>
      <c r="CQ28" s="19"/>
      <c r="CR28" s="19"/>
      <c r="CS28" s="19"/>
      <c r="CT28" s="19"/>
      <c r="CU28" s="30">
        <f t="shared" si="11"/>
        <v>0</v>
      </c>
      <c r="CV28" s="28">
        <f t="shared" si="12"/>
        <v>0</v>
      </c>
      <c r="CW28" s="14"/>
      <c r="CX28" s="532" t="s">
        <v>15</v>
      </c>
      <c r="CY28" s="532"/>
      <c r="CZ28" s="532"/>
      <c r="DA28" s="532"/>
      <c r="DB28" s="532"/>
      <c r="DC28" s="532"/>
      <c r="DD28" s="13">
        <v>110</v>
      </c>
      <c r="DE28" s="19"/>
      <c r="DF28" s="19"/>
      <c r="DG28" s="19"/>
      <c r="DH28" s="19"/>
      <c r="DI28" s="19"/>
      <c r="DJ28" s="19"/>
      <c r="DK28" s="19"/>
      <c r="DL28" s="19">
        <v>1</v>
      </c>
      <c r="DM28" s="19"/>
      <c r="DN28" s="19">
        <v>1</v>
      </c>
      <c r="DO28" s="30">
        <f t="shared" si="13"/>
        <v>2</v>
      </c>
      <c r="DP28" s="28">
        <f t="shared" si="14"/>
        <v>220</v>
      </c>
      <c r="DR28" s="532" t="s">
        <v>15</v>
      </c>
      <c r="DS28" s="532"/>
      <c r="DT28" s="532"/>
      <c r="DU28" s="532"/>
      <c r="DV28" s="532"/>
      <c r="DW28" s="532"/>
      <c r="DX28" s="13">
        <v>110</v>
      </c>
      <c r="DY28" s="19"/>
      <c r="DZ28" s="19"/>
      <c r="EA28" s="19"/>
      <c r="EB28" s="19"/>
      <c r="EC28" s="19"/>
      <c r="ED28" s="19"/>
      <c r="EE28" s="19"/>
      <c r="EF28" s="19"/>
      <c r="EG28" s="19"/>
      <c r="EH28" s="19"/>
    </row>
    <row r="29" spans="1:138" ht="14.45" customHeight="1" x14ac:dyDescent="0.25">
      <c r="A29" s="58"/>
      <c r="B29" s="12"/>
      <c r="C29" s="532" t="s">
        <v>16</v>
      </c>
      <c r="D29" s="532"/>
      <c r="E29" s="532"/>
      <c r="F29" s="532"/>
      <c r="G29" s="532"/>
      <c r="H29" s="532"/>
      <c r="I29" s="13">
        <v>135</v>
      </c>
      <c r="J29" s="13">
        <v>3</v>
      </c>
      <c r="K29" s="19"/>
      <c r="L29" s="19"/>
      <c r="M29" s="19">
        <f t="shared" si="15"/>
        <v>3</v>
      </c>
      <c r="N29" s="19">
        <f t="shared" si="0"/>
        <v>405</v>
      </c>
      <c r="O29" s="12"/>
      <c r="P29" s="532" t="s">
        <v>16</v>
      </c>
      <c r="Q29" s="532"/>
      <c r="R29" s="532"/>
      <c r="S29" s="532"/>
      <c r="T29" s="532"/>
      <c r="U29" s="532"/>
      <c r="V29" s="13"/>
      <c r="W29" s="19"/>
      <c r="X29" s="19"/>
      <c r="Y29" s="23">
        <f t="shared" si="1"/>
        <v>0</v>
      </c>
      <c r="Z29" s="19">
        <f t="shared" si="2"/>
        <v>0</v>
      </c>
      <c r="AA29" s="6"/>
      <c r="AB29" s="532" t="s">
        <v>16</v>
      </c>
      <c r="AC29" s="532"/>
      <c r="AD29" s="532"/>
      <c r="AE29" s="532"/>
      <c r="AF29" s="532"/>
      <c r="AG29" s="532"/>
      <c r="AH29" s="13"/>
      <c r="AI29" s="19"/>
      <c r="AJ29" s="23">
        <f t="shared" si="3"/>
        <v>0</v>
      </c>
      <c r="AK29" s="19">
        <f t="shared" si="4"/>
        <v>0</v>
      </c>
      <c r="AM29" s="572" t="s">
        <v>16</v>
      </c>
      <c r="AN29" s="572"/>
      <c r="AO29" s="572"/>
      <c r="AP29" s="572"/>
      <c r="AQ29" s="572"/>
      <c r="AR29" s="572"/>
      <c r="AS29" s="28"/>
      <c r="AT29" s="28"/>
      <c r="AU29" s="28"/>
      <c r="AV29" s="28"/>
      <c r="AW29" s="28"/>
      <c r="AX29" s="30">
        <f t="shared" si="5"/>
        <v>0</v>
      </c>
      <c r="AY29" s="28">
        <f t="shared" si="6"/>
        <v>0</v>
      </c>
      <c r="AZ29" s="14"/>
      <c r="BA29" s="572" t="s">
        <v>16</v>
      </c>
      <c r="BB29" s="572"/>
      <c r="BC29" s="572"/>
      <c r="BD29" s="572"/>
      <c r="BE29" s="572"/>
      <c r="BF29" s="572"/>
      <c r="BG29" s="28"/>
      <c r="BH29" s="28"/>
      <c r="BI29" s="28"/>
      <c r="BJ29" s="30">
        <f>SUM(BH29:BI29)</f>
        <v>0</v>
      </c>
      <c r="BK29" s="28">
        <f t="shared" si="8"/>
        <v>0</v>
      </c>
      <c r="BL29" s="14"/>
      <c r="BM29" s="572" t="s">
        <v>16</v>
      </c>
      <c r="BN29" s="572"/>
      <c r="BO29" s="572"/>
      <c r="BP29" s="572"/>
      <c r="BQ29" s="572"/>
      <c r="BR29" s="572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30">
        <f t="shared" si="9"/>
        <v>0</v>
      </c>
      <c r="CD29" s="28">
        <f t="shared" si="10"/>
        <v>0</v>
      </c>
      <c r="CE29" s="14"/>
      <c r="CF29" s="572" t="s">
        <v>16</v>
      </c>
      <c r="CG29" s="572"/>
      <c r="CH29" s="572"/>
      <c r="CI29" s="572"/>
      <c r="CJ29" s="572"/>
      <c r="CK29" s="572"/>
      <c r="CL29" s="28"/>
      <c r="CM29" s="28"/>
      <c r="CN29" s="28"/>
      <c r="CO29" s="28"/>
      <c r="CP29" s="28"/>
      <c r="CQ29" s="28"/>
      <c r="CR29" s="28"/>
      <c r="CS29" s="28"/>
      <c r="CT29" s="28"/>
      <c r="CU29" s="30">
        <f t="shared" si="11"/>
        <v>0</v>
      </c>
      <c r="CV29" s="28">
        <f t="shared" si="12"/>
        <v>0</v>
      </c>
      <c r="CW29" s="14"/>
      <c r="CX29" s="572" t="s">
        <v>16</v>
      </c>
      <c r="CY29" s="572"/>
      <c r="CZ29" s="572"/>
      <c r="DA29" s="572"/>
      <c r="DB29" s="572"/>
      <c r="DC29" s="572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30">
        <f t="shared" si="13"/>
        <v>0</v>
      </c>
      <c r="DP29" s="28">
        <f t="shared" si="14"/>
        <v>0</v>
      </c>
      <c r="DR29" s="572" t="s">
        <v>16</v>
      </c>
      <c r="DS29" s="572"/>
      <c r="DT29" s="572"/>
      <c r="DU29" s="572"/>
      <c r="DV29" s="572"/>
      <c r="DW29" s="572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</row>
    <row r="30" spans="1:138" ht="14.45" customHeight="1" x14ac:dyDescent="0.25">
      <c r="A30" s="58"/>
      <c r="B30" s="12"/>
      <c r="C30" s="532" t="s">
        <v>54</v>
      </c>
      <c r="D30" s="532"/>
      <c r="E30" s="532"/>
      <c r="F30" s="532"/>
      <c r="G30" s="532"/>
      <c r="H30" s="532"/>
      <c r="I30" s="13"/>
      <c r="J30" s="13"/>
      <c r="K30" s="19"/>
      <c r="L30" s="19"/>
      <c r="M30" s="19">
        <f t="shared" si="15"/>
        <v>0</v>
      </c>
      <c r="N30" s="19">
        <f t="shared" si="0"/>
        <v>0</v>
      </c>
      <c r="O30" s="12"/>
      <c r="P30" s="532" t="s">
        <v>54</v>
      </c>
      <c r="Q30" s="532"/>
      <c r="R30" s="532"/>
      <c r="S30" s="532"/>
      <c r="T30" s="532"/>
      <c r="U30" s="532"/>
      <c r="V30" s="13"/>
      <c r="W30" s="19"/>
      <c r="X30" s="19"/>
      <c r="Y30" s="23">
        <f t="shared" si="1"/>
        <v>0</v>
      </c>
      <c r="Z30" s="19">
        <f t="shared" si="2"/>
        <v>0</v>
      </c>
      <c r="AA30" s="6"/>
      <c r="AB30" s="532" t="s">
        <v>54</v>
      </c>
      <c r="AC30" s="532"/>
      <c r="AD30" s="532"/>
      <c r="AE30" s="532"/>
      <c r="AF30" s="532"/>
      <c r="AG30" s="532"/>
      <c r="AH30" s="13"/>
      <c r="AI30" s="19"/>
      <c r="AJ30" s="23">
        <f t="shared" si="3"/>
        <v>0</v>
      </c>
      <c r="AK30" s="19">
        <f t="shared" si="4"/>
        <v>0</v>
      </c>
      <c r="AM30" s="532" t="s">
        <v>54</v>
      </c>
      <c r="AN30" s="532"/>
      <c r="AO30" s="532"/>
      <c r="AP30" s="532"/>
      <c r="AQ30" s="532"/>
      <c r="AR30" s="532"/>
      <c r="AS30" s="13"/>
      <c r="AT30" s="19"/>
      <c r="AU30" s="19"/>
      <c r="AV30" s="19"/>
      <c r="AW30" s="19"/>
      <c r="AX30" s="30">
        <f t="shared" si="5"/>
        <v>0</v>
      </c>
      <c r="AY30" s="28">
        <f t="shared" si="6"/>
        <v>0</v>
      </c>
      <c r="AZ30" s="14"/>
      <c r="BA30" s="532" t="s">
        <v>54</v>
      </c>
      <c r="BB30" s="532"/>
      <c r="BC30" s="532"/>
      <c r="BD30" s="532"/>
      <c r="BE30" s="532"/>
      <c r="BF30" s="532"/>
      <c r="BG30" s="13"/>
      <c r="BH30" s="19"/>
      <c r="BI30" s="19"/>
      <c r="BJ30" s="30">
        <f t="shared" si="7"/>
        <v>0</v>
      </c>
      <c r="BK30" s="28">
        <f t="shared" si="8"/>
        <v>0</v>
      </c>
      <c r="BL30" s="14"/>
      <c r="BM30" s="532" t="s">
        <v>54</v>
      </c>
      <c r="BN30" s="532"/>
      <c r="BO30" s="532"/>
      <c r="BP30" s="532"/>
      <c r="BQ30" s="532"/>
      <c r="BR30" s="532"/>
      <c r="BS30" s="13">
        <v>100</v>
      </c>
      <c r="BT30" s="19"/>
      <c r="BU30" s="19"/>
      <c r="BV30" s="19"/>
      <c r="BW30" s="19">
        <v>1</v>
      </c>
      <c r="BX30" s="19"/>
      <c r="BY30" s="19"/>
      <c r="BZ30" s="19"/>
      <c r="CA30" s="19"/>
      <c r="CB30" s="19"/>
      <c r="CC30" s="30">
        <f t="shared" si="9"/>
        <v>1</v>
      </c>
      <c r="CD30" s="28">
        <f t="shared" si="10"/>
        <v>100</v>
      </c>
      <c r="CE30" s="14"/>
      <c r="CF30" s="532" t="s">
        <v>54</v>
      </c>
      <c r="CG30" s="532"/>
      <c r="CH30" s="532"/>
      <c r="CI30" s="532"/>
      <c r="CJ30" s="532"/>
      <c r="CK30" s="532"/>
      <c r="CL30" s="13">
        <v>100</v>
      </c>
      <c r="CM30" s="19"/>
      <c r="CN30" s="19"/>
      <c r="CO30" s="19"/>
      <c r="CP30" s="19"/>
      <c r="CQ30" s="19"/>
      <c r="CR30" s="19"/>
      <c r="CS30" s="19"/>
      <c r="CT30" s="19"/>
      <c r="CU30" s="30">
        <f t="shared" si="11"/>
        <v>0</v>
      </c>
      <c r="CV30" s="28">
        <f t="shared" si="12"/>
        <v>0</v>
      </c>
      <c r="CW30" s="14"/>
      <c r="CX30" s="532" t="s">
        <v>54</v>
      </c>
      <c r="CY30" s="532"/>
      <c r="CZ30" s="532"/>
      <c r="DA30" s="532"/>
      <c r="DB30" s="532"/>
      <c r="DC30" s="532"/>
      <c r="DD30" s="13">
        <v>100</v>
      </c>
      <c r="DE30" s="19"/>
      <c r="DF30" s="19"/>
      <c r="DG30" s="19"/>
      <c r="DH30" s="19"/>
      <c r="DI30" s="19"/>
      <c r="DJ30" s="19"/>
      <c r="DK30" s="19"/>
      <c r="DL30" s="19">
        <v>1</v>
      </c>
      <c r="DM30" s="19">
        <v>3</v>
      </c>
      <c r="DN30" s="19"/>
      <c r="DO30" s="30">
        <f t="shared" si="13"/>
        <v>4</v>
      </c>
      <c r="DP30" s="28">
        <f t="shared" si="14"/>
        <v>400</v>
      </c>
      <c r="DR30" s="532" t="s">
        <v>54</v>
      </c>
      <c r="DS30" s="532"/>
      <c r="DT30" s="532"/>
      <c r="DU30" s="532"/>
      <c r="DV30" s="532"/>
      <c r="DW30" s="532"/>
      <c r="DX30" s="13">
        <v>100</v>
      </c>
      <c r="DY30" s="19"/>
      <c r="DZ30" s="19"/>
      <c r="EA30" s="19"/>
      <c r="EB30" s="19"/>
      <c r="EC30" s="19"/>
      <c r="ED30" s="19"/>
      <c r="EE30" s="19"/>
      <c r="EF30" s="19"/>
      <c r="EG30" s="19"/>
      <c r="EH30" s="19"/>
    </row>
    <row r="31" spans="1:138" ht="14.45" customHeight="1" x14ac:dyDescent="0.25">
      <c r="A31" s="58"/>
      <c r="B31" s="12"/>
      <c r="C31" s="532" t="s">
        <v>17</v>
      </c>
      <c r="D31" s="532"/>
      <c r="E31" s="532"/>
      <c r="F31" s="532"/>
      <c r="G31" s="532"/>
      <c r="H31" s="532"/>
      <c r="I31" s="13"/>
      <c r="J31" s="13"/>
      <c r="K31" s="19"/>
      <c r="L31" s="19"/>
      <c r="M31" s="19">
        <f t="shared" si="15"/>
        <v>0</v>
      </c>
      <c r="N31" s="19">
        <f t="shared" si="0"/>
        <v>0</v>
      </c>
      <c r="O31" s="12"/>
      <c r="P31" s="532" t="s">
        <v>17</v>
      </c>
      <c r="Q31" s="532"/>
      <c r="R31" s="532"/>
      <c r="S31" s="532"/>
      <c r="T31" s="532"/>
      <c r="U31" s="532"/>
      <c r="V31" s="13"/>
      <c r="W31" s="19"/>
      <c r="X31" s="19"/>
      <c r="Y31" s="23">
        <f t="shared" si="1"/>
        <v>0</v>
      </c>
      <c r="Z31" s="19">
        <f t="shared" si="2"/>
        <v>0</v>
      </c>
      <c r="AA31" s="6"/>
      <c r="AB31" s="532" t="s">
        <v>17</v>
      </c>
      <c r="AC31" s="532"/>
      <c r="AD31" s="532"/>
      <c r="AE31" s="532"/>
      <c r="AF31" s="532"/>
      <c r="AG31" s="532"/>
      <c r="AH31" s="13"/>
      <c r="AI31" s="19"/>
      <c r="AJ31" s="23">
        <f t="shared" si="3"/>
        <v>0</v>
      </c>
      <c r="AK31" s="19">
        <f t="shared" si="4"/>
        <v>0</v>
      </c>
      <c r="AM31" s="572" t="s">
        <v>17</v>
      </c>
      <c r="AN31" s="572"/>
      <c r="AO31" s="572"/>
      <c r="AP31" s="572"/>
      <c r="AQ31" s="572"/>
      <c r="AR31" s="572"/>
      <c r="AS31" s="28"/>
      <c r="AT31" s="28"/>
      <c r="AU31" s="28"/>
      <c r="AV31" s="28"/>
      <c r="AW31" s="28"/>
      <c r="AX31" s="30">
        <f t="shared" si="5"/>
        <v>0</v>
      </c>
      <c r="AY31" s="28">
        <f t="shared" si="6"/>
        <v>0</v>
      </c>
      <c r="AZ31" s="14"/>
      <c r="BA31" s="572" t="s">
        <v>17</v>
      </c>
      <c r="BB31" s="572"/>
      <c r="BC31" s="572"/>
      <c r="BD31" s="572"/>
      <c r="BE31" s="572"/>
      <c r="BF31" s="572"/>
      <c r="BG31" s="28"/>
      <c r="BH31" s="28"/>
      <c r="BI31" s="28"/>
      <c r="BJ31" s="30">
        <f t="shared" si="7"/>
        <v>0</v>
      </c>
      <c r="BK31" s="28">
        <f t="shared" si="8"/>
        <v>0</v>
      </c>
      <c r="BL31" s="14"/>
      <c r="BM31" s="572" t="s">
        <v>17</v>
      </c>
      <c r="BN31" s="572"/>
      <c r="BO31" s="572"/>
      <c r="BP31" s="572"/>
      <c r="BQ31" s="572"/>
      <c r="BR31" s="572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30">
        <f t="shared" si="9"/>
        <v>0</v>
      </c>
      <c r="CD31" s="28">
        <f t="shared" si="10"/>
        <v>0</v>
      </c>
      <c r="CE31" s="14"/>
      <c r="CF31" s="572" t="s">
        <v>17</v>
      </c>
      <c r="CG31" s="572"/>
      <c r="CH31" s="572"/>
      <c r="CI31" s="572"/>
      <c r="CJ31" s="572"/>
      <c r="CK31" s="572"/>
      <c r="CL31" s="28"/>
      <c r="CM31" s="28"/>
      <c r="CN31" s="28"/>
      <c r="CO31" s="28"/>
      <c r="CP31" s="28"/>
      <c r="CQ31" s="28"/>
      <c r="CR31" s="28"/>
      <c r="CS31" s="28"/>
      <c r="CT31" s="28"/>
      <c r="CU31" s="30">
        <f t="shared" si="11"/>
        <v>0</v>
      </c>
      <c r="CV31" s="28">
        <f t="shared" si="12"/>
        <v>0</v>
      </c>
      <c r="CW31" s="14"/>
      <c r="CX31" s="572" t="s">
        <v>17</v>
      </c>
      <c r="CY31" s="572"/>
      <c r="CZ31" s="572"/>
      <c r="DA31" s="572"/>
      <c r="DB31" s="572"/>
      <c r="DC31" s="572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30">
        <f t="shared" si="13"/>
        <v>0</v>
      </c>
      <c r="DP31" s="28">
        <f t="shared" si="14"/>
        <v>0</v>
      </c>
      <c r="DR31" s="572" t="s">
        <v>17</v>
      </c>
      <c r="DS31" s="572"/>
      <c r="DT31" s="572"/>
      <c r="DU31" s="572"/>
      <c r="DV31" s="572"/>
      <c r="DW31" s="572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</row>
    <row r="32" spans="1:138" ht="14.45" customHeight="1" x14ac:dyDescent="0.25">
      <c r="A32" s="58"/>
      <c r="B32" s="12"/>
      <c r="C32" s="532" t="s">
        <v>59</v>
      </c>
      <c r="D32" s="532"/>
      <c r="E32" s="532"/>
      <c r="F32" s="532"/>
      <c r="G32" s="532"/>
      <c r="H32" s="532"/>
      <c r="I32" s="13"/>
      <c r="J32" s="13"/>
      <c r="K32" s="19"/>
      <c r="L32" s="19"/>
      <c r="M32" s="19">
        <f t="shared" si="15"/>
        <v>0</v>
      </c>
      <c r="N32" s="19">
        <f t="shared" si="0"/>
        <v>0</v>
      </c>
      <c r="O32" s="12"/>
      <c r="P32" s="532" t="s">
        <v>59</v>
      </c>
      <c r="Q32" s="532"/>
      <c r="R32" s="532"/>
      <c r="S32" s="532"/>
      <c r="T32" s="532"/>
      <c r="U32" s="532"/>
      <c r="V32" s="13"/>
      <c r="W32" s="19"/>
      <c r="X32" s="19"/>
      <c r="Y32" s="23">
        <f t="shared" si="1"/>
        <v>0</v>
      </c>
      <c r="Z32" s="19">
        <f t="shared" si="2"/>
        <v>0</v>
      </c>
      <c r="AA32" s="6"/>
      <c r="AB32" s="532" t="s">
        <v>59</v>
      </c>
      <c r="AC32" s="532"/>
      <c r="AD32" s="532"/>
      <c r="AE32" s="532"/>
      <c r="AF32" s="532"/>
      <c r="AG32" s="532"/>
      <c r="AH32" s="13"/>
      <c r="AI32" s="19"/>
      <c r="AJ32" s="23">
        <f t="shared" si="3"/>
        <v>0</v>
      </c>
      <c r="AK32" s="19">
        <f t="shared" si="4"/>
        <v>0</v>
      </c>
      <c r="AM32" s="532" t="s">
        <v>59</v>
      </c>
      <c r="AN32" s="532"/>
      <c r="AO32" s="532"/>
      <c r="AP32" s="532"/>
      <c r="AQ32" s="532"/>
      <c r="AR32" s="532"/>
      <c r="AS32" s="13"/>
      <c r="AT32" s="19"/>
      <c r="AU32" s="19"/>
      <c r="AV32" s="19"/>
      <c r="AW32" s="19"/>
      <c r="AX32" s="30">
        <f t="shared" si="5"/>
        <v>0</v>
      </c>
      <c r="AY32" s="28">
        <f t="shared" si="6"/>
        <v>0</v>
      </c>
      <c r="AZ32" s="14"/>
      <c r="BA32" s="532" t="s">
        <v>59</v>
      </c>
      <c r="BB32" s="532"/>
      <c r="BC32" s="532"/>
      <c r="BD32" s="532"/>
      <c r="BE32" s="532"/>
      <c r="BF32" s="532"/>
      <c r="BG32" s="13"/>
      <c r="BH32" s="19"/>
      <c r="BI32" s="19"/>
      <c r="BJ32" s="30">
        <f t="shared" si="7"/>
        <v>0</v>
      </c>
      <c r="BK32" s="28">
        <f t="shared" si="8"/>
        <v>0</v>
      </c>
      <c r="BL32" s="14"/>
      <c r="BM32" s="532" t="s">
        <v>59</v>
      </c>
      <c r="BN32" s="532"/>
      <c r="BO32" s="532"/>
      <c r="BP32" s="532"/>
      <c r="BQ32" s="532"/>
      <c r="BR32" s="532"/>
      <c r="BS32" s="13">
        <v>100</v>
      </c>
      <c r="BT32" s="19"/>
      <c r="BU32" s="19"/>
      <c r="BV32" s="19"/>
      <c r="BW32" s="19"/>
      <c r="BX32" s="19"/>
      <c r="BY32" s="19"/>
      <c r="BZ32" s="19"/>
      <c r="CA32" s="19"/>
      <c r="CB32" s="19"/>
      <c r="CC32" s="30">
        <f t="shared" si="9"/>
        <v>0</v>
      </c>
      <c r="CD32" s="28">
        <f t="shared" si="10"/>
        <v>0</v>
      </c>
      <c r="CE32" s="14"/>
      <c r="CF32" s="532" t="s">
        <v>59</v>
      </c>
      <c r="CG32" s="532"/>
      <c r="CH32" s="532"/>
      <c r="CI32" s="532"/>
      <c r="CJ32" s="532"/>
      <c r="CK32" s="532"/>
      <c r="CL32" s="13">
        <v>100</v>
      </c>
      <c r="CM32" s="19"/>
      <c r="CN32" s="19">
        <v>1</v>
      </c>
      <c r="CO32" s="19"/>
      <c r="CP32" s="19"/>
      <c r="CQ32" s="19">
        <v>1</v>
      </c>
      <c r="CR32" s="19"/>
      <c r="CS32" s="19"/>
      <c r="CT32" s="19"/>
      <c r="CU32" s="30">
        <f t="shared" si="11"/>
        <v>2</v>
      </c>
      <c r="CV32" s="28">
        <f t="shared" si="12"/>
        <v>200</v>
      </c>
      <c r="CW32" s="14"/>
      <c r="CX32" s="532" t="s">
        <v>59</v>
      </c>
      <c r="CY32" s="532"/>
      <c r="CZ32" s="532"/>
      <c r="DA32" s="532"/>
      <c r="DB32" s="532"/>
      <c r="DC32" s="532"/>
      <c r="DD32" s="13">
        <v>100</v>
      </c>
      <c r="DE32" s="19"/>
      <c r="DF32" s="19"/>
      <c r="DG32" s="19">
        <v>1</v>
      </c>
      <c r="DH32" s="19"/>
      <c r="DI32" s="19"/>
      <c r="DJ32" s="19"/>
      <c r="DK32" s="19"/>
      <c r="DL32" s="19"/>
      <c r="DM32" s="19"/>
      <c r="DN32" s="19"/>
      <c r="DO32" s="30">
        <f t="shared" si="13"/>
        <v>1</v>
      </c>
      <c r="DP32" s="28">
        <f t="shared" si="14"/>
        <v>100</v>
      </c>
      <c r="DR32" s="532" t="s">
        <v>59</v>
      </c>
      <c r="DS32" s="532"/>
      <c r="DT32" s="532"/>
      <c r="DU32" s="532"/>
      <c r="DV32" s="532"/>
      <c r="DW32" s="532"/>
      <c r="DX32" s="13">
        <v>100</v>
      </c>
      <c r="DY32" s="19"/>
      <c r="DZ32" s="19"/>
      <c r="EA32" s="19"/>
      <c r="EB32" s="19"/>
      <c r="EC32" s="19"/>
      <c r="ED32" s="19"/>
      <c r="EE32" s="19"/>
      <c r="EF32" s="19"/>
      <c r="EG32" s="19"/>
      <c r="EH32" s="19"/>
    </row>
    <row r="33" spans="1:138" ht="14.45" customHeight="1" x14ac:dyDescent="0.25">
      <c r="A33" s="58"/>
      <c r="B33" s="12"/>
      <c r="C33" s="532" t="s">
        <v>18</v>
      </c>
      <c r="D33" s="532"/>
      <c r="E33" s="532"/>
      <c r="F33" s="532"/>
      <c r="G33" s="532"/>
      <c r="H33" s="532"/>
      <c r="I33" s="13"/>
      <c r="J33" s="13"/>
      <c r="K33" s="19"/>
      <c r="L33" s="19"/>
      <c r="M33" s="19">
        <f t="shared" si="15"/>
        <v>0</v>
      </c>
      <c r="N33" s="19">
        <f t="shared" si="0"/>
        <v>0</v>
      </c>
      <c r="O33" s="12"/>
      <c r="P33" s="532" t="s">
        <v>18</v>
      </c>
      <c r="Q33" s="532"/>
      <c r="R33" s="532"/>
      <c r="S33" s="532"/>
      <c r="T33" s="532"/>
      <c r="U33" s="532"/>
      <c r="V33" s="13"/>
      <c r="W33" s="19"/>
      <c r="X33" s="19"/>
      <c r="Y33" s="23">
        <f t="shared" si="1"/>
        <v>0</v>
      </c>
      <c r="Z33" s="19">
        <f t="shared" si="2"/>
        <v>0</v>
      </c>
      <c r="AA33" s="6"/>
      <c r="AB33" s="532" t="s">
        <v>18</v>
      </c>
      <c r="AC33" s="532"/>
      <c r="AD33" s="532"/>
      <c r="AE33" s="532"/>
      <c r="AF33" s="532"/>
      <c r="AG33" s="532"/>
      <c r="AH33" s="13"/>
      <c r="AI33" s="19"/>
      <c r="AJ33" s="23">
        <f t="shared" si="3"/>
        <v>0</v>
      </c>
      <c r="AK33" s="19">
        <f t="shared" si="4"/>
        <v>0</v>
      </c>
      <c r="AM33" s="572" t="s">
        <v>18</v>
      </c>
      <c r="AN33" s="572"/>
      <c r="AO33" s="572"/>
      <c r="AP33" s="572"/>
      <c r="AQ33" s="572"/>
      <c r="AR33" s="572"/>
      <c r="AS33" s="28"/>
      <c r="AT33" s="28"/>
      <c r="AU33" s="28"/>
      <c r="AV33" s="28"/>
      <c r="AW33" s="28"/>
      <c r="AX33" s="30">
        <f t="shared" si="5"/>
        <v>0</v>
      </c>
      <c r="AY33" s="28">
        <f t="shared" si="6"/>
        <v>0</v>
      </c>
      <c r="AZ33" s="14"/>
      <c r="BA33" s="572" t="s">
        <v>18</v>
      </c>
      <c r="BB33" s="572"/>
      <c r="BC33" s="572"/>
      <c r="BD33" s="572"/>
      <c r="BE33" s="572"/>
      <c r="BF33" s="572"/>
      <c r="BG33" s="28">
        <v>240</v>
      </c>
      <c r="BH33" s="28"/>
      <c r="BI33" s="28"/>
      <c r="BJ33" s="30">
        <f t="shared" si="7"/>
        <v>0</v>
      </c>
      <c r="BK33" s="28">
        <f t="shared" si="8"/>
        <v>0</v>
      </c>
      <c r="BL33" s="14"/>
      <c r="BM33" s="572" t="s">
        <v>18</v>
      </c>
      <c r="BN33" s="572"/>
      <c r="BO33" s="572"/>
      <c r="BP33" s="572"/>
      <c r="BQ33" s="572"/>
      <c r="BR33" s="572"/>
      <c r="BS33" s="28">
        <v>240</v>
      </c>
      <c r="BT33" s="28">
        <v>1</v>
      </c>
      <c r="BU33" s="28"/>
      <c r="BV33" s="28"/>
      <c r="BW33" s="28"/>
      <c r="BX33" s="28"/>
      <c r="BY33" s="28"/>
      <c r="BZ33" s="28"/>
      <c r="CA33" s="28"/>
      <c r="CB33" s="28"/>
      <c r="CC33" s="30">
        <f t="shared" si="9"/>
        <v>1</v>
      </c>
      <c r="CD33" s="28">
        <f t="shared" si="10"/>
        <v>240</v>
      </c>
      <c r="CE33" s="14"/>
      <c r="CF33" s="572" t="s">
        <v>18</v>
      </c>
      <c r="CG33" s="572"/>
      <c r="CH33" s="572"/>
      <c r="CI33" s="572"/>
      <c r="CJ33" s="572"/>
      <c r="CK33" s="572"/>
      <c r="CL33" s="28">
        <v>240</v>
      </c>
      <c r="CM33" s="28"/>
      <c r="CN33" s="28"/>
      <c r="CO33" s="28"/>
      <c r="CP33" s="28"/>
      <c r="CQ33" s="28"/>
      <c r="CR33" s="28"/>
      <c r="CS33" s="28"/>
      <c r="CT33" s="28"/>
      <c r="CU33" s="30">
        <f t="shared" si="11"/>
        <v>0</v>
      </c>
      <c r="CV33" s="28">
        <f t="shared" si="12"/>
        <v>0</v>
      </c>
      <c r="CW33" s="14"/>
      <c r="CX33" s="572" t="s">
        <v>18</v>
      </c>
      <c r="CY33" s="572"/>
      <c r="CZ33" s="572"/>
      <c r="DA33" s="572"/>
      <c r="DB33" s="572"/>
      <c r="DC33" s="572"/>
      <c r="DD33" s="28">
        <v>240</v>
      </c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30">
        <f t="shared" si="13"/>
        <v>0</v>
      </c>
      <c r="DP33" s="28">
        <f t="shared" si="14"/>
        <v>0</v>
      </c>
      <c r="DR33" s="572" t="s">
        <v>18</v>
      </c>
      <c r="DS33" s="572"/>
      <c r="DT33" s="572"/>
      <c r="DU33" s="572"/>
      <c r="DV33" s="572"/>
      <c r="DW33" s="572"/>
      <c r="DX33" s="28">
        <v>240</v>
      </c>
      <c r="DY33" s="28"/>
      <c r="DZ33" s="28"/>
      <c r="EA33" s="28"/>
      <c r="EB33" s="28"/>
      <c r="EC33" s="28"/>
      <c r="ED33" s="28"/>
      <c r="EE33" s="28"/>
      <c r="EF33" s="28"/>
      <c r="EG33" s="28"/>
      <c r="EH33" s="28"/>
    </row>
    <row r="34" spans="1:138" ht="14.45" customHeight="1" x14ac:dyDescent="0.25">
      <c r="A34" s="58"/>
      <c r="B34" s="12"/>
      <c r="C34" s="532" t="s">
        <v>19</v>
      </c>
      <c r="D34" s="532"/>
      <c r="E34" s="532"/>
      <c r="F34" s="532"/>
      <c r="G34" s="532"/>
      <c r="H34" s="532"/>
      <c r="I34" s="13"/>
      <c r="J34" s="13"/>
      <c r="K34" s="19"/>
      <c r="L34" s="19"/>
      <c r="M34" s="19">
        <f t="shared" si="15"/>
        <v>0</v>
      </c>
      <c r="N34" s="19">
        <f t="shared" si="0"/>
        <v>0</v>
      </c>
      <c r="O34" s="12"/>
      <c r="P34" s="532" t="s">
        <v>19</v>
      </c>
      <c r="Q34" s="532"/>
      <c r="R34" s="532"/>
      <c r="S34" s="532"/>
      <c r="T34" s="532"/>
      <c r="U34" s="532"/>
      <c r="V34" s="13"/>
      <c r="W34" s="19"/>
      <c r="X34" s="19"/>
      <c r="Y34" s="23">
        <f t="shared" si="1"/>
        <v>0</v>
      </c>
      <c r="Z34" s="19">
        <f t="shared" si="2"/>
        <v>0</v>
      </c>
      <c r="AA34" s="6"/>
      <c r="AB34" s="532" t="s">
        <v>19</v>
      </c>
      <c r="AC34" s="532"/>
      <c r="AD34" s="532"/>
      <c r="AE34" s="532"/>
      <c r="AF34" s="532"/>
      <c r="AG34" s="532"/>
      <c r="AH34" s="13"/>
      <c r="AI34" s="19"/>
      <c r="AJ34" s="23">
        <f t="shared" si="3"/>
        <v>0</v>
      </c>
      <c r="AK34" s="19">
        <f t="shared" si="4"/>
        <v>0</v>
      </c>
      <c r="AM34" s="532" t="s">
        <v>19</v>
      </c>
      <c r="AN34" s="532"/>
      <c r="AO34" s="532"/>
      <c r="AP34" s="532"/>
      <c r="AQ34" s="532"/>
      <c r="AR34" s="532"/>
      <c r="AS34" s="13"/>
      <c r="AT34" s="19"/>
      <c r="AU34" s="19"/>
      <c r="AV34" s="19"/>
      <c r="AW34" s="19"/>
      <c r="AX34" s="30">
        <f t="shared" si="5"/>
        <v>0</v>
      </c>
      <c r="AY34" s="28">
        <f t="shared" si="6"/>
        <v>0</v>
      </c>
      <c r="AZ34" s="14"/>
      <c r="BA34" s="532" t="s">
        <v>19</v>
      </c>
      <c r="BB34" s="532"/>
      <c r="BC34" s="532"/>
      <c r="BD34" s="532"/>
      <c r="BE34" s="532"/>
      <c r="BF34" s="532"/>
      <c r="BG34" s="13"/>
      <c r="BH34" s="19"/>
      <c r="BI34" s="19"/>
      <c r="BJ34" s="30">
        <f t="shared" si="7"/>
        <v>0</v>
      </c>
      <c r="BK34" s="28">
        <f t="shared" si="8"/>
        <v>0</v>
      </c>
      <c r="BL34" s="14"/>
      <c r="BM34" s="532" t="s">
        <v>19</v>
      </c>
      <c r="BN34" s="532"/>
      <c r="BO34" s="532"/>
      <c r="BP34" s="532"/>
      <c r="BQ34" s="532"/>
      <c r="BR34" s="532"/>
      <c r="BS34" s="13"/>
      <c r="BT34" s="19"/>
      <c r="BU34" s="19"/>
      <c r="BV34" s="19"/>
      <c r="BW34" s="19"/>
      <c r="BX34" s="19"/>
      <c r="BY34" s="19"/>
      <c r="BZ34" s="19"/>
      <c r="CA34" s="19"/>
      <c r="CB34" s="19"/>
      <c r="CC34" s="30">
        <f t="shared" si="9"/>
        <v>0</v>
      </c>
      <c r="CD34" s="28">
        <f t="shared" si="10"/>
        <v>0</v>
      </c>
      <c r="CE34" s="14"/>
      <c r="CF34" s="532" t="s">
        <v>19</v>
      </c>
      <c r="CG34" s="532"/>
      <c r="CH34" s="532"/>
      <c r="CI34" s="532"/>
      <c r="CJ34" s="532"/>
      <c r="CK34" s="532"/>
      <c r="CL34" s="13"/>
      <c r="CM34" s="19"/>
      <c r="CN34" s="19"/>
      <c r="CO34" s="19"/>
      <c r="CP34" s="19"/>
      <c r="CQ34" s="19"/>
      <c r="CR34" s="19"/>
      <c r="CS34" s="19"/>
      <c r="CT34" s="19"/>
      <c r="CU34" s="30">
        <f t="shared" si="11"/>
        <v>0</v>
      </c>
      <c r="CV34" s="28">
        <f t="shared" si="12"/>
        <v>0</v>
      </c>
      <c r="CW34" s="14"/>
      <c r="CX34" s="532" t="s">
        <v>19</v>
      </c>
      <c r="CY34" s="532"/>
      <c r="CZ34" s="532"/>
      <c r="DA34" s="532"/>
      <c r="DB34" s="532"/>
      <c r="DC34" s="532"/>
      <c r="DD34" s="13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30">
        <f t="shared" si="13"/>
        <v>0</v>
      </c>
      <c r="DP34" s="28">
        <f t="shared" si="14"/>
        <v>0</v>
      </c>
      <c r="DR34" s="532" t="s">
        <v>19</v>
      </c>
      <c r="DS34" s="532"/>
      <c r="DT34" s="532"/>
      <c r="DU34" s="532"/>
      <c r="DV34" s="532"/>
      <c r="DW34" s="532"/>
      <c r="DX34" s="13"/>
      <c r="DY34" s="19"/>
      <c r="DZ34" s="19"/>
      <c r="EA34" s="19"/>
      <c r="EB34" s="19"/>
      <c r="EC34" s="19"/>
      <c r="ED34" s="19"/>
      <c r="EE34" s="19"/>
      <c r="EF34" s="19"/>
      <c r="EG34" s="19"/>
      <c r="EH34" s="19"/>
    </row>
    <row r="35" spans="1:138" ht="14.45" customHeight="1" x14ac:dyDescent="0.25">
      <c r="A35" s="58"/>
      <c r="B35" s="12"/>
      <c r="C35" s="532" t="s">
        <v>20</v>
      </c>
      <c r="D35" s="532"/>
      <c r="E35" s="532"/>
      <c r="F35" s="532"/>
      <c r="G35" s="532"/>
      <c r="H35" s="532"/>
      <c r="I35" s="13"/>
      <c r="J35" s="13"/>
      <c r="K35" s="19"/>
      <c r="L35" s="19"/>
      <c r="M35" s="19">
        <f t="shared" si="15"/>
        <v>0</v>
      </c>
      <c r="N35" s="19">
        <f t="shared" si="0"/>
        <v>0</v>
      </c>
      <c r="O35" s="12"/>
      <c r="P35" s="532" t="s">
        <v>20</v>
      </c>
      <c r="Q35" s="532"/>
      <c r="R35" s="532"/>
      <c r="S35" s="532"/>
      <c r="T35" s="532"/>
      <c r="U35" s="532"/>
      <c r="V35" s="13"/>
      <c r="W35" s="19"/>
      <c r="X35" s="19"/>
      <c r="Y35" s="23">
        <f t="shared" si="1"/>
        <v>0</v>
      </c>
      <c r="Z35" s="19">
        <f t="shared" si="2"/>
        <v>0</v>
      </c>
      <c r="AA35" s="6"/>
      <c r="AB35" s="532" t="s">
        <v>20</v>
      </c>
      <c r="AC35" s="532"/>
      <c r="AD35" s="532"/>
      <c r="AE35" s="532"/>
      <c r="AF35" s="532"/>
      <c r="AG35" s="532"/>
      <c r="AH35" s="13"/>
      <c r="AI35" s="19"/>
      <c r="AJ35" s="23">
        <f t="shared" si="3"/>
        <v>0</v>
      </c>
      <c r="AK35" s="19">
        <f t="shared" si="4"/>
        <v>0</v>
      </c>
      <c r="AM35" s="572" t="s">
        <v>20</v>
      </c>
      <c r="AN35" s="572"/>
      <c r="AO35" s="572"/>
      <c r="AP35" s="572"/>
      <c r="AQ35" s="572"/>
      <c r="AR35" s="572"/>
      <c r="AS35" s="28"/>
      <c r="AT35" s="28"/>
      <c r="AU35" s="28"/>
      <c r="AV35" s="28"/>
      <c r="AW35" s="28"/>
      <c r="AX35" s="30">
        <f t="shared" si="5"/>
        <v>0</v>
      </c>
      <c r="AY35" s="28">
        <f t="shared" si="6"/>
        <v>0</v>
      </c>
      <c r="AZ35" s="14"/>
      <c r="BA35" s="572" t="s">
        <v>20</v>
      </c>
      <c r="BB35" s="572"/>
      <c r="BC35" s="572"/>
      <c r="BD35" s="572"/>
      <c r="BE35" s="572"/>
      <c r="BF35" s="572"/>
      <c r="BG35" s="28"/>
      <c r="BH35" s="28"/>
      <c r="BI35" s="28"/>
      <c r="BJ35" s="30">
        <f t="shared" si="7"/>
        <v>0</v>
      </c>
      <c r="BK35" s="28">
        <f t="shared" si="8"/>
        <v>0</v>
      </c>
      <c r="BL35" s="14"/>
      <c r="BM35" s="572" t="s">
        <v>20</v>
      </c>
      <c r="BN35" s="572"/>
      <c r="BO35" s="572"/>
      <c r="BP35" s="572"/>
      <c r="BQ35" s="572"/>
      <c r="BR35" s="572"/>
      <c r="BS35" s="28">
        <v>5.5</v>
      </c>
      <c r="BT35" s="28"/>
      <c r="BU35" s="28"/>
      <c r="BV35" s="28"/>
      <c r="BW35" s="28"/>
      <c r="BX35" s="28"/>
      <c r="BY35" s="28"/>
      <c r="BZ35" s="28"/>
      <c r="CA35" s="28">
        <v>1</v>
      </c>
      <c r="CB35" s="28"/>
      <c r="CC35" s="30">
        <f t="shared" si="9"/>
        <v>1</v>
      </c>
      <c r="CD35" s="28">
        <f t="shared" si="10"/>
        <v>5.5</v>
      </c>
      <c r="CE35" s="14"/>
      <c r="CF35" s="572" t="s">
        <v>20</v>
      </c>
      <c r="CG35" s="572"/>
      <c r="CH35" s="572"/>
      <c r="CI35" s="572"/>
      <c r="CJ35" s="572"/>
      <c r="CK35" s="572"/>
      <c r="CL35" s="28">
        <v>5.5</v>
      </c>
      <c r="CM35" s="28"/>
      <c r="CN35" s="28"/>
      <c r="CO35" s="28"/>
      <c r="CP35" s="28"/>
      <c r="CQ35" s="28"/>
      <c r="CR35" s="28"/>
      <c r="CS35" s="28"/>
      <c r="CT35" s="28"/>
      <c r="CU35" s="30">
        <f t="shared" si="11"/>
        <v>0</v>
      </c>
      <c r="CV35" s="28">
        <f t="shared" si="12"/>
        <v>0</v>
      </c>
      <c r="CW35" s="14"/>
      <c r="CX35" s="572" t="s">
        <v>20</v>
      </c>
      <c r="CY35" s="572"/>
      <c r="CZ35" s="572"/>
      <c r="DA35" s="572"/>
      <c r="DB35" s="572"/>
      <c r="DC35" s="572"/>
      <c r="DD35" s="28">
        <v>5.5</v>
      </c>
      <c r="DE35" s="28"/>
      <c r="DF35" s="28"/>
      <c r="DG35" s="28"/>
      <c r="DH35" s="28"/>
      <c r="DI35" s="28"/>
      <c r="DJ35" s="28"/>
      <c r="DK35" s="28"/>
      <c r="DL35" s="28">
        <v>1</v>
      </c>
      <c r="DM35" s="28"/>
      <c r="DN35" s="28"/>
      <c r="DO35" s="30">
        <f t="shared" si="13"/>
        <v>1</v>
      </c>
      <c r="DP35" s="28">
        <f t="shared" si="14"/>
        <v>5.5</v>
      </c>
      <c r="DR35" s="572" t="s">
        <v>20</v>
      </c>
      <c r="DS35" s="572"/>
      <c r="DT35" s="572"/>
      <c r="DU35" s="572"/>
      <c r="DV35" s="572"/>
      <c r="DW35" s="572"/>
      <c r="DX35" s="28">
        <v>5.5</v>
      </c>
      <c r="DY35" s="28"/>
      <c r="DZ35" s="28"/>
      <c r="EA35" s="28"/>
      <c r="EB35" s="28"/>
      <c r="EC35" s="28"/>
      <c r="ED35" s="28"/>
      <c r="EE35" s="28"/>
      <c r="EF35" s="28"/>
      <c r="EG35" s="28"/>
      <c r="EH35" s="28"/>
    </row>
    <row r="36" spans="1:138" ht="14.45" customHeight="1" x14ac:dyDescent="0.25">
      <c r="A36" s="58"/>
      <c r="B36" s="12"/>
      <c r="C36" s="532" t="s">
        <v>21</v>
      </c>
      <c r="D36" s="532"/>
      <c r="E36" s="532"/>
      <c r="F36" s="532"/>
      <c r="G36" s="532"/>
      <c r="H36" s="532"/>
      <c r="I36" s="13"/>
      <c r="J36" s="13"/>
      <c r="K36" s="19"/>
      <c r="L36" s="19"/>
      <c r="M36" s="19">
        <f t="shared" si="15"/>
        <v>0</v>
      </c>
      <c r="N36" s="19">
        <f t="shared" si="0"/>
        <v>0</v>
      </c>
      <c r="O36" s="12"/>
      <c r="P36" s="532" t="s">
        <v>21</v>
      </c>
      <c r="Q36" s="532"/>
      <c r="R36" s="532"/>
      <c r="S36" s="532"/>
      <c r="T36" s="532"/>
      <c r="U36" s="532"/>
      <c r="V36" s="13"/>
      <c r="W36" s="19"/>
      <c r="X36" s="19"/>
      <c r="Y36" s="23">
        <f t="shared" si="1"/>
        <v>0</v>
      </c>
      <c r="Z36" s="19">
        <f t="shared" si="2"/>
        <v>0</v>
      </c>
      <c r="AA36" s="6"/>
      <c r="AB36" s="532" t="s">
        <v>21</v>
      </c>
      <c r="AC36" s="532"/>
      <c r="AD36" s="532"/>
      <c r="AE36" s="532"/>
      <c r="AF36" s="532"/>
      <c r="AG36" s="532"/>
      <c r="AH36" s="13"/>
      <c r="AI36" s="19"/>
      <c r="AJ36" s="23">
        <f t="shared" si="3"/>
        <v>0</v>
      </c>
      <c r="AK36" s="19">
        <f t="shared" si="4"/>
        <v>0</v>
      </c>
      <c r="AM36" s="532" t="s">
        <v>21</v>
      </c>
      <c r="AN36" s="532"/>
      <c r="AO36" s="532"/>
      <c r="AP36" s="532"/>
      <c r="AQ36" s="532"/>
      <c r="AR36" s="532"/>
      <c r="AS36" s="13"/>
      <c r="AT36" s="19"/>
      <c r="AU36" s="19"/>
      <c r="AV36" s="19"/>
      <c r="AW36" s="19"/>
      <c r="AX36" s="30">
        <f t="shared" si="5"/>
        <v>0</v>
      </c>
      <c r="AY36" s="28">
        <f t="shared" si="6"/>
        <v>0</v>
      </c>
      <c r="AZ36" s="14"/>
      <c r="BA36" s="532" t="s">
        <v>21</v>
      </c>
      <c r="BB36" s="532"/>
      <c r="BC36" s="532"/>
      <c r="BD36" s="532"/>
      <c r="BE36" s="532"/>
      <c r="BF36" s="532"/>
      <c r="BG36" s="13"/>
      <c r="BH36" s="19"/>
      <c r="BI36" s="19"/>
      <c r="BJ36" s="30">
        <f t="shared" si="7"/>
        <v>0</v>
      </c>
      <c r="BK36" s="28">
        <f t="shared" si="8"/>
        <v>0</v>
      </c>
      <c r="BL36" s="14"/>
      <c r="BM36" s="532" t="s">
        <v>21</v>
      </c>
      <c r="BN36" s="532"/>
      <c r="BO36" s="532"/>
      <c r="BP36" s="532"/>
      <c r="BQ36" s="532"/>
      <c r="BR36" s="532"/>
      <c r="BS36" s="13">
        <v>13</v>
      </c>
      <c r="BT36" s="19"/>
      <c r="BU36" s="19"/>
      <c r="BV36" s="19"/>
      <c r="BW36" s="19"/>
      <c r="BX36" s="19"/>
      <c r="BY36" s="19">
        <v>1</v>
      </c>
      <c r="BZ36" s="19"/>
      <c r="CA36" s="19"/>
      <c r="CB36" s="19"/>
      <c r="CC36" s="30">
        <f t="shared" si="9"/>
        <v>1</v>
      </c>
      <c r="CD36" s="28">
        <f t="shared" si="10"/>
        <v>13</v>
      </c>
      <c r="CE36" s="14"/>
      <c r="CF36" s="532" t="s">
        <v>21</v>
      </c>
      <c r="CG36" s="532"/>
      <c r="CH36" s="532"/>
      <c r="CI36" s="532"/>
      <c r="CJ36" s="532"/>
      <c r="CK36" s="532"/>
      <c r="CL36" s="13">
        <v>13</v>
      </c>
      <c r="CM36" s="19"/>
      <c r="CN36" s="19"/>
      <c r="CO36" s="19"/>
      <c r="CP36" s="19"/>
      <c r="CQ36" s="19"/>
      <c r="CR36" s="19"/>
      <c r="CS36" s="19"/>
      <c r="CT36" s="19"/>
      <c r="CU36" s="30">
        <f t="shared" si="11"/>
        <v>0</v>
      </c>
      <c r="CV36" s="28">
        <f t="shared" si="12"/>
        <v>0</v>
      </c>
      <c r="CW36" s="14"/>
      <c r="CX36" s="532" t="s">
        <v>21</v>
      </c>
      <c r="CY36" s="532"/>
      <c r="CZ36" s="532"/>
      <c r="DA36" s="532"/>
      <c r="DB36" s="532"/>
      <c r="DC36" s="532"/>
      <c r="DD36" s="13">
        <v>13</v>
      </c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30">
        <f t="shared" si="13"/>
        <v>0</v>
      </c>
      <c r="DP36" s="28">
        <f t="shared" si="14"/>
        <v>0</v>
      </c>
      <c r="DR36" s="532" t="s">
        <v>21</v>
      </c>
      <c r="DS36" s="532"/>
      <c r="DT36" s="532"/>
      <c r="DU36" s="532"/>
      <c r="DV36" s="532"/>
      <c r="DW36" s="532"/>
      <c r="DX36" s="13">
        <v>13</v>
      </c>
      <c r="DY36" s="19"/>
      <c r="DZ36" s="19"/>
      <c r="EA36" s="19"/>
      <c r="EB36" s="19"/>
      <c r="EC36" s="19"/>
      <c r="ED36" s="19"/>
      <c r="EE36" s="19"/>
      <c r="EF36" s="19"/>
      <c r="EG36" s="19"/>
      <c r="EH36" s="19"/>
    </row>
    <row r="37" spans="1:138" ht="14.45" customHeight="1" x14ac:dyDescent="0.25">
      <c r="A37" s="58"/>
      <c r="B37" s="12"/>
      <c r="C37" s="532" t="s">
        <v>22</v>
      </c>
      <c r="D37" s="532"/>
      <c r="E37" s="532"/>
      <c r="F37" s="532"/>
      <c r="G37" s="532"/>
      <c r="H37" s="532"/>
      <c r="I37" s="13">
        <v>11</v>
      </c>
      <c r="J37" s="13">
        <v>4</v>
      </c>
      <c r="K37" s="19"/>
      <c r="L37" s="19"/>
      <c r="M37" s="19">
        <f t="shared" si="15"/>
        <v>4</v>
      </c>
      <c r="N37" s="19">
        <f t="shared" si="0"/>
        <v>44</v>
      </c>
      <c r="O37" s="12"/>
      <c r="P37" s="532" t="s">
        <v>22</v>
      </c>
      <c r="Q37" s="532"/>
      <c r="R37" s="532"/>
      <c r="S37" s="532"/>
      <c r="T37" s="532"/>
      <c r="U37" s="532"/>
      <c r="V37" s="13"/>
      <c r="W37" s="19"/>
      <c r="X37" s="19"/>
      <c r="Y37" s="23">
        <f t="shared" si="1"/>
        <v>0</v>
      </c>
      <c r="Z37" s="19">
        <f t="shared" si="2"/>
        <v>0</v>
      </c>
      <c r="AA37" s="6"/>
      <c r="AB37" s="532" t="s">
        <v>22</v>
      </c>
      <c r="AC37" s="532"/>
      <c r="AD37" s="532"/>
      <c r="AE37" s="532"/>
      <c r="AF37" s="532"/>
      <c r="AG37" s="532"/>
      <c r="AH37" s="13"/>
      <c r="AI37" s="19"/>
      <c r="AJ37" s="23">
        <f t="shared" si="3"/>
        <v>0</v>
      </c>
      <c r="AK37" s="19">
        <f t="shared" si="4"/>
        <v>0</v>
      </c>
      <c r="AM37" s="572" t="s">
        <v>22</v>
      </c>
      <c r="AN37" s="572"/>
      <c r="AO37" s="572"/>
      <c r="AP37" s="572"/>
      <c r="AQ37" s="572"/>
      <c r="AR37" s="572"/>
      <c r="AS37" s="28"/>
      <c r="AT37" s="28"/>
      <c r="AU37" s="28"/>
      <c r="AV37" s="28"/>
      <c r="AW37" s="28"/>
      <c r="AX37" s="30">
        <f t="shared" si="5"/>
        <v>0</v>
      </c>
      <c r="AY37" s="28">
        <f t="shared" si="6"/>
        <v>0</v>
      </c>
      <c r="AZ37" s="14"/>
      <c r="BA37" s="572" t="s">
        <v>22</v>
      </c>
      <c r="BB37" s="572"/>
      <c r="BC37" s="572"/>
      <c r="BD37" s="572"/>
      <c r="BE37" s="572"/>
      <c r="BF37" s="572"/>
      <c r="BG37" s="28"/>
      <c r="BH37" s="28"/>
      <c r="BI37" s="28"/>
      <c r="BJ37" s="30">
        <f t="shared" si="7"/>
        <v>0</v>
      </c>
      <c r="BK37" s="28">
        <f t="shared" si="8"/>
        <v>0</v>
      </c>
      <c r="BL37" s="14"/>
      <c r="BM37" s="572" t="s">
        <v>22</v>
      </c>
      <c r="BN37" s="572"/>
      <c r="BO37" s="572"/>
      <c r="BP37" s="572"/>
      <c r="BQ37" s="572"/>
      <c r="BR37" s="572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30">
        <f t="shared" si="9"/>
        <v>0</v>
      </c>
      <c r="CD37" s="28">
        <f t="shared" si="10"/>
        <v>0</v>
      </c>
      <c r="CE37" s="14"/>
      <c r="CF37" s="572" t="s">
        <v>22</v>
      </c>
      <c r="CG37" s="572"/>
      <c r="CH37" s="572"/>
      <c r="CI37" s="572"/>
      <c r="CJ37" s="572"/>
      <c r="CK37" s="572"/>
      <c r="CL37" s="28"/>
      <c r="CM37" s="28"/>
      <c r="CN37" s="28"/>
      <c r="CO37" s="28"/>
      <c r="CP37" s="28"/>
      <c r="CQ37" s="28"/>
      <c r="CR37" s="28"/>
      <c r="CS37" s="28"/>
      <c r="CT37" s="28"/>
      <c r="CU37" s="30">
        <f t="shared" si="11"/>
        <v>0</v>
      </c>
      <c r="CV37" s="28">
        <f t="shared" si="12"/>
        <v>0</v>
      </c>
      <c r="CW37" s="14"/>
      <c r="CX37" s="572" t="s">
        <v>22</v>
      </c>
      <c r="CY37" s="572"/>
      <c r="CZ37" s="572"/>
      <c r="DA37" s="572"/>
      <c r="DB37" s="572"/>
      <c r="DC37" s="572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30">
        <f t="shared" si="13"/>
        <v>0</v>
      </c>
      <c r="DP37" s="28">
        <f t="shared" si="14"/>
        <v>0</v>
      </c>
      <c r="DR37" s="572" t="s">
        <v>22</v>
      </c>
      <c r="DS37" s="572"/>
      <c r="DT37" s="572"/>
      <c r="DU37" s="572"/>
      <c r="DV37" s="572"/>
      <c r="DW37" s="572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</row>
    <row r="38" spans="1:138" ht="14.45" customHeight="1" x14ac:dyDescent="0.25">
      <c r="A38" s="58"/>
      <c r="B38" s="12"/>
      <c r="C38" s="532" t="s">
        <v>23</v>
      </c>
      <c r="D38" s="532"/>
      <c r="E38" s="532"/>
      <c r="F38" s="532"/>
      <c r="G38" s="532"/>
      <c r="H38" s="532"/>
      <c r="I38" s="13"/>
      <c r="J38" s="13"/>
      <c r="K38" s="19"/>
      <c r="L38" s="19"/>
      <c r="M38" s="19">
        <f t="shared" si="15"/>
        <v>0</v>
      </c>
      <c r="N38" s="19">
        <f t="shared" si="0"/>
        <v>0</v>
      </c>
      <c r="O38" s="12"/>
      <c r="P38" s="532" t="s">
        <v>23</v>
      </c>
      <c r="Q38" s="532"/>
      <c r="R38" s="532"/>
      <c r="S38" s="532"/>
      <c r="T38" s="532"/>
      <c r="U38" s="532"/>
      <c r="V38" s="13"/>
      <c r="W38" s="19"/>
      <c r="X38" s="19"/>
      <c r="Y38" s="23">
        <f t="shared" si="1"/>
        <v>0</v>
      </c>
      <c r="Z38" s="19">
        <f t="shared" si="2"/>
        <v>0</v>
      </c>
      <c r="AA38" s="6"/>
      <c r="AB38" s="532" t="s">
        <v>23</v>
      </c>
      <c r="AC38" s="532"/>
      <c r="AD38" s="532"/>
      <c r="AE38" s="532"/>
      <c r="AF38" s="532"/>
      <c r="AG38" s="532"/>
      <c r="AH38" s="13"/>
      <c r="AI38" s="19"/>
      <c r="AJ38" s="23">
        <f t="shared" si="3"/>
        <v>0</v>
      </c>
      <c r="AK38" s="19">
        <f t="shared" si="4"/>
        <v>0</v>
      </c>
      <c r="AM38" s="532" t="s">
        <v>23</v>
      </c>
      <c r="AN38" s="532"/>
      <c r="AO38" s="532"/>
      <c r="AP38" s="532"/>
      <c r="AQ38" s="532"/>
      <c r="AR38" s="532"/>
      <c r="AS38" s="13"/>
      <c r="AT38" s="19"/>
      <c r="AU38" s="19"/>
      <c r="AV38" s="19"/>
      <c r="AW38" s="19"/>
      <c r="AX38" s="30">
        <f t="shared" si="5"/>
        <v>0</v>
      </c>
      <c r="AY38" s="28">
        <f t="shared" si="6"/>
        <v>0</v>
      </c>
      <c r="AZ38" s="14"/>
      <c r="BA38" s="532" t="s">
        <v>23</v>
      </c>
      <c r="BB38" s="532"/>
      <c r="BC38" s="532"/>
      <c r="BD38" s="532"/>
      <c r="BE38" s="532"/>
      <c r="BF38" s="532"/>
      <c r="BG38" s="13"/>
      <c r="BH38" s="19"/>
      <c r="BI38" s="19"/>
      <c r="BJ38" s="30">
        <f t="shared" si="7"/>
        <v>0</v>
      </c>
      <c r="BK38" s="28">
        <f t="shared" si="8"/>
        <v>0</v>
      </c>
      <c r="BL38" s="14"/>
      <c r="BM38" s="532" t="s">
        <v>23</v>
      </c>
      <c r="BN38" s="532"/>
      <c r="BO38" s="532"/>
      <c r="BP38" s="532"/>
      <c r="BQ38" s="532"/>
      <c r="BR38" s="532"/>
      <c r="BS38" s="13"/>
      <c r="BT38" s="19"/>
      <c r="BU38" s="19"/>
      <c r="BV38" s="19"/>
      <c r="BW38" s="19"/>
      <c r="BX38" s="19"/>
      <c r="BY38" s="19"/>
      <c r="BZ38" s="19"/>
      <c r="CA38" s="19"/>
      <c r="CB38" s="19"/>
      <c r="CC38" s="30">
        <f t="shared" si="9"/>
        <v>0</v>
      </c>
      <c r="CD38" s="28">
        <f t="shared" si="10"/>
        <v>0</v>
      </c>
      <c r="CE38" s="14"/>
      <c r="CF38" s="532" t="s">
        <v>23</v>
      </c>
      <c r="CG38" s="532"/>
      <c r="CH38" s="532"/>
      <c r="CI38" s="532"/>
      <c r="CJ38" s="532"/>
      <c r="CK38" s="532"/>
      <c r="CL38" s="13"/>
      <c r="CM38" s="19"/>
      <c r="CN38" s="19"/>
      <c r="CO38" s="19"/>
      <c r="CP38" s="19"/>
      <c r="CQ38" s="19"/>
      <c r="CR38" s="19"/>
      <c r="CS38" s="19"/>
      <c r="CT38" s="19"/>
      <c r="CU38" s="30">
        <f t="shared" si="11"/>
        <v>0</v>
      </c>
      <c r="CV38" s="28">
        <f t="shared" si="12"/>
        <v>0</v>
      </c>
      <c r="CW38" s="14"/>
      <c r="CX38" s="532" t="s">
        <v>23</v>
      </c>
      <c r="CY38" s="532"/>
      <c r="CZ38" s="532"/>
      <c r="DA38" s="532"/>
      <c r="DB38" s="532"/>
      <c r="DC38" s="532"/>
      <c r="DD38" s="13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30">
        <f t="shared" si="13"/>
        <v>0</v>
      </c>
      <c r="DP38" s="28">
        <f t="shared" si="14"/>
        <v>0</v>
      </c>
      <c r="DR38" s="532" t="s">
        <v>23</v>
      </c>
      <c r="DS38" s="532"/>
      <c r="DT38" s="532"/>
      <c r="DU38" s="532"/>
      <c r="DV38" s="532"/>
      <c r="DW38" s="532"/>
      <c r="DX38" s="13"/>
      <c r="DY38" s="19"/>
      <c r="DZ38" s="19"/>
      <c r="EA38" s="19"/>
      <c r="EB38" s="19"/>
      <c r="EC38" s="19"/>
      <c r="ED38" s="19"/>
      <c r="EE38" s="19"/>
      <c r="EF38" s="19"/>
      <c r="EG38" s="19"/>
      <c r="EH38" s="19"/>
    </row>
    <row r="39" spans="1:138" ht="14.45" customHeight="1" x14ac:dyDescent="0.25">
      <c r="A39" s="58"/>
      <c r="B39" s="12"/>
      <c r="C39" s="532" t="s">
        <v>24</v>
      </c>
      <c r="D39" s="532"/>
      <c r="E39" s="532"/>
      <c r="F39" s="532"/>
      <c r="G39" s="532"/>
      <c r="H39" s="532"/>
      <c r="I39" s="13">
        <v>6</v>
      </c>
      <c r="J39" s="13">
        <v>1</v>
      </c>
      <c r="K39" s="19"/>
      <c r="L39" s="19"/>
      <c r="M39" s="19">
        <f t="shared" si="15"/>
        <v>1</v>
      </c>
      <c r="N39" s="19">
        <f t="shared" si="0"/>
        <v>6</v>
      </c>
      <c r="O39" s="12"/>
      <c r="P39" s="532" t="s">
        <v>24</v>
      </c>
      <c r="Q39" s="532"/>
      <c r="R39" s="532"/>
      <c r="S39" s="532"/>
      <c r="T39" s="532"/>
      <c r="U39" s="532"/>
      <c r="V39" s="13"/>
      <c r="W39" s="19"/>
      <c r="X39" s="19"/>
      <c r="Y39" s="23">
        <f t="shared" si="1"/>
        <v>0</v>
      </c>
      <c r="Z39" s="19">
        <f t="shared" si="2"/>
        <v>0</v>
      </c>
      <c r="AA39" s="6"/>
      <c r="AB39" s="532" t="s">
        <v>24</v>
      </c>
      <c r="AC39" s="532"/>
      <c r="AD39" s="532"/>
      <c r="AE39" s="532"/>
      <c r="AF39" s="532"/>
      <c r="AG39" s="532"/>
      <c r="AH39" s="13"/>
      <c r="AI39" s="19"/>
      <c r="AJ39" s="23">
        <f t="shared" si="3"/>
        <v>0</v>
      </c>
      <c r="AK39" s="19">
        <f t="shared" si="4"/>
        <v>0</v>
      </c>
      <c r="AM39" s="572" t="s">
        <v>24</v>
      </c>
      <c r="AN39" s="572"/>
      <c r="AO39" s="572"/>
      <c r="AP39" s="572"/>
      <c r="AQ39" s="572"/>
      <c r="AR39" s="572"/>
      <c r="AS39" s="28"/>
      <c r="AT39" s="28"/>
      <c r="AU39" s="28"/>
      <c r="AV39" s="28"/>
      <c r="AW39" s="28"/>
      <c r="AX39" s="30">
        <f t="shared" si="5"/>
        <v>0</v>
      </c>
      <c r="AY39" s="28">
        <f t="shared" si="6"/>
        <v>0</v>
      </c>
      <c r="AZ39" s="14"/>
      <c r="BA39" s="572" t="s">
        <v>24</v>
      </c>
      <c r="BB39" s="572"/>
      <c r="BC39" s="572"/>
      <c r="BD39" s="572"/>
      <c r="BE39" s="572"/>
      <c r="BF39" s="572"/>
      <c r="BG39" s="28"/>
      <c r="BH39" s="28"/>
      <c r="BI39" s="28"/>
      <c r="BJ39" s="30">
        <f t="shared" si="7"/>
        <v>0</v>
      </c>
      <c r="BK39" s="28">
        <f t="shared" si="8"/>
        <v>0</v>
      </c>
      <c r="BL39" s="14"/>
      <c r="BM39" s="572" t="s">
        <v>24</v>
      </c>
      <c r="BN39" s="572"/>
      <c r="BO39" s="572"/>
      <c r="BP39" s="572"/>
      <c r="BQ39" s="572"/>
      <c r="BR39" s="572"/>
      <c r="BS39" s="28">
        <v>8.5</v>
      </c>
      <c r="BT39" s="28"/>
      <c r="BU39" s="28"/>
      <c r="BV39" s="28"/>
      <c r="BW39" s="28"/>
      <c r="BX39" s="28"/>
      <c r="BY39" s="28">
        <v>1</v>
      </c>
      <c r="BZ39" s="28"/>
      <c r="CA39" s="28"/>
      <c r="CB39" s="28"/>
      <c r="CC39" s="30">
        <f t="shared" si="9"/>
        <v>1</v>
      </c>
      <c r="CD39" s="28">
        <f t="shared" si="10"/>
        <v>8.5</v>
      </c>
      <c r="CE39" s="14"/>
      <c r="CF39" s="572" t="s">
        <v>24</v>
      </c>
      <c r="CG39" s="572"/>
      <c r="CH39" s="572"/>
      <c r="CI39" s="572"/>
      <c r="CJ39" s="572"/>
      <c r="CK39" s="572"/>
      <c r="CL39" s="28"/>
      <c r="CM39" s="28"/>
      <c r="CN39" s="28"/>
      <c r="CO39" s="28"/>
      <c r="CP39" s="28"/>
      <c r="CQ39" s="28"/>
      <c r="CR39" s="28"/>
      <c r="CS39" s="28"/>
      <c r="CT39" s="28"/>
      <c r="CU39" s="30">
        <f t="shared" si="11"/>
        <v>0</v>
      </c>
      <c r="CV39" s="28">
        <f t="shared" si="12"/>
        <v>0</v>
      </c>
      <c r="CW39" s="14"/>
      <c r="CX39" s="572" t="s">
        <v>24</v>
      </c>
      <c r="CY39" s="572"/>
      <c r="CZ39" s="572"/>
      <c r="DA39" s="572"/>
      <c r="DB39" s="572"/>
      <c r="DC39" s="572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30">
        <f t="shared" si="13"/>
        <v>0</v>
      </c>
      <c r="DP39" s="28">
        <f t="shared" si="14"/>
        <v>0</v>
      </c>
      <c r="DR39" s="572" t="s">
        <v>24</v>
      </c>
      <c r="DS39" s="572"/>
      <c r="DT39" s="572"/>
      <c r="DU39" s="572"/>
      <c r="DV39" s="572"/>
      <c r="DW39" s="572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</row>
    <row r="40" spans="1:138" ht="14.45" customHeight="1" x14ac:dyDescent="0.25">
      <c r="A40" s="58"/>
      <c r="B40" s="12"/>
      <c r="C40" s="532" t="s">
        <v>25</v>
      </c>
      <c r="D40" s="532"/>
      <c r="E40" s="532"/>
      <c r="F40" s="532"/>
      <c r="G40" s="532"/>
      <c r="H40" s="532"/>
      <c r="I40" s="13"/>
      <c r="J40" s="13"/>
      <c r="K40" s="19"/>
      <c r="L40" s="19"/>
      <c r="M40" s="19">
        <f t="shared" si="15"/>
        <v>0</v>
      </c>
      <c r="N40" s="19">
        <f t="shared" si="0"/>
        <v>0</v>
      </c>
      <c r="O40" s="12"/>
      <c r="P40" s="532" t="s">
        <v>25</v>
      </c>
      <c r="Q40" s="532"/>
      <c r="R40" s="532"/>
      <c r="S40" s="532"/>
      <c r="T40" s="532"/>
      <c r="U40" s="532"/>
      <c r="V40" s="13"/>
      <c r="W40" s="19"/>
      <c r="X40" s="19"/>
      <c r="Y40" s="23">
        <f t="shared" si="1"/>
        <v>0</v>
      </c>
      <c r="Z40" s="19">
        <f t="shared" si="2"/>
        <v>0</v>
      </c>
      <c r="AA40" s="6"/>
      <c r="AB40" s="532" t="s">
        <v>25</v>
      </c>
      <c r="AC40" s="532"/>
      <c r="AD40" s="532"/>
      <c r="AE40" s="532"/>
      <c r="AF40" s="532"/>
      <c r="AG40" s="532"/>
      <c r="AH40" s="13"/>
      <c r="AI40" s="19"/>
      <c r="AJ40" s="23">
        <f t="shared" si="3"/>
        <v>0</v>
      </c>
      <c r="AK40" s="19">
        <f t="shared" si="4"/>
        <v>0</v>
      </c>
      <c r="AM40" s="532" t="s">
        <v>25</v>
      </c>
      <c r="AN40" s="532"/>
      <c r="AO40" s="532"/>
      <c r="AP40" s="532"/>
      <c r="AQ40" s="532"/>
      <c r="AR40" s="532"/>
      <c r="AS40" s="13"/>
      <c r="AT40" s="19"/>
      <c r="AU40" s="19"/>
      <c r="AV40" s="19"/>
      <c r="AW40" s="19"/>
      <c r="AX40" s="30">
        <f t="shared" si="5"/>
        <v>0</v>
      </c>
      <c r="AY40" s="28">
        <f t="shared" si="6"/>
        <v>0</v>
      </c>
      <c r="AZ40" s="14"/>
      <c r="BA40" s="532" t="s">
        <v>25</v>
      </c>
      <c r="BB40" s="532"/>
      <c r="BC40" s="532"/>
      <c r="BD40" s="532"/>
      <c r="BE40" s="532"/>
      <c r="BF40" s="532"/>
      <c r="BG40" s="13"/>
      <c r="BH40" s="19"/>
      <c r="BI40" s="19"/>
      <c r="BJ40" s="30">
        <f t="shared" si="7"/>
        <v>0</v>
      </c>
      <c r="BK40" s="28">
        <f t="shared" si="8"/>
        <v>0</v>
      </c>
      <c r="BL40" s="14"/>
      <c r="BM40" s="532" t="s">
        <v>25</v>
      </c>
      <c r="BN40" s="532"/>
      <c r="BO40" s="532"/>
      <c r="BP40" s="532"/>
      <c r="BQ40" s="532"/>
      <c r="BR40" s="532"/>
      <c r="BS40" s="13"/>
      <c r="BT40" s="19"/>
      <c r="BU40" s="19"/>
      <c r="BV40" s="19"/>
      <c r="BW40" s="19"/>
      <c r="BX40" s="19"/>
      <c r="BY40" s="19"/>
      <c r="BZ40" s="19"/>
      <c r="CA40" s="19"/>
      <c r="CB40" s="19"/>
      <c r="CC40" s="30">
        <f t="shared" si="9"/>
        <v>0</v>
      </c>
      <c r="CD40" s="28">
        <f t="shared" si="10"/>
        <v>0</v>
      </c>
      <c r="CE40" s="14"/>
      <c r="CF40" s="532" t="s">
        <v>25</v>
      </c>
      <c r="CG40" s="532"/>
      <c r="CH40" s="532"/>
      <c r="CI40" s="532"/>
      <c r="CJ40" s="532"/>
      <c r="CK40" s="532"/>
      <c r="CL40" s="13"/>
      <c r="CM40" s="19"/>
      <c r="CN40" s="19"/>
      <c r="CO40" s="19"/>
      <c r="CP40" s="19"/>
      <c r="CQ40" s="19"/>
      <c r="CR40" s="19"/>
      <c r="CS40" s="19"/>
      <c r="CT40" s="19"/>
      <c r="CU40" s="30">
        <f t="shared" si="11"/>
        <v>0</v>
      </c>
      <c r="CV40" s="28">
        <f t="shared" si="12"/>
        <v>0</v>
      </c>
      <c r="CW40" s="14"/>
      <c r="CX40" s="532" t="s">
        <v>25</v>
      </c>
      <c r="CY40" s="532"/>
      <c r="CZ40" s="532"/>
      <c r="DA40" s="532"/>
      <c r="DB40" s="532"/>
      <c r="DC40" s="532"/>
      <c r="DD40" s="13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30">
        <f t="shared" si="13"/>
        <v>0</v>
      </c>
      <c r="DP40" s="28">
        <f t="shared" si="14"/>
        <v>0</v>
      </c>
      <c r="DR40" s="532" t="s">
        <v>25</v>
      </c>
      <c r="DS40" s="532"/>
      <c r="DT40" s="532"/>
      <c r="DU40" s="532"/>
      <c r="DV40" s="532"/>
      <c r="DW40" s="532"/>
      <c r="DX40" s="13"/>
      <c r="DY40" s="19"/>
      <c r="DZ40" s="19"/>
      <c r="EA40" s="19"/>
      <c r="EB40" s="19"/>
      <c r="EC40" s="19"/>
      <c r="ED40" s="19"/>
      <c r="EE40" s="19"/>
      <c r="EF40" s="19"/>
      <c r="EG40" s="19"/>
      <c r="EH40" s="19"/>
    </row>
    <row r="41" spans="1:138" ht="14.45" customHeight="1" x14ac:dyDescent="0.25">
      <c r="A41" s="58"/>
      <c r="B41" s="12"/>
      <c r="C41" s="532" t="s">
        <v>26</v>
      </c>
      <c r="D41" s="532"/>
      <c r="E41" s="532"/>
      <c r="F41" s="532"/>
      <c r="G41" s="532"/>
      <c r="H41" s="532"/>
      <c r="I41" s="13"/>
      <c r="J41" s="13"/>
      <c r="K41" s="19"/>
      <c r="L41" s="19"/>
      <c r="M41" s="19">
        <f t="shared" si="15"/>
        <v>0</v>
      </c>
      <c r="N41" s="19">
        <f t="shared" si="0"/>
        <v>0</v>
      </c>
      <c r="O41" s="12"/>
      <c r="P41" s="532" t="s">
        <v>26</v>
      </c>
      <c r="Q41" s="532"/>
      <c r="R41" s="532"/>
      <c r="S41" s="532"/>
      <c r="T41" s="532"/>
      <c r="U41" s="532"/>
      <c r="V41" s="13"/>
      <c r="W41" s="19"/>
      <c r="X41" s="19"/>
      <c r="Y41" s="23">
        <f t="shared" si="1"/>
        <v>0</v>
      </c>
      <c r="Z41" s="19">
        <f t="shared" si="2"/>
        <v>0</v>
      </c>
      <c r="AA41" s="6"/>
      <c r="AB41" s="532" t="s">
        <v>26</v>
      </c>
      <c r="AC41" s="532"/>
      <c r="AD41" s="532"/>
      <c r="AE41" s="532"/>
      <c r="AF41" s="532"/>
      <c r="AG41" s="532"/>
      <c r="AH41" s="13"/>
      <c r="AI41" s="19"/>
      <c r="AJ41" s="23">
        <f t="shared" si="3"/>
        <v>0</v>
      </c>
      <c r="AK41" s="19">
        <f t="shared" si="4"/>
        <v>0</v>
      </c>
      <c r="AM41" s="572" t="s">
        <v>26</v>
      </c>
      <c r="AN41" s="572"/>
      <c r="AO41" s="572"/>
      <c r="AP41" s="572"/>
      <c r="AQ41" s="572"/>
      <c r="AR41" s="572"/>
      <c r="AS41" s="28"/>
      <c r="AT41" s="28"/>
      <c r="AU41" s="28"/>
      <c r="AV41" s="28"/>
      <c r="AW41" s="28"/>
      <c r="AX41" s="30">
        <f t="shared" si="5"/>
        <v>0</v>
      </c>
      <c r="AY41" s="28">
        <f t="shared" si="6"/>
        <v>0</v>
      </c>
      <c r="AZ41" s="14"/>
      <c r="BA41" s="572" t="s">
        <v>26</v>
      </c>
      <c r="BB41" s="572"/>
      <c r="BC41" s="572"/>
      <c r="BD41" s="572"/>
      <c r="BE41" s="572"/>
      <c r="BF41" s="572"/>
      <c r="BG41" s="28"/>
      <c r="BH41" s="28"/>
      <c r="BI41" s="28"/>
      <c r="BJ41" s="30">
        <f t="shared" si="7"/>
        <v>0</v>
      </c>
      <c r="BK41" s="28">
        <f t="shared" si="8"/>
        <v>0</v>
      </c>
      <c r="BL41" s="14"/>
      <c r="BM41" s="572" t="s">
        <v>26</v>
      </c>
      <c r="BN41" s="572"/>
      <c r="BO41" s="572"/>
      <c r="BP41" s="572"/>
      <c r="BQ41" s="572"/>
      <c r="BR41" s="572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30">
        <f t="shared" si="9"/>
        <v>0</v>
      </c>
      <c r="CD41" s="28">
        <f t="shared" si="10"/>
        <v>0</v>
      </c>
      <c r="CE41" s="14"/>
      <c r="CF41" s="572" t="s">
        <v>26</v>
      </c>
      <c r="CG41" s="572"/>
      <c r="CH41" s="572"/>
      <c r="CI41" s="572"/>
      <c r="CJ41" s="572"/>
      <c r="CK41" s="572"/>
      <c r="CL41" s="28"/>
      <c r="CM41" s="28"/>
      <c r="CN41" s="28"/>
      <c r="CO41" s="28"/>
      <c r="CP41" s="28"/>
      <c r="CQ41" s="28"/>
      <c r="CR41" s="28"/>
      <c r="CS41" s="28"/>
      <c r="CT41" s="28"/>
      <c r="CU41" s="30">
        <f t="shared" si="11"/>
        <v>0</v>
      </c>
      <c r="CV41" s="28">
        <f t="shared" si="12"/>
        <v>0</v>
      </c>
      <c r="CW41" s="14"/>
      <c r="CX41" s="572" t="s">
        <v>26</v>
      </c>
      <c r="CY41" s="572"/>
      <c r="CZ41" s="572"/>
      <c r="DA41" s="572"/>
      <c r="DB41" s="572"/>
      <c r="DC41" s="572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30">
        <f t="shared" si="13"/>
        <v>0</v>
      </c>
      <c r="DP41" s="28">
        <f t="shared" si="14"/>
        <v>0</v>
      </c>
      <c r="DR41" s="572" t="s">
        <v>26</v>
      </c>
      <c r="DS41" s="572"/>
      <c r="DT41" s="572"/>
      <c r="DU41" s="572"/>
      <c r="DV41" s="572"/>
      <c r="DW41" s="572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</row>
    <row r="42" spans="1:138" ht="14.45" customHeight="1" x14ac:dyDescent="0.25">
      <c r="A42" s="58"/>
      <c r="B42" s="12"/>
      <c r="C42" s="532" t="s">
        <v>27</v>
      </c>
      <c r="D42" s="532"/>
      <c r="E42" s="532"/>
      <c r="F42" s="532"/>
      <c r="G42" s="532"/>
      <c r="H42" s="532"/>
      <c r="I42" s="13">
        <v>120</v>
      </c>
      <c r="J42" s="13">
        <v>1</v>
      </c>
      <c r="K42" s="19"/>
      <c r="L42" s="19"/>
      <c r="M42" s="19">
        <f t="shared" si="15"/>
        <v>1</v>
      </c>
      <c r="N42" s="19">
        <f t="shared" si="0"/>
        <v>120</v>
      </c>
      <c r="O42" s="12"/>
      <c r="P42" s="532" t="s">
        <v>27</v>
      </c>
      <c r="Q42" s="532"/>
      <c r="R42" s="532"/>
      <c r="S42" s="532"/>
      <c r="T42" s="532"/>
      <c r="U42" s="532"/>
      <c r="V42" s="13"/>
      <c r="W42" s="19"/>
      <c r="X42" s="19"/>
      <c r="Y42" s="23">
        <f t="shared" si="1"/>
        <v>0</v>
      </c>
      <c r="Z42" s="19">
        <f t="shared" si="2"/>
        <v>0</v>
      </c>
      <c r="AA42" s="6"/>
      <c r="AB42" s="532" t="s">
        <v>27</v>
      </c>
      <c r="AC42" s="532"/>
      <c r="AD42" s="532"/>
      <c r="AE42" s="532"/>
      <c r="AF42" s="532"/>
      <c r="AG42" s="532"/>
      <c r="AH42" s="13"/>
      <c r="AI42" s="19"/>
      <c r="AJ42" s="23">
        <f t="shared" si="3"/>
        <v>0</v>
      </c>
      <c r="AK42" s="19">
        <f t="shared" si="4"/>
        <v>0</v>
      </c>
      <c r="AM42" s="532" t="s">
        <v>27</v>
      </c>
      <c r="AN42" s="532"/>
      <c r="AO42" s="532"/>
      <c r="AP42" s="532"/>
      <c r="AQ42" s="532"/>
      <c r="AR42" s="532"/>
      <c r="AS42" s="13"/>
      <c r="AT42" s="19"/>
      <c r="AU42" s="19"/>
      <c r="AV42" s="19"/>
      <c r="AW42" s="19"/>
      <c r="AX42" s="30">
        <f t="shared" si="5"/>
        <v>0</v>
      </c>
      <c r="AY42" s="28">
        <f t="shared" si="6"/>
        <v>0</v>
      </c>
      <c r="AZ42" s="14"/>
      <c r="BA42" s="532" t="s">
        <v>27</v>
      </c>
      <c r="BB42" s="532"/>
      <c r="BC42" s="532"/>
      <c r="BD42" s="532"/>
      <c r="BE42" s="532"/>
      <c r="BF42" s="532"/>
      <c r="BG42" s="13"/>
      <c r="BH42" s="19"/>
      <c r="BI42" s="19"/>
      <c r="BJ42" s="30">
        <f t="shared" si="7"/>
        <v>0</v>
      </c>
      <c r="BK42" s="28">
        <f t="shared" si="8"/>
        <v>0</v>
      </c>
      <c r="BL42" s="14"/>
      <c r="BM42" s="532" t="s">
        <v>27</v>
      </c>
      <c r="BN42" s="532"/>
      <c r="BO42" s="532"/>
      <c r="BP42" s="532"/>
      <c r="BQ42" s="532"/>
      <c r="BR42" s="532"/>
      <c r="BS42" s="13"/>
      <c r="BT42" s="19"/>
      <c r="BU42" s="19"/>
      <c r="BV42" s="19"/>
      <c r="BW42" s="19"/>
      <c r="BX42" s="19"/>
      <c r="BY42" s="19"/>
      <c r="BZ42" s="19"/>
      <c r="CA42" s="19"/>
      <c r="CB42" s="19"/>
      <c r="CC42" s="30">
        <f t="shared" si="9"/>
        <v>0</v>
      </c>
      <c r="CD42" s="28">
        <f t="shared" si="10"/>
        <v>0</v>
      </c>
      <c r="CE42" s="14"/>
      <c r="CF42" s="532" t="s">
        <v>27</v>
      </c>
      <c r="CG42" s="532"/>
      <c r="CH42" s="532"/>
      <c r="CI42" s="532"/>
      <c r="CJ42" s="532"/>
      <c r="CK42" s="532"/>
      <c r="CL42" s="13">
        <v>135</v>
      </c>
      <c r="CM42" s="19"/>
      <c r="CN42" s="19"/>
      <c r="CO42" s="19"/>
      <c r="CP42" s="19">
        <v>2</v>
      </c>
      <c r="CQ42" s="19"/>
      <c r="CR42" s="19"/>
      <c r="CS42" s="19"/>
      <c r="CT42" s="19"/>
      <c r="CU42" s="30">
        <f t="shared" si="11"/>
        <v>2</v>
      </c>
      <c r="CV42" s="28">
        <f t="shared" si="12"/>
        <v>270</v>
      </c>
      <c r="CW42" s="14"/>
      <c r="CX42" s="532" t="s">
        <v>27</v>
      </c>
      <c r="CY42" s="532"/>
      <c r="CZ42" s="532"/>
      <c r="DA42" s="532"/>
      <c r="DB42" s="532"/>
      <c r="DC42" s="532"/>
      <c r="DD42" s="13">
        <v>135</v>
      </c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30">
        <f t="shared" si="13"/>
        <v>0</v>
      </c>
      <c r="DP42" s="28">
        <f t="shared" si="14"/>
        <v>0</v>
      </c>
      <c r="DR42" s="532" t="s">
        <v>27</v>
      </c>
      <c r="DS42" s="532"/>
      <c r="DT42" s="532"/>
      <c r="DU42" s="532"/>
      <c r="DV42" s="532"/>
      <c r="DW42" s="532"/>
      <c r="DX42" s="13">
        <v>135</v>
      </c>
      <c r="DY42" s="19"/>
      <c r="DZ42" s="19"/>
      <c r="EA42" s="19"/>
      <c r="EB42" s="19"/>
      <c r="EC42" s="19"/>
      <c r="ED42" s="19"/>
      <c r="EE42" s="19"/>
      <c r="EF42" s="19"/>
      <c r="EG42" s="19"/>
      <c r="EH42" s="19"/>
    </row>
    <row r="43" spans="1:138" ht="14.45" customHeight="1" x14ac:dyDescent="0.25">
      <c r="A43" s="58"/>
      <c r="B43" s="12"/>
      <c r="C43" s="532" t="s">
        <v>28</v>
      </c>
      <c r="D43" s="532"/>
      <c r="E43" s="532"/>
      <c r="F43" s="532"/>
      <c r="G43" s="532"/>
      <c r="H43" s="532"/>
      <c r="I43" s="13">
        <v>28</v>
      </c>
      <c r="J43" s="13">
        <v>3</v>
      </c>
      <c r="K43" s="19"/>
      <c r="L43" s="19"/>
      <c r="M43" s="19">
        <f t="shared" si="15"/>
        <v>3</v>
      </c>
      <c r="N43" s="19">
        <f t="shared" si="0"/>
        <v>84</v>
      </c>
      <c r="O43" s="12"/>
      <c r="P43" s="532" t="s">
        <v>28</v>
      </c>
      <c r="Q43" s="532"/>
      <c r="R43" s="532"/>
      <c r="S43" s="532"/>
      <c r="T43" s="532"/>
      <c r="U43" s="532"/>
      <c r="V43" s="13"/>
      <c r="W43" s="19"/>
      <c r="X43" s="19"/>
      <c r="Y43" s="23">
        <f t="shared" si="1"/>
        <v>0</v>
      </c>
      <c r="Z43" s="19">
        <f t="shared" si="2"/>
        <v>0</v>
      </c>
      <c r="AA43" s="6"/>
      <c r="AB43" s="532" t="s">
        <v>28</v>
      </c>
      <c r="AC43" s="532"/>
      <c r="AD43" s="532"/>
      <c r="AE43" s="532"/>
      <c r="AF43" s="532"/>
      <c r="AG43" s="532"/>
      <c r="AH43" s="13"/>
      <c r="AI43" s="19"/>
      <c r="AJ43" s="23">
        <f t="shared" si="3"/>
        <v>0</v>
      </c>
      <c r="AK43" s="19">
        <f t="shared" si="4"/>
        <v>0</v>
      </c>
      <c r="AM43" s="572" t="s">
        <v>28</v>
      </c>
      <c r="AN43" s="572"/>
      <c r="AO43" s="572"/>
      <c r="AP43" s="572"/>
      <c r="AQ43" s="572"/>
      <c r="AR43" s="572"/>
      <c r="AS43" s="28"/>
      <c r="AT43" s="28"/>
      <c r="AU43" s="28"/>
      <c r="AV43" s="28"/>
      <c r="AW43" s="28"/>
      <c r="AX43" s="30">
        <f t="shared" si="5"/>
        <v>0</v>
      </c>
      <c r="AY43" s="28">
        <f t="shared" si="6"/>
        <v>0</v>
      </c>
      <c r="AZ43" s="14"/>
      <c r="BA43" s="572" t="s">
        <v>28</v>
      </c>
      <c r="BB43" s="572"/>
      <c r="BC43" s="572"/>
      <c r="BD43" s="572"/>
      <c r="BE43" s="572"/>
      <c r="BF43" s="572"/>
      <c r="BG43" s="28"/>
      <c r="BH43" s="28"/>
      <c r="BI43" s="28"/>
      <c r="BJ43" s="30">
        <f t="shared" si="7"/>
        <v>0</v>
      </c>
      <c r="BK43" s="28">
        <f t="shared" si="8"/>
        <v>0</v>
      </c>
      <c r="BL43" s="14"/>
      <c r="BM43" s="572" t="s">
        <v>28</v>
      </c>
      <c r="BN43" s="572"/>
      <c r="BO43" s="572"/>
      <c r="BP43" s="572"/>
      <c r="BQ43" s="572"/>
      <c r="BR43" s="572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30">
        <f t="shared" si="9"/>
        <v>0</v>
      </c>
      <c r="CD43" s="28">
        <f t="shared" si="10"/>
        <v>0</v>
      </c>
      <c r="CE43" s="14"/>
      <c r="CF43" s="572" t="s">
        <v>28</v>
      </c>
      <c r="CG43" s="572"/>
      <c r="CH43" s="572"/>
      <c r="CI43" s="572"/>
      <c r="CJ43" s="572"/>
      <c r="CK43" s="572"/>
      <c r="CL43" s="28">
        <v>35</v>
      </c>
      <c r="CM43" s="28"/>
      <c r="CN43" s="28">
        <v>1</v>
      </c>
      <c r="CO43" s="28">
        <v>3</v>
      </c>
      <c r="CP43" s="28"/>
      <c r="CQ43" s="28"/>
      <c r="CR43" s="28"/>
      <c r="CS43" s="28"/>
      <c r="CT43" s="28"/>
      <c r="CU43" s="30">
        <f t="shared" si="11"/>
        <v>4</v>
      </c>
      <c r="CV43" s="28">
        <f t="shared" si="12"/>
        <v>140</v>
      </c>
      <c r="CW43" s="14"/>
      <c r="CX43" s="572" t="s">
        <v>28</v>
      </c>
      <c r="CY43" s="572"/>
      <c r="CZ43" s="572"/>
      <c r="DA43" s="572"/>
      <c r="DB43" s="572"/>
      <c r="DC43" s="572"/>
      <c r="DD43" s="28">
        <v>35</v>
      </c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30">
        <f t="shared" si="13"/>
        <v>0</v>
      </c>
      <c r="DP43" s="28">
        <f t="shared" si="14"/>
        <v>0</v>
      </c>
      <c r="DR43" s="572" t="s">
        <v>28</v>
      </c>
      <c r="DS43" s="572"/>
      <c r="DT43" s="572"/>
      <c r="DU43" s="572"/>
      <c r="DV43" s="572"/>
      <c r="DW43" s="572"/>
      <c r="DX43" s="28">
        <v>35</v>
      </c>
      <c r="DY43" s="28"/>
      <c r="DZ43" s="28"/>
      <c r="EA43" s="28"/>
      <c r="EB43" s="28"/>
      <c r="EC43" s="28"/>
      <c r="ED43" s="28"/>
      <c r="EE43" s="28"/>
      <c r="EF43" s="28"/>
      <c r="EG43" s="28"/>
      <c r="EH43" s="28"/>
    </row>
    <row r="44" spans="1:138" ht="14.45" customHeight="1" x14ac:dyDescent="0.25">
      <c r="A44" s="58"/>
      <c r="B44" s="12"/>
      <c r="C44" s="532" t="s">
        <v>29</v>
      </c>
      <c r="D44" s="532"/>
      <c r="E44" s="532"/>
      <c r="F44" s="532"/>
      <c r="G44" s="532"/>
      <c r="H44" s="532"/>
      <c r="I44" s="13"/>
      <c r="J44" s="13"/>
      <c r="K44" s="19"/>
      <c r="L44" s="19"/>
      <c r="M44" s="19">
        <f t="shared" si="15"/>
        <v>0</v>
      </c>
      <c r="N44" s="19">
        <f t="shared" si="0"/>
        <v>0</v>
      </c>
      <c r="O44" s="12"/>
      <c r="P44" s="532" t="s">
        <v>29</v>
      </c>
      <c r="Q44" s="532"/>
      <c r="R44" s="532"/>
      <c r="S44" s="532"/>
      <c r="T44" s="532"/>
      <c r="U44" s="532"/>
      <c r="V44" s="13"/>
      <c r="W44" s="19"/>
      <c r="X44" s="19"/>
      <c r="Y44" s="23">
        <f t="shared" si="1"/>
        <v>0</v>
      </c>
      <c r="Z44" s="19">
        <f t="shared" si="2"/>
        <v>0</v>
      </c>
      <c r="AA44" s="6"/>
      <c r="AB44" s="532" t="s">
        <v>29</v>
      </c>
      <c r="AC44" s="532"/>
      <c r="AD44" s="532"/>
      <c r="AE44" s="532"/>
      <c r="AF44" s="532"/>
      <c r="AG44" s="532"/>
      <c r="AH44" s="13"/>
      <c r="AI44" s="19"/>
      <c r="AJ44" s="23">
        <f t="shared" si="3"/>
        <v>0</v>
      </c>
      <c r="AK44" s="19">
        <f t="shared" si="4"/>
        <v>0</v>
      </c>
      <c r="AM44" s="532" t="s">
        <v>29</v>
      </c>
      <c r="AN44" s="532"/>
      <c r="AO44" s="532"/>
      <c r="AP44" s="532"/>
      <c r="AQ44" s="532"/>
      <c r="AR44" s="532"/>
      <c r="AS44" s="13"/>
      <c r="AT44" s="19"/>
      <c r="AU44" s="19"/>
      <c r="AV44" s="19"/>
      <c r="AW44" s="19"/>
      <c r="AX44" s="30">
        <f t="shared" si="5"/>
        <v>0</v>
      </c>
      <c r="AY44" s="28">
        <f t="shared" si="6"/>
        <v>0</v>
      </c>
      <c r="AZ44" s="14"/>
      <c r="BA44" s="532" t="s">
        <v>29</v>
      </c>
      <c r="BB44" s="532"/>
      <c r="BC44" s="532"/>
      <c r="BD44" s="532"/>
      <c r="BE44" s="532"/>
      <c r="BF44" s="532"/>
      <c r="BG44" s="13"/>
      <c r="BH44" s="19"/>
      <c r="BI44" s="19"/>
      <c r="BJ44" s="30">
        <f t="shared" si="7"/>
        <v>0</v>
      </c>
      <c r="BK44" s="28">
        <f t="shared" si="8"/>
        <v>0</v>
      </c>
      <c r="BL44" s="14"/>
      <c r="BM44" s="532" t="s">
        <v>29</v>
      </c>
      <c r="BN44" s="532"/>
      <c r="BO44" s="532"/>
      <c r="BP44" s="532"/>
      <c r="BQ44" s="532"/>
      <c r="BR44" s="532"/>
      <c r="BS44" s="13"/>
      <c r="BT44" s="19"/>
      <c r="BU44" s="19"/>
      <c r="BV44" s="19"/>
      <c r="BW44" s="19"/>
      <c r="BX44" s="19"/>
      <c r="BY44" s="19"/>
      <c r="BZ44" s="19"/>
      <c r="CA44" s="19"/>
      <c r="CB44" s="19"/>
      <c r="CC44" s="30">
        <f t="shared" si="9"/>
        <v>0</v>
      </c>
      <c r="CD44" s="28">
        <f t="shared" si="10"/>
        <v>0</v>
      </c>
      <c r="CE44" s="14"/>
      <c r="CF44" s="532" t="s">
        <v>29</v>
      </c>
      <c r="CG44" s="532"/>
      <c r="CH44" s="532"/>
      <c r="CI44" s="532"/>
      <c r="CJ44" s="532"/>
      <c r="CK44" s="532"/>
      <c r="CL44" s="13"/>
      <c r="CM44" s="19"/>
      <c r="CN44" s="19"/>
      <c r="CO44" s="19"/>
      <c r="CP44" s="19"/>
      <c r="CQ44" s="19"/>
      <c r="CR44" s="19"/>
      <c r="CS44" s="19"/>
      <c r="CT44" s="19"/>
      <c r="CU44" s="30">
        <f t="shared" si="11"/>
        <v>0</v>
      </c>
      <c r="CV44" s="28">
        <f t="shared" si="12"/>
        <v>0</v>
      </c>
      <c r="CW44" s="14"/>
      <c r="CX44" s="532" t="s">
        <v>29</v>
      </c>
      <c r="CY44" s="532"/>
      <c r="CZ44" s="532"/>
      <c r="DA44" s="532"/>
      <c r="DB44" s="532"/>
      <c r="DC44" s="532"/>
      <c r="DD44" s="13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30">
        <f t="shared" si="13"/>
        <v>0</v>
      </c>
      <c r="DP44" s="28">
        <f t="shared" si="14"/>
        <v>0</v>
      </c>
      <c r="DR44" s="532" t="s">
        <v>29</v>
      </c>
      <c r="DS44" s="532"/>
      <c r="DT44" s="532"/>
      <c r="DU44" s="532"/>
      <c r="DV44" s="532"/>
      <c r="DW44" s="532"/>
      <c r="DX44" s="13"/>
      <c r="DY44" s="19"/>
      <c r="DZ44" s="19"/>
      <c r="EA44" s="19"/>
      <c r="EB44" s="19"/>
      <c r="EC44" s="19"/>
      <c r="ED44" s="19"/>
      <c r="EE44" s="19"/>
      <c r="EF44" s="19"/>
      <c r="EG44" s="19"/>
      <c r="EH44" s="19"/>
    </row>
    <row r="45" spans="1:138" ht="14.45" customHeight="1" x14ac:dyDescent="0.25">
      <c r="A45" s="58"/>
      <c r="B45" s="12"/>
      <c r="C45" s="532" t="s">
        <v>30</v>
      </c>
      <c r="D45" s="532"/>
      <c r="E45" s="532"/>
      <c r="F45" s="532"/>
      <c r="G45" s="532"/>
      <c r="H45" s="532"/>
      <c r="I45" s="13"/>
      <c r="J45" s="13"/>
      <c r="K45" s="19"/>
      <c r="L45" s="19"/>
      <c r="M45" s="19">
        <f t="shared" si="15"/>
        <v>0</v>
      </c>
      <c r="N45" s="19">
        <f t="shared" si="0"/>
        <v>0</v>
      </c>
      <c r="O45" s="12"/>
      <c r="P45" s="532" t="s">
        <v>30</v>
      </c>
      <c r="Q45" s="532"/>
      <c r="R45" s="532"/>
      <c r="S45" s="532"/>
      <c r="T45" s="532"/>
      <c r="U45" s="532"/>
      <c r="V45" s="13"/>
      <c r="W45" s="19"/>
      <c r="X45" s="19"/>
      <c r="Y45" s="23">
        <f t="shared" si="1"/>
        <v>0</v>
      </c>
      <c r="Z45" s="19">
        <f t="shared" si="2"/>
        <v>0</v>
      </c>
      <c r="AA45" s="6"/>
      <c r="AB45" s="532" t="s">
        <v>30</v>
      </c>
      <c r="AC45" s="532"/>
      <c r="AD45" s="532"/>
      <c r="AE45" s="532"/>
      <c r="AF45" s="532"/>
      <c r="AG45" s="532"/>
      <c r="AH45" s="13"/>
      <c r="AI45" s="19"/>
      <c r="AJ45" s="23">
        <f t="shared" si="3"/>
        <v>0</v>
      </c>
      <c r="AK45" s="19">
        <f t="shared" si="4"/>
        <v>0</v>
      </c>
      <c r="AM45" s="572" t="s">
        <v>30</v>
      </c>
      <c r="AN45" s="572"/>
      <c r="AO45" s="572"/>
      <c r="AP45" s="572"/>
      <c r="AQ45" s="572"/>
      <c r="AR45" s="572"/>
      <c r="AS45" s="28"/>
      <c r="AT45" s="28"/>
      <c r="AU45" s="28"/>
      <c r="AV45" s="28"/>
      <c r="AW45" s="28"/>
      <c r="AX45" s="30">
        <f t="shared" si="5"/>
        <v>0</v>
      </c>
      <c r="AY45" s="28">
        <f t="shared" si="6"/>
        <v>0</v>
      </c>
      <c r="AZ45" s="14"/>
      <c r="BA45" s="572" t="s">
        <v>30</v>
      </c>
      <c r="BB45" s="572"/>
      <c r="BC45" s="572"/>
      <c r="BD45" s="572"/>
      <c r="BE45" s="572"/>
      <c r="BF45" s="572"/>
      <c r="BG45" s="28"/>
      <c r="BH45" s="28"/>
      <c r="BI45" s="28"/>
      <c r="BJ45" s="30">
        <f t="shared" si="7"/>
        <v>0</v>
      </c>
      <c r="BK45" s="28">
        <f t="shared" si="8"/>
        <v>0</v>
      </c>
      <c r="BL45" s="14"/>
      <c r="BM45" s="572" t="s">
        <v>30</v>
      </c>
      <c r="BN45" s="572"/>
      <c r="BO45" s="572"/>
      <c r="BP45" s="572"/>
      <c r="BQ45" s="572"/>
      <c r="BR45" s="572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30">
        <f t="shared" si="9"/>
        <v>0</v>
      </c>
      <c r="CD45" s="28">
        <f t="shared" si="10"/>
        <v>0</v>
      </c>
      <c r="CE45" s="14"/>
      <c r="CF45" s="572" t="s">
        <v>30</v>
      </c>
      <c r="CG45" s="572"/>
      <c r="CH45" s="572"/>
      <c r="CI45" s="572"/>
      <c r="CJ45" s="572"/>
      <c r="CK45" s="572"/>
      <c r="CL45" s="28">
        <v>135</v>
      </c>
      <c r="CM45" s="28"/>
      <c r="CN45" s="28"/>
      <c r="CO45" s="28"/>
      <c r="CP45" s="28"/>
      <c r="CQ45" s="28"/>
      <c r="CR45" s="28">
        <v>6</v>
      </c>
      <c r="CS45" s="28"/>
      <c r="CT45" s="28"/>
      <c r="CU45" s="30">
        <f t="shared" si="11"/>
        <v>6</v>
      </c>
      <c r="CV45" s="28">
        <f t="shared" si="12"/>
        <v>810</v>
      </c>
      <c r="CW45" s="14"/>
      <c r="CX45" s="572" t="s">
        <v>30</v>
      </c>
      <c r="CY45" s="572"/>
      <c r="CZ45" s="572"/>
      <c r="DA45" s="572"/>
      <c r="DB45" s="572"/>
      <c r="DC45" s="572"/>
      <c r="DD45" s="28">
        <v>135</v>
      </c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30">
        <f t="shared" si="13"/>
        <v>0</v>
      </c>
      <c r="DP45" s="28">
        <f t="shared" si="14"/>
        <v>0</v>
      </c>
      <c r="DR45" s="572" t="s">
        <v>30</v>
      </c>
      <c r="DS45" s="572"/>
      <c r="DT45" s="572"/>
      <c r="DU45" s="572"/>
      <c r="DV45" s="572"/>
      <c r="DW45" s="572"/>
      <c r="DX45" s="28">
        <v>135</v>
      </c>
      <c r="DY45" s="28"/>
      <c r="DZ45" s="28"/>
      <c r="EA45" s="28"/>
      <c r="EB45" s="28"/>
      <c r="EC45" s="28"/>
      <c r="ED45" s="28"/>
      <c r="EE45" s="28"/>
      <c r="EF45" s="28"/>
      <c r="EG45" s="28"/>
      <c r="EH45" s="28"/>
    </row>
    <row r="46" spans="1:138" ht="14.45" customHeight="1" x14ac:dyDescent="0.25">
      <c r="A46" s="58"/>
      <c r="B46" s="12"/>
      <c r="C46" s="532" t="s">
        <v>31</v>
      </c>
      <c r="D46" s="532"/>
      <c r="E46" s="532"/>
      <c r="F46" s="532"/>
      <c r="G46" s="532"/>
      <c r="H46" s="532"/>
      <c r="I46" s="13"/>
      <c r="J46" s="13"/>
      <c r="K46" s="19"/>
      <c r="L46" s="19"/>
      <c r="M46" s="19">
        <f t="shared" si="15"/>
        <v>0</v>
      </c>
      <c r="N46" s="19">
        <f t="shared" si="0"/>
        <v>0</v>
      </c>
      <c r="O46" s="12"/>
      <c r="P46" s="532" t="s">
        <v>31</v>
      </c>
      <c r="Q46" s="532"/>
      <c r="R46" s="532"/>
      <c r="S46" s="532"/>
      <c r="T46" s="532"/>
      <c r="U46" s="532"/>
      <c r="V46" s="13"/>
      <c r="W46" s="19"/>
      <c r="X46" s="19"/>
      <c r="Y46" s="23">
        <f t="shared" si="1"/>
        <v>0</v>
      </c>
      <c r="Z46" s="19">
        <f t="shared" si="2"/>
        <v>0</v>
      </c>
      <c r="AA46" s="6"/>
      <c r="AB46" s="532" t="s">
        <v>31</v>
      </c>
      <c r="AC46" s="532"/>
      <c r="AD46" s="532"/>
      <c r="AE46" s="532"/>
      <c r="AF46" s="532"/>
      <c r="AG46" s="532"/>
      <c r="AH46" s="13">
        <v>35</v>
      </c>
      <c r="AI46" s="19">
        <v>1</v>
      </c>
      <c r="AJ46" s="23">
        <f t="shared" si="3"/>
        <v>1</v>
      </c>
      <c r="AK46" s="19">
        <f t="shared" si="4"/>
        <v>35</v>
      </c>
      <c r="AM46" s="532" t="s">
        <v>31</v>
      </c>
      <c r="AN46" s="532"/>
      <c r="AO46" s="532"/>
      <c r="AP46" s="532"/>
      <c r="AQ46" s="532"/>
      <c r="AR46" s="532"/>
      <c r="AS46" s="13">
        <v>35</v>
      </c>
      <c r="AT46" s="19"/>
      <c r="AU46" s="19"/>
      <c r="AV46" s="19"/>
      <c r="AW46" s="19"/>
      <c r="AX46" s="30">
        <f t="shared" si="5"/>
        <v>0</v>
      </c>
      <c r="AY46" s="28">
        <f t="shared" si="6"/>
        <v>0</v>
      </c>
      <c r="AZ46" s="14"/>
      <c r="BA46" s="532" t="s">
        <v>31</v>
      </c>
      <c r="BB46" s="532"/>
      <c r="BC46" s="532"/>
      <c r="BD46" s="532"/>
      <c r="BE46" s="532"/>
      <c r="BF46" s="532"/>
      <c r="BG46" s="13">
        <v>35</v>
      </c>
      <c r="BH46" s="19"/>
      <c r="BI46" s="19"/>
      <c r="BJ46" s="30">
        <f t="shared" si="7"/>
        <v>0</v>
      </c>
      <c r="BK46" s="28">
        <f t="shared" si="8"/>
        <v>0</v>
      </c>
      <c r="BL46" s="14"/>
      <c r="BM46" s="532" t="s">
        <v>31</v>
      </c>
      <c r="BN46" s="532"/>
      <c r="BO46" s="532"/>
      <c r="BP46" s="532"/>
      <c r="BQ46" s="532"/>
      <c r="BR46" s="532"/>
      <c r="BS46" s="13">
        <v>35</v>
      </c>
      <c r="BT46" s="19"/>
      <c r="BU46" s="19">
        <v>1</v>
      </c>
      <c r="BV46" s="19"/>
      <c r="BW46" s="19"/>
      <c r="BX46" s="19"/>
      <c r="BY46" s="19"/>
      <c r="BZ46" s="19"/>
      <c r="CA46" s="19"/>
      <c r="CB46" s="19"/>
      <c r="CC46" s="30">
        <f t="shared" si="9"/>
        <v>1</v>
      </c>
      <c r="CD46" s="28">
        <f t="shared" si="10"/>
        <v>35</v>
      </c>
      <c r="CE46" s="14"/>
      <c r="CF46" s="532" t="s">
        <v>31</v>
      </c>
      <c r="CG46" s="532"/>
      <c r="CH46" s="532"/>
      <c r="CI46" s="532"/>
      <c r="CJ46" s="532"/>
      <c r="CK46" s="532"/>
      <c r="CL46" s="13">
        <v>35</v>
      </c>
      <c r="CM46" s="19"/>
      <c r="CN46" s="19"/>
      <c r="CO46" s="19"/>
      <c r="CP46" s="19">
        <v>2</v>
      </c>
      <c r="CQ46" s="19"/>
      <c r="CR46" s="19"/>
      <c r="CS46" s="19"/>
      <c r="CT46" s="19"/>
      <c r="CU46" s="30">
        <f t="shared" si="11"/>
        <v>2</v>
      </c>
      <c r="CV46" s="28">
        <f t="shared" si="12"/>
        <v>70</v>
      </c>
      <c r="CW46" s="14"/>
      <c r="CX46" s="532" t="s">
        <v>31</v>
      </c>
      <c r="CY46" s="532"/>
      <c r="CZ46" s="532"/>
      <c r="DA46" s="532"/>
      <c r="DB46" s="532"/>
      <c r="DC46" s="532"/>
      <c r="DD46" s="13">
        <v>35</v>
      </c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30">
        <f t="shared" si="13"/>
        <v>0</v>
      </c>
      <c r="DP46" s="28">
        <f t="shared" si="14"/>
        <v>0</v>
      </c>
      <c r="DR46" s="532" t="s">
        <v>31</v>
      </c>
      <c r="DS46" s="532"/>
      <c r="DT46" s="532"/>
      <c r="DU46" s="532"/>
      <c r="DV46" s="532"/>
      <c r="DW46" s="532"/>
      <c r="DX46" s="13">
        <v>35</v>
      </c>
      <c r="DY46" s="19"/>
      <c r="DZ46" s="19"/>
      <c r="EA46" s="19"/>
      <c r="EB46" s="19"/>
      <c r="EC46" s="19"/>
      <c r="ED46" s="19"/>
      <c r="EE46" s="19"/>
      <c r="EF46" s="19"/>
      <c r="EG46" s="19"/>
      <c r="EH46" s="19"/>
    </row>
    <row r="47" spans="1:138" ht="14.45" customHeight="1" x14ac:dyDescent="0.25">
      <c r="A47" s="58"/>
      <c r="B47" s="12"/>
      <c r="C47" s="532" t="s">
        <v>32</v>
      </c>
      <c r="D47" s="532"/>
      <c r="E47" s="532"/>
      <c r="F47" s="532"/>
      <c r="G47" s="532"/>
      <c r="H47" s="532"/>
      <c r="I47" s="13"/>
      <c r="J47" s="13"/>
      <c r="K47" s="19"/>
      <c r="L47" s="19"/>
      <c r="M47" s="19">
        <f t="shared" si="15"/>
        <v>0</v>
      </c>
      <c r="N47" s="19">
        <f t="shared" si="0"/>
        <v>0</v>
      </c>
      <c r="O47" s="12"/>
      <c r="P47" s="532" t="s">
        <v>32</v>
      </c>
      <c r="Q47" s="532"/>
      <c r="R47" s="532"/>
      <c r="S47" s="532"/>
      <c r="T47" s="532"/>
      <c r="U47" s="532"/>
      <c r="V47" s="13"/>
      <c r="W47" s="19"/>
      <c r="X47" s="19"/>
      <c r="Y47" s="23">
        <f t="shared" si="1"/>
        <v>0</v>
      </c>
      <c r="Z47" s="19">
        <f t="shared" si="2"/>
        <v>0</v>
      </c>
      <c r="AA47" s="6"/>
      <c r="AB47" s="532" t="s">
        <v>32</v>
      </c>
      <c r="AC47" s="532"/>
      <c r="AD47" s="532"/>
      <c r="AE47" s="532"/>
      <c r="AF47" s="532"/>
      <c r="AG47" s="532"/>
      <c r="AH47" s="13"/>
      <c r="AI47" s="19"/>
      <c r="AJ47" s="23">
        <f t="shared" si="3"/>
        <v>0</v>
      </c>
      <c r="AK47" s="19">
        <f t="shared" si="4"/>
        <v>0</v>
      </c>
      <c r="AM47" s="572" t="s">
        <v>32</v>
      </c>
      <c r="AN47" s="572"/>
      <c r="AO47" s="572"/>
      <c r="AP47" s="572"/>
      <c r="AQ47" s="572"/>
      <c r="AR47" s="572"/>
      <c r="AS47" s="28"/>
      <c r="AT47" s="28"/>
      <c r="AU47" s="28"/>
      <c r="AV47" s="28"/>
      <c r="AW47" s="28"/>
      <c r="AX47" s="30">
        <f t="shared" si="5"/>
        <v>0</v>
      </c>
      <c r="AY47" s="28">
        <f t="shared" si="6"/>
        <v>0</v>
      </c>
      <c r="AZ47" s="14"/>
      <c r="BA47" s="572" t="s">
        <v>32</v>
      </c>
      <c r="BB47" s="572"/>
      <c r="BC47" s="572"/>
      <c r="BD47" s="572"/>
      <c r="BE47" s="572"/>
      <c r="BF47" s="572"/>
      <c r="BG47" s="28"/>
      <c r="BH47" s="28"/>
      <c r="BI47" s="28"/>
      <c r="BJ47" s="30">
        <f t="shared" si="7"/>
        <v>0</v>
      </c>
      <c r="BK47" s="28">
        <f t="shared" si="8"/>
        <v>0</v>
      </c>
      <c r="BL47" s="14"/>
      <c r="BM47" s="572" t="s">
        <v>32</v>
      </c>
      <c r="BN47" s="572"/>
      <c r="BO47" s="572"/>
      <c r="BP47" s="572"/>
      <c r="BQ47" s="572"/>
      <c r="BR47" s="572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30">
        <f t="shared" si="9"/>
        <v>0</v>
      </c>
      <c r="CD47" s="28">
        <f t="shared" si="10"/>
        <v>0</v>
      </c>
      <c r="CE47" s="14"/>
      <c r="CF47" s="572" t="s">
        <v>32</v>
      </c>
      <c r="CG47" s="572"/>
      <c r="CH47" s="572"/>
      <c r="CI47" s="572"/>
      <c r="CJ47" s="572"/>
      <c r="CK47" s="572"/>
      <c r="CL47" s="28"/>
      <c r="CM47" s="28"/>
      <c r="CN47" s="28"/>
      <c r="CO47" s="28"/>
      <c r="CP47" s="28"/>
      <c r="CQ47" s="28"/>
      <c r="CR47" s="28"/>
      <c r="CS47" s="28"/>
      <c r="CT47" s="28"/>
      <c r="CU47" s="30">
        <f t="shared" si="11"/>
        <v>0</v>
      </c>
      <c r="CV47" s="28">
        <f t="shared" si="12"/>
        <v>0</v>
      </c>
      <c r="CW47" s="14"/>
      <c r="CX47" s="572" t="s">
        <v>32</v>
      </c>
      <c r="CY47" s="572"/>
      <c r="CZ47" s="572"/>
      <c r="DA47" s="572"/>
      <c r="DB47" s="572"/>
      <c r="DC47" s="572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30">
        <f t="shared" si="13"/>
        <v>0</v>
      </c>
      <c r="DP47" s="28">
        <f t="shared" si="14"/>
        <v>0</v>
      </c>
      <c r="DR47" s="572" t="s">
        <v>32</v>
      </c>
      <c r="DS47" s="572"/>
      <c r="DT47" s="572"/>
      <c r="DU47" s="572"/>
      <c r="DV47" s="572"/>
      <c r="DW47" s="572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</row>
    <row r="48" spans="1:138" ht="14.45" customHeight="1" x14ac:dyDescent="0.25">
      <c r="A48" s="58"/>
      <c r="B48" s="12"/>
      <c r="C48" s="532" t="s">
        <v>33</v>
      </c>
      <c r="D48" s="532"/>
      <c r="E48" s="532"/>
      <c r="F48" s="532"/>
      <c r="G48" s="532"/>
      <c r="H48" s="532"/>
      <c r="I48" s="13"/>
      <c r="J48" s="13"/>
      <c r="K48" s="19"/>
      <c r="L48" s="19"/>
      <c r="M48" s="19">
        <f t="shared" si="15"/>
        <v>0</v>
      </c>
      <c r="N48" s="19">
        <f t="shared" si="0"/>
        <v>0</v>
      </c>
      <c r="O48" s="12"/>
      <c r="P48" s="532" t="s">
        <v>33</v>
      </c>
      <c r="Q48" s="532"/>
      <c r="R48" s="532"/>
      <c r="S48" s="532"/>
      <c r="T48" s="532"/>
      <c r="U48" s="532"/>
      <c r="V48" s="13"/>
      <c r="W48" s="19"/>
      <c r="X48" s="19"/>
      <c r="Y48" s="23">
        <f t="shared" si="1"/>
        <v>0</v>
      </c>
      <c r="Z48" s="19">
        <f t="shared" si="2"/>
        <v>0</v>
      </c>
      <c r="AA48" s="6"/>
      <c r="AB48" s="532" t="s">
        <v>33</v>
      </c>
      <c r="AC48" s="532"/>
      <c r="AD48" s="532"/>
      <c r="AE48" s="532"/>
      <c r="AF48" s="532"/>
      <c r="AG48" s="532"/>
      <c r="AH48" s="13"/>
      <c r="AI48" s="19"/>
      <c r="AJ48" s="23">
        <f t="shared" si="3"/>
        <v>0</v>
      </c>
      <c r="AK48" s="19">
        <f t="shared" si="4"/>
        <v>0</v>
      </c>
      <c r="AM48" s="532" t="s">
        <v>33</v>
      </c>
      <c r="AN48" s="532"/>
      <c r="AO48" s="532"/>
      <c r="AP48" s="532"/>
      <c r="AQ48" s="532"/>
      <c r="AR48" s="532"/>
      <c r="AS48" s="13"/>
      <c r="AT48" s="19"/>
      <c r="AU48" s="19"/>
      <c r="AV48" s="19"/>
      <c r="AW48" s="19"/>
      <c r="AX48" s="30">
        <f t="shared" si="5"/>
        <v>0</v>
      </c>
      <c r="AY48" s="28">
        <f t="shared" si="6"/>
        <v>0</v>
      </c>
      <c r="AZ48" s="14"/>
      <c r="BA48" s="532" t="s">
        <v>33</v>
      </c>
      <c r="BB48" s="532"/>
      <c r="BC48" s="532"/>
      <c r="BD48" s="532"/>
      <c r="BE48" s="532"/>
      <c r="BF48" s="532"/>
      <c r="BG48" s="13"/>
      <c r="BH48" s="19"/>
      <c r="BI48" s="19"/>
      <c r="BJ48" s="30">
        <f t="shared" si="7"/>
        <v>0</v>
      </c>
      <c r="BK48" s="28">
        <f t="shared" si="8"/>
        <v>0</v>
      </c>
      <c r="BL48" s="14"/>
      <c r="BM48" s="532" t="s">
        <v>33</v>
      </c>
      <c r="BN48" s="532"/>
      <c r="BO48" s="532"/>
      <c r="BP48" s="532"/>
      <c r="BQ48" s="532"/>
      <c r="BR48" s="532"/>
      <c r="BS48" s="13"/>
      <c r="BT48" s="19"/>
      <c r="BU48" s="19"/>
      <c r="BV48" s="19"/>
      <c r="BW48" s="19"/>
      <c r="BX48" s="19"/>
      <c r="BY48" s="19"/>
      <c r="BZ48" s="19"/>
      <c r="CA48" s="19"/>
      <c r="CB48" s="19"/>
      <c r="CC48" s="30">
        <f t="shared" si="9"/>
        <v>0</v>
      </c>
      <c r="CD48" s="28">
        <f t="shared" si="10"/>
        <v>0</v>
      </c>
      <c r="CE48" s="14"/>
      <c r="CF48" s="532" t="s">
        <v>33</v>
      </c>
      <c r="CG48" s="532"/>
      <c r="CH48" s="532"/>
      <c r="CI48" s="532"/>
      <c r="CJ48" s="532"/>
      <c r="CK48" s="532"/>
      <c r="CL48" s="13"/>
      <c r="CM48" s="19"/>
      <c r="CN48" s="19"/>
      <c r="CO48" s="19"/>
      <c r="CP48" s="19"/>
      <c r="CQ48" s="19"/>
      <c r="CR48" s="19"/>
      <c r="CS48" s="19"/>
      <c r="CT48" s="19"/>
      <c r="CU48" s="30">
        <f t="shared" si="11"/>
        <v>0</v>
      </c>
      <c r="CV48" s="28">
        <f t="shared" si="12"/>
        <v>0</v>
      </c>
      <c r="CW48" s="14"/>
      <c r="CX48" s="532" t="s">
        <v>33</v>
      </c>
      <c r="CY48" s="532"/>
      <c r="CZ48" s="532"/>
      <c r="DA48" s="532"/>
      <c r="DB48" s="532"/>
      <c r="DC48" s="532"/>
      <c r="DD48" s="13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30">
        <f t="shared" si="13"/>
        <v>0</v>
      </c>
      <c r="DP48" s="28">
        <f t="shared" si="14"/>
        <v>0</v>
      </c>
      <c r="DR48" s="532" t="s">
        <v>33</v>
      </c>
      <c r="DS48" s="532"/>
      <c r="DT48" s="532"/>
      <c r="DU48" s="532"/>
      <c r="DV48" s="532"/>
      <c r="DW48" s="532"/>
      <c r="DX48" s="13"/>
      <c r="DY48" s="19"/>
      <c r="DZ48" s="19"/>
      <c r="EA48" s="19"/>
      <c r="EB48" s="19"/>
      <c r="EC48" s="19"/>
      <c r="ED48" s="19"/>
      <c r="EE48" s="19"/>
      <c r="EF48" s="19"/>
      <c r="EG48" s="19"/>
      <c r="EH48" s="19"/>
    </row>
    <row r="49" spans="1:138" ht="14.45" customHeight="1" x14ac:dyDescent="0.25">
      <c r="A49" s="58"/>
      <c r="B49" s="12"/>
      <c r="C49" s="532" t="s">
        <v>34</v>
      </c>
      <c r="D49" s="532"/>
      <c r="E49" s="532"/>
      <c r="F49" s="532"/>
      <c r="G49" s="532"/>
      <c r="H49" s="532"/>
      <c r="I49" s="13"/>
      <c r="J49" s="13"/>
      <c r="K49" s="19"/>
      <c r="L49" s="19"/>
      <c r="M49" s="19">
        <f t="shared" si="15"/>
        <v>0</v>
      </c>
      <c r="N49" s="19">
        <f t="shared" si="0"/>
        <v>0</v>
      </c>
      <c r="O49" s="12"/>
      <c r="P49" s="532" t="s">
        <v>34</v>
      </c>
      <c r="Q49" s="532"/>
      <c r="R49" s="532"/>
      <c r="S49" s="532"/>
      <c r="T49" s="532"/>
      <c r="U49" s="532"/>
      <c r="V49" s="13"/>
      <c r="W49" s="19"/>
      <c r="X49" s="19"/>
      <c r="Y49" s="23">
        <f t="shared" si="1"/>
        <v>0</v>
      </c>
      <c r="Z49" s="19">
        <f t="shared" si="2"/>
        <v>0</v>
      </c>
      <c r="AA49" s="6"/>
      <c r="AB49" s="532" t="s">
        <v>34</v>
      </c>
      <c r="AC49" s="532"/>
      <c r="AD49" s="532"/>
      <c r="AE49" s="532"/>
      <c r="AF49" s="532"/>
      <c r="AG49" s="532"/>
      <c r="AH49" s="13"/>
      <c r="AI49" s="19"/>
      <c r="AJ49" s="23">
        <f t="shared" si="3"/>
        <v>0</v>
      </c>
      <c r="AK49" s="19">
        <f t="shared" si="4"/>
        <v>0</v>
      </c>
      <c r="AM49" s="572" t="s">
        <v>34</v>
      </c>
      <c r="AN49" s="572"/>
      <c r="AO49" s="572"/>
      <c r="AP49" s="572"/>
      <c r="AQ49" s="572"/>
      <c r="AR49" s="572"/>
      <c r="AS49" s="28"/>
      <c r="AT49" s="28"/>
      <c r="AU49" s="28"/>
      <c r="AV49" s="28"/>
      <c r="AW49" s="28"/>
      <c r="AX49" s="30">
        <f t="shared" si="5"/>
        <v>0</v>
      </c>
      <c r="AY49" s="28">
        <f t="shared" si="6"/>
        <v>0</v>
      </c>
      <c r="AZ49" s="14"/>
      <c r="BA49" s="572" t="s">
        <v>34</v>
      </c>
      <c r="BB49" s="572"/>
      <c r="BC49" s="572"/>
      <c r="BD49" s="572"/>
      <c r="BE49" s="572"/>
      <c r="BF49" s="572"/>
      <c r="BG49" s="28"/>
      <c r="BH49" s="28"/>
      <c r="BI49" s="28"/>
      <c r="BJ49" s="30">
        <f t="shared" si="7"/>
        <v>0</v>
      </c>
      <c r="BK49" s="28">
        <f t="shared" si="8"/>
        <v>0</v>
      </c>
      <c r="BL49" s="14"/>
      <c r="BM49" s="572" t="s">
        <v>34</v>
      </c>
      <c r="BN49" s="572"/>
      <c r="BO49" s="572"/>
      <c r="BP49" s="572"/>
      <c r="BQ49" s="572"/>
      <c r="BR49" s="572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30">
        <f t="shared" si="9"/>
        <v>0</v>
      </c>
      <c r="CD49" s="28">
        <f t="shared" si="10"/>
        <v>0</v>
      </c>
      <c r="CE49" s="14"/>
      <c r="CF49" s="572" t="s">
        <v>34</v>
      </c>
      <c r="CG49" s="572"/>
      <c r="CH49" s="572"/>
      <c r="CI49" s="572"/>
      <c r="CJ49" s="572"/>
      <c r="CK49" s="572"/>
      <c r="CL49" s="28">
        <v>17</v>
      </c>
      <c r="CM49" s="28"/>
      <c r="CN49" s="28">
        <v>2</v>
      </c>
      <c r="CO49" s="28">
        <v>1</v>
      </c>
      <c r="CP49" s="28"/>
      <c r="CQ49" s="28"/>
      <c r="CR49" s="28"/>
      <c r="CS49" s="28"/>
      <c r="CT49" s="28"/>
      <c r="CU49" s="30">
        <f t="shared" si="11"/>
        <v>3</v>
      </c>
      <c r="CV49" s="28">
        <f t="shared" si="12"/>
        <v>51</v>
      </c>
      <c r="CW49" s="14"/>
      <c r="CX49" s="572" t="s">
        <v>34</v>
      </c>
      <c r="CY49" s="572"/>
      <c r="CZ49" s="572"/>
      <c r="DA49" s="572"/>
      <c r="DB49" s="572"/>
      <c r="DC49" s="572"/>
      <c r="DD49" s="28">
        <v>17</v>
      </c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30">
        <f t="shared" si="13"/>
        <v>0</v>
      </c>
      <c r="DP49" s="28">
        <f t="shared" si="14"/>
        <v>0</v>
      </c>
      <c r="DR49" s="572" t="s">
        <v>34</v>
      </c>
      <c r="DS49" s="572"/>
      <c r="DT49" s="572"/>
      <c r="DU49" s="572"/>
      <c r="DV49" s="572"/>
      <c r="DW49" s="572"/>
      <c r="DX49" s="28">
        <v>17</v>
      </c>
      <c r="DY49" s="28"/>
      <c r="DZ49" s="28"/>
      <c r="EA49" s="28"/>
      <c r="EB49" s="28"/>
      <c r="EC49" s="28"/>
      <c r="ED49" s="28"/>
      <c r="EE49" s="28"/>
      <c r="EF49" s="28"/>
      <c r="EG49" s="28"/>
      <c r="EH49" s="28"/>
    </row>
    <row r="50" spans="1:138" ht="14.45" customHeight="1" x14ac:dyDescent="0.25">
      <c r="A50" s="58"/>
      <c r="B50" s="12"/>
      <c r="C50" s="532" t="s">
        <v>35</v>
      </c>
      <c r="D50" s="532"/>
      <c r="E50" s="532"/>
      <c r="F50" s="532"/>
      <c r="G50" s="532"/>
      <c r="H50" s="532"/>
      <c r="I50" s="13"/>
      <c r="J50" s="13"/>
      <c r="K50" s="19"/>
      <c r="L50" s="19"/>
      <c r="M50" s="19">
        <f t="shared" si="15"/>
        <v>0</v>
      </c>
      <c r="N50" s="19">
        <f t="shared" si="0"/>
        <v>0</v>
      </c>
      <c r="O50" s="12"/>
      <c r="P50" s="532" t="s">
        <v>35</v>
      </c>
      <c r="Q50" s="532"/>
      <c r="R50" s="532"/>
      <c r="S50" s="532"/>
      <c r="T50" s="532"/>
      <c r="U50" s="532"/>
      <c r="V50" s="13"/>
      <c r="W50" s="19"/>
      <c r="X50" s="19"/>
      <c r="Y50" s="23">
        <f t="shared" si="1"/>
        <v>0</v>
      </c>
      <c r="Z50" s="19">
        <f t="shared" si="2"/>
        <v>0</v>
      </c>
      <c r="AA50" s="6"/>
      <c r="AB50" s="532" t="s">
        <v>35</v>
      </c>
      <c r="AC50" s="532"/>
      <c r="AD50" s="532"/>
      <c r="AE50" s="532"/>
      <c r="AF50" s="532"/>
      <c r="AG50" s="532"/>
      <c r="AH50" s="13">
        <v>7</v>
      </c>
      <c r="AI50" s="19">
        <v>2</v>
      </c>
      <c r="AJ50" s="23">
        <f t="shared" si="3"/>
        <v>2</v>
      </c>
      <c r="AK50" s="19">
        <f t="shared" si="4"/>
        <v>14</v>
      </c>
      <c r="AM50" s="532" t="s">
        <v>35</v>
      </c>
      <c r="AN50" s="532"/>
      <c r="AO50" s="532"/>
      <c r="AP50" s="532"/>
      <c r="AQ50" s="532"/>
      <c r="AR50" s="532"/>
      <c r="AS50" s="13">
        <v>7</v>
      </c>
      <c r="AT50" s="19"/>
      <c r="AU50" s="19"/>
      <c r="AV50" s="19"/>
      <c r="AW50" s="19"/>
      <c r="AX50" s="30">
        <f t="shared" si="5"/>
        <v>0</v>
      </c>
      <c r="AY50" s="28">
        <f t="shared" si="6"/>
        <v>0</v>
      </c>
      <c r="AZ50" s="14"/>
      <c r="BA50" s="532" t="s">
        <v>35</v>
      </c>
      <c r="BB50" s="532"/>
      <c r="BC50" s="532"/>
      <c r="BD50" s="532"/>
      <c r="BE50" s="532"/>
      <c r="BF50" s="532"/>
      <c r="BG50" s="13">
        <v>7</v>
      </c>
      <c r="BH50" s="19"/>
      <c r="BI50" s="19"/>
      <c r="BJ50" s="30">
        <f t="shared" si="7"/>
        <v>0</v>
      </c>
      <c r="BK50" s="28">
        <f t="shared" si="8"/>
        <v>0</v>
      </c>
      <c r="BL50" s="14"/>
      <c r="BM50" s="532" t="s">
        <v>35</v>
      </c>
      <c r="BN50" s="532"/>
      <c r="BO50" s="532"/>
      <c r="BP50" s="532"/>
      <c r="BQ50" s="532"/>
      <c r="BR50" s="532"/>
      <c r="BS50" s="13">
        <v>7</v>
      </c>
      <c r="BT50" s="19"/>
      <c r="BU50" s="19"/>
      <c r="BV50" s="19"/>
      <c r="BW50" s="19"/>
      <c r="BX50" s="19"/>
      <c r="BY50" s="19"/>
      <c r="BZ50" s="19"/>
      <c r="CA50" s="19"/>
      <c r="CB50" s="19"/>
      <c r="CC50" s="30">
        <f t="shared" si="9"/>
        <v>0</v>
      </c>
      <c r="CD50" s="28">
        <f t="shared" si="10"/>
        <v>0</v>
      </c>
      <c r="CE50" s="14"/>
      <c r="CF50" s="532" t="s">
        <v>35</v>
      </c>
      <c r="CG50" s="532"/>
      <c r="CH50" s="532"/>
      <c r="CI50" s="532"/>
      <c r="CJ50" s="532"/>
      <c r="CK50" s="532"/>
      <c r="CL50" s="13">
        <v>7</v>
      </c>
      <c r="CM50" s="19"/>
      <c r="CN50" s="19">
        <v>2</v>
      </c>
      <c r="CO50" s="19"/>
      <c r="CP50" s="19"/>
      <c r="CQ50" s="19"/>
      <c r="CR50" s="19"/>
      <c r="CS50" s="19"/>
      <c r="CT50" s="19"/>
      <c r="CU50" s="30">
        <f t="shared" si="11"/>
        <v>2</v>
      </c>
      <c r="CV50" s="28">
        <f t="shared" si="12"/>
        <v>14</v>
      </c>
      <c r="CW50" s="14"/>
      <c r="CX50" s="532" t="s">
        <v>35</v>
      </c>
      <c r="CY50" s="532"/>
      <c r="CZ50" s="532"/>
      <c r="DA50" s="532"/>
      <c r="DB50" s="532"/>
      <c r="DC50" s="532"/>
      <c r="DD50" s="13">
        <v>7</v>
      </c>
      <c r="DE50" s="19"/>
      <c r="DF50" s="19"/>
      <c r="DG50" s="19"/>
      <c r="DH50" s="19"/>
      <c r="DI50" s="19"/>
      <c r="DJ50" s="19"/>
      <c r="DK50" s="19"/>
      <c r="DL50" s="19">
        <v>1</v>
      </c>
      <c r="DM50" s="19"/>
      <c r="DN50" s="19"/>
      <c r="DO50" s="30">
        <f t="shared" si="13"/>
        <v>1</v>
      </c>
      <c r="DP50" s="28">
        <f t="shared" si="14"/>
        <v>7</v>
      </c>
      <c r="DR50" s="532" t="s">
        <v>35</v>
      </c>
      <c r="DS50" s="532"/>
      <c r="DT50" s="532"/>
      <c r="DU50" s="532"/>
      <c r="DV50" s="532"/>
      <c r="DW50" s="532"/>
      <c r="DX50" s="13">
        <v>7</v>
      </c>
      <c r="DY50" s="19"/>
      <c r="DZ50" s="19"/>
      <c r="EA50" s="19"/>
      <c r="EB50" s="19"/>
      <c r="EC50" s="19"/>
      <c r="ED50" s="19"/>
      <c r="EE50" s="19"/>
      <c r="EF50" s="19"/>
      <c r="EG50" s="19"/>
      <c r="EH50" s="19"/>
    </row>
    <row r="51" spans="1:138" ht="14.45" customHeight="1" x14ac:dyDescent="0.25">
      <c r="A51" s="58"/>
      <c r="B51" s="12"/>
      <c r="C51" s="532" t="s">
        <v>36</v>
      </c>
      <c r="D51" s="532"/>
      <c r="E51" s="532"/>
      <c r="F51" s="532"/>
      <c r="G51" s="532"/>
      <c r="H51" s="532"/>
      <c r="I51" s="13"/>
      <c r="J51" s="13"/>
      <c r="K51" s="19"/>
      <c r="L51" s="19"/>
      <c r="M51" s="19">
        <f t="shared" si="15"/>
        <v>0</v>
      </c>
      <c r="N51" s="19">
        <f t="shared" si="0"/>
        <v>0</v>
      </c>
      <c r="O51" s="12"/>
      <c r="P51" s="532" t="s">
        <v>36</v>
      </c>
      <c r="Q51" s="532"/>
      <c r="R51" s="532"/>
      <c r="S51" s="532"/>
      <c r="T51" s="532"/>
      <c r="U51" s="532"/>
      <c r="V51" s="13"/>
      <c r="W51" s="19"/>
      <c r="X51" s="19"/>
      <c r="Y51" s="23">
        <f t="shared" si="1"/>
        <v>0</v>
      </c>
      <c r="Z51" s="19">
        <f t="shared" si="2"/>
        <v>0</v>
      </c>
      <c r="AA51" s="6"/>
      <c r="AB51" s="532" t="s">
        <v>36</v>
      </c>
      <c r="AC51" s="532"/>
      <c r="AD51" s="532"/>
      <c r="AE51" s="532"/>
      <c r="AF51" s="532"/>
      <c r="AG51" s="532"/>
      <c r="AH51" s="13"/>
      <c r="AI51" s="19"/>
      <c r="AJ51" s="23">
        <f t="shared" si="3"/>
        <v>0</v>
      </c>
      <c r="AK51" s="19">
        <f t="shared" si="4"/>
        <v>0</v>
      </c>
      <c r="AM51" s="572" t="s">
        <v>36</v>
      </c>
      <c r="AN51" s="572"/>
      <c r="AO51" s="572"/>
      <c r="AP51" s="572"/>
      <c r="AQ51" s="572"/>
      <c r="AR51" s="572"/>
      <c r="AS51" s="28"/>
      <c r="AT51" s="28"/>
      <c r="AU51" s="28"/>
      <c r="AV51" s="28"/>
      <c r="AW51" s="28"/>
      <c r="AX51" s="30">
        <f t="shared" si="5"/>
        <v>0</v>
      </c>
      <c r="AY51" s="28">
        <f t="shared" si="6"/>
        <v>0</v>
      </c>
      <c r="AZ51" s="14"/>
      <c r="BA51" s="572" t="s">
        <v>36</v>
      </c>
      <c r="BB51" s="572"/>
      <c r="BC51" s="572"/>
      <c r="BD51" s="572"/>
      <c r="BE51" s="572"/>
      <c r="BF51" s="572"/>
      <c r="BG51" s="28"/>
      <c r="BH51" s="28"/>
      <c r="BI51" s="28"/>
      <c r="BJ51" s="30">
        <f t="shared" si="7"/>
        <v>0</v>
      </c>
      <c r="BK51" s="28">
        <f t="shared" si="8"/>
        <v>0</v>
      </c>
      <c r="BL51" s="14"/>
      <c r="BM51" s="572" t="s">
        <v>36</v>
      </c>
      <c r="BN51" s="572"/>
      <c r="BO51" s="572"/>
      <c r="BP51" s="572"/>
      <c r="BQ51" s="572"/>
      <c r="BR51" s="572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30">
        <f t="shared" si="9"/>
        <v>0</v>
      </c>
      <c r="CD51" s="28">
        <f t="shared" si="10"/>
        <v>0</v>
      </c>
      <c r="CE51" s="14"/>
      <c r="CF51" s="572" t="s">
        <v>36</v>
      </c>
      <c r="CG51" s="572"/>
      <c r="CH51" s="572"/>
      <c r="CI51" s="572"/>
      <c r="CJ51" s="572"/>
      <c r="CK51" s="572"/>
      <c r="CL51" s="28"/>
      <c r="CM51" s="28"/>
      <c r="CN51" s="28"/>
      <c r="CO51" s="28"/>
      <c r="CP51" s="28"/>
      <c r="CQ51" s="28"/>
      <c r="CR51" s="28"/>
      <c r="CS51" s="28"/>
      <c r="CT51" s="28"/>
      <c r="CU51" s="30">
        <f t="shared" si="11"/>
        <v>0</v>
      </c>
      <c r="CV51" s="28">
        <f t="shared" si="12"/>
        <v>0</v>
      </c>
      <c r="CW51" s="14"/>
      <c r="CX51" s="572" t="s">
        <v>36</v>
      </c>
      <c r="CY51" s="572"/>
      <c r="CZ51" s="572"/>
      <c r="DA51" s="572"/>
      <c r="DB51" s="572"/>
      <c r="DC51" s="572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30">
        <f t="shared" si="13"/>
        <v>0</v>
      </c>
      <c r="DP51" s="28">
        <f t="shared" si="14"/>
        <v>0</v>
      </c>
      <c r="DR51" s="572" t="s">
        <v>36</v>
      </c>
      <c r="DS51" s="572"/>
      <c r="DT51" s="572"/>
      <c r="DU51" s="572"/>
      <c r="DV51" s="572"/>
      <c r="DW51" s="572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</row>
    <row r="52" spans="1:138" ht="14.45" customHeight="1" x14ac:dyDescent="0.25">
      <c r="A52" s="58"/>
      <c r="B52" s="12"/>
      <c r="C52" s="532" t="s">
        <v>37</v>
      </c>
      <c r="D52" s="532"/>
      <c r="E52" s="532"/>
      <c r="F52" s="532"/>
      <c r="G52" s="532"/>
      <c r="H52" s="532"/>
      <c r="I52" s="13"/>
      <c r="J52" s="13"/>
      <c r="K52" s="19"/>
      <c r="L52" s="19"/>
      <c r="M52" s="19">
        <f t="shared" si="15"/>
        <v>0</v>
      </c>
      <c r="N52" s="19">
        <f t="shared" si="0"/>
        <v>0</v>
      </c>
      <c r="O52" s="12"/>
      <c r="P52" s="532" t="s">
        <v>37</v>
      </c>
      <c r="Q52" s="532"/>
      <c r="R52" s="532"/>
      <c r="S52" s="532"/>
      <c r="T52" s="532"/>
      <c r="U52" s="532"/>
      <c r="V52" s="13"/>
      <c r="W52" s="19"/>
      <c r="X52" s="19"/>
      <c r="Y52" s="23">
        <f t="shared" si="1"/>
        <v>0</v>
      </c>
      <c r="Z52" s="19">
        <f t="shared" si="2"/>
        <v>0</v>
      </c>
      <c r="AA52" s="6"/>
      <c r="AB52" s="532" t="s">
        <v>37</v>
      </c>
      <c r="AC52" s="532"/>
      <c r="AD52" s="532"/>
      <c r="AE52" s="532"/>
      <c r="AF52" s="532"/>
      <c r="AG52" s="532"/>
      <c r="AH52" s="13"/>
      <c r="AI52" s="19"/>
      <c r="AJ52" s="23">
        <f t="shared" si="3"/>
        <v>0</v>
      </c>
      <c r="AK52" s="19">
        <f t="shared" si="4"/>
        <v>0</v>
      </c>
      <c r="AM52" s="532" t="s">
        <v>37</v>
      </c>
      <c r="AN52" s="532"/>
      <c r="AO52" s="532"/>
      <c r="AP52" s="532"/>
      <c r="AQ52" s="532"/>
      <c r="AR52" s="532"/>
      <c r="AS52" s="13"/>
      <c r="AT52" s="19"/>
      <c r="AU52" s="19"/>
      <c r="AV52" s="19"/>
      <c r="AW52" s="19"/>
      <c r="AX52" s="30">
        <f t="shared" si="5"/>
        <v>0</v>
      </c>
      <c r="AY52" s="28">
        <f t="shared" si="6"/>
        <v>0</v>
      </c>
      <c r="AZ52" s="14"/>
      <c r="BA52" s="532" t="s">
        <v>37</v>
      </c>
      <c r="BB52" s="532"/>
      <c r="BC52" s="532"/>
      <c r="BD52" s="532"/>
      <c r="BE52" s="532"/>
      <c r="BF52" s="532"/>
      <c r="BG52" s="13"/>
      <c r="BH52" s="19"/>
      <c r="BI52" s="19"/>
      <c r="BJ52" s="30">
        <f t="shared" si="7"/>
        <v>0</v>
      </c>
      <c r="BK52" s="28">
        <f t="shared" si="8"/>
        <v>0</v>
      </c>
      <c r="BL52" s="14"/>
      <c r="BM52" s="532" t="s">
        <v>37</v>
      </c>
      <c r="BN52" s="532"/>
      <c r="BO52" s="532"/>
      <c r="BP52" s="532"/>
      <c r="BQ52" s="532"/>
      <c r="BR52" s="532"/>
      <c r="BS52" s="13"/>
      <c r="BT52" s="19"/>
      <c r="BU52" s="19"/>
      <c r="BV52" s="19"/>
      <c r="BW52" s="19"/>
      <c r="BX52" s="19"/>
      <c r="BY52" s="19"/>
      <c r="BZ52" s="19"/>
      <c r="CA52" s="19"/>
      <c r="CB52" s="19"/>
      <c r="CC52" s="30">
        <f t="shared" si="9"/>
        <v>0</v>
      </c>
      <c r="CD52" s="28">
        <f t="shared" si="10"/>
        <v>0</v>
      </c>
      <c r="CE52" s="14"/>
      <c r="CF52" s="532" t="s">
        <v>37</v>
      </c>
      <c r="CG52" s="532"/>
      <c r="CH52" s="532"/>
      <c r="CI52" s="532"/>
      <c r="CJ52" s="532"/>
      <c r="CK52" s="532"/>
      <c r="CL52" s="13"/>
      <c r="CM52" s="19"/>
      <c r="CN52" s="19"/>
      <c r="CO52" s="19"/>
      <c r="CP52" s="19"/>
      <c r="CQ52" s="19"/>
      <c r="CR52" s="19"/>
      <c r="CS52" s="19"/>
      <c r="CT52" s="19"/>
      <c r="CU52" s="30">
        <f t="shared" si="11"/>
        <v>0</v>
      </c>
      <c r="CV52" s="28">
        <f t="shared" si="12"/>
        <v>0</v>
      </c>
      <c r="CW52" s="14"/>
      <c r="CX52" s="532" t="s">
        <v>37</v>
      </c>
      <c r="CY52" s="532"/>
      <c r="CZ52" s="532"/>
      <c r="DA52" s="532"/>
      <c r="DB52" s="532"/>
      <c r="DC52" s="532"/>
      <c r="DD52" s="13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30">
        <f t="shared" si="13"/>
        <v>0</v>
      </c>
      <c r="DP52" s="28">
        <f t="shared" si="14"/>
        <v>0</v>
      </c>
      <c r="DR52" s="532" t="s">
        <v>37</v>
      </c>
      <c r="DS52" s="532"/>
      <c r="DT52" s="532"/>
      <c r="DU52" s="532"/>
      <c r="DV52" s="532"/>
      <c r="DW52" s="532"/>
      <c r="DX52" s="13"/>
      <c r="DY52" s="19"/>
      <c r="DZ52" s="19"/>
      <c r="EA52" s="19"/>
      <c r="EB52" s="19"/>
      <c r="EC52" s="19"/>
      <c r="ED52" s="19"/>
      <c r="EE52" s="19"/>
      <c r="EF52" s="19"/>
      <c r="EG52" s="19"/>
      <c r="EH52" s="19"/>
    </row>
    <row r="53" spans="1:138" ht="14.45" customHeight="1" x14ac:dyDescent="0.25">
      <c r="A53" s="58"/>
      <c r="B53" s="12"/>
      <c r="C53" s="532" t="s">
        <v>38</v>
      </c>
      <c r="D53" s="532"/>
      <c r="E53" s="532"/>
      <c r="F53" s="532"/>
      <c r="G53" s="532"/>
      <c r="H53" s="532"/>
      <c r="I53" s="13"/>
      <c r="J53" s="13"/>
      <c r="K53" s="19"/>
      <c r="L53" s="19"/>
      <c r="M53" s="19">
        <f t="shared" si="15"/>
        <v>0</v>
      </c>
      <c r="N53" s="19">
        <f t="shared" si="0"/>
        <v>0</v>
      </c>
      <c r="O53" s="12"/>
      <c r="P53" s="532" t="s">
        <v>38</v>
      </c>
      <c r="Q53" s="532"/>
      <c r="R53" s="532"/>
      <c r="S53" s="532"/>
      <c r="T53" s="532"/>
      <c r="U53" s="532"/>
      <c r="V53" s="13"/>
      <c r="W53" s="19"/>
      <c r="X53" s="19"/>
      <c r="Y53" s="23">
        <f t="shared" si="1"/>
        <v>0</v>
      </c>
      <c r="Z53" s="19">
        <f t="shared" si="2"/>
        <v>0</v>
      </c>
      <c r="AA53" s="6"/>
      <c r="AB53" s="532" t="s">
        <v>38</v>
      </c>
      <c r="AC53" s="532"/>
      <c r="AD53" s="532"/>
      <c r="AE53" s="532"/>
      <c r="AF53" s="532"/>
      <c r="AG53" s="532"/>
      <c r="AH53" s="13"/>
      <c r="AI53" s="19"/>
      <c r="AJ53" s="23">
        <f t="shared" si="3"/>
        <v>0</v>
      </c>
      <c r="AK53" s="19">
        <f t="shared" si="4"/>
        <v>0</v>
      </c>
      <c r="AM53" s="572" t="s">
        <v>38</v>
      </c>
      <c r="AN53" s="572"/>
      <c r="AO53" s="572"/>
      <c r="AP53" s="572"/>
      <c r="AQ53" s="572"/>
      <c r="AR53" s="572"/>
      <c r="AS53" s="28"/>
      <c r="AT53" s="28"/>
      <c r="AU53" s="28"/>
      <c r="AV53" s="28"/>
      <c r="AW53" s="28"/>
      <c r="AX53" s="30">
        <f t="shared" si="5"/>
        <v>0</v>
      </c>
      <c r="AY53" s="28">
        <f t="shared" si="6"/>
        <v>0</v>
      </c>
      <c r="AZ53" s="14"/>
      <c r="BA53" s="572" t="s">
        <v>38</v>
      </c>
      <c r="BB53" s="572"/>
      <c r="BC53" s="572"/>
      <c r="BD53" s="572"/>
      <c r="BE53" s="572"/>
      <c r="BF53" s="572"/>
      <c r="BG53" s="28"/>
      <c r="BH53" s="28"/>
      <c r="BI53" s="28"/>
      <c r="BJ53" s="30">
        <f t="shared" si="7"/>
        <v>0</v>
      </c>
      <c r="BK53" s="28">
        <f t="shared" si="8"/>
        <v>0</v>
      </c>
      <c r="BL53" s="14"/>
      <c r="BM53" s="572" t="s">
        <v>38</v>
      </c>
      <c r="BN53" s="572"/>
      <c r="BO53" s="572"/>
      <c r="BP53" s="572"/>
      <c r="BQ53" s="572"/>
      <c r="BR53" s="572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30">
        <f t="shared" si="9"/>
        <v>0</v>
      </c>
      <c r="CD53" s="28">
        <f t="shared" si="10"/>
        <v>0</v>
      </c>
      <c r="CE53" s="14"/>
      <c r="CF53" s="572" t="s">
        <v>38</v>
      </c>
      <c r="CG53" s="572"/>
      <c r="CH53" s="572"/>
      <c r="CI53" s="572"/>
      <c r="CJ53" s="572"/>
      <c r="CK53" s="572"/>
      <c r="CL53" s="28"/>
      <c r="CM53" s="28"/>
      <c r="CN53" s="28"/>
      <c r="CO53" s="28"/>
      <c r="CP53" s="28"/>
      <c r="CQ53" s="28"/>
      <c r="CR53" s="28"/>
      <c r="CS53" s="28"/>
      <c r="CT53" s="28"/>
      <c r="CU53" s="30">
        <f t="shared" si="11"/>
        <v>0</v>
      </c>
      <c r="CV53" s="28">
        <f t="shared" si="12"/>
        <v>0</v>
      </c>
      <c r="CW53" s="14"/>
      <c r="CX53" s="572" t="s">
        <v>38</v>
      </c>
      <c r="CY53" s="572"/>
      <c r="CZ53" s="572"/>
      <c r="DA53" s="572"/>
      <c r="DB53" s="572"/>
      <c r="DC53" s="572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30">
        <f t="shared" si="13"/>
        <v>0</v>
      </c>
      <c r="DP53" s="28">
        <f t="shared" si="14"/>
        <v>0</v>
      </c>
      <c r="DR53" s="572" t="s">
        <v>38</v>
      </c>
      <c r="DS53" s="572"/>
      <c r="DT53" s="572"/>
      <c r="DU53" s="572"/>
      <c r="DV53" s="572"/>
      <c r="DW53" s="572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</row>
    <row r="54" spans="1:138" ht="14.45" customHeight="1" x14ac:dyDescent="0.25">
      <c r="A54" s="58"/>
      <c r="B54" s="12"/>
      <c r="C54" s="532" t="s">
        <v>39</v>
      </c>
      <c r="D54" s="532"/>
      <c r="E54" s="532"/>
      <c r="F54" s="532"/>
      <c r="G54" s="532"/>
      <c r="H54" s="532"/>
      <c r="I54" s="13"/>
      <c r="J54" s="13"/>
      <c r="K54" s="19"/>
      <c r="L54" s="19"/>
      <c r="M54" s="19">
        <f t="shared" si="15"/>
        <v>0</v>
      </c>
      <c r="N54" s="19">
        <f t="shared" si="0"/>
        <v>0</v>
      </c>
      <c r="O54" s="12"/>
      <c r="P54" s="532" t="s">
        <v>39</v>
      </c>
      <c r="Q54" s="532"/>
      <c r="R54" s="532"/>
      <c r="S54" s="532"/>
      <c r="T54" s="532"/>
      <c r="U54" s="532"/>
      <c r="V54" s="13"/>
      <c r="W54" s="19"/>
      <c r="X54" s="19"/>
      <c r="Y54" s="23">
        <f t="shared" si="1"/>
        <v>0</v>
      </c>
      <c r="Z54" s="19">
        <f t="shared" si="2"/>
        <v>0</v>
      </c>
      <c r="AA54" s="6"/>
      <c r="AB54" s="532" t="s">
        <v>39</v>
      </c>
      <c r="AC54" s="532"/>
      <c r="AD54" s="532"/>
      <c r="AE54" s="532"/>
      <c r="AF54" s="532"/>
      <c r="AG54" s="532"/>
      <c r="AH54" s="13"/>
      <c r="AI54" s="19"/>
      <c r="AJ54" s="23">
        <f t="shared" si="3"/>
        <v>0</v>
      </c>
      <c r="AK54" s="19">
        <f t="shared" si="4"/>
        <v>0</v>
      </c>
      <c r="AM54" s="532" t="s">
        <v>39</v>
      </c>
      <c r="AN54" s="532"/>
      <c r="AO54" s="532"/>
      <c r="AP54" s="532"/>
      <c r="AQ54" s="532"/>
      <c r="AR54" s="532"/>
      <c r="AS54" s="13"/>
      <c r="AT54" s="19"/>
      <c r="AU54" s="19"/>
      <c r="AV54" s="19"/>
      <c r="AW54" s="19"/>
      <c r="AX54" s="30">
        <f t="shared" si="5"/>
        <v>0</v>
      </c>
      <c r="AY54" s="28">
        <f t="shared" si="6"/>
        <v>0</v>
      </c>
      <c r="AZ54" s="14"/>
      <c r="BA54" s="532" t="s">
        <v>39</v>
      </c>
      <c r="BB54" s="532"/>
      <c r="BC54" s="532"/>
      <c r="BD54" s="532"/>
      <c r="BE54" s="532"/>
      <c r="BF54" s="532"/>
      <c r="BG54" s="13"/>
      <c r="BH54" s="19"/>
      <c r="BI54" s="19"/>
      <c r="BJ54" s="30">
        <f t="shared" si="7"/>
        <v>0</v>
      </c>
      <c r="BK54" s="28">
        <f t="shared" si="8"/>
        <v>0</v>
      </c>
      <c r="BL54" s="14"/>
      <c r="BM54" s="532" t="s">
        <v>39</v>
      </c>
      <c r="BN54" s="532"/>
      <c r="BO54" s="532"/>
      <c r="BP54" s="532"/>
      <c r="BQ54" s="532"/>
      <c r="BR54" s="532"/>
      <c r="BS54" s="13"/>
      <c r="BT54" s="19"/>
      <c r="BU54" s="19"/>
      <c r="BV54" s="19"/>
      <c r="BW54" s="19"/>
      <c r="BX54" s="19"/>
      <c r="BY54" s="19"/>
      <c r="BZ54" s="19"/>
      <c r="CA54" s="19"/>
      <c r="CB54" s="19"/>
      <c r="CC54" s="30">
        <f t="shared" si="9"/>
        <v>0</v>
      </c>
      <c r="CD54" s="28">
        <f t="shared" si="10"/>
        <v>0</v>
      </c>
      <c r="CE54" s="14"/>
      <c r="CF54" s="532" t="s">
        <v>39</v>
      </c>
      <c r="CG54" s="532"/>
      <c r="CH54" s="532"/>
      <c r="CI54" s="532"/>
      <c r="CJ54" s="532"/>
      <c r="CK54" s="532"/>
      <c r="CL54" s="13"/>
      <c r="CM54" s="19"/>
      <c r="CN54" s="19"/>
      <c r="CO54" s="19"/>
      <c r="CP54" s="19"/>
      <c r="CQ54" s="19"/>
      <c r="CR54" s="19"/>
      <c r="CS54" s="19"/>
      <c r="CT54" s="19"/>
      <c r="CU54" s="30">
        <f t="shared" si="11"/>
        <v>0</v>
      </c>
      <c r="CV54" s="28">
        <f t="shared" si="12"/>
        <v>0</v>
      </c>
      <c r="CW54" s="14"/>
      <c r="CX54" s="532" t="s">
        <v>39</v>
      </c>
      <c r="CY54" s="532"/>
      <c r="CZ54" s="532"/>
      <c r="DA54" s="532"/>
      <c r="DB54" s="532"/>
      <c r="DC54" s="532"/>
      <c r="DD54" s="13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30">
        <f t="shared" si="13"/>
        <v>0</v>
      </c>
      <c r="DP54" s="28">
        <f t="shared" si="14"/>
        <v>0</v>
      </c>
      <c r="DR54" s="532" t="s">
        <v>39</v>
      </c>
      <c r="DS54" s="532"/>
      <c r="DT54" s="532"/>
      <c r="DU54" s="532"/>
      <c r="DV54" s="532"/>
      <c r="DW54" s="532"/>
      <c r="DX54" s="13"/>
      <c r="DY54" s="19"/>
      <c r="DZ54" s="19"/>
      <c r="EA54" s="19"/>
      <c r="EB54" s="19"/>
      <c r="EC54" s="19"/>
      <c r="ED54" s="19"/>
      <c r="EE54" s="19"/>
      <c r="EF54" s="19"/>
      <c r="EG54" s="19"/>
      <c r="EH54" s="19"/>
    </row>
    <row r="55" spans="1:138" ht="14.45" customHeight="1" x14ac:dyDescent="0.25">
      <c r="A55" s="58"/>
      <c r="B55" s="12"/>
      <c r="C55" s="532" t="s">
        <v>48</v>
      </c>
      <c r="D55" s="532"/>
      <c r="E55" s="532"/>
      <c r="F55" s="532"/>
      <c r="G55" s="532"/>
      <c r="H55" s="532"/>
      <c r="I55" s="13"/>
      <c r="J55" s="13"/>
      <c r="K55" s="19"/>
      <c r="L55" s="19"/>
      <c r="M55" s="19">
        <f t="shared" si="15"/>
        <v>0</v>
      </c>
      <c r="N55" s="19">
        <f t="shared" si="0"/>
        <v>0</v>
      </c>
      <c r="O55" s="12"/>
      <c r="P55" s="532" t="s">
        <v>48</v>
      </c>
      <c r="Q55" s="532"/>
      <c r="R55" s="532"/>
      <c r="S55" s="532"/>
      <c r="T55" s="532"/>
      <c r="U55" s="532"/>
      <c r="V55" s="13"/>
      <c r="W55" s="19"/>
      <c r="X55" s="19"/>
      <c r="Y55" s="23">
        <f t="shared" si="1"/>
        <v>0</v>
      </c>
      <c r="Z55" s="19">
        <f t="shared" si="2"/>
        <v>0</v>
      </c>
      <c r="AA55" s="6"/>
      <c r="AB55" s="532" t="s">
        <v>48</v>
      </c>
      <c r="AC55" s="532"/>
      <c r="AD55" s="532"/>
      <c r="AE55" s="532"/>
      <c r="AF55" s="532"/>
      <c r="AG55" s="532"/>
      <c r="AH55" s="13"/>
      <c r="AI55" s="19"/>
      <c r="AJ55" s="23">
        <f t="shared" si="3"/>
        <v>0</v>
      </c>
      <c r="AK55" s="19">
        <f t="shared" si="4"/>
        <v>0</v>
      </c>
      <c r="AM55" s="572" t="s">
        <v>48</v>
      </c>
      <c r="AN55" s="572"/>
      <c r="AO55" s="572"/>
      <c r="AP55" s="572"/>
      <c r="AQ55" s="572"/>
      <c r="AR55" s="572"/>
      <c r="AS55" s="28"/>
      <c r="AT55" s="28"/>
      <c r="AU55" s="28"/>
      <c r="AV55" s="28"/>
      <c r="AW55" s="28"/>
      <c r="AX55" s="30">
        <f t="shared" si="5"/>
        <v>0</v>
      </c>
      <c r="AY55" s="28">
        <f t="shared" si="6"/>
        <v>0</v>
      </c>
      <c r="AZ55" s="14"/>
      <c r="BA55" s="572" t="s">
        <v>48</v>
      </c>
      <c r="BB55" s="572"/>
      <c r="BC55" s="572"/>
      <c r="BD55" s="572"/>
      <c r="BE55" s="572"/>
      <c r="BF55" s="572"/>
      <c r="BG55" s="28"/>
      <c r="BH55" s="28"/>
      <c r="BI55" s="28"/>
      <c r="BJ55" s="30">
        <f t="shared" si="7"/>
        <v>0</v>
      </c>
      <c r="BK55" s="28">
        <f t="shared" si="8"/>
        <v>0</v>
      </c>
      <c r="BL55" s="14"/>
      <c r="BM55" s="572" t="s">
        <v>48</v>
      </c>
      <c r="BN55" s="572"/>
      <c r="BO55" s="572"/>
      <c r="BP55" s="572"/>
      <c r="BQ55" s="572"/>
      <c r="BR55" s="572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30">
        <f t="shared" si="9"/>
        <v>0</v>
      </c>
      <c r="CD55" s="28">
        <f t="shared" si="10"/>
        <v>0</v>
      </c>
      <c r="CE55" s="14"/>
      <c r="CF55" s="572" t="s">
        <v>48</v>
      </c>
      <c r="CG55" s="572"/>
      <c r="CH55" s="572"/>
      <c r="CI55" s="572"/>
      <c r="CJ55" s="572"/>
      <c r="CK55" s="572"/>
      <c r="CL55" s="28"/>
      <c r="CM55" s="28"/>
      <c r="CN55" s="28"/>
      <c r="CO55" s="28"/>
      <c r="CP55" s="28"/>
      <c r="CQ55" s="28"/>
      <c r="CR55" s="28"/>
      <c r="CS55" s="28"/>
      <c r="CT55" s="28"/>
      <c r="CU55" s="30">
        <f t="shared" si="11"/>
        <v>0</v>
      </c>
      <c r="CV55" s="28">
        <f t="shared" si="12"/>
        <v>0</v>
      </c>
      <c r="CW55" s="14"/>
      <c r="CX55" s="572" t="s">
        <v>48</v>
      </c>
      <c r="CY55" s="572"/>
      <c r="CZ55" s="572"/>
      <c r="DA55" s="572"/>
      <c r="DB55" s="572"/>
      <c r="DC55" s="572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30">
        <f t="shared" si="13"/>
        <v>0</v>
      </c>
      <c r="DP55" s="28">
        <f t="shared" si="14"/>
        <v>0</v>
      </c>
      <c r="DR55" s="572" t="s">
        <v>48</v>
      </c>
      <c r="DS55" s="572"/>
      <c r="DT55" s="572"/>
      <c r="DU55" s="572"/>
      <c r="DV55" s="572"/>
      <c r="DW55" s="572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</row>
    <row r="56" spans="1:138" ht="14.45" customHeight="1" x14ac:dyDescent="0.25">
      <c r="A56" s="58"/>
      <c r="B56" s="12"/>
      <c r="C56" s="532" t="s">
        <v>40</v>
      </c>
      <c r="D56" s="532"/>
      <c r="E56" s="532"/>
      <c r="F56" s="532"/>
      <c r="G56" s="532"/>
      <c r="H56" s="532"/>
      <c r="I56" s="13"/>
      <c r="J56" s="13"/>
      <c r="K56" s="19"/>
      <c r="L56" s="19"/>
      <c r="M56" s="19">
        <f t="shared" si="15"/>
        <v>0</v>
      </c>
      <c r="N56" s="19">
        <f t="shared" si="0"/>
        <v>0</v>
      </c>
      <c r="O56" s="12"/>
      <c r="P56" s="532" t="s">
        <v>40</v>
      </c>
      <c r="Q56" s="532"/>
      <c r="R56" s="532"/>
      <c r="S56" s="532"/>
      <c r="T56" s="532"/>
      <c r="U56" s="532"/>
      <c r="V56" s="13"/>
      <c r="W56" s="19"/>
      <c r="X56" s="19"/>
      <c r="Y56" s="23">
        <f t="shared" si="1"/>
        <v>0</v>
      </c>
      <c r="Z56" s="19">
        <f t="shared" si="2"/>
        <v>0</v>
      </c>
      <c r="AA56" s="6"/>
      <c r="AB56" s="532" t="s">
        <v>40</v>
      </c>
      <c r="AC56" s="532"/>
      <c r="AD56" s="532"/>
      <c r="AE56" s="532"/>
      <c r="AF56" s="532"/>
      <c r="AG56" s="532"/>
      <c r="AH56" s="13"/>
      <c r="AI56" s="19"/>
      <c r="AJ56" s="23">
        <f t="shared" si="3"/>
        <v>0</v>
      </c>
      <c r="AK56" s="19">
        <f t="shared" si="4"/>
        <v>0</v>
      </c>
      <c r="AM56" s="532" t="s">
        <v>40</v>
      </c>
      <c r="AN56" s="532"/>
      <c r="AO56" s="532"/>
      <c r="AP56" s="532"/>
      <c r="AQ56" s="532"/>
      <c r="AR56" s="532"/>
      <c r="AS56" s="13"/>
      <c r="AT56" s="19"/>
      <c r="AU56" s="19"/>
      <c r="AV56" s="19"/>
      <c r="AW56" s="19"/>
      <c r="AX56" s="30">
        <f t="shared" si="5"/>
        <v>0</v>
      </c>
      <c r="AY56" s="28">
        <f t="shared" si="6"/>
        <v>0</v>
      </c>
      <c r="AZ56" s="14"/>
      <c r="BA56" s="532" t="s">
        <v>40</v>
      </c>
      <c r="BB56" s="532"/>
      <c r="BC56" s="532"/>
      <c r="BD56" s="532"/>
      <c r="BE56" s="532"/>
      <c r="BF56" s="532"/>
      <c r="BG56" s="13"/>
      <c r="BH56" s="19"/>
      <c r="BI56" s="19"/>
      <c r="BJ56" s="30">
        <f t="shared" si="7"/>
        <v>0</v>
      </c>
      <c r="BK56" s="28">
        <f t="shared" si="8"/>
        <v>0</v>
      </c>
      <c r="BL56" s="14"/>
      <c r="BM56" s="532" t="s">
        <v>40</v>
      </c>
      <c r="BN56" s="532"/>
      <c r="BO56" s="532"/>
      <c r="BP56" s="532"/>
      <c r="BQ56" s="532"/>
      <c r="BR56" s="532"/>
      <c r="BS56" s="13"/>
      <c r="BT56" s="19"/>
      <c r="BU56" s="19"/>
      <c r="BV56" s="19"/>
      <c r="BW56" s="19"/>
      <c r="BX56" s="19"/>
      <c r="BY56" s="19"/>
      <c r="BZ56" s="19"/>
      <c r="CA56" s="19"/>
      <c r="CB56" s="19"/>
      <c r="CC56" s="30">
        <f t="shared" si="9"/>
        <v>0</v>
      </c>
      <c r="CD56" s="28">
        <f t="shared" si="10"/>
        <v>0</v>
      </c>
      <c r="CE56" s="14"/>
      <c r="CF56" s="532" t="s">
        <v>40</v>
      </c>
      <c r="CG56" s="532"/>
      <c r="CH56" s="532"/>
      <c r="CI56" s="532"/>
      <c r="CJ56" s="532"/>
      <c r="CK56" s="532"/>
      <c r="CL56" s="13"/>
      <c r="CM56" s="19"/>
      <c r="CN56" s="19"/>
      <c r="CO56" s="19"/>
      <c r="CP56" s="19"/>
      <c r="CQ56" s="19"/>
      <c r="CR56" s="19"/>
      <c r="CS56" s="19"/>
      <c r="CT56" s="19"/>
      <c r="CU56" s="30">
        <f t="shared" si="11"/>
        <v>0</v>
      </c>
      <c r="CV56" s="28">
        <f t="shared" si="12"/>
        <v>0</v>
      </c>
      <c r="CW56" s="14"/>
      <c r="CX56" s="532" t="s">
        <v>40</v>
      </c>
      <c r="CY56" s="532"/>
      <c r="CZ56" s="532"/>
      <c r="DA56" s="532"/>
      <c r="DB56" s="532"/>
      <c r="DC56" s="532"/>
      <c r="DD56" s="13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30">
        <f t="shared" si="13"/>
        <v>0</v>
      </c>
      <c r="DP56" s="28">
        <f t="shared" si="14"/>
        <v>0</v>
      </c>
      <c r="DR56" s="532" t="s">
        <v>40</v>
      </c>
      <c r="DS56" s="532"/>
      <c r="DT56" s="532"/>
      <c r="DU56" s="532"/>
      <c r="DV56" s="532"/>
      <c r="DW56" s="532"/>
      <c r="DX56" s="13"/>
      <c r="DY56" s="19"/>
      <c r="DZ56" s="19"/>
      <c r="EA56" s="19"/>
      <c r="EB56" s="19"/>
      <c r="EC56" s="19"/>
      <c r="ED56" s="19"/>
      <c r="EE56" s="19"/>
      <c r="EF56" s="19"/>
      <c r="EG56" s="19"/>
      <c r="EH56" s="19"/>
    </row>
    <row r="57" spans="1:138" ht="14.45" customHeight="1" x14ac:dyDescent="0.25">
      <c r="A57" s="58"/>
      <c r="B57" s="12"/>
      <c r="C57" s="532" t="s">
        <v>41</v>
      </c>
      <c r="D57" s="532"/>
      <c r="E57" s="532"/>
      <c r="F57" s="532"/>
      <c r="G57" s="532"/>
      <c r="H57" s="532"/>
      <c r="I57" s="13"/>
      <c r="J57" s="13"/>
      <c r="K57" s="19"/>
      <c r="L57" s="19"/>
      <c r="M57" s="19">
        <f t="shared" si="15"/>
        <v>0</v>
      </c>
      <c r="N57" s="19">
        <f t="shared" si="0"/>
        <v>0</v>
      </c>
      <c r="O57" s="12"/>
      <c r="P57" s="532" t="s">
        <v>41</v>
      </c>
      <c r="Q57" s="532"/>
      <c r="R57" s="532"/>
      <c r="S57" s="532"/>
      <c r="T57" s="532"/>
      <c r="U57" s="532"/>
      <c r="V57" s="13"/>
      <c r="W57" s="19"/>
      <c r="X57" s="19"/>
      <c r="Y57" s="23">
        <f t="shared" si="1"/>
        <v>0</v>
      </c>
      <c r="Z57" s="19">
        <f t="shared" si="2"/>
        <v>0</v>
      </c>
      <c r="AA57" s="6"/>
      <c r="AB57" s="532" t="s">
        <v>41</v>
      </c>
      <c r="AC57" s="532"/>
      <c r="AD57" s="532"/>
      <c r="AE57" s="532"/>
      <c r="AF57" s="532"/>
      <c r="AG57" s="532"/>
      <c r="AH57" s="13"/>
      <c r="AI57" s="19"/>
      <c r="AJ57" s="23">
        <f t="shared" si="3"/>
        <v>0</v>
      </c>
      <c r="AK57" s="19">
        <f t="shared" si="4"/>
        <v>0</v>
      </c>
      <c r="AM57" s="572" t="s">
        <v>41</v>
      </c>
      <c r="AN57" s="572"/>
      <c r="AO57" s="572"/>
      <c r="AP57" s="572"/>
      <c r="AQ57" s="572"/>
      <c r="AR57" s="572"/>
      <c r="AS57" s="28"/>
      <c r="AT57" s="28"/>
      <c r="AU57" s="28"/>
      <c r="AV57" s="28"/>
      <c r="AW57" s="28"/>
      <c r="AX57" s="30">
        <f t="shared" si="5"/>
        <v>0</v>
      </c>
      <c r="AY57" s="28">
        <f t="shared" si="6"/>
        <v>0</v>
      </c>
      <c r="AZ57" s="14"/>
      <c r="BA57" s="572" t="s">
        <v>41</v>
      </c>
      <c r="BB57" s="572"/>
      <c r="BC57" s="572"/>
      <c r="BD57" s="572"/>
      <c r="BE57" s="572"/>
      <c r="BF57" s="572"/>
      <c r="BG57" s="28"/>
      <c r="BH57" s="28"/>
      <c r="BI57" s="28"/>
      <c r="BJ57" s="30">
        <f t="shared" si="7"/>
        <v>0</v>
      </c>
      <c r="BK57" s="28">
        <f t="shared" si="8"/>
        <v>0</v>
      </c>
      <c r="BL57" s="14"/>
      <c r="BM57" s="572" t="s">
        <v>41</v>
      </c>
      <c r="BN57" s="572"/>
      <c r="BO57" s="572"/>
      <c r="BP57" s="572"/>
      <c r="BQ57" s="572"/>
      <c r="BR57" s="572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30">
        <f t="shared" si="9"/>
        <v>0</v>
      </c>
      <c r="CD57" s="28">
        <f t="shared" si="10"/>
        <v>0</v>
      </c>
      <c r="CE57" s="14"/>
      <c r="CF57" s="572" t="s">
        <v>41</v>
      </c>
      <c r="CG57" s="572"/>
      <c r="CH57" s="572"/>
      <c r="CI57" s="572"/>
      <c r="CJ57" s="572"/>
      <c r="CK57" s="572"/>
      <c r="CL57" s="28"/>
      <c r="CM57" s="28"/>
      <c r="CN57" s="28"/>
      <c r="CO57" s="28"/>
      <c r="CP57" s="28"/>
      <c r="CQ57" s="28"/>
      <c r="CR57" s="28"/>
      <c r="CS57" s="28"/>
      <c r="CT57" s="28"/>
      <c r="CU57" s="30">
        <f t="shared" si="11"/>
        <v>0</v>
      </c>
      <c r="CV57" s="28">
        <f t="shared" si="12"/>
        <v>0</v>
      </c>
      <c r="CW57" s="14"/>
      <c r="CX57" s="572" t="s">
        <v>41</v>
      </c>
      <c r="CY57" s="572"/>
      <c r="CZ57" s="572"/>
      <c r="DA57" s="572"/>
      <c r="DB57" s="572"/>
      <c r="DC57" s="572"/>
      <c r="DD57" s="28">
        <v>6</v>
      </c>
      <c r="DE57" s="28">
        <v>9</v>
      </c>
      <c r="DF57" s="28"/>
      <c r="DG57" s="28"/>
      <c r="DH57" s="28"/>
      <c r="DI57" s="28"/>
      <c r="DJ57" s="28"/>
      <c r="DK57" s="28"/>
      <c r="DL57" s="28"/>
      <c r="DM57" s="28"/>
      <c r="DN57" s="28"/>
      <c r="DO57" s="30">
        <f t="shared" si="13"/>
        <v>9</v>
      </c>
      <c r="DP57" s="28">
        <f t="shared" si="14"/>
        <v>54</v>
      </c>
      <c r="DR57" s="572" t="s">
        <v>41</v>
      </c>
      <c r="DS57" s="572"/>
      <c r="DT57" s="572"/>
      <c r="DU57" s="572"/>
      <c r="DV57" s="572"/>
      <c r="DW57" s="572"/>
      <c r="DX57" s="28">
        <v>6</v>
      </c>
      <c r="DY57" s="28"/>
      <c r="DZ57" s="28"/>
      <c r="EA57" s="28"/>
      <c r="EB57" s="28"/>
      <c r="EC57" s="28"/>
      <c r="ED57" s="28"/>
      <c r="EE57" s="28"/>
      <c r="EF57" s="28"/>
      <c r="EG57" s="28"/>
      <c r="EH57" s="28"/>
    </row>
    <row r="58" spans="1:138" ht="14.45" customHeight="1" x14ac:dyDescent="0.25">
      <c r="A58" s="58"/>
      <c r="B58" s="12"/>
      <c r="C58" s="532" t="s">
        <v>42</v>
      </c>
      <c r="D58" s="532"/>
      <c r="E58" s="532"/>
      <c r="F58" s="532"/>
      <c r="G58" s="532"/>
      <c r="H58" s="532"/>
      <c r="I58" s="13"/>
      <c r="J58" s="13"/>
      <c r="K58" s="19"/>
      <c r="L58" s="19"/>
      <c r="M58" s="19">
        <f t="shared" si="15"/>
        <v>0</v>
      </c>
      <c r="N58" s="19">
        <f t="shared" si="0"/>
        <v>0</v>
      </c>
      <c r="O58" s="12"/>
      <c r="P58" s="532" t="s">
        <v>42</v>
      </c>
      <c r="Q58" s="532"/>
      <c r="R58" s="532"/>
      <c r="S58" s="532"/>
      <c r="T58" s="532"/>
      <c r="U58" s="532"/>
      <c r="V58" s="13"/>
      <c r="W58" s="19"/>
      <c r="X58" s="19"/>
      <c r="Y58" s="23">
        <f t="shared" si="1"/>
        <v>0</v>
      </c>
      <c r="Z58" s="19">
        <f t="shared" si="2"/>
        <v>0</v>
      </c>
      <c r="AA58" s="6"/>
      <c r="AB58" s="532" t="s">
        <v>42</v>
      </c>
      <c r="AC58" s="532"/>
      <c r="AD58" s="532"/>
      <c r="AE58" s="532"/>
      <c r="AF58" s="532"/>
      <c r="AG58" s="532"/>
      <c r="AH58" s="13"/>
      <c r="AI58" s="19"/>
      <c r="AJ58" s="23">
        <f t="shared" si="3"/>
        <v>0</v>
      </c>
      <c r="AK58" s="19">
        <f t="shared" si="4"/>
        <v>0</v>
      </c>
      <c r="AM58" s="532" t="s">
        <v>42</v>
      </c>
      <c r="AN58" s="532"/>
      <c r="AO58" s="532"/>
      <c r="AP58" s="532"/>
      <c r="AQ58" s="532"/>
      <c r="AR58" s="532"/>
      <c r="AS58" s="13"/>
      <c r="AT58" s="19"/>
      <c r="AU58" s="19"/>
      <c r="AV58" s="19"/>
      <c r="AW58" s="19"/>
      <c r="AX58" s="30">
        <f t="shared" si="5"/>
        <v>0</v>
      </c>
      <c r="AY58" s="28">
        <f t="shared" si="6"/>
        <v>0</v>
      </c>
      <c r="AZ58" s="14"/>
      <c r="BA58" s="532" t="s">
        <v>42</v>
      </c>
      <c r="BB58" s="532"/>
      <c r="BC58" s="532"/>
      <c r="BD58" s="532"/>
      <c r="BE58" s="532"/>
      <c r="BF58" s="532"/>
      <c r="BG58" s="13"/>
      <c r="BH58" s="19"/>
      <c r="BI58" s="19"/>
      <c r="BJ58" s="30">
        <f t="shared" si="7"/>
        <v>0</v>
      </c>
      <c r="BK58" s="28">
        <f t="shared" si="8"/>
        <v>0</v>
      </c>
      <c r="BL58" s="14"/>
      <c r="BM58" s="532" t="s">
        <v>42</v>
      </c>
      <c r="BN58" s="532"/>
      <c r="BO58" s="532"/>
      <c r="BP58" s="532"/>
      <c r="BQ58" s="532"/>
      <c r="BR58" s="532"/>
      <c r="BS58" s="13"/>
      <c r="BT58" s="19"/>
      <c r="BU58" s="19"/>
      <c r="BV58" s="19"/>
      <c r="BW58" s="19"/>
      <c r="BX58" s="19"/>
      <c r="BY58" s="19"/>
      <c r="BZ58" s="19"/>
      <c r="CA58" s="19"/>
      <c r="CB58" s="19"/>
      <c r="CC58" s="30">
        <f t="shared" si="9"/>
        <v>0</v>
      </c>
      <c r="CD58" s="28">
        <f t="shared" si="10"/>
        <v>0</v>
      </c>
      <c r="CE58" s="14"/>
      <c r="CF58" s="532" t="s">
        <v>42</v>
      </c>
      <c r="CG58" s="532"/>
      <c r="CH58" s="532"/>
      <c r="CI58" s="532"/>
      <c r="CJ58" s="532"/>
      <c r="CK58" s="532"/>
      <c r="CL58" s="13"/>
      <c r="CM58" s="19"/>
      <c r="CN58" s="19"/>
      <c r="CO58" s="19"/>
      <c r="CP58" s="19"/>
      <c r="CQ58" s="19"/>
      <c r="CR58" s="19"/>
      <c r="CS58" s="19"/>
      <c r="CT58" s="19"/>
      <c r="CU58" s="30">
        <f t="shared" si="11"/>
        <v>0</v>
      </c>
      <c r="CV58" s="28">
        <f t="shared" si="12"/>
        <v>0</v>
      </c>
      <c r="CW58" s="14"/>
      <c r="CX58" s="532" t="s">
        <v>42</v>
      </c>
      <c r="CY58" s="532"/>
      <c r="CZ58" s="532"/>
      <c r="DA58" s="532"/>
      <c r="DB58" s="532"/>
      <c r="DC58" s="532"/>
      <c r="DD58" s="13">
        <v>6</v>
      </c>
      <c r="DE58" s="19">
        <v>3</v>
      </c>
      <c r="DF58" s="19"/>
      <c r="DG58" s="19"/>
      <c r="DH58" s="19"/>
      <c r="DI58" s="19"/>
      <c r="DJ58" s="19"/>
      <c r="DK58" s="19"/>
      <c r="DL58" s="19"/>
      <c r="DM58" s="19"/>
      <c r="DN58" s="19"/>
      <c r="DO58" s="30">
        <f t="shared" si="13"/>
        <v>3</v>
      </c>
      <c r="DP58" s="28">
        <f t="shared" si="14"/>
        <v>18</v>
      </c>
      <c r="DR58" s="532" t="s">
        <v>42</v>
      </c>
      <c r="DS58" s="532"/>
      <c r="DT58" s="532"/>
      <c r="DU58" s="532"/>
      <c r="DV58" s="532"/>
      <c r="DW58" s="532"/>
      <c r="DX58" s="13">
        <v>6</v>
      </c>
      <c r="DY58" s="19"/>
      <c r="DZ58" s="19"/>
      <c r="EA58" s="19"/>
      <c r="EB58" s="19"/>
      <c r="EC58" s="19"/>
      <c r="ED58" s="19"/>
      <c r="EE58" s="19"/>
      <c r="EF58" s="19"/>
      <c r="EG58" s="19"/>
      <c r="EH58" s="19"/>
    </row>
    <row r="59" spans="1:138" ht="14.45" customHeight="1" x14ac:dyDescent="0.25">
      <c r="A59" s="58"/>
      <c r="B59" s="12"/>
      <c r="C59" s="532" t="s">
        <v>45</v>
      </c>
      <c r="D59" s="532"/>
      <c r="E59" s="532"/>
      <c r="F59" s="532"/>
      <c r="G59" s="532"/>
      <c r="H59" s="532"/>
      <c r="I59" s="13"/>
      <c r="J59" s="13"/>
      <c r="K59" s="19"/>
      <c r="L59" s="19"/>
      <c r="M59" s="19">
        <f t="shared" si="15"/>
        <v>0</v>
      </c>
      <c r="N59" s="19">
        <f t="shared" si="0"/>
        <v>0</v>
      </c>
      <c r="O59" s="12"/>
      <c r="P59" s="532" t="s">
        <v>45</v>
      </c>
      <c r="Q59" s="532"/>
      <c r="R59" s="532"/>
      <c r="S59" s="532"/>
      <c r="T59" s="532"/>
      <c r="U59" s="532"/>
      <c r="V59" s="13"/>
      <c r="W59" s="19"/>
      <c r="X59" s="19"/>
      <c r="Y59" s="23">
        <f t="shared" si="1"/>
        <v>0</v>
      </c>
      <c r="Z59" s="19">
        <f t="shared" si="2"/>
        <v>0</v>
      </c>
      <c r="AA59" s="6"/>
      <c r="AB59" s="532" t="s">
        <v>45</v>
      </c>
      <c r="AC59" s="532"/>
      <c r="AD59" s="532"/>
      <c r="AE59" s="532"/>
      <c r="AF59" s="532"/>
      <c r="AG59" s="532"/>
      <c r="AH59" s="13"/>
      <c r="AI59" s="19"/>
      <c r="AJ59" s="23">
        <f t="shared" si="3"/>
        <v>0</v>
      </c>
      <c r="AK59" s="19">
        <f t="shared" si="4"/>
        <v>0</v>
      </c>
      <c r="AM59" s="572" t="s">
        <v>45</v>
      </c>
      <c r="AN59" s="572"/>
      <c r="AO59" s="572"/>
      <c r="AP59" s="572"/>
      <c r="AQ59" s="572"/>
      <c r="AR59" s="572"/>
      <c r="AS59" s="28"/>
      <c r="AT59" s="28"/>
      <c r="AU59" s="28"/>
      <c r="AV59" s="28"/>
      <c r="AW59" s="28"/>
      <c r="AX59" s="30">
        <f t="shared" si="5"/>
        <v>0</v>
      </c>
      <c r="AY59" s="28">
        <f t="shared" si="6"/>
        <v>0</v>
      </c>
      <c r="AZ59" s="14"/>
      <c r="BA59" s="572" t="s">
        <v>45</v>
      </c>
      <c r="BB59" s="572"/>
      <c r="BC59" s="572"/>
      <c r="BD59" s="572"/>
      <c r="BE59" s="572"/>
      <c r="BF59" s="572"/>
      <c r="BG59" s="28"/>
      <c r="BH59" s="28"/>
      <c r="BI59" s="28"/>
      <c r="BJ59" s="30">
        <f t="shared" si="7"/>
        <v>0</v>
      </c>
      <c r="BK59" s="28">
        <f t="shared" si="8"/>
        <v>0</v>
      </c>
      <c r="BL59" s="14"/>
      <c r="BM59" s="572" t="s">
        <v>45</v>
      </c>
      <c r="BN59" s="572"/>
      <c r="BO59" s="572"/>
      <c r="BP59" s="572"/>
      <c r="BQ59" s="572"/>
      <c r="BR59" s="572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30">
        <f t="shared" si="9"/>
        <v>0</v>
      </c>
      <c r="CD59" s="28">
        <f t="shared" si="10"/>
        <v>0</v>
      </c>
      <c r="CE59" s="14"/>
      <c r="CF59" s="572" t="s">
        <v>45</v>
      </c>
      <c r="CG59" s="572"/>
      <c r="CH59" s="572"/>
      <c r="CI59" s="572"/>
      <c r="CJ59" s="572"/>
      <c r="CK59" s="572"/>
      <c r="CL59" s="28"/>
      <c r="CM59" s="28"/>
      <c r="CN59" s="28"/>
      <c r="CO59" s="28"/>
      <c r="CP59" s="28"/>
      <c r="CQ59" s="28"/>
      <c r="CR59" s="28"/>
      <c r="CS59" s="28"/>
      <c r="CT59" s="28"/>
      <c r="CU59" s="30">
        <f t="shared" si="11"/>
        <v>0</v>
      </c>
      <c r="CV59" s="28">
        <f t="shared" si="12"/>
        <v>0</v>
      </c>
      <c r="CW59" s="14"/>
      <c r="CX59" s="572" t="s">
        <v>45</v>
      </c>
      <c r="CY59" s="572"/>
      <c r="CZ59" s="572"/>
      <c r="DA59" s="572"/>
      <c r="DB59" s="572"/>
      <c r="DC59" s="572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30">
        <f t="shared" si="13"/>
        <v>0</v>
      </c>
      <c r="DP59" s="28">
        <f t="shared" si="14"/>
        <v>0</v>
      </c>
      <c r="DR59" s="572" t="s">
        <v>45</v>
      </c>
      <c r="DS59" s="572"/>
      <c r="DT59" s="572"/>
      <c r="DU59" s="572"/>
      <c r="DV59" s="572"/>
      <c r="DW59" s="572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</row>
    <row r="60" spans="1:138" ht="14.45" customHeight="1" x14ac:dyDescent="0.25">
      <c r="A60" s="58"/>
      <c r="B60" s="12"/>
      <c r="C60" s="532" t="s">
        <v>43</v>
      </c>
      <c r="D60" s="532"/>
      <c r="E60" s="532"/>
      <c r="F60" s="532"/>
      <c r="G60" s="532"/>
      <c r="H60" s="532"/>
      <c r="I60" s="13"/>
      <c r="J60" s="13"/>
      <c r="K60" s="19"/>
      <c r="L60" s="19"/>
      <c r="M60" s="19">
        <f t="shared" si="15"/>
        <v>0</v>
      </c>
      <c r="N60" s="19">
        <f t="shared" si="0"/>
        <v>0</v>
      </c>
      <c r="O60" s="12"/>
      <c r="P60" s="532" t="s">
        <v>43</v>
      </c>
      <c r="Q60" s="532"/>
      <c r="R60" s="532"/>
      <c r="S60" s="532"/>
      <c r="T60" s="532"/>
      <c r="U60" s="532"/>
      <c r="V60" s="13"/>
      <c r="W60" s="19"/>
      <c r="X60" s="19"/>
      <c r="Y60" s="23">
        <f t="shared" si="1"/>
        <v>0</v>
      </c>
      <c r="Z60" s="19">
        <f t="shared" si="2"/>
        <v>0</v>
      </c>
      <c r="AA60" s="6"/>
      <c r="AB60" s="532" t="s">
        <v>43</v>
      </c>
      <c r="AC60" s="532"/>
      <c r="AD60" s="532"/>
      <c r="AE60" s="532"/>
      <c r="AF60" s="532"/>
      <c r="AG60" s="532"/>
      <c r="AH60" s="13"/>
      <c r="AI60" s="19"/>
      <c r="AJ60" s="23">
        <f t="shared" si="3"/>
        <v>0</v>
      </c>
      <c r="AK60" s="19">
        <f t="shared" si="4"/>
        <v>0</v>
      </c>
      <c r="AM60" s="532" t="s">
        <v>43</v>
      </c>
      <c r="AN60" s="532"/>
      <c r="AO60" s="532"/>
      <c r="AP60" s="532"/>
      <c r="AQ60" s="532"/>
      <c r="AR60" s="532"/>
      <c r="AS60" s="13"/>
      <c r="AT60" s="19"/>
      <c r="AU60" s="19"/>
      <c r="AV60" s="19"/>
      <c r="AW60" s="19"/>
      <c r="AX60" s="30">
        <f t="shared" si="5"/>
        <v>0</v>
      </c>
      <c r="AY60" s="28">
        <f t="shared" si="6"/>
        <v>0</v>
      </c>
      <c r="AZ60" s="14"/>
      <c r="BA60" s="532" t="s">
        <v>43</v>
      </c>
      <c r="BB60" s="532"/>
      <c r="BC60" s="532"/>
      <c r="BD60" s="532"/>
      <c r="BE60" s="532"/>
      <c r="BF60" s="532"/>
      <c r="BG60" s="13"/>
      <c r="BH60" s="19"/>
      <c r="BI60" s="19"/>
      <c r="BJ60" s="30">
        <f t="shared" si="7"/>
        <v>0</v>
      </c>
      <c r="BK60" s="28">
        <f t="shared" si="8"/>
        <v>0</v>
      </c>
      <c r="BL60" s="14"/>
      <c r="BM60" s="532" t="s">
        <v>43</v>
      </c>
      <c r="BN60" s="532"/>
      <c r="BO60" s="532"/>
      <c r="BP60" s="532"/>
      <c r="BQ60" s="532"/>
      <c r="BR60" s="532"/>
      <c r="BS60" s="13"/>
      <c r="BT60" s="19"/>
      <c r="BU60" s="19"/>
      <c r="BV60" s="19"/>
      <c r="BW60" s="19"/>
      <c r="BX60" s="19"/>
      <c r="BY60" s="19"/>
      <c r="BZ60" s="19"/>
      <c r="CA60" s="19"/>
      <c r="CB60" s="19"/>
      <c r="CC60" s="30">
        <f t="shared" si="9"/>
        <v>0</v>
      </c>
      <c r="CD60" s="28">
        <f t="shared" si="10"/>
        <v>0</v>
      </c>
      <c r="CE60" s="14"/>
      <c r="CF60" s="532" t="s">
        <v>43</v>
      </c>
      <c r="CG60" s="532"/>
      <c r="CH60" s="532"/>
      <c r="CI60" s="532"/>
      <c r="CJ60" s="532"/>
      <c r="CK60" s="532"/>
      <c r="CL60" s="13"/>
      <c r="CM60" s="19"/>
      <c r="CN60" s="19"/>
      <c r="CO60" s="19"/>
      <c r="CP60" s="19"/>
      <c r="CQ60" s="19"/>
      <c r="CR60" s="19"/>
      <c r="CS60" s="19"/>
      <c r="CT60" s="19"/>
      <c r="CU60" s="30">
        <f t="shared" si="11"/>
        <v>0</v>
      </c>
      <c r="CV60" s="28">
        <f t="shared" si="12"/>
        <v>0</v>
      </c>
      <c r="CW60" s="14"/>
      <c r="CX60" s="532" t="s">
        <v>43</v>
      </c>
      <c r="CY60" s="532"/>
      <c r="CZ60" s="532"/>
      <c r="DA60" s="532"/>
      <c r="DB60" s="532"/>
      <c r="DC60" s="532"/>
      <c r="DD60" s="13">
        <v>6</v>
      </c>
      <c r="DE60" s="19">
        <v>3</v>
      </c>
      <c r="DF60" s="19"/>
      <c r="DG60" s="19"/>
      <c r="DH60" s="19"/>
      <c r="DI60" s="19"/>
      <c r="DJ60" s="19"/>
      <c r="DK60" s="19"/>
      <c r="DL60" s="19"/>
      <c r="DM60" s="19"/>
      <c r="DN60" s="19"/>
      <c r="DO60" s="30">
        <f t="shared" si="13"/>
        <v>3</v>
      </c>
      <c r="DP60" s="28">
        <f t="shared" si="14"/>
        <v>18</v>
      </c>
      <c r="DR60" s="532" t="s">
        <v>43</v>
      </c>
      <c r="DS60" s="532"/>
      <c r="DT60" s="532"/>
      <c r="DU60" s="532"/>
      <c r="DV60" s="532"/>
      <c r="DW60" s="532"/>
      <c r="DX60" s="13">
        <v>6</v>
      </c>
      <c r="DY60" s="19"/>
      <c r="DZ60" s="19"/>
      <c r="EA60" s="19"/>
      <c r="EB60" s="19"/>
      <c r="EC60" s="19"/>
      <c r="ED60" s="19"/>
      <c r="EE60" s="19"/>
      <c r="EF60" s="19"/>
      <c r="EG60" s="19"/>
      <c r="EH60" s="19"/>
    </row>
    <row r="61" spans="1:138" ht="14.45" customHeight="1" x14ac:dyDescent="0.25">
      <c r="A61" s="58"/>
      <c r="B61" s="12"/>
      <c r="C61" s="532" t="s">
        <v>46</v>
      </c>
      <c r="D61" s="532"/>
      <c r="E61" s="532"/>
      <c r="F61" s="532"/>
      <c r="G61" s="532"/>
      <c r="H61" s="532"/>
      <c r="I61" s="13"/>
      <c r="J61" s="13"/>
      <c r="K61" s="19"/>
      <c r="L61" s="19"/>
      <c r="M61" s="19">
        <f t="shared" si="15"/>
        <v>0</v>
      </c>
      <c r="N61" s="19">
        <f t="shared" si="0"/>
        <v>0</v>
      </c>
      <c r="O61" s="12"/>
      <c r="P61" s="532" t="s">
        <v>46</v>
      </c>
      <c r="Q61" s="532"/>
      <c r="R61" s="532"/>
      <c r="S61" s="532"/>
      <c r="T61" s="532"/>
      <c r="U61" s="532"/>
      <c r="V61" s="13"/>
      <c r="W61" s="19"/>
      <c r="X61" s="19"/>
      <c r="Y61" s="23">
        <f t="shared" si="1"/>
        <v>0</v>
      </c>
      <c r="Z61" s="19">
        <f t="shared" si="2"/>
        <v>0</v>
      </c>
      <c r="AA61" s="6"/>
      <c r="AB61" s="532" t="s">
        <v>46</v>
      </c>
      <c r="AC61" s="532"/>
      <c r="AD61" s="532"/>
      <c r="AE61" s="532"/>
      <c r="AF61" s="532"/>
      <c r="AG61" s="532"/>
      <c r="AH61" s="13"/>
      <c r="AI61" s="19"/>
      <c r="AJ61" s="23">
        <f t="shared" si="3"/>
        <v>0</v>
      </c>
      <c r="AK61" s="19">
        <f t="shared" si="4"/>
        <v>0</v>
      </c>
      <c r="AM61" s="572" t="s">
        <v>46</v>
      </c>
      <c r="AN61" s="572"/>
      <c r="AO61" s="572"/>
      <c r="AP61" s="572"/>
      <c r="AQ61" s="572"/>
      <c r="AR61" s="572"/>
      <c r="AS61" s="28"/>
      <c r="AT61" s="28"/>
      <c r="AU61" s="28"/>
      <c r="AV61" s="28"/>
      <c r="AW61" s="28"/>
      <c r="AX61" s="30">
        <f t="shared" si="5"/>
        <v>0</v>
      </c>
      <c r="AY61" s="28">
        <f t="shared" si="6"/>
        <v>0</v>
      </c>
      <c r="AZ61" s="14"/>
      <c r="BA61" s="572" t="s">
        <v>46</v>
      </c>
      <c r="BB61" s="572"/>
      <c r="BC61" s="572"/>
      <c r="BD61" s="572"/>
      <c r="BE61" s="572"/>
      <c r="BF61" s="572"/>
      <c r="BG61" s="28"/>
      <c r="BH61" s="28"/>
      <c r="BI61" s="28"/>
      <c r="BJ61" s="30">
        <f t="shared" si="7"/>
        <v>0</v>
      </c>
      <c r="BK61" s="28">
        <f t="shared" si="8"/>
        <v>0</v>
      </c>
      <c r="BL61" s="14"/>
      <c r="BM61" s="572" t="s">
        <v>46</v>
      </c>
      <c r="BN61" s="572"/>
      <c r="BO61" s="572"/>
      <c r="BP61" s="572"/>
      <c r="BQ61" s="572"/>
      <c r="BR61" s="572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30">
        <f t="shared" si="9"/>
        <v>0</v>
      </c>
      <c r="CD61" s="28">
        <f t="shared" si="10"/>
        <v>0</v>
      </c>
      <c r="CE61" s="14"/>
      <c r="CF61" s="572" t="s">
        <v>46</v>
      </c>
      <c r="CG61" s="572"/>
      <c r="CH61" s="572"/>
      <c r="CI61" s="572"/>
      <c r="CJ61" s="572"/>
      <c r="CK61" s="572"/>
      <c r="CL61" s="28"/>
      <c r="CM61" s="28"/>
      <c r="CN61" s="28"/>
      <c r="CO61" s="28"/>
      <c r="CP61" s="28"/>
      <c r="CQ61" s="28"/>
      <c r="CR61" s="28"/>
      <c r="CS61" s="28"/>
      <c r="CT61" s="28"/>
      <c r="CU61" s="30">
        <f t="shared" si="11"/>
        <v>0</v>
      </c>
      <c r="CV61" s="28">
        <f t="shared" si="12"/>
        <v>0</v>
      </c>
      <c r="CW61" s="14"/>
      <c r="CX61" s="572" t="s">
        <v>46</v>
      </c>
      <c r="CY61" s="572"/>
      <c r="CZ61" s="572"/>
      <c r="DA61" s="572"/>
      <c r="DB61" s="572"/>
      <c r="DC61" s="572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30">
        <f t="shared" si="13"/>
        <v>0</v>
      </c>
      <c r="DP61" s="28">
        <f t="shared" si="14"/>
        <v>0</v>
      </c>
      <c r="DR61" s="572" t="s">
        <v>46</v>
      </c>
      <c r="DS61" s="572"/>
      <c r="DT61" s="572"/>
      <c r="DU61" s="572"/>
      <c r="DV61" s="572"/>
      <c r="DW61" s="572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</row>
    <row r="62" spans="1:138" ht="14.45" customHeight="1" x14ac:dyDescent="0.25">
      <c r="A62" s="58"/>
      <c r="B62" s="12"/>
      <c r="C62" s="532" t="s">
        <v>44</v>
      </c>
      <c r="D62" s="532"/>
      <c r="E62" s="532"/>
      <c r="F62" s="532"/>
      <c r="G62" s="532"/>
      <c r="H62" s="532"/>
      <c r="I62" s="13"/>
      <c r="J62" s="13"/>
      <c r="K62" s="19"/>
      <c r="L62" s="19"/>
      <c r="M62" s="19">
        <f t="shared" si="15"/>
        <v>0</v>
      </c>
      <c r="N62" s="19">
        <f t="shared" si="0"/>
        <v>0</v>
      </c>
      <c r="O62" s="12"/>
      <c r="P62" s="532" t="s">
        <v>44</v>
      </c>
      <c r="Q62" s="532"/>
      <c r="R62" s="532"/>
      <c r="S62" s="532"/>
      <c r="T62" s="532"/>
      <c r="U62" s="532"/>
      <c r="V62" s="13"/>
      <c r="W62" s="19"/>
      <c r="X62" s="19"/>
      <c r="Y62" s="23">
        <f t="shared" si="1"/>
        <v>0</v>
      </c>
      <c r="Z62" s="19">
        <f t="shared" si="2"/>
        <v>0</v>
      </c>
      <c r="AA62" s="6"/>
      <c r="AB62" s="532" t="s">
        <v>44</v>
      </c>
      <c r="AC62" s="532"/>
      <c r="AD62" s="532"/>
      <c r="AE62" s="532"/>
      <c r="AF62" s="532"/>
      <c r="AG62" s="532"/>
      <c r="AH62" s="13"/>
      <c r="AI62" s="19"/>
      <c r="AJ62" s="23">
        <f t="shared" si="3"/>
        <v>0</v>
      </c>
      <c r="AK62" s="19">
        <f t="shared" si="4"/>
        <v>0</v>
      </c>
      <c r="AM62" s="532" t="s">
        <v>44</v>
      </c>
      <c r="AN62" s="532"/>
      <c r="AO62" s="532"/>
      <c r="AP62" s="532"/>
      <c r="AQ62" s="532"/>
      <c r="AR62" s="532"/>
      <c r="AS62" s="13"/>
      <c r="AT62" s="19"/>
      <c r="AU62" s="19"/>
      <c r="AV62" s="19"/>
      <c r="AW62" s="19"/>
      <c r="AX62" s="30">
        <f t="shared" si="5"/>
        <v>0</v>
      </c>
      <c r="AY62" s="28">
        <f t="shared" si="6"/>
        <v>0</v>
      </c>
      <c r="AZ62" s="14"/>
      <c r="BA62" s="532" t="s">
        <v>44</v>
      </c>
      <c r="BB62" s="532"/>
      <c r="BC62" s="532"/>
      <c r="BD62" s="532"/>
      <c r="BE62" s="532"/>
      <c r="BF62" s="532"/>
      <c r="BG62" s="13"/>
      <c r="BH62" s="19"/>
      <c r="BI62" s="19"/>
      <c r="BJ62" s="30">
        <f t="shared" si="7"/>
        <v>0</v>
      </c>
      <c r="BK62" s="28">
        <f t="shared" si="8"/>
        <v>0</v>
      </c>
      <c r="BL62" s="14"/>
      <c r="BM62" s="532" t="s">
        <v>44</v>
      </c>
      <c r="BN62" s="532"/>
      <c r="BO62" s="532"/>
      <c r="BP62" s="532"/>
      <c r="BQ62" s="532"/>
      <c r="BR62" s="532"/>
      <c r="BS62" s="13"/>
      <c r="BT62" s="19"/>
      <c r="BU62" s="19"/>
      <c r="BV62" s="19"/>
      <c r="BW62" s="19"/>
      <c r="BX62" s="19"/>
      <c r="BY62" s="19"/>
      <c r="BZ62" s="19"/>
      <c r="CA62" s="19"/>
      <c r="CB62" s="19"/>
      <c r="CC62" s="30">
        <f t="shared" si="9"/>
        <v>0</v>
      </c>
      <c r="CD62" s="28">
        <f t="shared" si="10"/>
        <v>0</v>
      </c>
      <c r="CE62" s="25"/>
      <c r="CF62" s="532" t="s">
        <v>44</v>
      </c>
      <c r="CG62" s="532"/>
      <c r="CH62" s="532"/>
      <c r="CI62" s="532"/>
      <c r="CJ62" s="532"/>
      <c r="CK62" s="532"/>
      <c r="CL62" s="13"/>
      <c r="CM62" s="19"/>
      <c r="CN62" s="19"/>
      <c r="CO62" s="19"/>
      <c r="CP62" s="19"/>
      <c r="CQ62" s="19"/>
      <c r="CR62" s="19"/>
      <c r="CS62" s="19"/>
      <c r="CT62" s="19"/>
      <c r="CU62" s="30">
        <f t="shared" si="11"/>
        <v>0</v>
      </c>
      <c r="CV62" s="28">
        <f t="shared" si="12"/>
        <v>0</v>
      </c>
      <c r="CW62" s="14"/>
      <c r="CX62" s="532" t="s">
        <v>44</v>
      </c>
      <c r="CY62" s="532"/>
      <c r="CZ62" s="532"/>
      <c r="DA62" s="532"/>
      <c r="DB62" s="532"/>
      <c r="DC62" s="532"/>
      <c r="DD62" s="13">
        <v>6</v>
      </c>
      <c r="DE62" s="19">
        <v>3</v>
      </c>
      <c r="DF62" s="19"/>
      <c r="DG62" s="19"/>
      <c r="DH62" s="19"/>
      <c r="DI62" s="19"/>
      <c r="DJ62" s="19"/>
      <c r="DK62" s="19"/>
      <c r="DL62" s="19"/>
      <c r="DM62" s="19"/>
      <c r="DN62" s="19"/>
      <c r="DO62" s="30">
        <f t="shared" si="13"/>
        <v>3</v>
      </c>
      <c r="DP62" s="28">
        <f t="shared" si="14"/>
        <v>18</v>
      </c>
      <c r="DR62" s="532" t="s">
        <v>44</v>
      </c>
      <c r="DS62" s="532"/>
      <c r="DT62" s="532"/>
      <c r="DU62" s="532"/>
      <c r="DV62" s="532"/>
      <c r="DW62" s="532"/>
      <c r="DX62" s="13">
        <v>6</v>
      </c>
      <c r="DY62" s="19"/>
      <c r="DZ62" s="19"/>
      <c r="EA62" s="19"/>
      <c r="EB62" s="19"/>
      <c r="EC62" s="19"/>
      <c r="ED62" s="19"/>
      <c r="EE62" s="19"/>
      <c r="EF62" s="19"/>
      <c r="EG62" s="19"/>
      <c r="EH62" s="19"/>
    </row>
    <row r="63" spans="1:138" ht="14.45" customHeight="1" x14ac:dyDescent="0.25">
      <c r="A63" s="58"/>
      <c r="B63" s="12"/>
      <c r="C63" s="532" t="s">
        <v>47</v>
      </c>
      <c r="D63" s="532"/>
      <c r="E63" s="532"/>
      <c r="F63" s="532"/>
      <c r="G63" s="532"/>
      <c r="H63" s="532"/>
      <c r="I63" s="13"/>
      <c r="J63" s="13"/>
      <c r="K63" s="20"/>
      <c r="L63" s="19"/>
      <c r="M63" s="19">
        <f t="shared" si="15"/>
        <v>0</v>
      </c>
      <c r="N63" s="19">
        <f t="shared" si="0"/>
        <v>0</v>
      </c>
      <c r="O63" s="12"/>
      <c r="P63" s="532" t="s">
        <v>47</v>
      </c>
      <c r="Q63" s="532"/>
      <c r="R63" s="532"/>
      <c r="S63" s="532"/>
      <c r="T63" s="532"/>
      <c r="U63" s="532"/>
      <c r="V63" s="13"/>
      <c r="W63" s="20"/>
      <c r="X63" s="19"/>
      <c r="Y63" s="23">
        <f t="shared" si="1"/>
        <v>0</v>
      </c>
      <c r="Z63" s="19">
        <f t="shared" si="2"/>
        <v>0</v>
      </c>
      <c r="AA63" s="6"/>
      <c r="AB63" s="532" t="s">
        <v>47</v>
      </c>
      <c r="AC63" s="532"/>
      <c r="AD63" s="532"/>
      <c r="AE63" s="532"/>
      <c r="AF63" s="532"/>
      <c r="AG63" s="532"/>
      <c r="AH63" s="13"/>
      <c r="AI63" s="20"/>
      <c r="AJ63" s="23">
        <f t="shared" si="3"/>
        <v>0</v>
      </c>
      <c r="AK63" s="19">
        <f t="shared" si="4"/>
        <v>0</v>
      </c>
      <c r="AM63" s="572" t="s">
        <v>47</v>
      </c>
      <c r="AN63" s="572"/>
      <c r="AO63" s="572"/>
      <c r="AP63" s="572"/>
      <c r="AQ63" s="572"/>
      <c r="AR63" s="572"/>
      <c r="AS63" s="28"/>
      <c r="AT63" s="29"/>
      <c r="AU63" s="29"/>
      <c r="AV63" s="29"/>
      <c r="AW63" s="29"/>
      <c r="AX63" s="30">
        <f t="shared" si="5"/>
        <v>0</v>
      </c>
      <c r="AY63" s="28">
        <f t="shared" si="6"/>
        <v>0</v>
      </c>
      <c r="AZ63" s="25"/>
      <c r="BA63" s="572" t="s">
        <v>47</v>
      </c>
      <c r="BB63" s="572"/>
      <c r="BC63" s="572"/>
      <c r="BD63" s="572"/>
      <c r="BE63" s="572"/>
      <c r="BF63" s="572"/>
      <c r="BG63" s="28"/>
      <c r="BH63" s="29"/>
      <c r="BI63" s="29"/>
      <c r="BJ63" s="30">
        <f t="shared" si="7"/>
        <v>0</v>
      </c>
      <c r="BK63" s="28">
        <f t="shared" si="8"/>
        <v>0</v>
      </c>
      <c r="BL63" s="25"/>
      <c r="BM63" s="572" t="s">
        <v>47</v>
      </c>
      <c r="BN63" s="572"/>
      <c r="BO63" s="572"/>
      <c r="BP63" s="572"/>
      <c r="BQ63" s="572"/>
      <c r="BR63" s="572"/>
      <c r="BS63" s="28"/>
      <c r="BT63" s="29"/>
      <c r="BU63" s="29"/>
      <c r="BV63" s="29"/>
      <c r="BW63" s="29"/>
      <c r="BX63" s="29"/>
      <c r="BY63" s="29"/>
      <c r="BZ63" s="29"/>
      <c r="CA63" s="29"/>
      <c r="CB63" s="29"/>
      <c r="CC63" s="30">
        <f t="shared" si="9"/>
        <v>0</v>
      </c>
      <c r="CD63" s="28">
        <f t="shared" si="10"/>
        <v>0</v>
      </c>
      <c r="CE63" s="25"/>
      <c r="CF63" s="572" t="s">
        <v>47</v>
      </c>
      <c r="CG63" s="572"/>
      <c r="CH63" s="572"/>
      <c r="CI63" s="572"/>
      <c r="CJ63" s="572"/>
      <c r="CK63" s="572"/>
      <c r="CL63" s="28"/>
      <c r="CM63" s="29"/>
      <c r="CN63" s="29"/>
      <c r="CO63" s="29"/>
      <c r="CP63" s="29"/>
      <c r="CQ63" s="29"/>
      <c r="CR63" s="29"/>
      <c r="CS63" s="29"/>
      <c r="CT63" s="29"/>
      <c r="CU63" s="30">
        <f t="shared" si="11"/>
        <v>0</v>
      </c>
      <c r="CV63" s="28">
        <f t="shared" si="12"/>
        <v>0</v>
      </c>
      <c r="CW63" s="25"/>
      <c r="CX63" s="572" t="s">
        <v>47</v>
      </c>
      <c r="CY63" s="572"/>
      <c r="CZ63" s="572"/>
      <c r="DA63" s="572"/>
      <c r="DB63" s="572"/>
      <c r="DC63" s="572"/>
      <c r="DD63" s="28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30">
        <f t="shared" si="13"/>
        <v>0</v>
      </c>
      <c r="DP63" s="28">
        <f t="shared" si="14"/>
        <v>0</v>
      </c>
      <c r="DR63" s="572" t="s">
        <v>47</v>
      </c>
      <c r="DS63" s="572"/>
      <c r="DT63" s="572"/>
      <c r="DU63" s="572"/>
      <c r="DV63" s="572"/>
      <c r="DW63" s="572"/>
      <c r="DX63" s="28"/>
      <c r="DY63" s="29"/>
      <c r="DZ63" s="29"/>
      <c r="EA63" s="29"/>
      <c r="EB63" s="29"/>
      <c r="EC63" s="29"/>
      <c r="ED63" s="29"/>
      <c r="EE63" s="29"/>
      <c r="EF63" s="29"/>
      <c r="EG63" s="29"/>
      <c r="EH63" s="29"/>
    </row>
    <row r="64" spans="1:138" ht="14.45" customHeight="1" x14ac:dyDescent="0.25">
      <c r="A64" s="58"/>
      <c r="B64" s="12"/>
      <c r="C64" s="532" t="s">
        <v>58</v>
      </c>
      <c r="D64" s="532"/>
      <c r="E64" s="532"/>
      <c r="F64" s="532"/>
      <c r="G64" s="532"/>
      <c r="H64" s="13"/>
      <c r="I64" s="13"/>
      <c r="J64" s="13"/>
      <c r="K64" s="20"/>
      <c r="L64" s="19"/>
      <c r="M64" s="19">
        <f t="shared" si="15"/>
        <v>0</v>
      </c>
      <c r="N64" s="19">
        <f t="shared" si="0"/>
        <v>0</v>
      </c>
      <c r="O64" s="12"/>
      <c r="P64" s="532" t="s">
        <v>58</v>
      </c>
      <c r="Q64" s="532"/>
      <c r="R64" s="532"/>
      <c r="S64" s="532"/>
      <c r="T64" s="532"/>
      <c r="U64" s="13"/>
      <c r="V64" s="13"/>
      <c r="W64" s="20"/>
      <c r="X64" s="19"/>
      <c r="Y64" s="23">
        <f t="shared" si="1"/>
        <v>0</v>
      </c>
      <c r="Z64" s="19">
        <f t="shared" si="2"/>
        <v>0</v>
      </c>
      <c r="AA64" s="6"/>
      <c r="AB64" s="532" t="s">
        <v>58</v>
      </c>
      <c r="AC64" s="532"/>
      <c r="AD64" s="532"/>
      <c r="AE64" s="532"/>
      <c r="AF64" s="532"/>
      <c r="AG64" s="13"/>
      <c r="AH64" s="13"/>
      <c r="AI64" s="20"/>
      <c r="AJ64" s="23">
        <f t="shared" si="3"/>
        <v>0</v>
      </c>
      <c r="AK64" s="19">
        <f t="shared" si="4"/>
        <v>0</v>
      </c>
      <c r="AM64" s="580" t="s">
        <v>58</v>
      </c>
      <c r="AN64" s="581"/>
      <c r="AO64" s="581"/>
      <c r="AP64" s="581"/>
      <c r="AQ64" s="581"/>
      <c r="AR64" s="582"/>
      <c r="AS64" s="13"/>
      <c r="AT64" s="20"/>
      <c r="AU64" s="20"/>
      <c r="AV64" s="20"/>
      <c r="AW64" s="20"/>
      <c r="AX64" s="30">
        <f t="shared" si="5"/>
        <v>0</v>
      </c>
      <c r="AY64" s="28">
        <f t="shared" si="6"/>
        <v>0</v>
      </c>
      <c r="AZ64" s="25"/>
      <c r="BA64" s="580" t="s">
        <v>58</v>
      </c>
      <c r="BB64" s="581"/>
      <c r="BC64" s="581"/>
      <c r="BD64" s="581"/>
      <c r="BE64" s="581"/>
      <c r="BF64" s="582"/>
      <c r="BG64" s="13"/>
      <c r="BH64" s="20"/>
      <c r="BI64" s="20"/>
      <c r="BJ64" s="30">
        <f t="shared" si="7"/>
        <v>0</v>
      </c>
      <c r="BK64" s="28">
        <f t="shared" si="8"/>
        <v>0</v>
      </c>
      <c r="BL64" s="25"/>
      <c r="BM64" s="580" t="s">
        <v>58</v>
      </c>
      <c r="BN64" s="581"/>
      <c r="BO64" s="581"/>
      <c r="BP64" s="581"/>
      <c r="BQ64" s="581"/>
      <c r="BR64" s="582"/>
      <c r="BS64" s="13"/>
      <c r="BT64" s="20"/>
      <c r="BU64" s="20"/>
      <c r="BV64" s="20"/>
      <c r="BW64" s="20"/>
      <c r="BX64" s="20"/>
      <c r="BY64" s="20"/>
      <c r="BZ64" s="20"/>
      <c r="CA64" s="20"/>
      <c r="CB64" s="20"/>
      <c r="CC64" s="30">
        <f t="shared" si="9"/>
        <v>0</v>
      </c>
      <c r="CD64" s="28">
        <f t="shared" si="10"/>
        <v>0</v>
      </c>
      <c r="CF64" s="580" t="s">
        <v>58</v>
      </c>
      <c r="CG64" s="581"/>
      <c r="CH64" s="581"/>
      <c r="CI64" s="581"/>
      <c r="CJ64" s="581"/>
      <c r="CK64" s="582"/>
      <c r="CL64" s="13">
        <v>15</v>
      </c>
      <c r="CM64" s="20"/>
      <c r="CN64" s="20"/>
      <c r="CO64" s="20"/>
      <c r="CP64" s="20"/>
      <c r="CQ64" s="20"/>
      <c r="CR64" s="20"/>
      <c r="CS64" s="20"/>
      <c r="CT64" s="32"/>
      <c r="CU64" s="30">
        <f t="shared" si="11"/>
        <v>0</v>
      </c>
      <c r="CV64" s="28">
        <f t="shared" si="12"/>
        <v>0</v>
      </c>
      <c r="CW64" s="33"/>
      <c r="CX64" s="580" t="s">
        <v>58</v>
      </c>
      <c r="CY64" s="581"/>
      <c r="CZ64" s="581"/>
      <c r="DA64" s="581"/>
      <c r="DB64" s="581"/>
      <c r="DC64" s="582"/>
      <c r="DD64" s="13">
        <v>15</v>
      </c>
      <c r="DE64" s="32">
        <v>11</v>
      </c>
      <c r="DF64" s="32"/>
      <c r="DG64" s="32"/>
      <c r="DH64" s="32"/>
      <c r="DI64" s="32"/>
      <c r="DJ64" s="32"/>
      <c r="DK64" s="32"/>
      <c r="DL64" s="32">
        <v>10</v>
      </c>
      <c r="DM64" s="32"/>
      <c r="DN64" s="32"/>
      <c r="DO64" s="30">
        <f t="shared" si="13"/>
        <v>21</v>
      </c>
      <c r="DP64" s="28">
        <f t="shared" si="14"/>
        <v>315</v>
      </c>
      <c r="DR64" s="580" t="s">
        <v>58</v>
      </c>
      <c r="DS64" s="581"/>
      <c r="DT64" s="581"/>
      <c r="DU64" s="581"/>
      <c r="DV64" s="581"/>
      <c r="DW64" s="582"/>
      <c r="DX64" s="13">
        <v>15</v>
      </c>
      <c r="DY64" s="32"/>
      <c r="DZ64" s="32"/>
      <c r="EA64" s="32"/>
      <c r="EB64" s="32"/>
      <c r="EC64" s="32"/>
      <c r="ED64" s="32"/>
      <c r="EE64" s="32"/>
      <c r="EF64" s="32"/>
      <c r="EG64" s="32"/>
      <c r="EH64" s="32"/>
    </row>
    <row r="65" spans="1:122" ht="14.45" customHeight="1" x14ac:dyDescent="0.25">
      <c r="A65" s="58"/>
      <c r="B65" s="12"/>
      <c r="C65" s="14"/>
      <c r="D65" s="14"/>
      <c r="E65" s="14"/>
      <c r="F65" s="14"/>
      <c r="G65" s="14"/>
      <c r="H65" s="14"/>
      <c r="I65" s="14"/>
      <c r="J65" s="14"/>
      <c r="K65" s="25"/>
      <c r="L65" s="14"/>
      <c r="M65" s="14"/>
      <c r="N65" s="27">
        <f>SUM(N8:N64)</f>
        <v>3621</v>
      </c>
      <c r="O65" s="14"/>
      <c r="P65" s="14"/>
      <c r="Q65" s="14"/>
      <c r="R65" s="14"/>
      <c r="S65" s="14"/>
      <c r="T65" s="14"/>
      <c r="U65" s="14"/>
      <c r="V65" s="14"/>
      <c r="W65" s="25"/>
      <c r="X65" s="14"/>
      <c r="Y65" s="14"/>
      <c r="Z65" s="27">
        <f>SUM(Z8:Z64)</f>
        <v>2420</v>
      </c>
      <c r="AA65" s="3"/>
      <c r="AB65" s="14"/>
      <c r="AC65" s="14"/>
      <c r="AD65" s="14"/>
      <c r="AE65" s="14"/>
      <c r="AF65" s="14"/>
      <c r="AG65" s="14"/>
      <c r="AH65" s="14"/>
      <c r="AI65" s="25"/>
      <c r="AJ65" s="14"/>
      <c r="AK65" s="21">
        <f>SUM(AK8:AK64)</f>
        <v>524</v>
      </c>
      <c r="AM65" s="12"/>
      <c r="AN65" s="12"/>
      <c r="AO65" s="12"/>
      <c r="AP65" s="12"/>
      <c r="AQ65" s="12"/>
      <c r="AR65" s="12"/>
      <c r="AS65" s="12"/>
      <c r="AT65" s="25"/>
      <c r="AU65" s="25"/>
      <c r="AV65" s="25"/>
      <c r="AW65" s="25"/>
      <c r="AX65" s="14"/>
      <c r="AY65" s="21">
        <f>SUM(AY8:AY64)</f>
        <v>412</v>
      </c>
      <c r="AZ65" s="25"/>
      <c r="BA65" s="14"/>
      <c r="BB65" s="14"/>
      <c r="BC65" s="14"/>
      <c r="BD65" s="14"/>
      <c r="BE65" s="14"/>
      <c r="BF65" s="14"/>
      <c r="BG65" s="14"/>
      <c r="BH65" s="25"/>
      <c r="BI65" s="25"/>
      <c r="BJ65" s="14"/>
      <c r="BK65" s="21">
        <f>SUM(BK8:BK64)</f>
        <v>939</v>
      </c>
      <c r="BL65" s="25"/>
      <c r="BM65" s="643" t="s">
        <v>64</v>
      </c>
      <c r="BN65" s="643"/>
      <c r="BO65" s="643"/>
      <c r="BP65" s="643"/>
      <c r="BQ65" s="643"/>
      <c r="BR65" s="643"/>
      <c r="BS65" s="14"/>
      <c r="BT65" s="25"/>
      <c r="BU65" s="25"/>
      <c r="BV65" s="25"/>
      <c r="BW65" s="25"/>
      <c r="BX65" s="25"/>
      <c r="BY65" s="25"/>
      <c r="BZ65" s="25"/>
      <c r="CA65" s="25"/>
      <c r="CB65" s="25"/>
      <c r="CC65" s="14"/>
      <c r="CD65" s="21">
        <f>SUM(CD8:CD64)</f>
        <v>2095.5</v>
      </c>
      <c r="CE65" s="8"/>
      <c r="CF65" s="643" t="s">
        <v>66</v>
      </c>
      <c r="CG65" s="643"/>
      <c r="CH65" s="643"/>
      <c r="CI65" s="643"/>
      <c r="CJ65" s="643"/>
      <c r="CK65" s="643"/>
      <c r="CL65" s="14"/>
      <c r="CM65" s="25"/>
      <c r="CN65" s="25"/>
      <c r="CO65" s="25"/>
      <c r="CP65" s="25"/>
      <c r="CQ65" s="25"/>
      <c r="CR65" s="25"/>
      <c r="CS65" s="25"/>
      <c r="CT65" s="33"/>
      <c r="CU65" s="14"/>
      <c r="CV65" s="21">
        <f>SUM(CV8:CV64)</f>
        <v>6875</v>
      </c>
      <c r="CW65" s="33"/>
      <c r="CX65" s="14"/>
      <c r="CY65" s="14"/>
      <c r="CZ65" s="14"/>
      <c r="DA65" s="14"/>
      <c r="DB65" s="14"/>
      <c r="DC65" s="14"/>
      <c r="DD65" s="14"/>
      <c r="DE65" s="33"/>
      <c r="DF65" s="33"/>
      <c r="DG65" s="33"/>
      <c r="DH65" s="33"/>
      <c r="DI65" s="33"/>
      <c r="DJ65" s="33"/>
      <c r="DK65" s="33"/>
      <c r="DL65" s="33"/>
      <c r="DM65" s="33"/>
      <c r="DN65" s="33"/>
      <c r="DO65" s="14"/>
      <c r="DP65" s="21">
        <f>SUM(DP8:DP64)</f>
        <v>5194</v>
      </c>
      <c r="DQ65" s="8"/>
      <c r="DR65" s="8"/>
    </row>
    <row r="66" spans="1:122" ht="14.45" customHeight="1" x14ac:dyDescent="0.25">
      <c r="A66" s="58"/>
      <c r="B66" s="12"/>
      <c r="C66" s="14"/>
      <c r="D66" s="14"/>
      <c r="E66" s="14"/>
      <c r="F66" s="14"/>
      <c r="G66" s="14"/>
      <c r="H66" s="14"/>
      <c r="I66" s="14"/>
      <c r="J66" s="14"/>
      <c r="K66" s="25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25"/>
      <c r="X66" s="14"/>
      <c r="Y66" s="14"/>
      <c r="Z66" s="14"/>
      <c r="AA66" s="3"/>
      <c r="AB66" s="14"/>
      <c r="AC66" s="14"/>
      <c r="AD66" s="14"/>
      <c r="AE66" s="14"/>
      <c r="AF66" s="14"/>
      <c r="AG66" s="14"/>
      <c r="AH66" s="14"/>
      <c r="AI66" s="25"/>
      <c r="AJ66" s="14"/>
      <c r="AK66" s="25"/>
      <c r="AM66" s="12"/>
      <c r="AN66" s="12"/>
      <c r="AO66" s="12"/>
      <c r="AP66" s="12"/>
      <c r="AQ66" s="12"/>
      <c r="AR66" s="12"/>
      <c r="AS66" s="12"/>
      <c r="AT66" s="25"/>
      <c r="AU66" s="25"/>
      <c r="AV66" s="25"/>
      <c r="AW66" s="25"/>
      <c r="AX66" s="14"/>
      <c r="AY66" s="25"/>
      <c r="AZ66" s="25"/>
      <c r="BA66" s="14"/>
      <c r="BB66" s="14"/>
      <c r="BC66" s="14"/>
      <c r="BD66" s="14"/>
      <c r="BE66" s="14"/>
      <c r="BF66" s="14"/>
      <c r="BG66" s="14"/>
      <c r="BH66" s="25"/>
      <c r="BI66" s="25"/>
      <c r="BJ66" s="14"/>
      <c r="BK66" s="25"/>
      <c r="BL66" s="25"/>
      <c r="BM66" s="14"/>
      <c r="BN66" s="14"/>
      <c r="BO66" s="14"/>
      <c r="BP66" s="14"/>
      <c r="BQ66" s="14"/>
      <c r="BR66" s="14"/>
      <c r="BS66" s="14"/>
      <c r="BT66" s="25"/>
      <c r="BU66" s="25"/>
      <c r="BV66" s="25"/>
      <c r="BW66" s="25"/>
      <c r="BX66" s="25"/>
      <c r="BY66" s="25"/>
      <c r="BZ66" s="25"/>
      <c r="CA66" s="25"/>
      <c r="CB66" s="25"/>
      <c r="CC66" s="14"/>
      <c r="CD66" s="25"/>
      <c r="CE66" s="8"/>
      <c r="CF66" s="643" t="s">
        <v>68</v>
      </c>
      <c r="CG66" s="643"/>
      <c r="CH66" s="643"/>
      <c r="CI66" s="643"/>
      <c r="CJ66" s="643"/>
      <c r="CK66" s="643"/>
      <c r="CL66" s="14"/>
      <c r="CM66" s="25"/>
      <c r="CN66" s="25"/>
      <c r="CO66" s="25"/>
      <c r="CP66" s="25"/>
      <c r="CQ66" s="25"/>
      <c r="CR66" s="25"/>
      <c r="CS66" s="25"/>
      <c r="CT66" s="33"/>
      <c r="CU66" s="14"/>
      <c r="CV66" s="33"/>
      <c r="CW66" s="33"/>
      <c r="CX66" s="14"/>
      <c r="CY66" s="14"/>
      <c r="CZ66" s="14"/>
      <c r="DA66" s="14"/>
      <c r="DB66" s="14"/>
      <c r="DC66" s="14"/>
      <c r="DD66" s="14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14"/>
      <c r="DP66" s="33"/>
      <c r="DQ66" s="8"/>
      <c r="DR66" s="8"/>
    </row>
    <row r="67" spans="1:122" ht="14.45" customHeight="1" x14ac:dyDescent="0.25">
      <c r="A67" s="630"/>
      <c r="B67" s="630"/>
      <c r="C67" s="630"/>
      <c r="D67" s="630"/>
      <c r="E67" s="630"/>
      <c r="F67" s="630"/>
      <c r="G67" s="630"/>
      <c r="H67" s="630"/>
      <c r="I67" s="630"/>
      <c r="J67" s="630"/>
      <c r="K67" s="630"/>
      <c r="L67" s="630"/>
      <c r="M67" s="630"/>
      <c r="N67" s="630"/>
      <c r="O67" s="630"/>
      <c r="P67" s="630"/>
      <c r="Q67" s="630"/>
      <c r="R67" s="630"/>
      <c r="S67" s="630"/>
      <c r="T67" s="630"/>
      <c r="U67" s="630"/>
      <c r="V67" s="630"/>
      <c r="W67" s="630"/>
      <c r="X67" s="630"/>
      <c r="Y67" s="630"/>
      <c r="Z67" s="34"/>
      <c r="AA67" s="6"/>
      <c r="AB67" s="12"/>
      <c r="AC67" s="12"/>
      <c r="AD67" s="12"/>
      <c r="AE67" s="12"/>
      <c r="AF67" s="12"/>
      <c r="AG67" s="12"/>
      <c r="AH67" s="14"/>
      <c r="AI67" s="25"/>
      <c r="AJ67" s="14"/>
      <c r="AK67" s="25"/>
      <c r="AL67" s="8"/>
      <c r="AM67" s="12"/>
      <c r="AN67" s="12"/>
      <c r="AO67" s="12"/>
      <c r="AP67" s="12"/>
      <c r="AQ67" s="12"/>
      <c r="AR67" s="12"/>
      <c r="AS67" s="12"/>
      <c r="AT67" s="25"/>
      <c r="AU67" s="25"/>
      <c r="AV67" s="25"/>
      <c r="AW67" s="25"/>
      <c r="AX67" s="14"/>
      <c r="AY67" s="25"/>
      <c r="AZ67" s="25"/>
      <c r="BA67" s="14"/>
      <c r="BB67" s="14"/>
      <c r="BC67" s="14"/>
      <c r="BD67" s="14"/>
      <c r="BE67" s="14"/>
      <c r="BF67" s="14"/>
      <c r="BG67" s="14"/>
      <c r="BH67" s="25"/>
      <c r="BI67" s="25"/>
      <c r="BJ67" s="14"/>
      <c r="BK67" s="25"/>
      <c r="BL67" s="25"/>
      <c r="BM67" s="14"/>
      <c r="BN67" s="14"/>
      <c r="BO67" s="14"/>
      <c r="BP67" s="14"/>
      <c r="BQ67" s="14"/>
      <c r="BR67" s="14"/>
      <c r="BS67" s="14"/>
      <c r="BT67" s="25"/>
      <c r="BU67" s="25"/>
      <c r="BV67" s="25"/>
      <c r="BW67" s="25"/>
      <c r="BX67" s="25"/>
      <c r="BY67" s="25"/>
      <c r="BZ67" s="25"/>
      <c r="CA67" s="25"/>
      <c r="CB67" s="25"/>
      <c r="CC67" s="14"/>
      <c r="CD67" s="25"/>
      <c r="CE67" s="8"/>
      <c r="CF67" s="14"/>
      <c r="CG67" s="14"/>
      <c r="CH67" s="14"/>
      <c r="CI67" s="14"/>
      <c r="CJ67" s="14"/>
      <c r="CK67" s="14"/>
      <c r="CL67" s="14"/>
      <c r="CM67" s="25"/>
      <c r="CN67" s="25"/>
      <c r="CO67" s="25"/>
      <c r="CP67" s="25"/>
      <c r="CQ67" s="25"/>
      <c r="CR67" s="25"/>
      <c r="CS67" s="25"/>
      <c r="CT67" s="33"/>
      <c r="CU67" s="14"/>
      <c r="CV67" s="33"/>
      <c r="CW67" s="33"/>
      <c r="CX67" s="14"/>
      <c r="CY67" s="14"/>
      <c r="CZ67" s="14"/>
      <c r="DA67" s="14"/>
      <c r="DB67" s="14"/>
      <c r="DC67" s="14"/>
      <c r="DD67" s="14"/>
      <c r="DE67" s="33"/>
      <c r="DF67" s="33"/>
      <c r="DG67" s="33"/>
      <c r="DH67" s="33"/>
      <c r="DI67" s="33"/>
      <c r="DJ67" s="33"/>
      <c r="DK67" s="33"/>
      <c r="DL67" s="33"/>
      <c r="DM67" s="33"/>
      <c r="DN67" s="33"/>
      <c r="DO67" s="14"/>
      <c r="DP67" s="33"/>
      <c r="DQ67" s="8"/>
      <c r="DR67" s="8"/>
    </row>
    <row r="68" spans="1:122" ht="14.45" customHeight="1" x14ac:dyDescent="0.25">
      <c r="A68" s="630"/>
      <c r="B68" s="630"/>
      <c r="C68" s="630"/>
      <c r="D68" s="630"/>
      <c r="E68" s="630"/>
      <c r="F68" s="630"/>
      <c r="G68" s="630"/>
      <c r="H68" s="630"/>
      <c r="I68" s="630"/>
      <c r="J68" s="630"/>
      <c r="K68" s="630"/>
      <c r="L68" s="630"/>
      <c r="M68" s="630"/>
      <c r="N68" s="630"/>
      <c r="O68" s="630"/>
      <c r="P68" s="630"/>
      <c r="Q68" s="630"/>
      <c r="R68" s="630"/>
      <c r="S68" s="630"/>
      <c r="T68" s="630"/>
      <c r="U68" s="630"/>
      <c r="V68" s="630"/>
      <c r="W68" s="630"/>
      <c r="X68" s="630"/>
      <c r="Y68" s="630"/>
      <c r="Z68" s="34"/>
      <c r="AA68" s="6"/>
      <c r="AB68" s="12"/>
      <c r="AC68" s="12"/>
      <c r="AD68" s="12"/>
      <c r="AE68" s="12"/>
      <c r="AF68" s="12"/>
      <c r="AG68" s="12"/>
      <c r="AH68" s="14"/>
      <c r="AI68" s="25"/>
      <c r="AJ68" s="14"/>
      <c r="AK68" s="25"/>
      <c r="AL68" s="8"/>
      <c r="AM68" s="12"/>
      <c r="AN68" s="12"/>
      <c r="AO68" s="12"/>
      <c r="AP68" s="12"/>
      <c r="AQ68" s="12"/>
      <c r="AR68" s="12"/>
      <c r="AS68" s="12"/>
      <c r="AT68" s="25"/>
      <c r="AU68" s="25"/>
      <c r="AV68" s="25"/>
      <c r="AW68" s="25"/>
      <c r="AX68" s="14"/>
      <c r="AY68" s="25"/>
      <c r="AZ68" s="25"/>
      <c r="BA68" s="14"/>
      <c r="BB68" s="14"/>
      <c r="BC68" s="14"/>
      <c r="BD68" s="14"/>
      <c r="BE68" s="14"/>
      <c r="BF68" s="14"/>
      <c r="BG68" s="14"/>
      <c r="BH68" s="25"/>
      <c r="BI68" s="25"/>
      <c r="BJ68" s="14"/>
      <c r="BK68" s="25"/>
      <c r="BL68" s="25"/>
      <c r="BM68" s="14"/>
      <c r="BN68" s="14"/>
      <c r="BO68" s="14"/>
      <c r="BP68" s="14"/>
      <c r="BQ68" s="14"/>
      <c r="BR68" s="14"/>
      <c r="BS68" s="14"/>
      <c r="BT68" s="25"/>
      <c r="BU68" s="25"/>
      <c r="BV68" s="25"/>
      <c r="BW68" s="25"/>
      <c r="BX68" s="25"/>
      <c r="BY68" s="25"/>
      <c r="BZ68" s="25"/>
      <c r="CA68" s="25"/>
      <c r="CB68" s="25"/>
      <c r="CC68" s="14"/>
      <c r="CD68" s="25"/>
      <c r="CE68" s="8"/>
      <c r="CF68" s="14"/>
      <c r="CG68" s="14"/>
      <c r="CH68" s="14"/>
      <c r="CI68" s="14"/>
      <c r="CJ68" s="14"/>
      <c r="CK68" s="14"/>
      <c r="CL68" s="14"/>
      <c r="CM68" s="25"/>
      <c r="CN68" s="25"/>
      <c r="CO68" s="25"/>
      <c r="CP68" s="25"/>
      <c r="CQ68" s="25"/>
      <c r="CR68" s="25"/>
      <c r="CS68" s="25"/>
      <c r="CT68" s="33"/>
      <c r="CU68" s="14"/>
      <c r="CV68" s="33"/>
      <c r="CW68" s="33"/>
      <c r="CX68" s="14"/>
      <c r="CY68" s="14"/>
      <c r="CZ68" s="14"/>
      <c r="DA68" s="14"/>
      <c r="DB68" s="14"/>
      <c r="DC68" s="14"/>
      <c r="DD68" s="14"/>
      <c r="DE68" s="33"/>
      <c r="DF68" s="33"/>
      <c r="DG68" s="33"/>
      <c r="DH68" s="33"/>
      <c r="DI68" s="33"/>
      <c r="DJ68" s="33"/>
      <c r="DK68" s="33"/>
      <c r="DL68" s="33"/>
      <c r="DM68" s="33"/>
      <c r="DN68" s="33"/>
      <c r="DO68" s="14"/>
      <c r="DP68" s="33"/>
      <c r="DQ68" s="8"/>
      <c r="DR68" s="8"/>
    </row>
    <row r="69" spans="1:122" ht="14.45" customHeight="1" x14ac:dyDescent="0.25">
      <c r="A69" s="630"/>
      <c r="B69" s="630"/>
      <c r="C69" s="630"/>
      <c r="D69" s="630"/>
      <c r="E69" s="630"/>
      <c r="F69" s="630"/>
      <c r="G69" s="630"/>
      <c r="H69" s="630"/>
      <c r="I69" s="630"/>
      <c r="J69" s="630"/>
      <c r="K69" s="630"/>
      <c r="L69" s="630"/>
      <c r="M69" s="630"/>
      <c r="N69" s="630"/>
      <c r="O69" s="630"/>
      <c r="P69" s="630"/>
      <c r="Q69" s="630"/>
      <c r="R69" s="630"/>
      <c r="S69" s="630"/>
      <c r="T69" s="630"/>
      <c r="U69" s="630"/>
      <c r="V69" s="630"/>
      <c r="W69" s="630"/>
      <c r="X69" s="630"/>
      <c r="Y69" s="630"/>
      <c r="Z69" s="6"/>
      <c r="AA69" s="6"/>
      <c r="AB69" s="6"/>
      <c r="AC69" s="6"/>
      <c r="AD69" s="6"/>
      <c r="AE69" s="6"/>
      <c r="AF69" s="6"/>
      <c r="AG69" s="6"/>
      <c r="AH69" s="6"/>
      <c r="AI69" s="6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</row>
    <row r="70" spans="1:122" ht="14.45" customHeight="1" thickBot="1" x14ac:dyDescent="0.3">
      <c r="A70" s="59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59"/>
      <c r="Z70" s="6"/>
      <c r="AA70" s="6"/>
      <c r="AB70" s="6"/>
      <c r="AC70" s="6"/>
      <c r="AD70" s="6"/>
      <c r="AE70" s="6"/>
      <c r="AF70" s="6"/>
      <c r="AG70" s="6"/>
      <c r="AH70" s="6"/>
      <c r="AI70" s="6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</row>
    <row r="71" spans="1:122" ht="14.45" customHeight="1" x14ac:dyDescent="0.25">
      <c r="A71" s="55"/>
      <c r="B71" s="9"/>
      <c r="C71" s="612" t="s">
        <v>2</v>
      </c>
      <c r="D71" s="612"/>
      <c r="E71" s="612"/>
      <c r="F71" s="612"/>
      <c r="G71" s="612"/>
      <c r="H71" s="41"/>
      <c r="I71" s="563" t="s">
        <v>73</v>
      </c>
      <c r="J71" s="564"/>
      <c r="K71" s="564"/>
      <c r="L71" s="644"/>
      <c r="M71" s="628" t="s">
        <v>74</v>
      </c>
      <c r="N71" s="564"/>
      <c r="O71" s="564"/>
      <c r="P71" s="565"/>
      <c r="Q71" s="689" t="s">
        <v>72</v>
      </c>
      <c r="R71" s="690"/>
      <c r="S71" s="690"/>
      <c r="T71" s="690"/>
      <c r="U71" s="690" t="s">
        <v>75</v>
      </c>
      <c r="V71" s="691"/>
      <c r="W71" s="35"/>
      <c r="X71" s="35"/>
      <c r="Y71" s="51"/>
      <c r="Z71" s="35"/>
      <c r="AA71" s="36"/>
      <c r="AB71" s="36"/>
      <c r="AC71" s="36"/>
      <c r="AD71" s="36"/>
      <c r="AE71" s="36"/>
      <c r="AF71" s="36"/>
      <c r="AG71" s="8"/>
      <c r="AH71" s="3"/>
      <c r="AI71" s="3"/>
      <c r="AJ71" s="3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</row>
    <row r="72" spans="1:122" ht="14.45" customHeight="1" x14ac:dyDescent="0.25">
      <c r="A72" s="55"/>
      <c r="B72" s="9"/>
      <c r="C72" s="510" t="s">
        <v>55</v>
      </c>
      <c r="D72" s="510"/>
      <c r="E72" s="510"/>
      <c r="F72" s="510"/>
      <c r="G72" s="510"/>
      <c r="H72" s="566"/>
      <c r="I72" s="624">
        <f t="shared" ref="I72:I128" si="16">M8+Y8+AJ8+AX8</f>
        <v>0</v>
      </c>
      <c r="J72" s="617"/>
      <c r="K72" s="555">
        <f t="shared" ref="K72:K128" si="17">N8+Z8+AK8+AY8</f>
        <v>0</v>
      </c>
      <c r="L72" s="618"/>
      <c r="M72" s="617">
        <f t="shared" ref="M72:M128" si="18">BJ8+CC8+CU8+DO8</f>
        <v>26</v>
      </c>
      <c r="N72" s="617"/>
      <c r="O72" s="555">
        <f t="shared" ref="O72:O128" si="19">BK8+CD8+CV8+DP8</f>
        <v>194</v>
      </c>
      <c r="P72" s="556"/>
      <c r="Q72" s="688">
        <f>I72+M72</f>
        <v>26</v>
      </c>
      <c r="R72" s="609"/>
      <c r="S72" s="610">
        <f>K72+O72</f>
        <v>194</v>
      </c>
      <c r="T72" s="610"/>
      <c r="U72" s="21">
        <v>0.85199999999999998</v>
      </c>
      <c r="V72" s="40">
        <f>S72*(1-U72)</f>
        <v>28.712000000000003</v>
      </c>
      <c r="W72" s="35"/>
      <c r="X72" s="35"/>
      <c r="Y72" s="51"/>
      <c r="Z72" s="35"/>
      <c r="AA72" s="36"/>
      <c r="AB72" s="36"/>
      <c r="AC72" s="36"/>
      <c r="AD72" s="36"/>
      <c r="AE72" s="36"/>
      <c r="AF72" s="36"/>
      <c r="AG72" s="8"/>
      <c r="AH72" s="3"/>
      <c r="AI72" s="3"/>
      <c r="AJ72" s="3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</row>
    <row r="73" spans="1:122" ht="14.45" customHeight="1" x14ac:dyDescent="0.25">
      <c r="A73" s="55"/>
      <c r="B73" s="9"/>
      <c r="C73" s="510" t="s">
        <v>4</v>
      </c>
      <c r="D73" s="510"/>
      <c r="E73" s="510"/>
      <c r="F73" s="510"/>
      <c r="G73" s="510"/>
      <c r="H73" s="566"/>
      <c r="I73" s="624">
        <f t="shared" si="16"/>
        <v>33</v>
      </c>
      <c r="J73" s="617"/>
      <c r="K73" s="555">
        <f t="shared" si="17"/>
        <v>431</v>
      </c>
      <c r="L73" s="618"/>
      <c r="M73" s="617">
        <f t="shared" si="18"/>
        <v>22</v>
      </c>
      <c r="N73" s="617"/>
      <c r="O73" s="555">
        <f t="shared" si="19"/>
        <v>329</v>
      </c>
      <c r="P73" s="556"/>
      <c r="Q73" s="688">
        <f t="shared" ref="Q73:Q128" si="20">I73+M73</f>
        <v>55</v>
      </c>
      <c r="R73" s="609"/>
      <c r="S73" s="610">
        <f>K73+O73</f>
        <v>760</v>
      </c>
      <c r="T73" s="610"/>
      <c r="U73" s="21">
        <v>0.84599999999999997</v>
      </c>
      <c r="V73" s="40">
        <f t="shared" ref="V73:V128" si="21">S73*(1-U73)</f>
        <v>117.04000000000002</v>
      </c>
      <c r="W73" s="24"/>
      <c r="X73" s="24"/>
      <c r="Y73" s="52"/>
      <c r="Z73" s="24"/>
      <c r="AA73" s="24"/>
      <c r="AB73" s="24"/>
      <c r="AC73" s="24"/>
      <c r="AD73" s="24"/>
      <c r="AE73" s="24"/>
      <c r="AF73" s="24"/>
      <c r="AG73" s="24"/>
      <c r="AH73" s="3"/>
      <c r="AI73" s="3"/>
      <c r="AJ73" s="3"/>
    </row>
    <row r="74" spans="1:122" ht="14.45" customHeight="1" x14ac:dyDescent="0.25">
      <c r="A74" s="55"/>
      <c r="B74" s="9"/>
      <c r="C74" s="510" t="s">
        <v>5</v>
      </c>
      <c r="D74" s="510"/>
      <c r="E74" s="510"/>
      <c r="F74" s="510"/>
      <c r="G74" s="510"/>
      <c r="H74" s="566"/>
      <c r="I74" s="624">
        <f t="shared" si="16"/>
        <v>12</v>
      </c>
      <c r="J74" s="617"/>
      <c r="K74" s="555">
        <f t="shared" si="17"/>
        <v>437</v>
      </c>
      <c r="L74" s="618"/>
      <c r="M74" s="617">
        <f t="shared" si="18"/>
        <v>18</v>
      </c>
      <c r="N74" s="617"/>
      <c r="O74" s="555">
        <f t="shared" si="19"/>
        <v>718</v>
      </c>
      <c r="P74" s="556"/>
      <c r="Q74" s="688">
        <f t="shared" si="20"/>
        <v>30</v>
      </c>
      <c r="R74" s="609"/>
      <c r="S74" s="610">
        <f t="shared" ref="S74:S128" si="22">K74+O74</f>
        <v>1155</v>
      </c>
      <c r="T74" s="610"/>
      <c r="U74" s="21">
        <v>0.876</v>
      </c>
      <c r="V74" s="40">
        <f t="shared" si="21"/>
        <v>143.22</v>
      </c>
      <c r="W74" s="33"/>
      <c r="X74" s="33"/>
      <c r="Y74" s="53"/>
      <c r="Z74" s="33"/>
      <c r="AA74" s="33"/>
      <c r="AB74" s="33"/>
      <c r="AC74" s="33"/>
      <c r="AD74" s="33"/>
      <c r="AE74" s="33"/>
      <c r="AF74" s="33"/>
      <c r="AG74" s="14"/>
      <c r="AH74" s="3"/>
      <c r="AI74" s="3"/>
      <c r="AJ74" s="3"/>
    </row>
    <row r="75" spans="1:122" ht="14.45" customHeight="1" x14ac:dyDescent="0.25">
      <c r="A75" s="55"/>
      <c r="B75" s="9"/>
      <c r="C75" s="510" t="s">
        <v>56</v>
      </c>
      <c r="D75" s="510"/>
      <c r="E75" s="510"/>
      <c r="F75" s="510"/>
      <c r="G75" s="510"/>
      <c r="H75" s="566"/>
      <c r="I75" s="624">
        <f t="shared" si="16"/>
        <v>0</v>
      </c>
      <c r="J75" s="617"/>
      <c r="K75" s="555">
        <f t="shared" si="17"/>
        <v>0</v>
      </c>
      <c r="L75" s="618"/>
      <c r="M75" s="617">
        <f t="shared" si="18"/>
        <v>1</v>
      </c>
      <c r="N75" s="617"/>
      <c r="O75" s="555">
        <f t="shared" si="19"/>
        <v>12</v>
      </c>
      <c r="P75" s="556"/>
      <c r="Q75" s="688">
        <f t="shared" si="20"/>
        <v>1</v>
      </c>
      <c r="R75" s="609"/>
      <c r="S75" s="610">
        <f t="shared" si="22"/>
        <v>12</v>
      </c>
      <c r="T75" s="610"/>
      <c r="U75" s="21">
        <v>0.89100000000000001</v>
      </c>
      <c r="V75" s="40">
        <f t="shared" si="21"/>
        <v>1.3079999999999998</v>
      </c>
      <c r="W75" s="33"/>
      <c r="X75" s="33"/>
      <c r="Y75" s="53"/>
      <c r="Z75" s="33"/>
      <c r="AA75" s="33"/>
      <c r="AB75" s="33"/>
      <c r="AC75" s="33"/>
      <c r="AD75" s="33"/>
      <c r="AE75" s="33"/>
      <c r="AF75" s="33"/>
      <c r="AG75" s="14"/>
      <c r="AH75" s="3"/>
      <c r="AI75" s="3"/>
      <c r="AJ75" s="3"/>
    </row>
    <row r="76" spans="1:122" ht="14.45" customHeight="1" x14ac:dyDescent="0.25">
      <c r="A76" s="55"/>
      <c r="B76" s="9"/>
      <c r="C76" s="510" t="s">
        <v>49</v>
      </c>
      <c r="D76" s="510"/>
      <c r="E76" s="510"/>
      <c r="F76" s="510"/>
      <c r="G76" s="510"/>
      <c r="H76" s="566"/>
      <c r="I76" s="624">
        <f t="shared" si="16"/>
        <v>0</v>
      </c>
      <c r="J76" s="617"/>
      <c r="K76" s="555">
        <f t="shared" si="17"/>
        <v>0</v>
      </c>
      <c r="L76" s="618"/>
      <c r="M76" s="617">
        <f t="shared" si="18"/>
        <v>22</v>
      </c>
      <c r="N76" s="617"/>
      <c r="O76" s="555">
        <f t="shared" si="19"/>
        <v>593</v>
      </c>
      <c r="P76" s="556"/>
      <c r="Q76" s="688">
        <f t="shared" si="20"/>
        <v>22</v>
      </c>
      <c r="R76" s="609"/>
      <c r="S76" s="610">
        <f t="shared" si="22"/>
        <v>593</v>
      </c>
      <c r="T76" s="610"/>
      <c r="U76" s="21">
        <v>0.86699999999999999</v>
      </c>
      <c r="V76" s="40">
        <f t="shared" si="21"/>
        <v>78.869</v>
      </c>
      <c r="W76" s="33"/>
      <c r="X76" s="33"/>
      <c r="Y76" s="53"/>
      <c r="Z76" s="33"/>
      <c r="AA76" s="33"/>
      <c r="AB76" s="33"/>
      <c r="AC76" s="33"/>
      <c r="AD76" s="33"/>
      <c r="AE76" s="33"/>
      <c r="AF76" s="33"/>
      <c r="AG76" s="14"/>
      <c r="AH76" s="3"/>
      <c r="AI76" s="3"/>
      <c r="AJ76" s="3"/>
    </row>
    <row r="77" spans="1:122" ht="14.45" customHeight="1" x14ac:dyDescent="0.25">
      <c r="A77" s="55"/>
      <c r="B77" s="9"/>
      <c r="C77" s="510" t="s">
        <v>50</v>
      </c>
      <c r="D77" s="510"/>
      <c r="E77" s="510"/>
      <c r="F77" s="510"/>
      <c r="G77" s="510"/>
      <c r="H77" s="566"/>
      <c r="I77" s="624">
        <f t="shared" si="16"/>
        <v>0</v>
      </c>
      <c r="J77" s="617"/>
      <c r="K77" s="555">
        <f t="shared" si="17"/>
        <v>0</v>
      </c>
      <c r="L77" s="618"/>
      <c r="M77" s="617">
        <f t="shared" si="18"/>
        <v>1</v>
      </c>
      <c r="N77" s="617"/>
      <c r="O77" s="555">
        <f t="shared" si="19"/>
        <v>7</v>
      </c>
      <c r="P77" s="556"/>
      <c r="Q77" s="688">
        <f t="shared" si="20"/>
        <v>1</v>
      </c>
      <c r="R77" s="609"/>
      <c r="S77" s="610">
        <f t="shared" si="22"/>
        <v>7</v>
      </c>
      <c r="T77" s="610"/>
      <c r="U77" s="21">
        <v>0.85840000000000005</v>
      </c>
      <c r="V77" s="40">
        <f t="shared" si="21"/>
        <v>0.99119999999999964</v>
      </c>
      <c r="W77" s="33"/>
      <c r="X77" s="33"/>
      <c r="Y77" s="53"/>
      <c r="Z77" s="33"/>
      <c r="AA77" s="33"/>
      <c r="AB77" s="33"/>
      <c r="AC77" s="33"/>
      <c r="AD77" s="33"/>
      <c r="AE77" s="33"/>
      <c r="AF77" s="33"/>
      <c r="AG77" s="14"/>
      <c r="AH77" s="3"/>
      <c r="AI77" s="3"/>
      <c r="AJ77" s="3"/>
    </row>
    <row r="78" spans="1:122" ht="14.45" customHeight="1" x14ac:dyDescent="0.25">
      <c r="A78" s="55"/>
      <c r="B78" s="9"/>
      <c r="C78" s="510" t="s">
        <v>6</v>
      </c>
      <c r="D78" s="510"/>
      <c r="E78" s="510"/>
      <c r="F78" s="510"/>
      <c r="G78" s="510"/>
      <c r="H78" s="566"/>
      <c r="I78" s="624">
        <f t="shared" si="16"/>
        <v>23</v>
      </c>
      <c r="J78" s="617"/>
      <c r="K78" s="555">
        <f t="shared" si="17"/>
        <v>231</v>
      </c>
      <c r="L78" s="618"/>
      <c r="M78" s="617">
        <f t="shared" si="18"/>
        <v>2</v>
      </c>
      <c r="N78" s="617"/>
      <c r="O78" s="555">
        <f t="shared" si="19"/>
        <v>21</v>
      </c>
      <c r="P78" s="556"/>
      <c r="Q78" s="688">
        <f t="shared" si="20"/>
        <v>25</v>
      </c>
      <c r="R78" s="609"/>
      <c r="S78" s="610">
        <f t="shared" si="22"/>
        <v>252</v>
      </c>
      <c r="T78" s="610"/>
      <c r="U78" s="21">
        <v>0.87939999999999996</v>
      </c>
      <c r="V78" s="40">
        <f t="shared" si="21"/>
        <v>30.391200000000012</v>
      </c>
      <c r="W78" s="33"/>
      <c r="X78" s="33"/>
      <c r="Y78" s="53"/>
      <c r="Z78" s="33"/>
      <c r="AA78" s="33"/>
      <c r="AB78" s="33"/>
      <c r="AC78" s="33"/>
      <c r="AD78" s="33"/>
      <c r="AE78" s="33"/>
      <c r="AF78" s="33"/>
      <c r="AG78" s="14"/>
      <c r="AH78" s="3"/>
      <c r="AI78" s="3"/>
      <c r="AJ78" s="3"/>
    </row>
    <row r="79" spans="1:122" ht="14.45" customHeight="1" x14ac:dyDescent="0.25">
      <c r="A79" s="55"/>
      <c r="B79" s="9"/>
      <c r="C79" s="510" t="s">
        <v>7</v>
      </c>
      <c r="D79" s="510"/>
      <c r="E79" s="510"/>
      <c r="F79" s="510"/>
      <c r="G79" s="510"/>
      <c r="H79" s="566"/>
      <c r="I79" s="624">
        <f t="shared" si="16"/>
        <v>5</v>
      </c>
      <c r="J79" s="617"/>
      <c r="K79" s="555">
        <f t="shared" si="17"/>
        <v>140</v>
      </c>
      <c r="L79" s="618"/>
      <c r="M79" s="617">
        <f t="shared" si="18"/>
        <v>7</v>
      </c>
      <c r="N79" s="617"/>
      <c r="O79" s="555">
        <f t="shared" si="19"/>
        <v>210</v>
      </c>
      <c r="P79" s="556"/>
      <c r="Q79" s="688">
        <f t="shared" si="20"/>
        <v>12</v>
      </c>
      <c r="R79" s="609"/>
      <c r="S79" s="610">
        <f t="shared" si="22"/>
        <v>350</v>
      </c>
      <c r="T79" s="610"/>
      <c r="U79" s="21">
        <v>0.90129999999999999</v>
      </c>
      <c r="V79" s="40">
        <f t="shared" si="21"/>
        <v>34.545000000000002</v>
      </c>
      <c r="W79" s="33"/>
      <c r="X79" s="33"/>
      <c r="Y79" s="53"/>
      <c r="Z79" s="33"/>
      <c r="AA79" s="33"/>
      <c r="AB79" s="33"/>
      <c r="AC79" s="33"/>
      <c r="AD79" s="33"/>
      <c r="AE79" s="33"/>
      <c r="AF79" s="33"/>
      <c r="AG79" s="14"/>
      <c r="AH79" s="3"/>
      <c r="AI79" s="3"/>
      <c r="AJ79" s="3"/>
    </row>
    <row r="80" spans="1:122" ht="14.45" customHeight="1" x14ac:dyDescent="0.25">
      <c r="A80" s="55"/>
      <c r="B80" s="9"/>
      <c r="C80" s="510" t="s">
        <v>8</v>
      </c>
      <c r="D80" s="510"/>
      <c r="E80" s="510"/>
      <c r="F80" s="510"/>
      <c r="G80" s="510"/>
      <c r="H80" s="566"/>
      <c r="I80" s="624">
        <f t="shared" si="16"/>
        <v>12</v>
      </c>
      <c r="J80" s="617"/>
      <c r="K80" s="555">
        <f t="shared" si="17"/>
        <v>144</v>
      </c>
      <c r="L80" s="618"/>
      <c r="M80" s="617">
        <f t="shared" si="18"/>
        <v>7</v>
      </c>
      <c r="N80" s="617"/>
      <c r="O80" s="555">
        <f t="shared" si="19"/>
        <v>97</v>
      </c>
      <c r="P80" s="556"/>
      <c r="Q80" s="688">
        <f t="shared" si="20"/>
        <v>19</v>
      </c>
      <c r="R80" s="609"/>
      <c r="S80" s="610">
        <f t="shared" si="22"/>
        <v>241</v>
      </c>
      <c r="T80" s="610"/>
      <c r="U80" s="21">
        <v>0.83850000000000002</v>
      </c>
      <c r="V80" s="40">
        <f>S80*(1-U80)</f>
        <v>38.921499999999995</v>
      </c>
      <c r="W80" s="33"/>
      <c r="X80" s="33"/>
      <c r="Y80" s="53"/>
      <c r="Z80" s="33"/>
      <c r="AA80" s="33"/>
      <c r="AB80" s="33"/>
      <c r="AC80" s="33"/>
      <c r="AD80" s="33"/>
      <c r="AE80" s="33"/>
      <c r="AF80" s="33"/>
      <c r="AG80" s="14"/>
      <c r="AH80" s="3"/>
      <c r="AI80" s="3"/>
      <c r="AJ80" s="3"/>
    </row>
    <row r="81" spans="1:36" ht="14.45" customHeight="1" x14ac:dyDescent="0.25">
      <c r="A81" s="55"/>
      <c r="B81" s="9"/>
      <c r="C81" s="510" t="s">
        <v>9</v>
      </c>
      <c r="D81" s="510"/>
      <c r="E81" s="510"/>
      <c r="F81" s="510"/>
      <c r="G81" s="510"/>
      <c r="H81" s="566"/>
      <c r="I81" s="624">
        <f t="shared" si="16"/>
        <v>22</v>
      </c>
      <c r="J81" s="617"/>
      <c r="K81" s="555">
        <f t="shared" si="17"/>
        <v>618</v>
      </c>
      <c r="L81" s="618"/>
      <c r="M81" s="617">
        <f t="shared" si="18"/>
        <v>41</v>
      </c>
      <c r="N81" s="617"/>
      <c r="O81" s="555">
        <f t="shared" si="19"/>
        <v>1221</v>
      </c>
      <c r="P81" s="556"/>
      <c r="Q81" s="688">
        <f t="shared" si="20"/>
        <v>63</v>
      </c>
      <c r="R81" s="609"/>
      <c r="S81" s="610">
        <f t="shared" si="22"/>
        <v>1839</v>
      </c>
      <c r="T81" s="610"/>
      <c r="U81" s="21">
        <v>0.89439999999999997</v>
      </c>
      <c r="V81" s="40">
        <f t="shared" si="21"/>
        <v>194.19840000000005</v>
      </c>
      <c r="W81" s="33"/>
      <c r="X81" s="33"/>
      <c r="Y81" s="53"/>
      <c r="Z81" s="33"/>
      <c r="AA81" s="33"/>
      <c r="AB81" s="33"/>
      <c r="AC81" s="33"/>
      <c r="AD81" s="33"/>
      <c r="AE81" s="33"/>
      <c r="AF81" s="33"/>
      <c r="AG81" s="14"/>
      <c r="AH81" s="3"/>
      <c r="AI81" s="3"/>
      <c r="AJ81" s="3"/>
    </row>
    <row r="82" spans="1:36" ht="14.45" customHeight="1" x14ac:dyDescent="0.25">
      <c r="A82" s="55"/>
      <c r="B82" s="9"/>
      <c r="C82" s="510" t="s">
        <v>10</v>
      </c>
      <c r="D82" s="510"/>
      <c r="E82" s="510"/>
      <c r="F82" s="510"/>
      <c r="G82" s="510"/>
      <c r="H82" s="566"/>
      <c r="I82" s="624">
        <f t="shared" si="16"/>
        <v>17</v>
      </c>
      <c r="J82" s="617"/>
      <c r="K82" s="555">
        <f t="shared" si="17"/>
        <v>509</v>
      </c>
      <c r="L82" s="618"/>
      <c r="M82" s="617">
        <f t="shared" si="18"/>
        <v>12</v>
      </c>
      <c r="N82" s="617"/>
      <c r="O82" s="555">
        <f t="shared" si="19"/>
        <v>383</v>
      </c>
      <c r="P82" s="556"/>
      <c r="Q82" s="688">
        <f t="shared" si="20"/>
        <v>29</v>
      </c>
      <c r="R82" s="609"/>
      <c r="S82" s="610">
        <f t="shared" si="22"/>
        <v>892</v>
      </c>
      <c r="T82" s="610"/>
      <c r="U82" s="21">
        <v>0.87360000000000004</v>
      </c>
      <c r="V82" s="40">
        <f t="shared" si="21"/>
        <v>112.74879999999996</v>
      </c>
      <c r="W82" s="33"/>
      <c r="X82" s="33"/>
      <c r="Y82" s="53"/>
      <c r="Z82" s="33"/>
      <c r="AA82" s="33"/>
      <c r="AB82" s="33"/>
      <c r="AC82" s="33"/>
      <c r="AD82" s="33"/>
      <c r="AE82" s="33"/>
      <c r="AF82" s="33"/>
      <c r="AG82" s="14"/>
      <c r="AH82" s="3"/>
      <c r="AI82" s="3"/>
      <c r="AJ82" s="3"/>
    </row>
    <row r="83" spans="1:36" ht="14.45" customHeight="1" x14ac:dyDescent="0.25">
      <c r="A83" s="55"/>
      <c r="B83" s="9"/>
      <c r="C83" s="510" t="s">
        <v>11</v>
      </c>
      <c r="D83" s="510"/>
      <c r="E83" s="510"/>
      <c r="F83" s="510"/>
      <c r="G83" s="510"/>
      <c r="H83" s="566"/>
      <c r="I83" s="624">
        <f t="shared" si="16"/>
        <v>9</v>
      </c>
      <c r="J83" s="617"/>
      <c r="K83" s="555">
        <f t="shared" si="17"/>
        <v>905</v>
      </c>
      <c r="L83" s="618"/>
      <c r="M83" s="617">
        <f t="shared" si="18"/>
        <v>16</v>
      </c>
      <c r="N83" s="617"/>
      <c r="O83" s="555">
        <f t="shared" si="19"/>
        <v>1690</v>
      </c>
      <c r="P83" s="556"/>
      <c r="Q83" s="688">
        <f t="shared" si="20"/>
        <v>25</v>
      </c>
      <c r="R83" s="609"/>
      <c r="S83" s="610">
        <f t="shared" si="22"/>
        <v>2595</v>
      </c>
      <c r="T83" s="610"/>
      <c r="U83" s="21">
        <v>0.90500000000000003</v>
      </c>
      <c r="V83" s="40">
        <f t="shared" si="21"/>
        <v>246.52499999999992</v>
      </c>
      <c r="W83" s="33"/>
      <c r="X83" s="33"/>
      <c r="Y83" s="53"/>
      <c r="Z83" s="33"/>
      <c r="AA83" s="33"/>
      <c r="AB83" s="33"/>
      <c r="AC83" s="33"/>
      <c r="AD83" s="33"/>
      <c r="AE83" s="33"/>
      <c r="AF83" s="33"/>
      <c r="AG83" s="14"/>
      <c r="AH83" s="3"/>
      <c r="AI83" s="3"/>
      <c r="AJ83" s="3"/>
    </row>
    <row r="84" spans="1:36" ht="14.45" customHeight="1" x14ac:dyDescent="0.25">
      <c r="A84" s="55"/>
      <c r="B84" s="9"/>
      <c r="C84" s="510" t="s">
        <v>57</v>
      </c>
      <c r="D84" s="510"/>
      <c r="E84" s="510"/>
      <c r="F84" s="510"/>
      <c r="G84" s="510"/>
      <c r="H84" s="566"/>
      <c r="I84" s="624">
        <f t="shared" si="16"/>
        <v>0</v>
      </c>
      <c r="J84" s="617"/>
      <c r="K84" s="555">
        <f t="shared" si="17"/>
        <v>0</v>
      </c>
      <c r="L84" s="618"/>
      <c r="M84" s="617">
        <f t="shared" si="18"/>
        <v>7</v>
      </c>
      <c r="N84" s="617"/>
      <c r="O84" s="555">
        <f t="shared" si="19"/>
        <v>350</v>
      </c>
      <c r="P84" s="556"/>
      <c r="Q84" s="688">
        <f t="shared" si="20"/>
        <v>7</v>
      </c>
      <c r="R84" s="609"/>
      <c r="S84" s="610">
        <f t="shared" si="22"/>
        <v>350</v>
      </c>
      <c r="T84" s="610"/>
      <c r="U84" s="21">
        <v>0.88070000000000004</v>
      </c>
      <c r="V84" s="40">
        <f t="shared" si="21"/>
        <v>41.754999999999988</v>
      </c>
      <c r="W84" s="33"/>
      <c r="X84" s="33"/>
      <c r="Y84" s="53"/>
      <c r="Z84" s="33"/>
      <c r="AA84" s="33"/>
      <c r="AB84" s="33"/>
      <c r="AC84" s="33"/>
      <c r="AD84" s="33"/>
      <c r="AE84" s="33"/>
      <c r="AF84" s="33"/>
      <c r="AG84" s="14"/>
      <c r="AH84" s="3"/>
      <c r="AI84" s="3"/>
      <c r="AJ84" s="3"/>
    </row>
    <row r="85" spans="1:36" ht="14.45" customHeight="1" x14ac:dyDescent="0.25">
      <c r="A85" s="55"/>
      <c r="B85" s="9"/>
      <c r="C85" s="510" t="s">
        <v>51</v>
      </c>
      <c r="D85" s="510"/>
      <c r="E85" s="510"/>
      <c r="F85" s="510"/>
      <c r="G85" s="510"/>
      <c r="H85" s="566"/>
      <c r="I85" s="624">
        <f t="shared" si="16"/>
        <v>0</v>
      </c>
      <c r="J85" s="617"/>
      <c r="K85" s="555">
        <f t="shared" si="17"/>
        <v>0</v>
      </c>
      <c r="L85" s="618"/>
      <c r="M85" s="617">
        <f t="shared" si="18"/>
        <v>0</v>
      </c>
      <c r="N85" s="617"/>
      <c r="O85" s="555">
        <f t="shared" si="19"/>
        <v>0</v>
      </c>
      <c r="P85" s="556"/>
      <c r="Q85" s="688">
        <f t="shared" si="20"/>
        <v>0</v>
      </c>
      <c r="R85" s="609"/>
      <c r="S85" s="610">
        <f t="shared" si="22"/>
        <v>0</v>
      </c>
      <c r="T85" s="610"/>
      <c r="U85" s="21">
        <v>0.86470000000000002</v>
      </c>
      <c r="V85" s="40">
        <f t="shared" si="21"/>
        <v>0</v>
      </c>
      <c r="W85" s="33"/>
      <c r="X85" s="33"/>
      <c r="Y85" s="53"/>
      <c r="Z85" s="33"/>
      <c r="AA85" s="33"/>
      <c r="AB85" s="33"/>
      <c r="AC85" s="33"/>
      <c r="AD85" s="33"/>
      <c r="AE85" s="33"/>
      <c r="AF85" s="33"/>
      <c r="AG85" s="14"/>
      <c r="AH85" s="3"/>
      <c r="AI85" s="3"/>
      <c r="AJ85" s="3"/>
    </row>
    <row r="86" spans="1:36" ht="14.45" customHeight="1" x14ac:dyDescent="0.25">
      <c r="A86" s="55"/>
      <c r="B86" s="9"/>
      <c r="C86" s="510" t="s">
        <v>52</v>
      </c>
      <c r="D86" s="510"/>
      <c r="E86" s="510"/>
      <c r="F86" s="510"/>
      <c r="G86" s="510"/>
      <c r="H86" s="566"/>
      <c r="I86" s="624">
        <f t="shared" si="16"/>
        <v>0</v>
      </c>
      <c r="J86" s="617"/>
      <c r="K86" s="555">
        <f t="shared" si="17"/>
        <v>0</v>
      </c>
      <c r="L86" s="618"/>
      <c r="M86" s="617">
        <f t="shared" si="18"/>
        <v>0</v>
      </c>
      <c r="N86" s="617"/>
      <c r="O86" s="555">
        <f t="shared" si="19"/>
        <v>0</v>
      </c>
      <c r="P86" s="556"/>
      <c r="Q86" s="688">
        <f t="shared" si="20"/>
        <v>0</v>
      </c>
      <c r="R86" s="609"/>
      <c r="S86" s="610">
        <f t="shared" si="22"/>
        <v>0</v>
      </c>
      <c r="T86" s="610"/>
      <c r="U86" s="21">
        <v>0.85860000000000003</v>
      </c>
      <c r="V86" s="40">
        <f t="shared" si="21"/>
        <v>0</v>
      </c>
      <c r="W86" s="33"/>
      <c r="X86" s="33"/>
      <c r="Y86" s="53"/>
      <c r="Z86" s="33"/>
      <c r="AA86" s="33"/>
      <c r="AB86" s="33"/>
      <c r="AC86" s="33"/>
      <c r="AD86" s="33"/>
      <c r="AE86" s="33"/>
      <c r="AF86" s="33"/>
      <c r="AG86" s="14"/>
      <c r="AH86" s="3"/>
      <c r="AI86" s="3"/>
      <c r="AJ86" s="3"/>
    </row>
    <row r="87" spans="1:36" ht="14.45" customHeight="1" x14ac:dyDescent="0.25">
      <c r="A87" s="55"/>
      <c r="B87" s="9"/>
      <c r="C87" s="510" t="s">
        <v>12</v>
      </c>
      <c r="D87" s="510"/>
      <c r="E87" s="510"/>
      <c r="F87" s="510"/>
      <c r="G87" s="510"/>
      <c r="H87" s="566"/>
      <c r="I87" s="624">
        <f t="shared" si="16"/>
        <v>6</v>
      </c>
      <c r="J87" s="617"/>
      <c r="K87" s="555">
        <f t="shared" si="17"/>
        <v>156</v>
      </c>
      <c r="L87" s="618"/>
      <c r="M87" s="617">
        <f t="shared" si="18"/>
        <v>48</v>
      </c>
      <c r="N87" s="617"/>
      <c r="O87" s="555">
        <f t="shared" si="19"/>
        <v>1432</v>
      </c>
      <c r="P87" s="556"/>
      <c r="Q87" s="688">
        <f t="shared" si="20"/>
        <v>54</v>
      </c>
      <c r="R87" s="609"/>
      <c r="S87" s="610">
        <f t="shared" si="22"/>
        <v>1588</v>
      </c>
      <c r="T87" s="610"/>
      <c r="U87" s="21">
        <v>0.93799999999999994</v>
      </c>
      <c r="V87" s="40">
        <f t="shared" si="21"/>
        <v>98.456000000000088</v>
      </c>
      <c r="W87" s="33"/>
      <c r="X87" s="33"/>
      <c r="Y87" s="53"/>
      <c r="Z87" s="33"/>
      <c r="AA87" s="33"/>
      <c r="AB87" s="33"/>
      <c r="AC87" s="33"/>
      <c r="AD87" s="33"/>
      <c r="AE87" s="33"/>
      <c r="AF87" s="33"/>
      <c r="AG87" s="14"/>
      <c r="AH87" s="3"/>
      <c r="AI87" s="3"/>
      <c r="AJ87" s="3"/>
    </row>
    <row r="88" spans="1:36" ht="14.45" customHeight="1" x14ac:dyDescent="0.25">
      <c r="A88" s="55"/>
      <c r="B88" s="9"/>
      <c r="C88" s="510" t="s">
        <v>13</v>
      </c>
      <c r="D88" s="510"/>
      <c r="E88" s="510"/>
      <c r="F88" s="510"/>
      <c r="G88" s="510"/>
      <c r="H88" s="566"/>
      <c r="I88" s="624">
        <f t="shared" si="16"/>
        <v>86</v>
      </c>
      <c r="J88" s="617"/>
      <c r="K88" s="555">
        <f t="shared" si="17"/>
        <v>2418</v>
      </c>
      <c r="L88" s="618"/>
      <c r="M88" s="617">
        <f t="shared" si="18"/>
        <v>135</v>
      </c>
      <c r="N88" s="617"/>
      <c r="O88" s="555">
        <f t="shared" si="19"/>
        <v>4415</v>
      </c>
      <c r="P88" s="556"/>
      <c r="Q88" s="688">
        <f t="shared" si="20"/>
        <v>221</v>
      </c>
      <c r="R88" s="609"/>
      <c r="S88" s="610">
        <f t="shared" si="22"/>
        <v>6833</v>
      </c>
      <c r="T88" s="610"/>
      <c r="U88" s="21">
        <v>0.94299999999999995</v>
      </c>
      <c r="V88" s="40">
        <f t="shared" si="21"/>
        <v>389.48100000000034</v>
      </c>
      <c r="W88" s="33"/>
      <c r="X88" s="33"/>
      <c r="Y88" s="53"/>
      <c r="Z88" s="33"/>
      <c r="AA88" s="33"/>
      <c r="AB88" s="33"/>
      <c r="AC88" s="33"/>
      <c r="AD88" s="33"/>
      <c r="AE88" s="33"/>
      <c r="AF88" s="33"/>
      <c r="AG88" s="14"/>
      <c r="AH88" s="3"/>
      <c r="AI88" s="3"/>
      <c r="AJ88" s="3"/>
    </row>
    <row r="89" spans="1:36" ht="14.45" customHeight="1" x14ac:dyDescent="0.25">
      <c r="A89" s="55"/>
      <c r="B89" s="9"/>
      <c r="C89" s="531" t="s">
        <v>67</v>
      </c>
      <c r="D89" s="531"/>
      <c r="E89" s="531"/>
      <c r="F89" s="531"/>
      <c r="G89" s="531"/>
      <c r="H89" s="539"/>
      <c r="I89" s="624">
        <f t="shared" si="16"/>
        <v>0</v>
      </c>
      <c r="J89" s="617"/>
      <c r="K89" s="555">
        <f t="shared" si="17"/>
        <v>0</v>
      </c>
      <c r="L89" s="618"/>
      <c r="M89" s="617">
        <f t="shared" si="18"/>
        <v>8</v>
      </c>
      <c r="N89" s="617"/>
      <c r="O89" s="555">
        <f t="shared" si="19"/>
        <v>224</v>
      </c>
      <c r="P89" s="556"/>
      <c r="Q89" s="688">
        <f t="shared" si="20"/>
        <v>8</v>
      </c>
      <c r="R89" s="609"/>
      <c r="S89" s="610">
        <f t="shared" si="22"/>
        <v>224</v>
      </c>
      <c r="T89" s="610"/>
      <c r="U89" s="21">
        <v>0.94299999999999995</v>
      </c>
      <c r="V89" s="40">
        <f t="shared" si="21"/>
        <v>12.768000000000011</v>
      </c>
      <c r="W89" s="33"/>
      <c r="X89" s="33"/>
      <c r="Y89" s="53"/>
      <c r="Z89" s="33"/>
      <c r="AA89" s="33"/>
      <c r="AB89" s="33"/>
      <c r="AC89" s="33"/>
      <c r="AD89" s="33"/>
      <c r="AE89" s="33"/>
      <c r="AF89" s="33"/>
      <c r="AG89" s="14"/>
      <c r="AH89" s="3"/>
      <c r="AI89" s="3"/>
      <c r="AJ89" s="3"/>
    </row>
    <row r="90" spans="1:36" ht="14.45" customHeight="1" x14ac:dyDescent="0.25">
      <c r="A90" s="55"/>
      <c r="B90" s="9"/>
      <c r="C90" s="510" t="s">
        <v>53</v>
      </c>
      <c r="D90" s="510"/>
      <c r="E90" s="510"/>
      <c r="F90" s="510"/>
      <c r="G90" s="510"/>
      <c r="H90" s="566"/>
      <c r="I90" s="624">
        <f t="shared" si="16"/>
        <v>0</v>
      </c>
      <c r="J90" s="617"/>
      <c r="K90" s="555">
        <f t="shared" si="17"/>
        <v>0</v>
      </c>
      <c r="L90" s="618"/>
      <c r="M90" s="617">
        <f t="shared" si="18"/>
        <v>0</v>
      </c>
      <c r="N90" s="617"/>
      <c r="O90" s="555">
        <f t="shared" si="19"/>
        <v>0</v>
      </c>
      <c r="P90" s="556"/>
      <c r="Q90" s="688">
        <f t="shared" si="20"/>
        <v>0</v>
      </c>
      <c r="R90" s="609"/>
      <c r="S90" s="610">
        <f t="shared" si="22"/>
        <v>0</v>
      </c>
      <c r="T90" s="610"/>
      <c r="U90" s="21">
        <v>0.87649999999999995</v>
      </c>
      <c r="V90" s="40">
        <f t="shared" si="21"/>
        <v>0</v>
      </c>
      <c r="W90" s="33"/>
      <c r="X90" s="33"/>
      <c r="Y90" s="53"/>
      <c r="Z90" s="33"/>
      <c r="AA90" s="33"/>
      <c r="AB90" s="33"/>
      <c r="AC90" s="33"/>
      <c r="AD90" s="33"/>
      <c r="AE90" s="33"/>
      <c r="AF90" s="33"/>
      <c r="AG90" s="14"/>
      <c r="AH90" s="3"/>
      <c r="AI90" s="3"/>
      <c r="AJ90" s="3"/>
    </row>
    <row r="91" spans="1:36" ht="14.45" customHeight="1" x14ac:dyDescent="0.25">
      <c r="A91" s="55"/>
      <c r="B91" s="9"/>
      <c r="C91" s="510" t="s">
        <v>14</v>
      </c>
      <c r="D91" s="510"/>
      <c r="E91" s="510"/>
      <c r="F91" s="510"/>
      <c r="G91" s="510"/>
      <c r="H91" s="566"/>
      <c r="I91" s="624">
        <f t="shared" si="16"/>
        <v>1</v>
      </c>
      <c r="J91" s="617"/>
      <c r="K91" s="555">
        <f t="shared" si="17"/>
        <v>90</v>
      </c>
      <c r="L91" s="618"/>
      <c r="M91" s="617">
        <f t="shared" si="18"/>
        <v>0</v>
      </c>
      <c r="N91" s="617"/>
      <c r="O91" s="555">
        <f t="shared" si="19"/>
        <v>0</v>
      </c>
      <c r="P91" s="556"/>
      <c r="Q91" s="688">
        <f t="shared" si="20"/>
        <v>1</v>
      </c>
      <c r="R91" s="609"/>
      <c r="S91" s="610">
        <f t="shared" si="22"/>
        <v>90</v>
      </c>
      <c r="T91" s="610"/>
      <c r="U91" s="39">
        <v>0.8</v>
      </c>
      <c r="V91" s="40">
        <f>S91*(1-U91)</f>
        <v>17.999999999999996</v>
      </c>
      <c r="W91" s="33"/>
      <c r="X91" s="33"/>
      <c r="Y91" s="53"/>
      <c r="Z91" s="33"/>
      <c r="AA91" s="33"/>
      <c r="AB91" s="33"/>
      <c r="AC91" s="33"/>
      <c r="AD91" s="33"/>
      <c r="AE91" s="33"/>
      <c r="AF91" s="33"/>
      <c r="AG91" s="14"/>
      <c r="AH91" s="3"/>
      <c r="AI91" s="3"/>
      <c r="AJ91" s="3"/>
    </row>
    <row r="92" spans="1:36" ht="14.45" customHeight="1" x14ac:dyDescent="0.25">
      <c r="A92" s="55"/>
      <c r="B92" s="9"/>
      <c r="C92" s="510" t="s">
        <v>15</v>
      </c>
      <c r="D92" s="510"/>
      <c r="E92" s="510"/>
      <c r="F92" s="510"/>
      <c r="G92" s="510"/>
      <c r="H92" s="566"/>
      <c r="I92" s="624">
        <f t="shared" si="16"/>
        <v>2</v>
      </c>
      <c r="J92" s="617"/>
      <c r="K92" s="555">
        <f t="shared" si="17"/>
        <v>190</v>
      </c>
      <c r="L92" s="618"/>
      <c r="M92" s="617">
        <f t="shared" si="18"/>
        <v>3</v>
      </c>
      <c r="N92" s="617"/>
      <c r="O92" s="555">
        <f t="shared" si="19"/>
        <v>315</v>
      </c>
      <c r="P92" s="556"/>
      <c r="Q92" s="688">
        <f t="shared" si="20"/>
        <v>5</v>
      </c>
      <c r="R92" s="609"/>
      <c r="S92" s="610">
        <f t="shared" si="22"/>
        <v>505</v>
      </c>
      <c r="T92" s="610"/>
      <c r="U92" s="39">
        <v>0.8</v>
      </c>
      <c r="V92" s="40">
        <f t="shared" si="21"/>
        <v>100.99999999999997</v>
      </c>
      <c r="W92" s="33"/>
      <c r="X92" s="33"/>
      <c r="Y92" s="53"/>
      <c r="Z92" s="33"/>
      <c r="AA92" s="33"/>
      <c r="AB92" s="33"/>
      <c r="AC92" s="33"/>
      <c r="AD92" s="33"/>
      <c r="AE92" s="33"/>
      <c r="AF92" s="33"/>
      <c r="AG92" s="14"/>
      <c r="AH92" s="3"/>
      <c r="AI92" s="3"/>
      <c r="AJ92" s="3"/>
    </row>
    <row r="93" spans="1:36" ht="14.45" customHeight="1" x14ac:dyDescent="0.25">
      <c r="A93" s="55"/>
      <c r="B93" s="9"/>
      <c r="C93" s="510" t="s">
        <v>16</v>
      </c>
      <c r="D93" s="510"/>
      <c r="E93" s="510"/>
      <c r="F93" s="510"/>
      <c r="G93" s="510"/>
      <c r="H93" s="566"/>
      <c r="I93" s="624">
        <f t="shared" si="16"/>
        <v>3</v>
      </c>
      <c r="J93" s="617"/>
      <c r="K93" s="555">
        <f t="shared" si="17"/>
        <v>405</v>
      </c>
      <c r="L93" s="618"/>
      <c r="M93" s="617">
        <f t="shared" si="18"/>
        <v>0</v>
      </c>
      <c r="N93" s="617"/>
      <c r="O93" s="555">
        <f t="shared" si="19"/>
        <v>0</v>
      </c>
      <c r="P93" s="556"/>
      <c r="Q93" s="688">
        <f t="shared" si="20"/>
        <v>3</v>
      </c>
      <c r="R93" s="609"/>
      <c r="S93" s="610">
        <f t="shared" si="22"/>
        <v>405</v>
      </c>
      <c r="T93" s="610"/>
      <c r="U93" s="39">
        <v>0.8</v>
      </c>
      <c r="V93" s="40">
        <f t="shared" si="21"/>
        <v>80.999999999999986</v>
      </c>
      <c r="W93" s="33"/>
      <c r="X93" s="33"/>
      <c r="Y93" s="53"/>
      <c r="Z93" s="33"/>
      <c r="AA93" s="33"/>
      <c r="AB93" s="33"/>
      <c r="AC93" s="33"/>
      <c r="AD93" s="33"/>
      <c r="AE93" s="33"/>
      <c r="AF93" s="33"/>
      <c r="AG93" s="14"/>
      <c r="AH93" s="3"/>
      <c r="AI93" s="3"/>
      <c r="AJ93" s="3"/>
    </row>
    <row r="94" spans="1:36" ht="14.45" customHeight="1" x14ac:dyDescent="0.25">
      <c r="A94" s="55"/>
      <c r="B94" s="9"/>
      <c r="C94" s="510" t="s">
        <v>54</v>
      </c>
      <c r="D94" s="510"/>
      <c r="E94" s="510"/>
      <c r="F94" s="510"/>
      <c r="G94" s="510"/>
      <c r="H94" s="566"/>
      <c r="I94" s="624">
        <f t="shared" si="16"/>
        <v>0</v>
      </c>
      <c r="J94" s="617"/>
      <c r="K94" s="555">
        <f t="shared" si="17"/>
        <v>0</v>
      </c>
      <c r="L94" s="618"/>
      <c r="M94" s="617">
        <f t="shared" si="18"/>
        <v>5</v>
      </c>
      <c r="N94" s="617"/>
      <c r="O94" s="555">
        <f t="shared" si="19"/>
        <v>500</v>
      </c>
      <c r="P94" s="556"/>
      <c r="Q94" s="688">
        <f t="shared" si="20"/>
        <v>5</v>
      </c>
      <c r="R94" s="609"/>
      <c r="S94" s="610">
        <f t="shared" si="22"/>
        <v>500</v>
      </c>
      <c r="T94" s="610"/>
      <c r="U94" s="39">
        <v>0.8</v>
      </c>
      <c r="V94" s="40">
        <f t="shared" si="21"/>
        <v>99.999999999999972</v>
      </c>
      <c r="W94" s="33"/>
      <c r="X94" s="33"/>
      <c r="Y94" s="53"/>
      <c r="Z94" s="33"/>
      <c r="AA94" s="33"/>
      <c r="AB94" s="33"/>
      <c r="AC94" s="33"/>
      <c r="AD94" s="33"/>
      <c r="AE94" s="33"/>
      <c r="AF94" s="33"/>
      <c r="AG94" s="14"/>
      <c r="AH94" s="3"/>
      <c r="AI94" s="3"/>
      <c r="AJ94" s="3"/>
    </row>
    <row r="95" spans="1:36" ht="14.45" customHeight="1" x14ac:dyDescent="0.25">
      <c r="A95" s="55"/>
      <c r="B95" s="9"/>
      <c r="C95" s="510" t="s">
        <v>17</v>
      </c>
      <c r="D95" s="510"/>
      <c r="E95" s="510"/>
      <c r="F95" s="510"/>
      <c r="G95" s="510"/>
      <c r="H95" s="566"/>
      <c r="I95" s="624">
        <f t="shared" si="16"/>
        <v>0</v>
      </c>
      <c r="J95" s="617"/>
      <c r="K95" s="555">
        <f t="shared" si="17"/>
        <v>0</v>
      </c>
      <c r="L95" s="618"/>
      <c r="M95" s="617">
        <f t="shared" si="18"/>
        <v>0</v>
      </c>
      <c r="N95" s="617"/>
      <c r="O95" s="555">
        <f t="shared" si="19"/>
        <v>0</v>
      </c>
      <c r="P95" s="556"/>
      <c r="Q95" s="688">
        <f t="shared" si="20"/>
        <v>0</v>
      </c>
      <c r="R95" s="609"/>
      <c r="S95" s="610">
        <f t="shared" si="22"/>
        <v>0</v>
      </c>
      <c r="T95" s="610"/>
      <c r="U95" s="39">
        <v>0.8</v>
      </c>
      <c r="V95" s="40">
        <f t="shared" si="21"/>
        <v>0</v>
      </c>
      <c r="W95" s="33"/>
      <c r="X95" s="33"/>
      <c r="Y95" s="53"/>
      <c r="Z95" s="33"/>
      <c r="AA95" s="33"/>
      <c r="AB95" s="33"/>
      <c r="AC95" s="33"/>
      <c r="AD95" s="33"/>
      <c r="AE95" s="33"/>
      <c r="AF95" s="33"/>
      <c r="AG95" s="14"/>
      <c r="AH95" s="3"/>
      <c r="AI95" s="3"/>
      <c r="AJ95" s="3"/>
    </row>
    <row r="96" spans="1:36" ht="14.45" customHeight="1" x14ac:dyDescent="0.25">
      <c r="A96" s="55"/>
      <c r="B96" s="9"/>
      <c r="C96" s="510" t="s">
        <v>59</v>
      </c>
      <c r="D96" s="510"/>
      <c r="E96" s="510"/>
      <c r="F96" s="510"/>
      <c r="G96" s="510"/>
      <c r="H96" s="566"/>
      <c r="I96" s="624">
        <f t="shared" si="16"/>
        <v>0</v>
      </c>
      <c r="J96" s="617"/>
      <c r="K96" s="555">
        <f t="shared" si="17"/>
        <v>0</v>
      </c>
      <c r="L96" s="618"/>
      <c r="M96" s="617">
        <f t="shared" si="18"/>
        <v>3</v>
      </c>
      <c r="N96" s="617"/>
      <c r="O96" s="555">
        <f t="shared" si="19"/>
        <v>300</v>
      </c>
      <c r="P96" s="556"/>
      <c r="Q96" s="688">
        <f t="shared" si="20"/>
        <v>3</v>
      </c>
      <c r="R96" s="609"/>
      <c r="S96" s="610">
        <f t="shared" si="22"/>
        <v>300</v>
      </c>
      <c r="T96" s="610"/>
      <c r="U96" s="39">
        <v>0.8</v>
      </c>
      <c r="V96" s="40">
        <f t="shared" si="21"/>
        <v>59.999999999999986</v>
      </c>
      <c r="W96" s="33"/>
      <c r="X96" s="33"/>
      <c r="Y96" s="53"/>
      <c r="Z96" s="33"/>
      <c r="AA96" s="33"/>
      <c r="AB96" s="33"/>
      <c r="AC96" s="33"/>
      <c r="AD96" s="33"/>
      <c r="AE96" s="33"/>
      <c r="AF96" s="33"/>
      <c r="AG96" s="14"/>
      <c r="AH96" s="3"/>
      <c r="AI96" s="3"/>
      <c r="AJ96" s="3"/>
    </row>
    <row r="97" spans="1:36" ht="14.45" customHeight="1" x14ac:dyDescent="0.25">
      <c r="A97" s="55"/>
      <c r="B97" s="9"/>
      <c r="C97" s="510" t="s">
        <v>18</v>
      </c>
      <c r="D97" s="510"/>
      <c r="E97" s="510"/>
      <c r="F97" s="510"/>
      <c r="G97" s="510"/>
      <c r="H97" s="566"/>
      <c r="I97" s="624">
        <f t="shared" si="16"/>
        <v>0</v>
      </c>
      <c r="J97" s="617"/>
      <c r="K97" s="555">
        <f t="shared" si="17"/>
        <v>0</v>
      </c>
      <c r="L97" s="618"/>
      <c r="M97" s="617">
        <f t="shared" si="18"/>
        <v>1</v>
      </c>
      <c r="N97" s="617"/>
      <c r="O97" s="555">
        <f t="shared" si="19"/>
        <v>240</v>
      </c>
      <c r="P97" s="556"/>
      <c r="Q97" s="688">
        <f t="shared" si="20"/>
        <v>1</v>
      </c>
      <c r="R97" s="609"/>
      <c r="S97" s="610">
        <f t="shared" si="22"/>
        <v>240</v>
      </c>
      <c r="T97" s="610"/>
      <c r="U97" s="39">
        <v>0.8</v>
      </c>
      <c r="V97" s="40">
        <f t="shared" si="21"/>
        <v>47.999999999999986</v>
      </c>
      <c r="W97" s="33"/>
      <c r="X97" s="33"/>
      <c r="Y97" s="53"/>
      <c r="Z97" s="33"/>
      <c r="AA97" s="33"/>
      <c r="AB97" s="33"/>
      <c r="AC97" s="33"/>
      <c r="AD97" s="33"/>
      <c r="AE97" s="33"/>
      <c r="AF97" s="33"/>
      <c r="AG97" s="14"/>
      <c r="AH97" s="3"/>
      <c r="AI97" s="3"/>
      <c r="AJ97" s="3"/>
    </row>
    <row r="98" spans="1:36" ht="14.45" customHeight="1" x14ac:dyDescent="0.25">
      <c r="A98" s="55"/>
      <c r="B98" s="9"/>
      <c r="C98" s="510" t="s">
        <v>19</v>
      </c>
      <c r="D98" s="510"/>
      <c r="E98" s="510"/>
      <c r="F98" s="510"/>
      <c r="G98" s="510"/>
      <c r="H98" s="566"/>
      <c r="I98" s="624">
        <f t="shared" si="16"/>
        <v>0</v>
      </c>
      <c r="J98" s="617"/>
      <c r="K98" s="555">
        <f t="shared" si="17"/>
        <v>0</v>
      </c>
      <c r="L98" s="618"/>
      <c r="M98" s="617">
        <f t="shared" si="18"/>
        <v>0</v>
      </c>
      <c r="N98" s="617"/>
      <c r="O98" s="555">
        <f t="shared" si="19"/>
        <v>0</v>
      </c>
      <c r="P98" s="556"/>
      <c r="Q98" s="688">
        <f t="shared" si="20"/>
        <v>0</v>
      </c>
      <c r="R98" s="609"/>
      <c r="S98" s="610">
        <f t="shared" si="22"/>
        <v>0</v>
      </c>
      <c r="T98" s="610"/>
      <c r="U98" s="39">
        <v>0.8</v>
      </c>
      <c r="V98" s="40">
        <f t="shared" si="21"/>
        <v>0</v>
      </c>
      <c r="W98" s="33"/>
      <c r="X98" s="33"/>
      <c r="Y98" s="53"/>
      <c r="Z98" s="33"/>
      <c r="AA98" s="33"/>
      <c r="AB98" s="33"/>
      <c r="AC98" s="33"/>
      <c r="AD98" s="33"/>
      <c r="AE98" s="33"/>
      <c r="AF98" s="33"/>
      <c r="AG98" s="14"/>
      <c r="AH98" s="3"/>
      <c r="AI98" s="3"/>
      <c r="AJ98" s="3"/>
    </row>
    <row r="99" spans="1:36" ht="14.45" customHeight="1" x14ac:dyDescent="0.25">
      <c r="A99" s="55"/>
      <c r="B99" s="9"/>
      <c r="C99" s="510" t="s">
        <v>20</v>
      </c>
      <c r="D99" s="510"/>
      <c r="E99" s="510"/>
      <c r="F99" s="510"/>
      <c r="G99" s="510"/>
      <c r="H99" s="566"/>
      <c r="I99" s="624">
        <f t="shared" si="16"/>
        <v>0</v>
      </c>
      <c r="J99" s="617"/>
      <c r="K99" s="555">
        <f t="shared" si="17"/>
        <v>0</v>
      </c>
      <c r="L99" s="618"/>
      <c r="M99" s="617">
        <f t="shared" si="18"/>
        <v>2</v>
      </c>
      <c r="N99" s="617"/>
      <c r="O99" s="555">
        <f t="shared" si="19"/>
        <v>11</v>
      </c>
      <c r="P99" s="556"/>
      <c r="Q99" s="688">
        <f t="shared" si="20"/>
        <v>2</v>
      </c>
      <c r="R99" s="609"/>
      <c r="S99" s="610">
        <f t="shared" si="22"/>
        <v>11</v>
      </c>
      <c r="T99" s="610"/>
      <c r="U99" s="21">
        <v>0.78</v>
      </c>
      <c r="V99" s="40">
        <f t="shared" si="21"/>
        <v>2.42</v>
      </c>
      <c r="W99" s="33"/>
      <c r="X99" s="33"/>
      <c r="Y99" s="53"/>
      <c r="Z99" s="33"/>
      <c r="AA99" s="33"/>
      <c r="AB99" s="33"/>
      <c r="AC99" s="33"/>
      <c r="AD99" s="33"/>
      <c r="AE99" s="33"/>
      <c r="AF99" s="33"/>
      <c r="AG99" s="14"/>
      <c r="AH99" s="3"/>
      <c r="AI99" s="3"/>
      <c r="AJ99" s="3"/>
    </row>
    <row r="100" spans="1:36" ht="14.45" customHeight="1" x14ac:dyDescent="0.25">
      <c r="A100" s="55"/>
      <c r="B100" s="9"/>
      <c r="C100" s="510" t="s">
        <v>21</v>
      </c>
      <c r="D100" s="510"/>
      <c r="E100" s="510"/>
      <c r="F100" s="510"/>
      <c r="G100" s="510"/>
      <c r="H100" s="566"/>
      <c r="I100" s="624">
        <f t="shared" si="16"/>
        <v>0</v>
      </c>
      <c r="J100" s="617"/>
      <c r="K100" s="555">
        <f t="shared" si="17"/>
        <v>0</v>
      </c>
      <c r="L100" s="618"/>
      <c r="M100" s="617">
        <f t="shared" si="18"/>
        <v>1</v>
      </c>
      <c r="N100" s="617"/>
      <c r="O100" s="555">
        <f t="shared" si="19"/>
        <v>13</v>
      </c>
      <c r="P100" s="556"/>
      <c r="Q100" s="688">
        <f t="shared" si="20"/>
        <v>1</v>
      </c>
      <c r="R100" s="609"/>
      <c r="S100" s="610">
        <f t="shared" si="22"/>
        <v>13</v>
      </c>
      <c r="T100" s="610"/>
      <c r="U100" s="21">
        <v>0.77900000000000003</v>
      </c>
      <c r="V100" s="40">
        <f t="shared" si="21"/>
        <v>2.8729999999999998</v>
      </c>
      <c r="W100" s="33"/>
      <c r="X100" s="33"/>
      <c r="Y100" s="53"/>
      <c r="Z100" s="33"/>
      <c r="AA100" s="33"/>
      <c r="AB100" s="33"/>
      <c r="AC100" s="33"/>
      <c r="AD100" s="33"/>
      <c r="AE100" s="33"/>
      <c r="AF100" s="33"/>
      <c r="AG100" s="14"/>
      <c r="AH100" s="3"/>
      <c r="AI100" s="3"/>
      <c r="AJ100" s="3"/>
    </row>
    <row r="101" spans="1:36" ht="14.45" customHeight="1" x14ac:dyDescent="0.25">
      <c r="A101" s="55"/>
      <c r="B101" s="9"/>
      <c r="C101" s="510" t="s">
        <v>22</v>
      </c>
      <c r="D101" s="510"/>
      <c r="E101" s="510"/>
      <c r="F101" s="510"/>
      <c r="G101" s="510"/>
      <c r="H101" s="566"/>
      <c r="I101" s="624">
        <f t="shared" si="16"/>
        <v>4</v>
      </c>
      <c r="J101" s="617"/>
      <c r="K101" s="555">
        <f t="shared" si="17"/>
        <v>44</v>
      </c>
      <c r="L101" s="618"/>
      <c r="M101" s="617">
        <f t="shared" si="18"/>
        <v>0</v>
      </c>
      <c r="N101" s="617"/>
      <c r="O101" s="555">
        <f t="shared" si="19"/>
        <v>0</v>
      </c>
      <c r="P101" s="556"/>
      <c r="Q101" s="688">
        <f t="shared" si="20"/>
        <v>4</v>
      </c>
      <c r="R101" s="609"/>
      <c r="S101" s="610">
        <f t="shared" si="22"/>
        <v>44</v>
      </c>
      <c r="T101" s="610"/>
      <c r="U101" s="21">
        <v>0.79100000000000004</v>
      </c>
      <c r="V101" s="40">
        <f t="shared" si="21"/>
        <v>9.195999999999998</v>
      </c>
      <c r="W101" s="33"/>
      <c r="X101" s="33"/>
      <c r="Y101" s="53"/>
      <c r="Z101" s="33"/>
      <c r="AA101" s="33"/>
      <c r="AB101" s="33"/>
      <c r="AC101" s="33"/>
      <c r="AD101" s="33"/>
      <c r="AE101" s="33"/>
      <c r="AF101" s="33"/>
      <c r="AG101" s="14"/>
      <c r="AH101" s="3"/>
      <c r="AI101" s="3"/>
      <c r="AJ101" s="3"/>
    </row>
    <row r="102" spans="1:36" ht="14.45" customHeight="1" x14ac:dyDescent="0.25">
      <c r="A102" s="55"/>
      <c r="B102" s="9"/>
      <c r="C102" s="510" t="s">
        <v>23</v>
      </c>
      <c r="D102" s="510"/>
      <c r="E102" s="510"/>
      <c r="F102" s="510"/>
      <c r="G102" s="510"/>
      <c r="H102" s="566"/>
      <c r="I102" s="624">
        <f t="shared" si="16"/>
        <v>0</v>
      </c>
      <c r="J102" s="617"/>
      <c r="K102" s="555">
        <f t="shared" si="17"/>
        <v>0</v>
      </c>
      <c r="L102" s="618"/>
      <c r="M102" s="617">
        <f t="shared" si="18"/>
        <v>0</v>
      </c>
      <c r="N102" s="617"/>
      <c r="O102" s="555">
        <f t="shared" si="19"/>
        <v>0</v>
      </c>
      <c r="P102" s="556"/>
      <c r="Q102" s="688">
        <f t="shared" si="20"/>
        <v>0</v>
      </c>
      <c r="R102" s="609"/>
      <c r="S102" s="610">
        <f t="shared" si="22"/>
        <v>0</v>
      </c>
      <c r="T102" s="610"/>
      <c r="U102" s="21">
        <v>0.70750000000000002</v>
      </c>
      <c r="V102" s="40">
        <f t="shared" si="21"/>
        <v>0</v>
      </c>
      <c r="W102" s="33"/>
      <c r="X102" s="33"/>
      <c r="Y102" s="53"/>
      <c r="Z102" s="33"/>
      <c r="AA102" s="33"/>
      <c r="AB102" s="33"/>
      <c r="AC102" s="33"/>
      <c r="AD102" s="33"/>
      <c r="AE102" s="33"/>
      <c r="AF102" s="33"/>
      <c r="AG102" s="14"/>
      <c r="AH102" s="3"/>
      <c r="AI102" s="3"/>
      <c r="AJ102" s="3"/>
    </row>
    <row r="103" spans="1:36" ht="14.45" customHeight="1" x14ac:dyDescent="0.25">
      <c r="A103" s="55"/>
      <c r="B103" s="9"/>
      <c r="C103" s="510" t="s">
        <v>24</v>
      </c>
      <c r="D103" s="510"/>
      <c r="E103" s="510"/>
      <c r="F103" s="510"/>
      <c r="G103" s="510"/>
      <c r="H103" s="566"/>
      <c r="I103" s="624">
        <f t="shared" si="16"/>
        <v>1</v>
      </c>
      <c r="J103" s="617"/>
      <c r="K103" s="555">
        <f t="shared" si="17"/>
        <v>6</v>
      </c>
      <c r="L103" s="618"/>
      <c r="M103" s="617">
        <f t="shared" si="18"/>
        <v>1</v>
      </c>
      <c r="N103" s="617"/>
      <c r="O103" s="555">
        <f t="shared" si="19"/>
        <v>8.5</v>
      </c>
      <c r="P103" s="556"/>
      <c r="Q103" s="688">
        <f t="shared" si="20"/>
        <v>2</v>
      </c>
      <c r="R103" s="609"/>
      <c r="S103" s="610">
        <f t="shared" si="22"/>
        <v>14.5</v>
      </c>
      <c r="T103" s="610"/>
      <c r="U103" s="21">
        <v>0.76500000000000001</v>
      </c>
      <c r="V103" s="40">
        <f t="shared" si="21"/>
        <v>3.4074999999999998</v>
      </c>
      <c r="W103" s="33"/>
      <c r="X103" s="33"/>
      <c r="Y103" s="53"/>
      <c r="Z103" s="33"/>
      <c r="AA103" s="33"/>
      <c r="AB103" s="33"/>
      <c r="AC103" s="33"/>
      <c r="AD103" s="33"/>
      <c r="AE103" s="33"/>
      <c r="AF103" s="33"/>
      <c r="AG103" s="14"/>
      <c r="AH103" s="3"/>
      <c r="AI103" s="3"/>
      <c r="AJ103" s="3"/>
    </row>
    <row r="104" spans="1:36" ht="14.45" customHeight="1" x14ac:dyDescent="0.25">
      <c r="A104" s="55"/>
      <c r="B104" s="9"/>
      <c r="C104" s="510" t="s">
        <v>25</v>
      </c>
      <c r="D104" s="510"/>
      <c r="E104" s="510"/>
      <c r="F104" s="510"/>
      <c r="G104" s="510"/>
      <c r="H104" s="566"/>
      <c r="I104" s="624">
        <f t="shared" si="16"/>
        <v>0</v>
      </c>
      <c r="J104" s="617"/>
      <c r="K104" s="555">
        <f t="shared" si="17"/>
        <v>0</v>
      </c>
      <c r="L104" s="618"/>
      <c r="M104" s="617">
        <f t="shared" si="18"/>
        <v>0</v>
      </c>
      <c r="N104" s="617"/>
      <c r="O104" s="555">
        <f t="shared" si="19"/>
        <v>0</v>
      </c>
      <c r="P104" s="556"/>
      <c r="Q104" s="688">
        <f t="shared" si="20"/>
        <v>0</v>
      </c>
      <c r="R104" s="609"/>
      <c r="S104" s="610">
        <f t="shared" si="22"/>
        <v>0</v>
      </c>
      <c r="T104" s="610"/>
      <c r="U104" s="21">
        <v>0.76690000000000003</v>
      </c>
      <c r="V104" s="40">
        <f t="shared" si="21"/>
        <v>0</v>
      </c>
      <c r="W104" s="33"/>
      <c r="X104" s="33"/>
      <c r="Y104" s="53"/>
      <c r="Z104" s="33"/>
      <c r="AA104" s="33"/>
      <c r="AB104" s="33"/>
      <c r="AC104" s="33"/>
      <c r="AD104" s="33"/>
      <c r="AE104" s="33"/>
      <c r="AF104" s="33"/>
      <c r="AG104" s="14"/>
      <c r="AH104" s="3"/>
      <c r="AI104" s="3"/>
      <c r="AJ104" s="3"/>
    </row>
    <row r="105" spans="1:36" ht="14.45" customHeight="1" x14ac:dyDescent="0.25">
      <c r="A105" s="55"/>
      <c r="B105" s="9"/>
      <c r="C105" s="510" t="s">
        <v>26</v>
      </c>
      <c r="D105" s="510"/>
      <c r="E105" s="510"/>
      <c r="F105" s="510"/>
      <c r="G105" s="510"/>
      <c r="H105" s="566"/>
      <c r="I105" s="624">
        <f t="shared" si="16"/>
        <v>0</v>
      </c>
      <c r="J105" s="617"/>
      <c r="K105" s="555">
        <f t="shared" si="17"/>
        <v>0</v>
      </c>
      <c r="L105" s="618"/>
      <c r="M105" s="617">
        <f t="shared" si="18"/>
        <v>0</v>
      </c>
      <c r="N105" s="617"/>
      <c r="O105" s="555">
        <f t="shared" si="19"/>
        <v>0</v>
      </c>
      <c r="P105" s="556"/>
      <c r="Q105" s="688">
        <f t="shared" si="20"/>
        <v>0</v>
      </c>
      <c r="R105" s="609"/>
      <c r="S105" s="610">
        <f t="shared" si="22"/>
        <v>0</v>
      </c>
      <c r="T105" s="610"/>
      <c r="U105" s="21">
        <v>0.79349999999999998</v>
      </c>
      <c r="V105" s="40">
        <f t="shared" si="21"/>
        <v>0</v>
      </c>
      <c r="W105" s="33"/>
      <c r="X105" s="33"/>
      <c r="Y105" s="53"/>
      <c r="Z105" s="33"/>
      <c r="AA105" s="33"/>
      <c r="AB105" s="33"/>
      <c r="AC105" s="33"/>
      <c r="AD105" s="33"/>
      <c r="AE105" s="33"/>
      <c r="AF105" s="33"/>
      <c r="AG105" s="14"/>
      <c r="AH105" s="3"/>
      <c r="AI105" s="3"/>
      <c r="AJ105" s="3"/>
    </row>
    <row r="106" spans="1:36" ht="14.45" customHeight="1" x14ac:dyDescent="0.25">
      <c r="A106" s="55"/>
      <c r="B106" s="9"/>
      <c r="C106" s="510" t="s">
        <v>27</v>
      </c>
      <c r="D106" s="510"/>
      <c r="E106" s="510"/>
      <c r="F106" s="510"/>
      <c r="G106" s="510"/>
      <c r="H106" s="566"/>
      <c r="I106" s="624">
        <f t="shared" si="16"/>
        <v>1</v>
      </c>
      <c r="J106" s="617"/>
      <c r="K106" s="555">
        <f t="shared" si="17"/>
        <v>120</v>
      </c>
      <c r="L106" s="618"/>
      <c r="M106" s="617">
        <f t="shared" si="18"/>
        <v>2</v>
      </c>
      <c r="N106" s="617"/>
      <c r="O106" s="555">
        <f t="shared" si="19"/>
        <v>270</v>
      </c>
      <c r="P106" s="556"/>
      <c r="Q106" s="688">
        <f t="shared" si="20"/>
        <v>3</v>
      </c>
      <c r="R106" s="609"/>
      <c r="S106" s="610">
        <f t="shared" si="22"/>
        <v>390</v>
      </c>
      <c r="T106" s="610"/>
      <c r="U106" s="21">
        <v>0.89900000000000002</v>
      </c>
      <c r="V106" s="40">
        <f t="shared" si="21"/>
        <v>39.389999999999993</v>
      </c>
      <c r="W106" s="33"/>
      <c r="X106" s="33"/>
      <c r="Y106" s="53"/>
      <c r="Z106" s="33"/>
      <c r="AA106" s="33"/>
      <c r="AB106" s="33"/>
      <c r="AC106" s="33"/>
      <c r="AD106" s="33"/>
      <c r="AE106" s="33"/>
      <c r="AF106" s="33"/>
      <c r="AG106" s="14"/>
      <c r="AH106" s="3"/>
      <c r="AI106" s="3"/>
      <c r="AJ106" s="3"/>
    </row>
    <row r="107" spans="1:36" ht="14.45" customHeight="1" x14ac:dyDescent="0.25">
      <c r="A107" s="55"/>
      <c r="B107" s="9"/>
      <c r="C107" s="510" t="s">
        <v>28</v>
      </c>
      <c r="D107" s="510"/>
      <c r="E107" s="510"/>
      <c r="F107" s="510"/>
      <c r="G107" s="510"/>
      <c r="H107" s="566"/>
      <c r="I107" s="624">
        <f t="shared" si="16"/>
        <v>3</v>
      </c>
      <c r="J107" s="617"/>
      <c r="K107" s="555">
        <f t="shared" si="17"/>
        <v>84</v>
      </c>
      <c r="L107" s="618"/>
      <c r="M107" s="617">
        <f t="shared" si="18"/>
        <v>4</v>
      </c>
      <c r="N107" s="617"/>
      <c r="O107" s="555">
        <f t="shared" si="19"/>
        <v>140</v>
      </c>
      <c r="P107" s="556"/>
      <c r="Q107" s="688">
        <f t="shared" si="20"/>
        <v>7</v>
      </c>
      <c r="R107" s="609"/>
      <c r="S107" s="610">
        <f t="shared" si="22"/>
        <v>224</v>
      </c>
      <c r="T107" s="610"/>
      <c r="U107" s="21">
        <v>0.78100000000000003</v>
      </c>
      <c r="V107" s="40">
        <f t="shared" si="21"/>
        <v>49.055999999999997</v>
      </c>
      <c r="W107" s="33"/>
      <c r="X107" s="33"/>
      <c r="Y107" s="53"/>
      <c r="Z107" s="33"/>
      <c r="AA107" s="33"/>
      <c r="AB107" s="33"/>
      <c r="AC107" s="33"/>
      <c r="AD107" s="33"/>
      <c r="AE107" s="33"/>
      <c r="AF107" s="33"/>
      <c r="AG107" s="14"/>
      <c r="AH107" s="3"/>
      <c r="AI107" s="3"/>
      <c r="AJ107" s="3"/>
    </row>
    <row r="108" spans="1:36" ht="14.45" customHeight="1" x14ac:dyDescent="0.25">
      <c r="A108" s="55"/>
      <c r="B108" s="9"/>
      <c r="C108" s="510" t="s">
        <v>29</v>
      </c>
      <c r="D108" s="510"/>
      <c r="E108" s="510"/>
      <c r="F108" s="510"/>
      <c r="G108" s="510"/>
      <c r="H108" s="566"/>
      <c r="I108" s="624">
        <f t="shared" si="16"/>
        <v>0</v>
      </c>
      <c r="J108" s="617"/>
      <c r="K108" s="555">
        <f t="shared" si="17"/>
        <v>0</v>
      </c>
      <c r="L108" s="618"/>
      <c r="M108" s="617">
        <f t="shared" si="18"/>
        <v>0</v>
      </c>
      <c r="N108" s="617"/>
      <c r="O108" s="555">
        <f t="shared" si="19"/>
        <v>0</v>
      </c>
      <c r="P108" s="556"/>
      <c r="Q108" s="688">
        <f t="shared" si="20"/>
        <v>0</v>
      </c>
      <c r="R108" s="609"/>
      <c r="S108" s="610">
        <f t="shared" si="22"/>
        <v>0</v>
      </c>
      <c r="T108" s="610"/>
      <c r="U108" s="21">
        <v>0.89900000000000002</v>
      </c>
      <c r="V108" s="40">
        <f t="shared" si="21"/>
        <v>0</v>
      </c>
      <c r="W108" s="33"/>
      <c r="X108" s="33"/>
      <c r="Y108" s="53"/>
      <c r="Z108" s="33"/>
      <c r="AA108" s="33"/>
      <c r="AB108" s="33"/>
      <c r="AC108" s="33"/>
      <c r="AD108" s="33"/>
      <c r="AE108" s="33"/>
      <c r="AF108" s="33"/>
      <c r="AG108" s="14"/>
      <c r="AH108" s="3"/>
      <c r="AI108" s="3"/>
      <c r="AJ108" s="3"/>
    </row>
    <row r="109" spans="1:36" ht="14.45" customHeight="1" x14ac:dyDescent="0.25">
      <c r="A109" s="55"/>
      <c r="B109" s="9"/>
      <c r="C109" s="510" t="s">
        <v>30</v>
      </c>
      <c r="D109" s="510"/>
      <c r="E109" s="510"/>
      <c r="F109" s="510"/>
      <c r="G109" s="510"/>
      <c r="H109" s="566"/>
      <c r="I109" s="624">
        <f t="shared" si="16"/>
        <v>0</v>
      </c>
      <c r="J109" s="617"/>
      <c r="K109" s="555">
        <f t="shared" si="17"/>
        <v>0</v>
      </c>
      <c r="L109" s="618"/>
      <c r="M109" s="617">
        <f t="shared" si="18"/>
        <v>6</v>
      </c>
      <c r="N109" s="617"/>
      <c r="O109" s="555">
        <f t="shared" si="19"/>
        <v>810</v>
      </c>
      <c r="P109" s="556"/>
      <c r="Q109" s="688">
        <f t="shared" si="20"/>
        <v>6</v>
      </c>
      <c r="R109" s="609"/>
      <c r="S109" s="610">
        <f t="shared" si="22"/>
        <v>810</v>
      </c>
      <c r="T109" s="610"/>
      <c r="U109" s="21">
        <v>0.89900000000000002</v>
      </c>
      <c r="V109" s="40">
        <f t="shared" si="21"/>
        <v>81.809999999999988</v>
      </c>
      <c r="W109" s="33"/>
      <c r="X109" s="33"/>
      <c r="Y109" s="53"/>
      <c r="Z109" s="33"/>
      <c r="AA109" s="33"/>
      <c r="AB109" s="33"/>
      <c r="AC109" s="33"/>
      <c r="AD109" s="33"/>
      <c r="AE109" s="33"/>
      <c r="AF109" s="33"/>
      <c r="AG109" s="14"/>
      <c r="AH109" s="3"/>
      <c r="AI109" s="3"/>
      <c r="AJ109" s="3"/>
    </row>
    <row r="110" spans="1:36" ht="14.45" customHeight="1" x14ac:dyDescent="0.25">
      <c r="A110" s="55"/>
      <c r="B110" s="9"/>
      <c r="C110" s="510" t="s">
        <v>31</v>
      </c>
      <c r="D110" s="510"/>
      <c r="E110" s="510"/>
      <c r="F110" s="510"/>
      <c r="G110" s="510"/>
      <c r="H110" s="566"/>
      <c r="I110" s="624">
        <f t="shared" si="16"/>
        <v>1</v>
      </c>
      <c r="J110" s="617"/>
      <c r="K110" s="555">
        <f t="shared" si="17"/>
        <v>35</v>
      </c>
      <c r="L110" s="618"/>
      <c r="M110" s="617">
        <f t="shared" si="18"/>
        <v>3</v>
      </c>
      <c r="N110" s="617"/>
      <c r="O110" s="555">
        <f t="shared" si="19"/>
        <v>105</v>
      </c>
      <c r="P110" s="556"/>
      <c r="Q110" s="688">
        <f t="shared" si="20"/>
        <v>4</v>
      </c>
      <c r="R110" s="609"/>
      <c r="S110" s="610">
        <f t="shared" si="22"/>
        <v>140</v>
      </c>
      <c r="T110" s="610"/>
      <c r="U110" s="21">
        <v>0.78100000000000003</v>
      </c>
      <c r="V110" s="40">
        <f t="shared" si="21"/>
        <v>30.659999999999997</v>
      </c>
      <c r="W110" s="33"/>
      <c r="X110" s="33"/>
      <c r="Y110" s="53"/>
      <c r="Z110" s="33"/>
      <c r="AA110" s="33"/>
      <c r="AB110" s="33"/>
      <c r="AC110" s="33"/>
      <c r="AD110" s="33"/>
      <c r="AE110" s="33"/>
      <c r="AF110" s="33"/>
      <c r="AG110" s="14"/>
      <c r="AH110" s="3"/>
      <c r="AI110" s="3"/>
      <c r="AJ110" s="3"/>
    </row>
    <row r="111" spans="1:36" ht="14.45" customHeight="1" x14ac:dyDescent="0.25">
      <c r="A111" s="55"/>
      <c r="B111" s="9"/>
      <c r="C111" s="510" t="s">
        <v>32</v>
      </c>
      <c r="D111" s="510"/>
      <c r="E111" s="510"/>
      <c r="F111" s="510"/>
      <c r="G111" s="510"/>
      <c r="H111" s="566"/>
      <c r="I111" s="624">
        <f t="shared" si="16"/>
        <v>0</v>
      </c>
      <c r="J111" s="617"/>
      <c r="K111" s="555">
        <f t="shared" si="17"/>
        <v>0</v>
      </c>
      <c r="L111" s="618"/>
      <c r="M111" s="617">
        <f t="shared" si="18"/>
        <v>0</v>
      </c>
      <c r="N111" s="617"/>
      <c r="O111" s="555">
        <f t="shared" si="19"/>
        <v>0</v>
      </c>
      <c r="P111" s="556"/>
      <c r="Q111" s="688">
        <f t="shared" si="20"/>
        <v>0</v>
      </c>
      <c r="R111" s="609"/>
      <c r="S111" s="610">
        <f t="shared" si="22"/>
        <v>0</v>
      </c>
      <c r="T111" s="610"/>
      <c r="U111" s="21">
        <v>0.78169999999999995</v>
      </c>
      <c r="V111" s="40">
        <f t="shared" si="21"/>
        <v>0</v>
      </c>
      <c r="W111" s="33"/>
      <c r="X111" s="33"/>
      <c r="Y111" s="53"/>
      <c r="Z111" s="33"/>
      <c r="AA111" s="33"/>
      <c r="AB111" s="33"/>
      <c r="AC111" s="33"/>
      <c r="AD111" s="33"/>
      <c r="AE111" s="33"/>
      <c r="AF111" s="33"/>
      <c r="AG111" s="14"/>
      <c r="AH111" s="3"/>
      <c r="AI111" s="3"/>
      <c r="AJ111" s="3"/>
    </row>
    <row r="112" spans="1:36" ht="14.45" customHeight="1" x14ac:dyDescent="0.25">
      <c r="A112" s="55"/>
      <c r="B112" s="9"/>
      <c r="C112" s="510" t="s">
        <v>33</v>
      </c>
      <c r="D112" s="510"/>
      <c r="E112" s="510"/>
      <c r="F112" s="510"/>
      <c r="G112" s="510"/>
      <c r="H112" s="566"/>
      <c r="I112" s="624">
        <f t="shared" si="16"/>
        <v>0</v>
      </c>
      <c r="J112" s="617"/>
      <c r="K112" s="555">
        <f t="shared" si="17"/>
        <v>0</v>
      </c>
      <c r="L112" s="618"/>
      <c r="M112" s="617">
        <f t="shared" si="18"/>
        <v>0</v>
      </c>
      <c r="N112" s="617"/>
      <c r="O112" s="555">
        <f t="shared" si="19"/>
        <v>0</v>
      </c>
      <c r="P112" s="556"/>
      <c r="Q112" s="688">
        <f t="shared" si="20"/>
        <v>0</v>
      </c>
      <c r="R112" s="609"/>
      <c r="S112" s="610">
        <f t="shared" si="22"/>
        <v>0</v>
      </c>
      <c r="T112" s="610"/>
      <c r="U112" s="21">
        <v>0.79900000000000004</v>
      </c>
      <c r="V112" s="40">
        <f t="shared" si="21"/>
        <v>0</v>
      </c>
      <c r="W112" s="33"/>
      <c r="X112" s="33"/>
      <c r="Y112" s="53"/>
      <c r="Z112" s="33"/>
      <c r="AA112" s="33"/>
      <c r="AB112" s="33"/>
      <c r="AC112" s="33"/>
      <c r="AD112" s="33"/>
      <c r="AE112" s="33"/>
      <c r="AF112" s="33"/>
      <c r="AG112" s="14"/>
      <c r="AH112" s="3"/>
      <c r="AI112" s="3"/>
      <c r="AJ112" s="3"/>
    </row>
    <row r="113" spans="1:36" ht="14.45" customHeight="1" x14ac:dyDescent="0.25">
      <c r="A113" s="55"/>
      <c r="B113" s="9"/>
      <c r="C113" s="510" t="s">
        <v>34</v>
      </c>
      <c r="D113" s="510"/>
      <c r="E113" s="510"/>
      <c r="F113" s="510"/>
      <c r="G113" s="510"/>
      <c r="H113" s="566"/>
      <c r="I113" s="624">
        <f t="shared" si="16"/>
        <v>0</v>
      </c>
      <c r="J113" s="617"/>
      <c r="K113" s="555">
        <f t="shared" si="17"/>
        <v>0</v>
      </c>
      <c r="L113" s="618"/>
      <c r="M113" s="617">
        <f t="shared" si="18"/>
        <v>3</v>
      </c>
      <c r="N113" s="617"/>
      <c r="O113" s="555">
        <f t="shared" si="19"/>
        <v>51</v>
      </c>
      <c r="P113" s="556"/>
      <c r="Q113" s="688">
        <f t="shared" si="20"/>
        <v>3</v>
      </c>
      <c r="R113" s="609"/>
      <c r="S113" s="610">
        <f t="shared" si="22"/>
        <v>51</v>
      </c>
      <c r="T113" s="610"/>
      <c r="U113" s="21">
        <v>0.79900000000000004</v>
      </c>
      <c r="V113" s="40">
        <f t="shared" si="21"/>
        <v>10.250999999999998</v>
      </c>
      <c r="W113" s="33"/>
      <c r="X113" s="33"/>
      <c r="Y113" s="53"/>
      <c r="Z113" s="33"/>
      <c r="AA113" s="33"/>
      <c r="AB113" s="33"/>
      <c r="AC113" s="33"/>
      <c r="AD113" s="33"/>
      <c r="AE113" s="33"/>
      <c r="AF113" s="33"/>
      <c r="AG113" s="14"/>
      <c r="AH113" s="8"/>
      <c r="AI113" s="8"/>
      <c r="AJ113" s="8"/>
    </row>
    <row r="114" spans="1:36" ht="14.45" customHeight="1" x14ac:dyDescent="0.25">
      <c r="A114" s="55"/>
      <c r="B114" s="9"/>
      <c r="C114" s="510" t="s">
        <v>35</v>
      </c>
      <c r="D114" s="510"/>
      <c r="E114" s="510"/>
      <c r="F114" s="510"/>
      <c r="G114" s="510"/>
      <c r="H114" s="566"/>
      <c r="I114" s="624">
        <f t="shared" si="16"/>
        <v>2</v>
      </c>
      <c r="J114" s="617"/>
      <c r="K114" s="555">
        <f t="shared" si="17"/>
        <v>14</v>
      </c>
      <c r="L114" s="618"/>
      <c r="M114" s="617">
        <f t="shared" si="18"/>
        <v>3</v>
      </c>
      <c r="N114" s="617"/>
      <c r="O114" s="555">
        <f t="shared" si="19"/>
        <v>21</v>
      </c>
      <c r="P114" s="556"/>
      <c r="Q114" s="688">
        <f t="shared" si="20"/>
        <v>5</v>
      </c>
      <c r="R114" s="609"/>
      <c r="S114" s="610">
        <f t="shared" si="22"/>
        <v>35</v>
      </c>
      <c r="T114" s="610"/>
      <c r="U114" s="21">
        <v>0.77700000000000002</v>
      </c>
      <c r="V114" s="40">
        <f t="shared" si="21"/>
        <v>7.8049999999999988</v>
      </c>
      <c r="W114" s="33"/>
      <c r="X114" s="33"/>
      <c r="Y114" s="53"/>
      <c r="Z114" s="33"/>
      <c r="AA114" s="33"/>
      <c r="AB114" s="33"/>
      <c r="AC114" s="33"/>
      <c r="AD114" s="33"/>
      <c r="AE114" s="33"/>
      <c r="AF114" s="33"/>
      <c r="AG114" s="14"/>
      <c r="AH114" s="8"/>
      <c r="AI114" s="8"/>
      <c r="AJ114" s="8"/>
    </row>
    <row r="115" spans="1:36" ht="14.45" customHeight="1" x14ac:dyDescent="0.25">
      <c r="A115" s="55"/>
      <c r="B115" s="9"/>
      <c r="C115" s="510" t="s">
        <v>36</v>
      </c>
      <c r="D115" s="510"/>
      <c r="E115" s="510"/>
      <c r="F115" s="510"/>
      <c r="G115" s="510"/>
      <c r="H115" s="566"/>
      <c r="I115" s="624">
        <f t="shared" si="16"/>
        <v>0</v>
      </c>
      <c r="J115" s="617"/>
      <c r="K115" s="555">
        <f t="shared" si="17"/>
        <v>0</v>
      </c>
      <c r="L115" s="618"/>
      <c r="M115" s="617">
        <f t="shared" si="18"/>
        <v>0</v>
      </c>
      <c r="N115" s="617"/>
      <c r="O115" s="555">
        <f t="shared" si="19"/>
        <v>0</v>
      </c>
      <c r="P115" s="556"/>
      <c r="Q115" s="688">
        <f t="shared" si="20"/>
        <v>0</v>
      </c>
      <c r="R115" s="609"/>
      <c r="S115" s="610">
        <f t="shared" si="22"/>
        <v>0</v>
      </c>
      <c r="T115" s="610"/>
      <c r="U115" s="21">
        <v>0.75849999999999995</v>
      </c>
      <c r="V115" s="40">
        <f t="shared" si="21"/>
        <v>0</v>
      </c>
      <c r="W115" s="33"/>
      <c r="X115" s="33"/>
      <c r="Y115" s="53"/>
      <c r="Z115" s="33"/>
      <c r="AA115" s="33"/>
      <c r="AB115" s="33"/>
      <c r="AC115" s="33"/>
      <c r="AD115" s="33"/>
      <c r="AE115" s="33"/>
      <c r="AF115" s="33"/>
      <c r="AG115" s="14"/>
      <c r="AH115" s="8"/>
      <c r="AI115" s="8"/>
      <c r="AJ115" s="8"/>
    </row>
    <row r="116" spans="1:36" ht="14.45" customHeight="1" x14ac:dyDescent="0.25">
      <c r="A116" s="55"/>
      <c r="B116" s="9"/>
      <c r="C116" s="510" t="s">
        <v>37</v>
      </c>
      <c r="D116" s="510"/>
      <c r="E116" s="510"/>
      <c r="F116" s="510"/>
      <c r="G116" s="510"/>
      <c r="H116" s="566"/>
      <c r="I116" s="624">
        <f t="shared" si="16"/>
        <v>0</v>
      </c>
      <c r="J116" s="617"/>
      <c r="K116" s="555">
        <f t="shared" si="17"/>
        <v>0</v>
      </c>
      <c r="L116" s="618"/>
      <c r="M116" s="617">
        <f t="shared" si="18"/>
        <v>0</v>
      </c>
      <c r="N116" s="617"/>
      <c r="O116" s="555">
        <f t="shared" si="19"/>
        <v>0</v>
      </c>
      <c r="P116" s="556"/>
      <c r="Q116" s="688">
        <f t="shared" si="20"/>
        <v>0</v>
      </c>
      <c r="R116" s="609"/>
      <c r="S116" s="610">
        <f t="shared" si="22"/>
        <v>0</v>
      </c>
      <c r="T116" s="610"/>
      <c r="U116" s="21">
        <v>0.78779999999999994</v>
      </c>
      <c r="V116" s="40">
        <f t="shared" si="21"/>
        <v>0</v>
      </c>
      <c r="W116" s="33"/>
      <c r="X116" s="33"/>
      <c r="Y116" s="53"/>
      <c r="Z116" s="33"/>
      <c r="AA116" s="33"/>
      <c r="AB116" s="33"/>
      <c r="AC116" s="33"/>
      <c r="AD116" s="33"/>
      <c r="AE116" s="33"/>
      <c r="AF116" s="33"/>
      <c r="AG116" s="14"/>
      <c r="AH116" s="8"/>
      <c r="AI116" s="8"/>
      <c r="AJ116" s="8"/>
    </row>
    <row r="117" spans="1:36" ht="14.45" customHeight="1" x14ac:dyDescent="0.25">
      <c r="A117" s="55"/>
      <c r="B117" s="9"/>
      <c r="C117" s="510" t="s">
        <v>38</v>
      </c>
      <c r="D117" s="510"/>
      <c r="E117" s="510"/>
      <c r="F117" s="510"/>
      <c r="G117" s="510"/>
      <c r="H117" s="566"/>
      <c r="I117" s="624">
        <f t="shared" si="16"/>
        <v>0</v>
      </c>
      <c r="J117" s="617"/>
      <c r="K117" s="555">
        <f t="shared" si="17"/>
        <v>0</v>
      </c>
      <c r="L117" s="618"/>
      <c r="M117" s="617">
        <f t="shared" si="18"/>
        <v>0</v>
      </c>
      <c r="N117" s="617"/>
      <c r="O117" s="555">
        <f t="shared" si="19"/>
        <v>0</v>
      </c>
      <c r="P117" s="556"/>
      <c r="Q117" s="688">
        <f t="shared" si="20"/>
        <v>0</v>
      </c>
      <c r="R117" s="609"/>
      <c r="S117" s="610">
        <f t="shared" si="22"/>
        <v>0</v>
      </c>
      <c r="T117" s="610"/>
      <c r="U117" s="21">
        <v>0.77900000000000003</v>
      </c>
      <c r="V117" s="40">
        <f t="shared" si="21"/>
        <v>0</v>
      </c>
      <c r="W117" s="33"/>
      <c r="X117" s="33"/>
      <c r="Y117" s="53"/>
      <c r="Z117" s="33"/>
      <c r="AA117" s="33"/>
      <c r="AB117" s="33"/>
      <c r="AC117" s="33"/>
      <c r="AD117" s="33"/>
      <c r="AE117" s="33"/>
      <c r="AF117" s="33"/>
      <c r="AG117" s="14"/>
      <c r="AH117" s="8"/>
      <c r="AI117" s="8"/>
      <c r="AJ117" s="8"/>
    </row>
    <row r="118" spans="1:36" ht="14.45" customHeight="1" x14ac:dyDescent="0.25">
      <c r="A118" s="55"/>
      <c r="B118" s="9"/>
      <c r="C118" s="510" t="s">
        <v>39</v>
      </c>
      <c r="D118" s="510"/>
      <c r="E118" s="510"/>
      <c r="F118" s="510"/>
      <c r="G118" s="510"/>
      <c r="H118" s="566"/>
      <c r="I118" s="624">
        <f t="shared" si="16"/>
        <v>0</v>
      </c>
      <c r="J118" s="617"/>
      <c r="K118" s="555">
        <f t="shared" si="17"/>
        <v>0</v>
      </c>
      <c r="L118" s="618"/>
      <c r="M118" s="617">
        <f t="shared" si="18"/>
        <v>0</v>
      </c>
      <c r="N118" s="617"/>
      <c r="O118" s="555">
        <f t="shared" si="19"/>
        <v>0</v>
      </c>
      <c r="P118" s="556"/>
      <c r="Q118" s="688">
        <f t="shared" si="20"/>
        <v>0</v>
      </c>
      <c r="R118" s="609"/>
      <c r="S118" s="610">
        <f t="shared" si="22"/>
        <v>0</v>
      </c>
      <c r="T118" s="610"/>
      <c r="U118" s="21">
        <v>0.77600000000000002</v>
      </c>
      <c r="V118" s="40">
        <f t="shared" si="21"/>
        <v>0</v>
      </c>
      <c r="W118" s="33"/>
      <c r="X118" s="33"/>
      <c r="Y118" s="53"/>
      <c r="Z118" s="33"/>
      <c r="AA118" s="33"/>
      <c r="AB118" s="33"/>
      <c r="AC118" s="33"/>
      <c r="AD118" s="33"/>
      <c r="AE118" s="33"/>
      <c r="AF118" s="33"/>
      <c r="AG118" s="14"/>
      <c r="AH118" s="8"/>
      <c r="AI118" s="8"/>
      <c r="AJ118" s="8"/>
    </row>
    <row r="119" spans="1:36" ht="14.45" customHeight="1" x14ac:dyDescent="0.25">
      <c r="A119" s="55"/>
      <c r="B119" s="9"/>
      <c r="C119" s="510" t="s">
        <v>48</v>
      </c>
      <c r="D119" s="510"/>
      <c r="E119" s="510"/>
      <c r="F119" s="510"/>
      <c r="G119" s="510"/>
      <c r="H119" s="566"/>
      <c r="I119" s="624">
        <f t="shared" si="16"/>
        <v>0</v>
      </c>
      <c r="J119" s="617"/>
      <c r="K119" s="555">
        <f t="shared" si="17"/>
        <v>0</v>
      </c>
      <c r="L119" s="618"/>
      <c r="M119" s="617">
        <f t="shared" si="18"/>
        <v>0</v>
      </c>
      <c r="N119" s="617"/>
      <c r="O119" s="555">
        <f t="shared" si="19"/>
        <v>0</v>
      </c>
      <c r="P119" s="556"/>
      <c r="Q119" s="688">
        <f t="shared" si="20"/>
        <v>0</v>
      </c>
      <c r="R119" s="609"/>
      <c r="S119" s="610">
        <f t="shared" si="22"/>
        <v>0</v>
      </c>
      <c r="T119" s="610"/>
      <c r="U119" s="21">
        <v>0.8</v>
      </c>
      <c r="V119" s="40">
        <f t="shared" si="21"/>
        <v>0</v>
      </c>
      <c r="W119" s="33"/>
      <c r="X119" s="33"/>
      <c r="Y119" s="53"/>
      <c r="Z119" s="33"/>
      <c r="AA119" s="33"/>
      <c r="AB119" s="33"/>
      <c r="AC119" s="33"/>
      <c r="AD119" s="33"/>
      <c r="AE119" s="33"/>
      <c r="AF119" s="33"/>
      <c r="AG119" s="14"/>
      <c r="AH119" s="8"/>
      <c r="AI119" s="8"/>
      <c r="AJ119" s="8"/>
    </row>
    <row r="120" spans="1:36" ht="14.45" customHeight="1" x14ac:dyDescent="0.25">
      <c r="A120" s="55"/>
      <c r="B120" s="9"/>
      <c r="C120" s="510" t="s">
        <v>40</v>
      </c>
      <c r="D120" s="510"/>
      <c r="E120" s="510"/>
      <c r="F120" s="510"/>
      <c r="G120" s="510"/>
      <c r="H120" s="566"/>
      <c r="I120" s="624">
        <f t="shared" si="16"/>
        <v>0</v>
      </c>
      <c r="J120" s="617"/>
      <c r="K120" s="555">
        <f t="shared" si="17"/>
        <v>0</v>
      </c>
      <c r="L120" s="618"/>
      <c r="M120" s="617">
        <f t="shared" si="18"/>
        <v>0</v>
      </c>
      <c r="N120" s="617"/>
      <c r="O120" s="555">
        <f t="shared" si="19"/>
        <v>0</v>
      </c>
      <c r="P120" s="556"/>
      <c r="Q120" s="688">
        <f t="shared" si="20"/>
        <v>0</v>
      </c>
      <c r="R120" s="609"/>
      <c r="S120" s="610">
        <f t="shared" si="22"/>
        <v>0</v>
      </c>
      <c r="T120" s="610"/>
      <c r="U120" s="21">
        <v>0.79379999999999995</v>
      </c>
      <c r="V120" s="40">
        <f t="shared" si="21"/>
        <v>0</v>
      </c>
      <c r="W120" s="33"/>
      <c r="X120" s="33"/>
      <c r="Y120" s="53"/>
      <c r="Z120" s="33"/>
      <c r="AA120" s="33"/>
      <c r="AB120" s="33"/>
      <c r="AC120" s="33"/>
      <c r="AD120" s="33"/>
      <c r="AE120" s="33"/>
      <c r="AF120" s="33"/>
      <c r="AG120" s="14"/>
      <c r="AH120" s="8"/>
      <c r="AI120" s="8"/>
      <c r="AJ120" s="8"/>
    </row>
    <row r="121" spans="1:36" ht="14.45" customHeight="1" x14ac:dyDescent="0.25">
      <c r="A121" s="55"/>
      <c r="B121" s="9"/>
      <c r="C121" s="510" t="s">
        <v>41</v>
      </c>
      <c r="D121" s="510"/>
      <c r="E121" s="510"/>
      <c r="F121" s="510"/>
      <c r="G121" s="510"/>
      <c r="H121" s="566"/>
      <c r="I121" s="624">
        <f t="shared" si="16"/>
        <v>0</v>
      </c>
      <c r="J121" s="617"/>
      <c r="K121" s="555">
        <f t="shared" si="17"/>
        <v>0</v>
      </c>
      <c r="L121" s="618"/>
      <c r="M121" s="617">
        <f t="shared" si="18"/>
        <v>9</v>
      </c>
      <c r="N121" s="617"/>
      <c r="O121" s="555">
        <f t="shared" si="19"/>
        <v>54</v>
      </c>
      <c r="P121" s="556"/>
      <c r="Q121" s="688">
        <f t="shared" si="20"/>
        <v>9</v>
      </c>
      <c r="R121" s="609"/>
      <c r="S121" s="610">
        <f t="shared" si="22"/>
        <v>54</v>
      </c>
      <c r="T121" s="610"/>
      <c r="U121" s="21">
        <v>0.80700000000000005</v>
      </c>
      <c r="V121" s="40">
        <f t="shared" si="21"/>
        <v>10.421999999999997</v>
      </c>
      <c r="W121" s="33"/>
      <c r="X121" s="33"/>
      <c r="Y121" s="53"/>
      <c r="Z121" s="33"/>
      <c r="AA121" s="33"/>
      <c r="AB121" s="33"/>
      <c r="AC121" s="33"/>
      <c r="AD121" s="33"/>
      <c r="AE121" s="33"/>
      <c r="AF121" s="33"/>
      <c r="AG121" s="14"/>
      <c r="AH121" s="8"/>
      <c r="AI121" s="8"/>
      <c r="AJ121" s="8"/>
    </row>
    <row r="122" spans="1:36" ht="14.45" customHeight="1" x14ac:dyDescent="0.25">
      <c r="A122" s="55"/>
      <c r="B122" s="9"/>
      <c r="C122" s="510" t="s">
        <v>42</v>
      </c>
      <c r="D122" s="510"/>
      <c r="E122" s="510"/>
      <c r="F122" s="510"/>
      <c r="G122" s="510"/>
      <c r="H122" s="566"/>
      <c r="I122" s="624">
        <f t="shared" si="16"/>
        <v>0</v>
      </c>
      <c r="J122" s="617"/>
      <c r="K122" s="555">
        <f t="shared" si="17"/>
        <v>0</v>
      </c>
      <c r="L122" s="618"/>
      <c r="M122" s="617">
        <f t="shared" si="18"/>
        <v>3</v>
      </c>
      <c r="N122" s="617"/>
      <c r="O122" s="555">
        <f t="shared" si="19"/>
        <v>18</v>
      </c>
      <c r="P122" s="556"/>
      <c r="Q122" s="688">
        <f t="shared" si="20"/>
        <v>3</v>
      </c>
      <c r="R122" s="609"/>
      <c r="S122" s="610">
        <f t="shared" si="22"/>
        <v>18</v>
      </c>
      <c r="T122" s="610"/>
      <c r="U122" s="21">
        <v>0.80700000000000005</v>
      </c>
      <c r="V122" s="40">
        <f t="shared" si="21"/>
        <v>3.4739999999999993</v>
      </c>
      <c r="W122" s="33"/>
      <c r="X122" s="33"/>
      <c r="Y122" s="53"/>
      <c r="Z122" s="33"/>
      <c r="AA122" s="33"/>
      <c r="AB122" s="33"/>
      <c r="AC122" s="33"/>
      <c r="AD122" s="33"/>
      <c r="AE122" s="33"/>
      <c r="AF122" s="33"/>
      <c r="AG122" s="14"/>
      <c r="AH122" s="8"/>
      <c r="AI122" s="8"/>
      <c r="AJ122" s="8"/>
    </row>
    <row r="123" spans="1:36" ht="15.75" x14ac:dyDescent="0.25">
      <c r="A123" s="55"/>
      <c r="B123" s="9"/>
      <c r="C123" s="510" t="s">
        <v>45</v>
      </c>
      <c r="D123" s="510"/>
      <c r="E123" s="510"/>
      <c r="F123" s="510"/>
      <c r="G123" s="510"/>
      <c r="H123" s="566"/>
      <c r="I123" s="624">
        <f t="shared" si="16"/>
        <v>0</v>
      </c>
      <c r="J123" s="617"/>
      <c r="K123" s="555">
        <f t="shared" si="17"/>
        <v>0</v>
      </c>
      <c r="L123" s="618"/>
      <c r="M123" s="617">
        <f t="shared" si="18"/>
        <v>0</v>
      </c>
      <c r="N123" s="617"/>
      <c r="O123" s="555">
        <f t="shared" si="19"/>
        <v>0</v>
      </c>
      <c r="P123" s="556"/>
      <c r="Q123" s="688">
        <f t="shared" si="20"/>
        <v>0</v>
      </c>
      <c r="R123" s="609"/>
      <c r="S123" s="610">
        <f t="shared" si="22"/>
        <v>0</v>
      </c>
      <c r="T123" s="610"/>
      <c r="U123" s="21">
        <v>0.7974</v>
      </c>
      <c r="V123" s="40">
        <f t="shared" si="21"/>
        <v>0</v>
      </c>
      <c r="W123" s="33"/>
      <c r="X123" s="33"/>
      <c r="Y123" s="53"/>
      <c r="Z123" s="33"/>
      <c r="AA123" s="33"/>
      <c r="AB123" s="33"/>
      <c r="AC123" s="33"/>
      <c r="AD123" s="33"/>
      <c r="AE123" s="33"/>
      <c r="AF123" s="33"/>
      <c r="AG123" s="14"/>
      <c r="AH123" s="8"/>
      <c r="AI123" s="8"/>
      <c r="AJ123" s="8"/>
    </row>
    <row r="124" spans="1:36" ht="15.75" x14ac:dyDescent="0.25">
      <c r="A124" s="55"/>
      <c r="C124" s="510" t="s">
        <v>43</v>
      </c>
      <c r="D124" s="510"/>
      <c r="E124" s="510"/>
      <c r="F124" s="510"/>
      <c r="G124" s="510"/>
      <c r="H124" s="566"/>
      <c r="I124" s="624">
        <f t="shared" si="16"/>
        <v>0</v>
      </c>
      <c r="J124" s="617"/>
      <c r="K124" s="555">
        <f t="shared" si="17"/>
        <v>0</v>
      </c>
      <c r="L124" s="618"/>
      <c r="M124" s="617">
        <f t="shared" si="18"/>
        <v>3</v>
      </c>
      <c r="N124" s="617"/>
      <c r="O124" s="555">
        <f t="shared" si="19"/>
        <v>18</v>
      </c>
      <c r="P124" s="556"/>
      <c r="Q124" s="688">
        <f t="shared" si="20"/>
        <v>3</v>
      </c>
      <c r="R124" s="609"/>
      <c r="S124" s="610">
        <f t="shared" si="22"/>
        <v>18</v>
      </c>
      <c r="T124" s="610"/>
      <c r="U124" s="21">
        <v>0.80700000000000005</v>
      </c>
      <c r="V124" s="40">
        <f t="shared" si="21"/>
        <v>3.4739999999999993</v>
      </c>
      <c r="W124" s="33"/>
      <c r="X124" s="33"/>
      <c r="Y124" s="53"/>
      <c r="Z124" s="33"/>
      <c r="AA124" s="33"/>
      <c r="AB124" s="33"/>
      <c r="AC124" s="33"/>
      <c r="AD124" s="33"/>
      <c r="AE124" s="33"/>
      <c r="AF124" s="33"/>
      <c r="AG124" s="14"/>
      <c r="AH124" s="8"/>
      <c r="AI124" s="8"/>
      <c r="AJ124" s="8"/>
    </row>
    <row r="125" spans="1:36" ht="15.75" x14ac:dyDescent="0.25">
      <c r="A125" s="55"/>
      <c r="C125" s="510" t="s">
        <v>46</v>
      </c>
      <c r="D125" s="510"/>
      <c r="E125" s="510"/>
      <c r="F125" s="510"/>
      <c r="G125" s="510"/>
      <c r="H125" s="566"/>
      <c r="I125" s="624">
        <f t="shared" si="16"/>
        <v>0</v>
      </c>
      <c r="J125" s="617"/>
      <c r="K125" s="555">
        <f t="shared" si="17"/>
        <v>0</v>
      </c>
      <c r="L125" s="618"/>
      <c r="M125" s="617">
        <f t="shared" si="18"/>
        <v>0</v>
      </c>
      <c r="N125" s="617"/>
      <c r="O125" s="555">
        <f t="shared" si="19"/>
        <v>0</v>
      </c>
      <c r="P125" s="556"/>
      <c r="Q125" s="688">
        <f t="shared" si="20"/>
        <v>0</v>
      </c>
      <c r="R125" s="609"/>
      <c r="S125" s="610">
        <f t="shared" si="22"/>
        <v>0</v>
      </c>
      <c r="T125" s="610"/>
      <c r="U125" s="21">
        <v>0.7974</v>
      </c>
      <c r="V125" s="40">
        <f t="shared" si="21"/>
        <v>0</v>
      </c>
      <c r="W125" s="33"/>
      <c r="X125" s="33"/>
      <c r="Y125" s="53"/>
      <c r="Z125" s="33"/>
      <c r="AA125" s="33"/>
      <c r="AB125" s="33"/>
      <c r="AC125" s="33"/>
      <c r="AD125" s="33"/>
      <c r="AE125" s="33"/>
      <c r="AF125" s="33"/>
      <c r="AG125" s="14"/>
      <c r="AH125" s="8"/>
      <c r="AI125" s="8"/>
      <c r="AJ125" s="8"/>
    </row>
    <row r="126" spans="1:36" ht="15.75" x14ac:dyDescent="0.25">
      <c r="A126" s="55"/>
      <c r="C126" s="510" t="s">
        <v>44</v>
      </c>
      <c r="D126" s="510"/>
      <c r="E126" s="510"/>
      <c r="F126" s="510"/>
      <c r="G126" s="510"/>
      <c r="H126" s="566"/>
      <c r="I126" s="624">
        <f t="shared" si="16"/>
        <v>0</v>
      </c>
      <c r="J126" s="617"/>
      <c r="K126" s="555">
        <f t="shared" si="17"/>
        <v>0</v>
      </c>
      <c r="L126" s="618"/>
      <c r="M126" s="617">
        <f t="shared" si="18"/>
        <v>3</v>
      </c>
      <c r="N126" s="617"/>
      <c r="O126" s="555">
        <f t="shared" si="19"/>
        <v>18</v>
      </c>
      <c r="P126" s="556"/>
      <c r="Q126" s="688">
        <f t="shared" si="20"/>
        <v>3</v>
      </c>
      <c r="R126" s="609"/>
      <c r="S126" s="610">
        <f t="shared" si="22"/>
        <v>18</v>
      </c>
      <c r="T126" s="610"/>
      <c r="U126" s="21">
        <v>0.80700000000000005</v>
      </c>
      <c r="V126" s="40">
        <f t="shared" si="21"/>
        <v>3.4739999999999993</v>
      </c>
      <c r="W126" s="33"/>
      <c r="X126" s="33"/>
      <c r="Y126" s="53"/>
      <c r="Z126" s="33"/>
      <c r="AA126" s="33"/>
      <c r="AB126" s="33"/>
      <c r="AC126" s="33"/>
      <c r="AD126" s="33"/>
      <c r="AE126" s="33"/>
      <c r="AF126" s="33"/>
      <c r="AG126" s="14"/>
      <c r="AH126" s="8"/>
      <c r="AI126" s="8"/>
      <c r="AJ126" s="8"/>
    </row>
    <row r="127" spans="1:36" ht="15.75" x14ac:dyDescent="0.25">
      <c r="A127" s="55"/>
      <c r="C127" s="510" t="s">
        <v>47</v>
      </c>
      <c r="D127" s="510"/>
      <c r="E127" s="510"/>
      <c r="F127" s="510"/>
      <c r="G127" s="510"/>
      <c r="H127" s="566"/>
      <c r="I127" s="624">
        <f t="shared" si="16"/>
        <v>0</v>
      </c>
      <c r="J127" s="617"/>
      <c r="K127" s="555">
        <f t="shared" si="17"/>
        <v>0</v>
      </c>
      <c r="L127" s="618"/>
      <c r="M127" s="617">
        <f t="shared" si="18"/>
        <v>0</v>
      </c>
      <c r="N127" s="617"/>
      <c r="O127" s="555">
        <f t="shared" si="19"/>
        <v>0</v>
      </c>
      <c r="P127" s="556"/>
      <c r="Q127" s="688">
        <f t="shared" si="20"/>
        <v>0</v>
      </c>
      <c r="R127" s="609"/>
      <c r="S127" s="610">
        <f t="shared" si="22"/>
        <v>0</v>
      </c>
      <c r="T127" s="610"/>
      <c r="U127" s="21">
        <v>0.7974</v>
      </c>
      <c r="V127" s="40">
        <f t="shared" si="21"/>
        <v>0</v>
      </c>
      <c r="W127" s="33"/>
      <c r="X127" s="33"/>
      <c r="Y127" s="53"/>
      <c r="Z127" s="33"/>
      <c r="AA127" s="33"/>
      <c r="AB127" s="33"/>
      <c r="AC127" s="33"/>
      <c r="AD127" s="33"/>
      <c r="AE127" s="33"/>
      <c r="AF127" s="33"/>
      <c r="AG127" s="14"/>
      <c r="AH127" s="8"/>
      <c r="AI127" s="8"/>
      <c r="AJ127" s="8"/>
    </row>
    <row r="128" spans="1:36" ht="14.45" customHeight="1" thickBot="1" x14ac:dyDescent="0.3">
      <c r="A128" s="55"/>
      <c r="C128" s="510" t="s">
        <v>58</v>
      </c>
      <c r="D128" s="510"/>
      <c r="E128" s="510"/>
      <c r="F128" s="510"/>
      <c r="G128" s="510"/>
      <c r="H128" s="566"/>
      <c r="I128" s="685">
        <f t="shared" si="16"/>
        <v>0</v>
      </c>
      <c r="J128" s="640"/>
      <c r="K128" s="641">
        <f t="shared" si="17"/>
        <v>0</v>
      </c>
      <c r="L128" s="642"/>
      <c r="M128" s="640">
        <f t="shared" si="18"/>
        <v>21</v>
      </c>
      <c r="N128" s="640"/>
      <c r="O128" s="641">
        <f t="shared" si="19"/>
        <v>315</v>
      </c>
      <c r="P128" s="675"/>
      <c r="Q128" s="686">
        <f t="shared" si="20"/>
        <v>21</v>
      </c>
      <c r="R128" s="687"/>
      <c r="S128" s="684">
        <f t="shared" si="22"/>
        <v>315</v>
      </c>
      <c r="T128" s="684"/>
      <c r="U128" s="42">
        <v>0.8</v>
      </c>
      <c r="V128" s="43">
        <f t="shared" si="21"/>
        <v>62.999999999999986</v>
      </c>
      <c r="W128" s="24"/>
      <c r="X128" s="33"/>
      <c r="Y128" s="52"/>
      <c r="Z128" s="33"/>
      <c r="AA128" s="24"/>
      <c r="AB128" s="33"/>
      <c r="AC128" s="33"/>
      <c r="AD128" s="33"/>
      <c r="AE128" s="24"/>
      <c r="AF128" s="33"/>
      <c r="AG128" s="25"/>
      <c r="AH128" s="8"/>
      <c r="AI128" s="8"/>
      <c r="AJ128" s="8"/>
    </row>
    <row r="129" spans="1:44" ht="27" thickBot="1" x14ac:dyDescent="0.3">
      <c r="A129" s="55"/>
      <c r="C129" s="26"/>
      <c r="D129" s="26"/>
      <c r="E129" s="26"/>
      <c r="F129" s="26"/>
      <c r="G129" s="26"/>
      <c r="H129" s="14"/>
      <c r="I129" s="590">
        <f>SUM(K72:L128)</f>
        <v>6977</v>
      </c>
      <c r="J129" s="591"/>
      <c r="K129" s="591"/>
      <c r="L129" s="591"/>
      <c r="M129" s="591">
        <f>SUM(O72:P128)</f>
        <v>15103.5</v>
      </c>
      <c r="N129" s="591"/>
      <c r="O129" s="591"/>
      <c r="P129" s="592"/>
      <c r="Q129" s="590">
        <f>SUM(S72:T128)</f>
        <v>22080.5</v>
      </c>
      <c r="R129" s="591"/>
      <c r="S129" s="591"/>
      <c r="T129" s="591"/>
      <c r="U129" s="591">
        <f>SUM(V72:V128)</f>
        <v>2298.642600000001</v>
      </c>
      <c r="V129" s="592"/>
      <c r="W129" s="25"/>
      <c r="X129" s="14"/>
      <c r="Y129" s="54"/>
      <c r="Z129" s="14"/>
      <c r="AA129" s="25"/>
      <c r="AB129" s="14"/>
      <c r="AC129" s="25"/>
      <c r="AD129" s="8"/>
      <c r="AE129" s="8"/>
      <c r="AF129" s="8"/>
    </row>
    <row r="130" spans="1:44" ht="26.25" x14ac:dyDescent="0.25">
      <c r="A130" s="55"/>
      <c r="C130" s="26"/>
      <c r="D130" s="26"/>
      <c r="E130" s="26"/>
      <c r="F130" s="26"/>
      <c r="G130" s="26"/>
      <c r="H130" s="14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14"/>
      <c r="Y130" s="54"/>
      <c r="Z130" s="14"/>
      <c r="AA130" s="25"/>
      <c r="AB130" s="14"/>
      <c r="AC130" s="25"/>
      <c r="AD130" s="8"/>
      <c r="AE130" s="8"/>
      <c r="AF130" s="8"/>
    </row>
    <row r="131" spans="1:44" ht="26.25" x14ac:dyDescent="0.25">
      <c r="A131" s="55"/>
      <c r="B131" s="55"/>
      <c r="C131" s="56"/>
      <c r="D131" s="56"/>
      <c r="E131" s="56"/>
      <c r="F131" s="56"/>
      <c r="G131" s="56"/>
      <c r="H131" s="54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4"/>
      <c r="Y131" s="54"/>
      <c r="Z131" s="14"/>
      <c r="AA131" s="25"/>
      <c r="AB131" s="14"/>
      <c r="AC131" s="25"/>
      <c r="AD131" s="8"/>
      <c r="AE131" s="8"/>
      <c r="AF131" s="8"/>
    </row>
    <row r="132" spans="1:44" ht="26.25" x14ac:dyDescent="0.25">
      <c r="A132" s="55"/>
      <c r="B132" s="55"/>
      <c r="C132" s="56"/>
      <c r="D132" s="56"/>
      <c r="E132" s="56"/>
      <c r="F132" s="56"/>
      <c r="G132" s="56"/>
      <c r="H132" s="54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4"/>
      <c r="Y132" s="54"/>
      <c r="Z132" s="14"/>
      <c r="AA132" s="25"/>
      <c r="AB132" s="14"/>
      <c r="AC132" s="25"/>
      <c r="AD132" s="8"/>
      <c r="AE132" s="8"/>
      <c r="AF132" s="8"/>
    </row>
    <row r="133" spans="1:44" ht="26.25" x14ac:dyDescent="0.25">
      <c r="A133" s="8"/>
      <c r="B133" s="8"/>
      <c r="C133" s="26"/>
      <c r="D133" s="26"/>
      <c r="E133" s="26"/>
      <c r="F133" s="26"/>
      <c r="G133" s="26"/>
      <c r="H133" s="14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14"/>
      <c r="Y133" s="14"/>
      <c r="Z133" s="14"/>
      <c r="AA133" s="25"/>
      <c r="AB133" s="14"/>
      <c r="AC133" s="25"/>
      <c r="AD133" s="8"/>
      <c r="AE133" s="8"/>
      <c r="AF133" s="8"/>
    </row>
    <row r="134" spans="1:44" ht="26.25" x14ac:dyDescent="0.25">
      <c r="A134" s="48"/>
      <c r="B134" s="648" t="s">
        <v>93</v>
      </c>
      <c r="C134" s="648"/>
      <c r="D134" s="648"/>
      <c r="E134" s="648"/>
      <c r="F134" s="648"/>
      <c r="G134" s="648"/>
      <c r="H134" s="648"/>
      <c r="I134" s="648"/>
      <c r="J134" s="648"/>
      <c r="K134" s="648"/>
      <c r="L134" s="648"/>
      <c r="M134" s="648"/>
      <c r="N134" s="648"/>
      <c r="O134" s="648"/>
      <c r="P134" s="648"/>
      <c r="Q134" s="648"/>
      <c r="R134" s="648"/>
      <c r="S134" s="648"/>
      <c r="T134" s="648"/>
      <c r="U134" s="648"/>
      <c r="V134" s="648"/>
      <c r="W134" s="648"/>
      <c r="X134" s="14"/>
      <c r="Y134" s="14"/>
      <c r="Z134" s="14"/>
      <c r="AA134" s="25"/>
      <c r="AB134" s="14"/>
      <c r="AC134" s="25"/>
      <c r="AD134" s="8"/>
      <c r="AE134" s="8"/>
      <c r="AF134" s="8"/>
    </row>
    <row r="135" spans="1:44" ht="26.25" x14ac:dyDescent="0.25">
      <c r="A135" s="48"/>
      <c r="B135" s="648"/>
      <c r="C135" s="648"/>
      <c r="D135" s="648"/>
      <c r="E135" s="648"/>
      <c r="F135" s="648"/>
      <c r="G135" s="648"/>
      <c r="H135" s="648"/>
      <c r="I135" s="648"/>
      <c r="J135" s="648"/>
      <c r="K135" s="648"/>
      <c r="L135" s="648"/>
      <c r="M135" s="648"/>
      <c r="N135" s="648"/>
      <c r="O135" s="648"/>
      <c r="P135" s="648"/>
      <c r="Q135" s="648"/>
      <c r="R135" s="648"/>
      <c r="S135" s="648"/>
      <c r="T135" s="648"/>
      <c r="U135" s="648"/>
      <c r="V135" s="648"/>
      <c r="W135" s="648"/>
      <c r="X135" s="14"/>
      <c r="Y135" s="14"/>
      <c r="Z135" s="14"/>
      <c r="AA135" s="25"/>
      <c r="AB135" s="14"/>
      <c r="AC135" s="25"/>
      <c r="AD135" s="8"/>
      <c r="AE135" s="8"/>
      <c r="AF135" s="8"/>
    </row>
    <row r="136" spans="1:44" ht="26.25" x14ac:dyDescent="0.25">
      <c r="A136" s="48"/>
      <c r="B136" s="648"/>
      <c r="C136" s="648"/>
      <c r="D136" s="648"/>
      <c r="E136" s="648"/>
      <c r="F136" s="648"/>
      <c r="G136" s="648"/>
      <c r="H136" s="648"/>
      <c r="I136" s="648"/>
      <c r="J136" s="648"/>
      <c r="K136" s="648"/>
      <c r="L136" s="648"/>
      <c r="M136" s="648"/>
      <c r="N136" s="648"/>
      <c r="O136" s="648"/>
      <c r="P136" s="648"/>
      <c r="Q136" s="648"/>
      <c r="R136" s="648"/>
      <c r="S136" s="648"/>
      <c r="T136" s="648"/>
      <c r="U136" s="648"/>
      <c r="V136" s="648"/>
      <c r="W136" s="648"/>
      <c r="X136" s="14"/>
      <c r="Y136" s="14"/>
      <c r="Z136" s="14"/>
      <c r="AA136" s="25"/>
      <c r="AB136" s="14"/>
      <c r="AC136" s="25"/>
      <c r="AD136" s="8"/>
      <c r="AE136" s="8"/>
      <c r="AF136" s="8"/>
    </row>
    <row r="137" spans="1:44" ht="28.9" customHeight="1" x14ac:dyDescent="0.25">
      <c r="A137" s="48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82"/>
      <c r="X137" s="12"/>
      <c r="Y137" s="12"/>
      <c r="Z137" s="12"/>
      <c r="AA137" s="5"/>
      <c r="AB137" s="14"/>
      <c r="AC137" s="25"/>
      <c r="AD137" s="8"/>
      <c r="AE137" s="8"/>
      <c r="AF137" s="8"/>
    </row>
    <row r="138" spans="1:44" ht="18.75" x14ac:dyDescent="0.3">
      <c r="A138" s="48"/>
      <c r="C138" s="682" t="s">
        <v>80</v>
      </c>
      <c r="D138" s="682"/>
      <c r="E138" s="682"/>
      <c r="F138" s="682"/>
      <c r="G138" s="682"/>
      <c r="H138" s="682"/>
      <c r="I138" s="682"/>
      <c r="J138" s="682"/>
      <c r="K138" s="682"/>
      <c r="L138" s="682"/>
      <c r="M138" s="682"/>
      <c r="N138" s="682"/>
      <c r="O138" s="682"/>
      <c r="P138" s="682"/>
      <c r="Q138" s="682"/>
      <c r="R138" s="682"/>
      <c r="S138" s="682"/>
      <c r="T138" s="682"/>
      <c r="U138" s="682"/>
      <c r="V138" s="682"/>
      <c r="W138" s="682"/>
      <c r="X138" s="682"/>
      <c r="Y138" s="682"/>
      <c r="Z138" s="682"/>
      <c r="AA138" s="682"/>
      <c r="AB138" s="682"/>
      <c r="AC138" s="8"/>
      <c r="AD138" s="8"/>
      <c r="AE138" s="8"/>
      <c r="AF138" s="8"/>
    </row>
    <row r="139" spans="1:44" ht="26.25" x14ac:dyDescent="0.25">
      <c r="A139" s="48"/>
      <c r="C139" s="683" t="s">
        <v>2</v>
      </c>
      <c r="D139" s="645"/>
      <c r="E139" s="645"/>
      <c r="F139" s="645"/>
      <c r="G139" s="645"/>
      <c r="H139" s="79"/>
      <c r="I139" s="100">
        <v>1</v>
      </c>
      <c r="J139" s="39" t="s">
        <v>91</v>
      </c>
      <c r="K139" s="87" t="s">
        <v>89</v>
      </c>
      <c r="L139" s="87" t="s">
        <v>88</v>
      </c>
      <c r="M139" s="102">
        <v>2</v>
      </c>
      <c r="N139" s="21" t="s">
        <v>91</v>
      </c>
      <c r="O139" s="88" t="s">
        <v>89</v>
      </c>
      <c r="P139" s="103" t="s">
        <v>88</v>
      </c>
      <c r="Q139" s="101">
        <v>3</v>
      </c>
      <c r="R139" s="39" t="s">
        <v>91</v>
      </c>
      <c r="S139" s="87" t="s">
        <v>89</v>
      </c>
      <c r="T139" s="87" t="s">
        <v>88</v>
      </c>
      <c r="U139" s="102">
        <v>4</v>
      </c>
      <c r="V139" s="21" t="s">
        <v>91</v>
      </c>
      <c r="W139" s="88" t="s">
        <v>89</v>
      </c>
      <c r="X139" s="104" t="s">
        <v>88</v>
      </c>
      <c r="Y139" s="47" t="s">
        <v>77</v>
      </c>
      <c r="Z139" s="47" t="s">
        <v>78</v>
      </c>
      <c r="AA139" s="47" t="s">
        <v>79</v>
      </c>
      <c r="AB139" s="47" t="s">
        <v>92</v>
      </c>
      <c r="AC139" s="15" t="s">
        <v>91</v>
      </c>
      <c r="AD139" s="114" t="s">
        <v>75</v>
      </c>
      <c r="AE139" s="13" t="s">
        <v>102</v>
      </c>
      <c r="AF139" s="9"/>
      <c r="AG139" s="9"/>
      <c r="AH139" s="9"/>
      <c r="AJ139" s="8"/>
      <c r="AK139" s="8"/>
      <c r="AL139" s="8"/>
      <c r="AM139" s="8"/>
      <c r="AN139" s="8"/>
      <c r="AO139" s="8"/>
      <c r="AP139" s="8"/>
      <c r="AQ139" s="8"/>
      <c r="AR139" s="8"/>
    </row>
    <row r="140" spans="1:44" ht="19.899999999999999" customHeight="1" x14ac:dyDescent="0.25">
      <c r="A140" s="48"/>
      <c r="C140" s="634" t="s">
        <v>55</v>
      </c>
      <c r="D140" s="510"/>
      <c r="E140" s="510"/>
      <c r="F140" s="510"/>
      <c r="G140" s="510"/>
      <c r="H140" s="566"/>
      <c r="I140" s="65"/>
      <c r="J140" s="108"/>
      <c r="K140" s="72"/>
      <c r="L140" s="72"/>
      <c r="M140" s="127"/>
      <c r="N140" s="38"/>
      <c r="O140" s="85"/>
      <c r="P140" s="66"/>
      <c r="Q140" s="75"/>
      <c r="R140" s="62"/>
      <c r="S140" s="72"/>
      <c r="T140" s="72"/>
      <c r="U140" s="127">
        <v>24</v>
      </c>
      <c r="V140" s="38">
        <v>6.39</v>
      </c>
      <c r="W140" s="90">
        <v>26</v>
      </c>
      <c r="X140" s="66">
        <v>194</v>
      </c>
      <c r="Y140" s="64">
        <f t="shared" ref="Y140:Y157" si="23">I140+M140+Q140+U140</f>
        <v>24</v>
      </c>
      <c r="Z140" s="15">
        <f>Q72</f>
        <v>26</v>
      </c>
      <c r="AA140" s="94">
        <f>Y140-Z140</f>
        <v>-2</v>
      </c>
      <c r="AB140" s="21">
        <f>L140+P140+T140+X140</f>
        <v>194</v>
      </c>
      <c r="AC140" s="15">
        <f>K140*J140+O140*N140+S140*R140+W140*V140</f>
        <v>166.14</v>
      </c>
      <c r="AD140" s="114">
        <f>AB140-AC140</f>
        <v>27.860000000000014</v>
      </c>
      <c r="AE140" s="13">
        <f>AA140*V140</f>
        <v>-12.78</v>
      </c>
      <c r="AF140" s="9"/>
      <c r="AG140" s="9"/>
      <c r="AH140" s="9"/>
      <c r="AJ140" s="8"/>
      <c r="AK140" s="8"/>
      <c r="AL140" s="8"/>
      <c r="AM140" s="8"/>
      <c r="AN140" s="8"/>
      <c r="AO140" s="8"/>
      <c r="AP140" s="8"/>
      <c r="AQ140" s="8"/>
      <c r="AR140" s="8"/>
    </row>
    <row r="141" spans="1:44" ht="15.75" x14ac:dyDescent="0.25">
      <c r="A141" s="48"/>
      <c r="C141" s="634" t="s">
        <v>4</v>
      </c>
      <c r="D141" s="510"/>
      <c r="E141" s="510"/>
      <c r="F141" s="510"/>
      <c r="G141" s="510"/>
      <c r="H141" s="566"/>
      <c r="I141" s="67">
        <v>80</v>
      </c>
      <c r="J141" s="109">
        <v>10.32</v>
      </c>
      <c r="K141" s="91">
        <v>55</v>
      </c>
      <c r="L141" s="73">
        <v>760</v>
      </c>
      <c r="M141" s="127"/>
      <c r="N141" s="38"/>
      <c r="O141" s="85"/>
      <c r="P141" s="66"/>
      <c r="Q141" s="76"/>
      <c r="R141" s="63"/>
      <c r="S141" s="73"/>
      <c r="T141" s="73"/>
      <c r="U141" s="127">
        <v>20</v>
      </c>
      <c r="V141" s="38">
        <v>12.69</v>
      </c>
      <c r="W141" s="85"/>
      <c r="X141" s="66"/>
      <c r="Y141" s="64">
        <f t="shared" si="23"/>
        <v>100</v>
      </c>
      <c r="Z141" s="15">
        <f t="shared" ref="Z141:Z155" si="24">Q73</f>
        <v>55</v>
      </c>
      <c r="AA141" s="94">
        <f t="shared" ref="AA141:AA157" si="25">Y141-Z141</f>
        <v>45</v>
      </c>
      <c r="AB141" s="21">
        <f t="shared" ref="AB141:AB157" si="26">L141+P141+T141+X141</f>
        <v>760</v>
      </c>
      <c r="AC141" s="15">
        <f>K141*J141+O141*N141+S141*R141+W141*V141</f>
        <v>567.6</v>
      </c>
      <c r="AD141" s="114">
        <f t="shared" ref="AD141:AD157" si="27">AB141-AC141</f>
        <v>192.39999999999998</v>
      </c>
      <c r="AE141" s="13">
        <f t="shared" ref="AE141:AE157" si="28">AA141*V141</f>
        <v>571.04999999999995</v>
      </c>
      <c r="AF141" s="17"/>
      <c r="AG141" s="17"/>
      <c r="AH141" s="17"/>
      <c r="AI141" s="17"/>
      <c r="AJ141" s="24"/>
      <c r="AK141" s="24"/>
      <c r="AL141" s="24"/>
      <c r="AM141" s="24"/>
      <c r="AN141" s="24"/>
      <c r="AO141" s="24"/>
      <c r="AP141" s="8"/>
      <c r="AQ141" s="8"/>
      <c r="AR141" s="8"/>
    </row>
    <row r="142" spans="1:44" ht="15.75" x14ac:dyDescent="0.25">
      <c r="A142" s="48"/>
      <c r="C142" s="634" t="s">
        <v>5</v>
      </c>
      <c r="D142" s="510"/>
      <c r="E142" s="510"/>
      <c r="F142" s="510"/>
      <c r="G142" s="510"/>
      <c r="H142" s="566"/>
      <c r="I142" s="67">
        <v>20</v>
      </c>
      <c r="J142" s="109">
        <v>28.5</v>
      </c>
      <c r="K142" s="89">
        <v>20</v>
      </c>
      <c r="L142" s="73">
        <v>755</v>
      </c>
      <c r="M142" s="127"/>
      <c r="N142" s="38"/>
      <c r="O142" s="85"/>
      <c r="P142" s="66"/>
      <c r="Q142" s="76">
        <v>20</v>
      </c>
      <c r="R142" s="63">
        <v>35.04</v>
      </c>
      <c r="S142" s="91">
        <v>10</v>
      </c>
      <c r="T142" s="73">
        <v>400</v>
      </c>
      <c r="U142" s="127"/>
      <c r="V142" s="38">
        <v>35.04</v>
      </c>
      <c r="W142" s="85"/>
      <c r="X142" s="66"/>
      <c r="Y142" s="64">
        <f t="shared" si="23"/>
        <v>40</v>
      </c>
      <c r="Z142" s="15">
        <f t="shared" si="24"/>
        <v>30</v>
      </c>
      <c r="AA142" s="94">
        <f t="shared" si="25"/>
        <v>10</v>
      </c>
      <c r="AB142" s="21">
        <f t="shared" si="26"/>
        <v>1155</v>
      </c>
      <c r="AC142" s="15">
        <f t="shared" ref="AC142:AC157" si="29">K142*J142+O142*N142+S142*R142+W142*V142</f>
        <v>920.4</v>
      </c>
      <c r="AD142" s="114">
        <f t="shared" si="27"/>
        <v>234.60000000000002</v>
      </c>
      <c r="AE142" s="13">
        <f t="shared" si="28"/>
        <v>350.4</v>
      </c>
      <c r="AF142" s="12"/>
      <c r="AG142" s="12"/>
      <c r="AH142" s="12"/>
      <c r="AI142" s="12"/>
      <c r="AJ142" s="14"/>
      <c r="AK142" s="14"/>
      <c r="AL142" s="14"/>
      <c r="AM142" s="14"/>
      <c r="AN142" s="14"/>
      <c r="AO142" s="14"/>
      <c r="AP142" s="8"/>
      <c r="AQ142" s="8"/>
      <c r="AR142" s="8"/>
    </row>
    <row r="143" spans="1:44" ht="15.75" x14ac:dyDescent="0.25">
      <c r="A143" s="48"/>
      <c r="C143" s="634" t="s">
        <v>56</v>
      </c>
      <c r="D143" s="510"/>
      <c r="E143" s="510"/>
      <c r="F143" s="510"/>
      <c r="G143" s="510"/>
      <c r="H143" s="566"/>
      <c r="I143" s="67"/>
      <c r="J143" s="109"/>
      <c r="K143" s="73"/>
      <c r="L143" s="73"/>
      <c r="M143" s="127"/>
      <c r="N143" s="38"/>
      <c r="O143" s="85"/>
      <c r="P143" s="66"/>
      <c r="Q143" s="76">
        <v>12</v>
      </c>
      <c r="R143" s="63">
        <v>10.7</v>
      </c>
      <c r="S143" s="91">
        <v>1</v>
      </c>
      <c r="T143" s="73">
        <v>12</v>
      </c>
      <c r="U143" s="127">
        <v>20</v>
      </c>
      <c r="V143" s="38">
        <v>10.7</v>
      </c>
      <c r="W143" s="85"/>
      <c r="X143" s="66"/>
      <c r="Y143" s="64">
        <f t="shared" si="23"/>
        <v>32</v>
      </c>
      <c r="Z143" s="15">
        <f t="shared" si="24"/>
        <v>1</v>
      </c>
      <c r="AA143" s="94">
        <f t="shared" si="25"/>
        <v>31</v>
      </c>
      <c r="AB143" s="21">
        <f t="shared" si="26"/>
        <v>12</v>
      </c>
      <c r="AC143" s="15">
        <f t="shared" si="29"/>
        <v>10.7</v>
      </c>
      <c r="AD143" s="114">
        <f t="shared" si="27"/>
        <v>1.3000000000000007</v>
      </c>
      <c r="AE143" s="13">
        <f t="shared" si="28"/>
        <v>331.7</v>
      </c>
      <c r="AF143" s="12"/>
      <c r="AG143" s="12"/>
      <c r="AH143" s="12"/>
      <c r="AI143" s="12"/>
      <c r="AJ143" s="14"/>
      <c r="AK143" s="14"/>
      <c r="AL143" s="14"/>
      <c r="AM143" s="14"/>
      <c r="AN143" s="14"/>
      <c r="AO143" s="14"/>
      <c r="AP143" s="8"/>
      <c r="AQ143" s="8"/>
      <c r="AR143" s="8"/>
    </row>
    <row r="144" spans="1:44" ht="15.75" x14ac:dyDescent="0.25">
      <c r="A144" s="48"/>
      <c r="C144" s="634" t="s">
        <v>49</v>
      </c>
      <c r="D144" s="510"/>
      <c r="E144" s="510"/>
      <c r="F144" s="510"/>
      <c r="G144" s="510"/>
      <c r="H144" s="566"/>
      <c r="I144" s="67"/>
      <c r="J144" s="109"/>
      <c r="K144" s="73"/>
      <c r="L144" s="73"/>
      <c r="M144" s="127">
        <v>10</v>
      </c>
      <c r="N144" s="38">
        <v>22.1</v>
      </c>
      <c r="O144" s="90">
        <v>10</v>
      </c>
      <c r="P144" s="66">
        <v>269</v>
      </c>
      <c r="Q144" s="76"/>
      <c r="R144" s="63"/>
      <c r="S144" s="73"/>
      <c r="T144" s="73"/>
      <c r="U144" s="127">
        <v>20</v>
      </c>
      <c r="V144" s="38">
        <v>22.81</v>
      </c>
      <c r="W144" s="92">
        <v>12</v>
      </c>
      <c r="X144" s="66">
        <v>324</v>
      </c>
      <c r="Y144" s="64">
        <f t="shared" si="23"/>
        <v>30</v>
      </c>
      <c r="Z144" s="15">
        <f t="shared" si="24"/>
        <v>22</v>
      </c>
      <c r="AA144" s="94">
        <f t="shared" si="25"/>
        <v>8</v>
      </c>
      <c r="AB144" s="21">
        <f t="shared" si="26"/>
        <v>593</v>
      </c>
      <c r="AC144" s="15">
        <f t="shared" si="29"/>
        <v>494.71999999999997</v>
      </c>
      <c r="AD144" s="114">
        <f t="shared" si="27"/>
        <v>98.28000000000003</v>
      </c>
      <c r="AE144" s="13">
        <f t="shared" si="28"/>
        <v>182.48</v>
      </c>
      <c r="AF144" s="12"/>
      <c r="AG144" s="12"/>
      <c r="AH144" s="12"/>
      <c r="AI144" s="12"/>
      <c r="AJ144" s="14"/>
      <c r="AK144" s="14"/>
      <c r="AL144" s="14"/>
      <c r="AM144" s="14"/>
      <c r="AN144" s="14"/>
      <c r="AO144" s="14"/>
      <c r="AP144" s="8"/>
      <c r="AQ144" s="8"/>
      <c r="AR144" s="8"/>
    </row>
    <row r="145" spans="1:44" ht="15.75" x14ac:dyDescent="0.25">
      <c r="A145" s="48"/>
      <c r="C145" s="634" t="s">
        <v>50</v>
      </c>
      <c r="D145" s="510"/>
      <c r="E145" s="510"/>
      <c r="F145" s="510"/>
      <c r="G145" s="510"/>
      <c r="H145" s="566"/>
      <c r="I145" s="67"/>
      <c r="J145" s="109"/>
      <c r="K145" s="73"/>
      <c r="L145" s="73"/>
      <c r="M145" s="127">
        <v>24</v>
      </c>
      <c r="N145" s="38">
        <v>5.67</v>
      </c>
      <c r="O145" s="92">
        <v>1</v>
      </c>
      <c r="P145" s="66">
        <v>7</v>
      </c>
      <c r="Q145" s="76"/>
      <c r="R145" s="63"/>
      <c r="S145" s="73"/>
      <c r="T145" s="73"/>
      <c r="U145" s="127"/>
      <c r="V145" s="38">
        <v>6</v>
      </c>
      <c r="W145" s="85"/>
      <c r="X145" s="66"/>
      <c r="Y145" s="64">
        <f t="shared" si="23"/>
        <v>24</v>
      </c>
      <c r="Z145" s="15">
        <f t="shared" si="24"/>
        <v>1</v>
      </c>
      <c r="AA145" s="94">
        <f t="shared" si="25"/>
        <v>23</v>
      </c>
      <c r="AB145" s="21">
        <f t="shared" si="26"/>
        <v>7</v>
      </c>
      <c r="AC145" s="15">
        <f t="shared" si="29"/>
        <v>5.67</v>
      </c>
      <c r="AD145" s="114">
        <f t="shared" si="27"/>
        <v>1.33</v>
      </c>
      <c r="AE145" s="13">
        <f t="shared" si="28"/>
        <v>138</v>
      </c>
      <c r="AF145" s="12"/>
      <c r="AG145" s="12"/>
      <c r="AH145" s="12"/>
      <c r="AI145" s="12"/>
      <c r="AJ145" s="14"/>
      <c r="AK145" s="14"/>
      <c r="AL145" s="14"/>
      <c r="AM145" s="14"/>
      <c r="AN145" s="14"/>
      <c r="AO145" s="14"/>
      <c r="AP145" s="8"/>
      <c r="AQ145" s="8"/>
      <c r="AR145" s="8"/>
    </row>
    <row r="146" spans="1:44" ht="15.75" x14ac:dyDescent="0.25">
      <c r="A146" s="48"/>
      <c r="C146" s="634" t="s">
        <v>6</v>
      </c>
      <c r="D146" s="510"/>
      <c r="E146" s="510"/>
      <c r="F146" s="510"/>
      <c r="G146" s="510"/>
      <c r="H146" s="566"/>
      <c r="I146" s="67">
        <v>20</v>
      </c>
      <c r="J146" s="109">
        <v>7.51</v>
      </c>
      <c r="K146" s="89">
        <v>20</v>
      </c>
      <c r="L146" s="73">
        <v>200</v>
      </c>
      <c r="M146" s="127"/>
      <c r="N146" s="38"/>
      <c r="O146" s="85"/>
      <c r="P146" s="66"/>
      <c r="Q146" s="76">
        <v>40</v>
      </c>
      <c r="R146" s="63">
        <v>9.23</v>
      </c>
      <c r="S146" s="91">
        <v>5</v>
      </c>
      <c r="T146" s="73">
        <v>52</v>
      </c>
      <c r="U146" s="127"/>
      <c r="V146" s="38">
        <v>9.23</v>
      </c>
      <c r="W146" s="85"/>
      <c r="X146" s="66"/>
      <c r="Y146" s="64">
        <f t="shared" si="23"/>
        <v>60</v>
      </c>
      <c r="Z146" s="15">
        <f t="shared" si="24"/>
        <v>25</v>
      </c>
      <c r="AA146" s="94">
        <f t="shared" si="25"/>
        <v>35</v>
      </c>
      <c r="AB146" s="21">
        <f t="shared" si="26"/>
        <v>252</v>
      </c>
      <c r="AC146" s="15">
        <f t="shared" si="29"/>
        <v>196.35</v>
      </c>
      <c r="AD146" s="114">
        <f t="shared" si="27"/>
        <v>55.650000000000006</v>
      </c>
      <c r="AE146" s="13">
        <f t="shared" si="28"/>
        <v>323.05</v>
      </c>
      <c r="AF146" s="12"/>
      <c r="AG146" s="12"/>
      <c r="AH146" s="12"/>
      <c r="AI146" s="12"/>
      <c r="AJ146" s="14"/>
      <c r="AK146" s="14"/>
      <c r="AL146" s="14"/>
      <c r="AM146" s="14"/>
      <c r="AN146" s="14"/>
      <c r="AO146" s="14"/>
      <c r="AP146" s="8"/>
      <c r="AQ146" s="8"/>
      <c r="AR146" s="8"/>
    </row>
    <row r="147" spans="1:44" ht="15.75" x14ac:dyDescent="0.25">
      <c r="A147" s="48"/>
      <c r="C147" s="634" t="s">
        <v>7</v>
      </c>
      <c r="D147" s="510"/>
      <c r="E147" s="510"/>
      <c r="F147" s="510"/>
      <c r="G147" s="510"/>
      <c r="H147" s="566"/>
      <c r="I147" s="67">
        <v>5</v>
      </c>
      <c r="J147" s="109">
        <v>21.99</v>
      </c>
      <c r="K147" s="89">
        <v>5</v>
      </c>
      <c r="L147" s="73">
        <v>140</v>
      </c>
      <c r="M147" s="127"/>
      <c r="N147" s="38"/>
      <c r="O147" s="85"/>
      <c r="P147" s="66"/>
      <c r="Q147" s="76">
        <v>10</v>
      </c>
      <c r="R147" s="63">
        <v>27.04</v>
      </c>
      <c r="S147" s="91">
        <v>7</v>
      </c>
      <c r="T147" s="73">
        <v>210</v>
      </c>
      <c r="U147" s="127"/>
      <c r="V147" s="38">
        <v>27.04</v>
      </c>
      <c r="W147" s="85"/>
      <c r="X147" s="66"/>
      <c r="Y147" s="64">
        <f t="shared" si="23"/>
        <v>15</v>
      </c>
      <c r="Z147" s="15">
        <f t="shared" si="24"/>
        <v>12</v>
      </c>
      <c r="AA147" s="95">
        <f t="shared" si="25"/>
        <v>3</v>
      </c>
      <c r="AB147" s="21">
        <f t="shared" si="26"/>
        <v>350</v>
      </c>
      <c r="AC147" s="15">
        <f t="shared" si="29"/>
        <v>299.23</v>
      </c>
      <c r="AD147" s="114">
        <f t="shared" si="27"/>
        <v>50.769999999999982</v>
      </c>
      <c r="AE147" s="13">
        <f t="shared" si="28"/>
        <v>81.12</v>
      </c>
      <c r="AF147" s="12"/>
      <c r="AG147" s="12"/>
      <c r="AH147" s="12"/>
      <c r="AI147" s="12"/>
      <c r="AJ147" s="14"/>
      <c r="AK147" s="14"/>
      <c r="AL147" s="14"/>
      <c r="AM147" s="14"/>
      <c r="AN147" s="14"/>
      <c r="AO147" s="14"/>
      <c r="AP147" s="8"/>
      <c r="AQ147" s="8"/>
      <c r="AR147" s="8"/>
    </row>
    <row r="148" spans="1:44" ht="15.75" x14ac:dyDescent="0.25">
      <c r="A148" s="48"/>
      <c r="C148" s="634" t="s">
        <v>8</v>
      </c>
      <c r="D148" s="510"/>
      <c r="E148" s="510"/>
      <c r="F148" s="510"/>
      <c r="G148" s="510"/>
      <c r="H148" s="566"/>
      <c r="I148" s="67">
        <v>40</v>
      </c>
      <c r="J148" s="109">
        <v>9.5500000000000007</v>
      </c>
      <c r="K148" s="91">
        <v>19</v>
      </c>
      <c r="L148" s="73">
        <v>241</v>
      </c>
      <c r="M148" s="127"/>
      <c r="N148" s="38"/>
      <c r="O148" s="85"/>
      <c r="P148" s="66"/>
      <c r="Q148" s="76"/>
      <c r="R148" s="63"/>
      <c r="S148" s="73"/>
      <c r="T148" s="73"/>
      <c r="U148" s="127"/>
      <c r="V148" s="38">
        <v>11.74</v>
      </c>
      <c r="W148" s="85"/>
      <c r="X148" s="66"/>
      <c r="Y148" s="64">
        <f t="shared" si="23"/>
        <v>40</v>
      </c>
      <c r="Z148" s="15">
        <f t="shared" si="24"/>
        <v>19</v>
      </c>
      <c r="AA148" s="94">
        <f t="shared" si="25"/>
        <v>21</v>
      </c>
      <c r="AB148" s="21">
        <f t="shared" si="26"/>
        <v>241</v>
      </c>
      <c r="AC148" s="15">
        <f t="shared" si="29"/>
        <v>181.45000000000002</v>
      </c>
      <c r="AD148" s="114">
        <f t="shared" si="27"/>
        <v>59.549999999999983</v>
      </c>
      <c r="AE148" s="13">
        <f t="shared" si="28"/>
        <v>246.54</v>
      </c>
      <c r="AF148" s="12"/>
      <c r="AG148" s="12"/>
      <c r="AH148" s="12"/>
      <c r="AI148" s="12"/>
      <c r="AJ148" s="14"/>
      <c r="AK148" s="14"/>
      <c r="AL148" s="14"/>
      <c r="AM148" s="14"/>
      <c r="AN148" s="14"/>
      <c r="AO148" s="14"/>
      <c r="AP148" s="8"/>
      <c r="AQ148" s="8"/>
      <c r="AR148" s="8"/>
    </row>
    <row r="149" spans="1:44" ht="15.75" x14ac:dyDescent="0.25">
      <c r="A149" s="48"/>
      <c r="C149" s="634" t="s">
        <v>9</v>
      </c>
      <c r="D149" s="510"/>
      <c r="E149" s="510"/>
      <c r="F149" s="510"/>
      <c r="G149" s="510"/>
      <c r="H149" s="566"/>
      <c r="I149" s="67">
        <v>20</v>
      </c>
      <c r="J149" s="109">
        <v>21.82</v>
      </c>
      <c r="K149" s="89">
        <v>20</v>
      </c>
      <c r="L149" s="73">
        <v>560</v>
      </c>
      <c r="M149" s="127">
        <v>36</v>
      </c>
      <c r="N149" s="38">
        <v>25.31</v>
      </c>
      <c r="O149" s="90">
        <v>36</v>
      </c>
      <c r="P149" s="66">
        <v>1069</v>
      </c>
      <c r="Q149" s="76">
        <v>20</v>
      </c>
      <c r="R149" s="63">
        <v>26.83</v>
      </c>
      <c r="S149" s="91">
        <v>7</v>
      </c>
      <c r="T149" s="73">
        <v>210</v>
      </c>
      <c r="U149" s="127">
        <v>10</v>
      </c>
      <c r="V149" s="38">
        <v>26.83</v>
      </c>
      <c r="W149" s="85"/>
      <c r="X149" s="66"/>
      <c r="Y149" s="64">
        <f t="shared" si="23"/>
        <v>86</v>
      </c>
      <c r="Z149" s="15">
        <f t="shared" si="24"/>
        <v>63</v>
      </c>
      <c r="AA149" s="94">
        <f t="shared" si="25"/>
        <v>23</v>
      </c>
      <c r="AB149" s="21">
        <f t="shared" si="26"/>
        <v>1839</v>
      </c>
      <c r="AC149" s="15">
        <f t="shared" si="29"/>
        <v>1535.37</v>
      </c>
      <c r="AD149" s="114">
        <f t="shared" si="27"/>
        <v>303.63000000000011</v>
      </c>
      <c r="AE149" s="13">
        <f t="shared" si="28"/>
        <v>617.08999999999992</v>
      </c>
      <c r="AF149" s="12"/>
      <c r="AG149" s="12"/>
      <c r="AH149" s="12"/>
      <c r="AI149" s="12"/>
      <c r="AJ149" s="14"/>
      <c r="AK149" s="14"/>
      <c r="AL149" s="14"/>
      <c r="AM149" s="14"/>
      <c r="AN149" s="14"/>
      <c r="AO149" s="14"/>
      <c r="AP149" s="8"/>
      <c r="AQ149" s="8"/>
      <c r="AR149" s="8"/>
    </row>
    <row r="150" spans="1:44" ht="15.75" x14ac:dyDescent="0.25">
      <c r="A150" s="48"/>
      <c r="C150" s="634" t="s">
        <v>10</v>
      </c>
      <c r="D150" s="510"/>
      <c r="E150" s="510"/>
      <c r="F150" s="510"/>
      <c r="G150" s="510"/>
      <c r="H150" s="566"/>
      <c r="I150" s="67">
        <v>20</v>
      </c>
      <c r="J150" s="109">
        <v>22.74</v>
      </c>
      <c r="K150" s="89">
        <v>20</v>
      </c>
      <c r="L150" s="73">
        <v>604</v>
      </c>
      <c r="M150" s="127"/>
      <c r="N150" s="38"/>
      <c r="O150" s="85"/>
      <c r="P150" s="66"/>
      <c r="Q150" s="76">
        <v>28</v>
      </c>
      <c r="R150" s="63">
        <v>27.96</v>
      </c>
      <c r="S150" s="91">
        <v>9</v>
      </c>
      <c r="T150" s="73">
        <v>288</v>
      </c>
      <c r="U150" s="127"/>
      <c r="V150" s="38">
        <v>27.96</v>
      </c>
      <c r="W150" s="85"/>
      <c r="X150" s="66"/>
      <c r="Y150" s="64">
        <f t="shared" si="23"/>
        <v>48</v>
      </c>
      <c r="Z150" s="15">
        <f t="shared" si="24"/>
        <v>29</v>
      </c>
      <c r="AA150" s="94">
        <f t="shared" si="25"/>
        <v>19</v>
      </c>
      <c r="AB150" s="21">
        <f t="shared" si="26"/>
        <v>892</v>
      </c>
      <c r="AC150" s="15">
        <f t="shared" si="29"/>
        <v>706.43999999999994</v>
      </c>
      <c r="AD150" s="114">
        <f t="shared" si="27"/>
        <v>185.56000000000006</v>
      </c>
      <c r="AE150" s="13">
        <f t="shared" si="28"/>
        <v>531.24</v>
      </c>
      <c r="AF150" s="12"/>
      <c r="AG150" s="12"/>
      <c r="AH150" s="12"/>
      <c r="AI150" s="12"/>
      <c r="AJ150" s="14"/>
      <c r="AK150" s="14"/>
      <c r="AL150" s="14"/>
      <c r="AM150" s="14"/>
      <c r="AN150" s="14"/>
      <c r="AO150" s="14"/>
      <c r="AP150" s="8"/>
      <c r="AQ150" s="8"/>
      <c r="AR150" s="8"/>
    </row>
    <row r="151" spans="1:44" ht="15.75" x14ac:dyDescent="0.25">
      <c r="A151" s="48"/>
      <c r="C151" s="634" t="s">
        <v>11</v>
      </c>
      <c r="D151" s="510"/>
      <c r="E151" s="510"/>
      <c r="F151" s="510"/>
      <c r="G151" s="510"/>
      <c r="H151" s="566"/>
      <c r="I151" s="67">
        <v>20</v>
      </c>
      <c r="J151" s="109">
        <v>77.28</v>
      </c>
      <c r="K151" s="89">
        <v>20</v>
      </c>
      <c r="L151" s="73">
        <v>2070</v>
      </c>
      <c r="M151" s="127"/>
      <c r="N151" s="38"/>
      <c r="O151" s="85"/>
      <c r="P151" s="66"/>
      <c r="Q151" s="76">
        <v>20</v>
      </c>
      <c r="R151" s="63">
        <v>95.03</v>
      </c>
      <c r="S151" s="91">
        <v>5</v>
      </c>
      <c r="T151" s="73">
        <v>525</v>
      </c>
      <c r="U151" s="127"/>
      <c r="V151" s="38">
        <v>95.03</v>
      </c>
      <c r="W151" s="85"/>
      <c r="X151" s="66"/>
      <c r="Y151" s="64">
        <f t="shared" si="23"/>
        <v>40</v>
      </c>
      <c r="Z151" s="15">
        <f t="shared" si="24"/>
        <v>25</v>
      </c>
      <c r="AA151" s="94">
        <f t="shared" si="25"/>
        <v>15</v>
      </c>
      <c r="AB151" s="21">
        <f t="shared" si="26"/>
        <v>2595</v>
      </c>
      <c r="AC151" s="15">
        <f t="shared" si="29"/>
        <v>2020.75</v>
      </c>
      <c r="AD151" s="114">
        <f t="shared" si="27"/>
        <v>574.25</v>
      </c>
      <c r="AE151" s="13">
        <f t="shared" si="28"/>
        <v>1425.45</v>
      </c>
      <c r="AF151" s="12"/>
      <c r="AG151" s="12"/>
      <c r="AH151" s="12"/>
      <c r="AI151" s="12"/>
      <c r="AJ151" s="14"/>
      <c r="AK151" s="14"/>
      <c r="AL151" s="14"/>
      <c r="AM151" s="14"/>
      <c r="AN151" s="14"/>
      <c r="AO151" s="14"/>
      <c r="AP151" s="8"/>
      <c r="AQ151" s="8"/>
      <c r="AR151" s="8"/>
    </row>
    <row r="152" spans="1:44" ht="15.75" x14ac:dyDescent="0.25">
      <c r="A152" s="48"/>
      <c r="C152" s="634" t="s">
        <v>57</v>
      </c>
      <c r="D152" s="510"/>
      <c r="E152" s="510"/>
      <c r="F152" s="510"/>
      <c r="G152" s="510"/>
      <c r="H152" s="566"/>
      <c r="I152" s="67"/>
      <c r="J152" s="109"/>
      <c r="K152" s="73"/>
      <c r="L152" s="73"/>
      <c r="M152" s="127"/>
      <c r="N152" s="38"/>
      <c r="O152" s="85"/>
      <c r="P152" s="66"/>
      <c r="Q152" s="76">
        <v>20</v>
      </c>
      <c r="R152" s="63">
        <v>44.03</v>
      </c>
      <c r="S152" s="91">
        <v>7</v>
      </c>
      <c r="T152" s="73">
        <v>350</v>
      </c>
      <c r="U152" s="127">
        <v>10</v>
      </c>
      <c r="V152" s="38">
        <v>44.03</v>
      </c>
      <c r="W152" s="85"/>
      <c r="X152" s="66"/>
      <c r="Y152" s="64">
        <f t="shared" si="23"/>
        <v>30</v>
      </c>
      <c r="Z152" s="15">
        <f t="shared" si="24"/>
        <v>7</v>
      </c>
      <c r="AA152" s="94">
        <f t="shared" si="25"/>
        <v>23</v>
      </c>
      <c r="AB152" s="21">
        <f t="shared" si="26"/>
        <v>350</v>
      </c>
      <c r="AC152" s="15">
        <f t="shared" si="29"/>
        <v>308.21000000000004</v>
      </c>
      <c r="AD152" s="114">
        <f t="shared" si="27"/>
        <v>41.789999999999964</v>
      </c>
      <c r="AE152" s="13">
        <f t="shared" si="28"/>
        <v>1012.69</v>
      </c>
      <c r="AF152" s="12"/>
      <c r="AG152" s="12"/>
      <c r="AH152" s="12"/>
      <c r="AI152" s="12"/>
      <c r="AJ152" s="14"/>
      <c r="AK152" s="14"/>
      <c r="AL152" s="14"/>
      <c r="AM152" s="14"/>
      <c r="AN152" s="14"/>
      <c r="AO152" s="14"/>
      <c r="AP152" s="8"/>
      <c r="AQ152" s="8"/>
      <c r="AR152" s="8"/>
    </row>
    <row r="153" spans="1:44" ht="15.75" x14ac:dyDescent="0.25">
      <c r="A153" s="48"/>
      <c r="C153" s="634" t="s">
        <v>51</v>
      </c>
      <c r="D153" s="510"/>
      <c r="E153" s="510"/>
      <c r="F153" s="510"/>
      <c r="G153" s="510"/>
      <c r="H153" s="566"/>
      <c r="I153" s="67"/>
      <c r="J153" s="109"/>
      <c r="K153" s="73"/>
      <c r="L153" s="73"/>
      <c r="M153" s="127">
        <v>5</v>
      </c>
      <c r="N153" s="38">
        <v>39.15</v>
      </c>
      <c r="O153" s="92">
        <v>0</v>
      </c>
      <c r="P153" s="66">
        <v>0</v>
      </c>
      <c r="Q153" s="76"/>
      <c r="R153" s="63"/>
      <c r="S153" s="73"/>
      <c r="T153" s="73"/>
      <c r="U153" s="127"/>
      <c r="V153" s="38">
        <v>41.5</v>
      </c>
      <c r="W153" s="85"/>
      <c r="X153" s="31"/>
      <c r="Y153" s="64">
        <f t="shared" si="23"/>
        <v>5</v>
      </c>
      <c r="Z153" s="15">
        <f t="shared" si="24"/>
        <v>0</v>
      </c>
      <c r="AA153" s="94">
        <f t="shared" si="25"/>
        <v>5</v>
      </c>
      <c r="AB153" s="21">
        <f t="shared" si="26"/>
        <v>0</v>
      </c>
      <c r="AC153" s="15">
        <f t="shared" si="29"/>
        <v>0</v>
      </c>
      <c r="AD153" s="114">
        <f t="shared" si="27"/>
        <v>0</v>
      </c>
      <c r="AE153" s="13">
        <f t="shared" si="28"/>
        <v>207.5</v>
      </c>
      <c r="AF153" s="12"/>
      <c r="AG153" s="12"/>
      <c r="AH153" s="12"/>
      <c r="AI153" s="12"/>
      <c r="AJ153" s="14"/>
      <c r="AK153" s="14"/>
      <c r="AL153" s="14"/>
      <c r="AM153" s="14"/>
      <c r="AN153" s="14"/>
      <c r="AO153" s="14"/>
      <c r="AP153" s="8"/>
      <c r="AQ153" s="8"/>
      <c r="AR153" s="8"/>
    </row>
    <row r="154" spans="1:44" ht="15.75" x14ac:dyDescent="0.25">
      <c r="A154" s="48"/>
      <c r="C154" s="634" t="s">
        <v>52</v>
      </c>
      <c r="D154" s="510"/>
      <c r="E154" s="510"/>
      <c r="F154" s="510"/>
      <c r="G154" s="510"/>
      <c r="H154" s="566"/>
      <c r="I154" s="67"/>
      <c r="J154" s="109"/>
      <c r="K154" s="73"/>
      <c r="L154" s="73"/>
      <c r="M154" s="127">
        <v>10</v>
      </c>
      <c r="N154" s="38">
        <v>48.29</v>
      </c>
      <c r="O154" s="92">
        <v>0</v>
      </c>
      <c r="P154" s="66">
        <v>0</v>
      </c>
      <c r="Q154" s="76"/>
      <c r="R154" s="63"/>
      <c r="S154" s="73"/>
      <c r="T154" s="73"/>
      <c r="U154" s="127"/>
      <c r="V154" s="38">
        <v>54.09</v>
      </c>
      <c r="W154" s="85"/>
      <c r="X154" s="66"/>
      <c r="Y154" s="64">
        <f t="shared" si="23"/>
        <v>10</v>
      </c>
      <c r="Z154" s="15">
        <f t="shared" si="24"/>
        <v>0</v>
      </c>
      <c r="AA154" s="94">
        <f t="shared" si="25"/>
        <v>10</v>
      </c>
      <c r="AB154" s="21">
        <f t="shared" si="26"/>
        <v>0</v>
      </c>
      <c r="AC154" s="15">
        <f t="shared" si="29"/>
        <v>0</v>
      </c>
      <c r="AD154" s="114">
        <f t="shared" si="27"/>
        <v>0</v>
      </c>
      <c r="AE154" s="13">
        <f t="shared" si="28"/>
        <v>540.90000000000009</v>
      </c>
      <c r="AF154" s="12"/>
      <c r="AG154" s="12"/>
      <c r="AH154" s="12"/>
      <c r="AI154" s="12"/>
      <c r="AJ154" s="14"/>
      <c r="AK154" s="14"/>
      <c r="AL154" s="14"/>
      <c r="AM154" s="14"/>
      <c r="AN154" s="14"/>
      <c r="AO154" s="14"/>
      <c r="AP154" s="8"/>
      <c r="AQ154" s="8"/>
      <c r="AR154" s="8"/>
    </row>
    <row r="155" spans="1:44" ht="15.75" x14ac:dyDescent="0.25">
      <c r="A155" s="48"/>
      <c r="C155" s="634" t="s">
        <v>12</v>
      </c>
      <c r="D155" s="510"/>
      <c r="E155" s="510"/>
      <c r="F155" s="510"/>
      <c r="G155" s="510"/>
      <c r="H155" s="566"/>
      <c r="I155" s="67">
        <v>20</v>
      </c>
      <c r="J155" s="109">
        <v>22.4</v>
      </c>
      <c r="K155" s="89">
        <v>20</v>
      </c>
      <c r="L155" s="73">
        <v>534</v>
      </c>
      <c r="M155" s="127"/>
      <c r="N155" s="38"/>
      <c r="O155" s="85"/>
      <c r="P155" s="66"/>
      <c r="Q155" s="76">
        <v>40</v>
      </c>
      <c r="R155" s="63">
        <v>29.1</v>
      </c>
      <c r="S155" s="91">
        <v>34</v>
      </c>
      <c r="T155" s="73">
        <v>1054</v>
      </c>
      <c r="U155" s="127"/>
      <c r="V155" s="38">
        <v>29.1</v>
      </c>
      <c r="W155" s="85"/>
      <c r="X155" s="66"/>
      <c r="Y155" s="64">
        <f t="shared" si="23"/>
        <v>60</v>
      </c>
      <c r="Z155" s="15">
        <f t="shared" si="24"/>
        <v>54</v>
      </c>
      <c r="AA155" s="94">
        <f t="shared" si="25"/>
        <v>6</v>
      </c>
      <c r="AB155" s="21">
        <f t="shared" si="26"/>
        <v>1588</v>
      </c>
      <c r="AC155" s="15">
        <f t="shared" si="29"/>
        <v>1437.4</v>
      </c>
      <c r="AD155" s="114">
        <f t="shared" si="27"/>
        <v>150.59999999999991</v>
      </c>
      <c r="AE155" s="13">
        <f t="shared" si="28"/>
        <v>174.60000000000002</v>
      </c>
      <c r="AF155" s="12"/>
      <c r="AG155" s="12"/>
      <c r="AH155" s="12"/>
      <c r="AI155" s="12"/>
      <c r="AJ155" s="14"/>
      <c r="AK155" s="14"/>
      <c r="AL155" s="14"/>
      <c r="AM155" s="14"/>
      <c r="AN155" s="14"/>
      <c r="AO155" s="14"/>
      <c r="AP155" s="8"/>
      <c r="AQ155" s="8"/>
      <c r="AR155" s="8"/>
    </row>
    <row r="156" spans="1:44" ht="15.75" x14ac:dyDescent="0.25">
      <c r="A156" s="48"/>
      <c r="C156" s="634" t="s">
        <v>13</v>
      </c>
      <c r="D156" s="510"/>
      <c r="E156" s="510"/>
      <c r="F156" s="510"/>
      <c r="G156" s="510"/>
      <c r="H156" s="566"/>
      <c r="I156" s="67">
        <v>80</v>
      </c>
      <c r="J156" s="109">
        <v>23.95</v>
      </c>
      <c r="K156" s="89">
        <v>80</v>
      </c>
      <c r="L156" s="73">
        <v>2240</v>
      </c>
      <c r="M156" s="127">
        <v>127</v>
      </c>
      <c r="N156" s="38">
        <v>27.78</v>
      </c>
      <c r="O156" s="90">
        <v>127</v>
      </c>
      <c r="P156" s="66">
        <v>4131</v>
      </c>
      <c r="Q156" s="76"/>
      <c r="R156" s="63"/>
      <c r="S156" s="73"/>
      <c r="T156" s="73"/>
      <c r="U156" s="127">
        <v>120</v>
      </c>
      <c r="V156" s="38">
        <v>31.11</v>
      </c>
      <c r="W156" s="92">
        <v>22</v>
      </c>
      <c r="X156" s="66">
        <v>686</v>
      </c>
      <c r="Y156" s="64">
        <f t="shared" si="23"/>
        <v>327</v>
      </c>
      <c r="Z156" s="15">
        <f>Q88+Q89</f>
        <v>229</v>
      </c>
      <c r="AA156" s="94">
        <f>Y156-Z156</f>
        <v>98</v>
      </c>
      <c r="AB156" s="21">
        <f t="shared" si="26"/>
        <v>7057</v>
      </c>
      <c r="AC156" s="15">
        <f t="shared" si="29"/>
        <v>6128.48</v>
      </c>
      <c r="AD156" s="114">
        <f>AB156-AC156-14</f>
        <v>914.52000000000044</v>
      </c>
      <c r="AE156" s="13">
        <f t="shared" si="28"/>
        <v>3048.7799999999997</v>
      </c>
      <c r="AF156" s="12" t="s">
        <v>94</v>
      </c>
      <c r="AG156" s="128" t="s">
        <v>64</v>
      </c>
      <c r="AH156" s="128"/>
      <c r="AI156" s="128"/>
      <c r="AJ156" s="128"/>
      <c r="AK156" s="128"/>
      <c r="AL156" s="128"/>
      <c r="AM156" s="128" t="s">
        <v>66</v>
      </c>
      <c r="AN156" s="128"/>
      <c r="AO156" s="128"/>
      <c r="AP156" s="128"/>
      <c r="AQ156" s="128"/>
      <c r="AR156" s="128"/>
    </row>
    <row r="157" spans="1:44" ht="16.5" thickBot="1" x14ac:dyDescent="0.3">
      <c r="A157" s="48"/>
      <c r="C157" s="663" t="s">
        <v>53</v>
      </c>
      <c r="D157" s="664"/>
      <c r="E157" s="664"/>
      <c r="F157" s="664"/>
      <c r="G157" s="664"/>
      <c r="H157" s="681"/>
      <c r="I157" s="68"/>
      <c r="J157" s="110"/>
      <c r="K157" s="74"/>
      <c r="L157" s="74"/>
      <c r="M157" s="78">
        <v>5</v>
      </c>
      <c r="N157" s="69">
        <v>20.67</v>
      </c>
      <c r="O157" s="93">
        <v>0</v>
      </c>
      <c r="P157" s="71">
        <v>0</v>
      </c>
      <c r="Q157" s="77"/>
      <c r="R157" s="70"/>
      <c r="S157" s="74"/>
      <c r="T157" s="74"/>
      <c r="U157" s="78"/>
      <c r="V157" s="69">
        <v>21.91</v>
      </c>
      <c r="W157" s="86"/>
      <c r="X157" s="71"/>
      <c r="Y157" s="80">
        <f t="shared" si="23"/>
        <v>5</v>
      </c>
      <c r="Z157" s="81">
        <f>Q90</f>
        <v>0</v>
      </c>
      <c r="AA157" s="96">
        <f t="shared" si="25"/>
        <v>5</v>
      </c>
      <c r="AB157" s="21">
        <f t="shared" si="26"/>
        <v>0</v>
      </c>
      <c r="AC157" s="15">
        <f t="shared" si="29"/>
        <v>0</v>
      </c>
      <c r="AD157" s="114">
        <f t="shared" si="27"/>
        <v>0</v>
      </c>
      <c r="AE157" s="13">
        <f t="shared" si="28"/>
        <v>109.55</v>
      </c>
      <c r="AF157" s="12"/>
      <c r="AG157" s="12"/>
      <c r="AH157" s="12"/>
      <c r="AI157" s="12"/>
      <c r="AJ157" s="14"/>
      <c r="AK157" s="14"/>
      <c r="AL157" s="14"/>
      <c r="AM157" s="14"/>
      <c r="AN157" s="14"/>
      <c r="AO157" s="14"/>
      <c r="AP157" s="8"/>
      <c r="AQ157" s="8"/>
      <c r="AR157" s="8"/>
    </row>
    <row r="158" spans="1:44" x14ac:dyDescent="0.25">
      <c r="A158" s="48"/>
      <c r="C158" s="97" t="s">
        <v>90</v>
      </c>
      <c r="D158" s="26"/>
      <c r="E158" s="26"/>
      <c r="F158" s="26"/>
      <c r="G158" s="26"/>
      <c r="H158" s="26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2"/>
      <c r="Y158" s="12"/>
      <c r="Z158" s="12"/>
      <c r="AA158" s="12"/>
      <c r="AB158" s="111">
        <f>SUM(AB140:AB157)</f>
        <v>17885</v>
      </c>
      <c r="AC158" s="15">
        <f>SUM(AC140:AC157)</f>
        <v>14978.909999999998</v>
      </c>
      <c r="AD158" s="115">
        <f>SUM(AD140:AD157)</f>
        <v>2892.0900000000006</v>
      </c>
      <c r="AE158" s="11">
        <f>SUM(AE140:AE157)</f>
        <v>9879.3599999999969</v>
      </c>
      <c r="AF158" s="8"/>
    </row>
    <row r="159" spans="1:44" x14ac:dyDescent="0.25">
      <c r="A159" s="48"/>
      <c r="C159" s="26"/>
      <c r="D159" s="26"/>
      <c r="E159" s="26"/>
      <c r="F159" s="26"/>
      <c r="G159" s="26"/>
      <c r="H159" s="26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12">
        <f>AD158/AC158*100</f>
        <v>19.307746691848745</v>
      </c>
      <c r="AE159" s="8"/>
      <c r="AF159" s="8"/>
    </row>
    <row r="160" spans="1:44" ht="18.75" x14ac:dyDescent="0.25">
      <c r="A160" s="48"/>
      <c r="C160" s="620" t="s">
        <v>81</v>
      </c>
      <c r="D160" s="620"/>
      <c r="E160" s="620"/>
      <c r="F160" s="620"/>
      <c r="G160" s="620"/>
      <c r="H160" s="620"/>
      <c r="I160" s="620"/>
      <c r="J160" s="620"/>
      <c r="K160" s="620"/>
      <c r="L160" s="620"/>
      <c r="M160" s="620"/>
      <c r="N160" s="620"/>
      <c r="O160" s="620"/>
      <c r="P160" s="620"/>
      <c r="Q160" s="620"/>
      <c r="R160" s="620"/>
      <c r="S160" s="620"/>
      <c r="T160" s="620"/>
      <c r="U160" s="620"/>
      <c r="V160" s="620"/>
      <c r="W160" s="14"/>
      <c r="X160" s="14"/>
      <c r="Y160" s="14"/>
      <c r="Z160" s="14"/>
      <c r="AA160" s="14"/>
      <c r="AB160" s="14"/>
      <c r="AC160" s="14"/>
      <c r="AD160" s="8"/>
      <c r="AE160" s="8"/>
      <c r="AF160" s="8"/>
    </row>
    <row r="161" spans="1:38" ht="24" x14ac:dyDescent="0.25">
      <c r="A161" s="48"/>
      <c r="C161" s="612" t="s">
        <v>2</v>
      </c>
      <c r="D161" s="612"/>
      <c r="E161" s="612"/>
      <c r="F161" s="612"/>
      <c r="G161" s="612"/>
      <c r="H161" s="37"/>
      <c r="I161" s="98">
        <v>1</v>
      </c>
      <c r="J161" s="39" t="s">
        <v>91</v>
      </c>
      <c r="K161" s="87" t="s">
        <v>89</v>
      </c>
      <c r="L161" s="84" t="s">
        <v>88</v>
      </c>
      <c r="M161" s="45">
        <v>2</v>
      </c>
      <c r="N161" s="21" t="s">
        <v>91</v>
      </c>
      <c r="O161" s="99" t="s">
        <v>89</v>
      </c>
      <c r="P161" s="83" t="s">
        <v>88</v>
      </c>
      <c r="Q161" s="64" t="s">
        <v>77</v>
      </c>
      <c r="R161" s="15" t="s">
        <v>78</v>
      </c>
      <c r="S161" s="15" t="s">
        <v>79</v>
      </c>
      <c r="T161" s="15" t="s">
        <v>92</v>
      </c>
      <c r="U161" s="15" t="s">
        <v>91</v>
      </c>
      <c r="V161" s="114" t="s">
        <v>75</v>
      </c>
      <c r="W161" s="13" t="s">
        <v>102</v>
      </c>
      <c r="X161" s="14"/>
      <c r="Y161" s="14"/>
      <c r="Z161" s="14"/>
      <c r="AA161" s="14"/>
      <c r="AB161" s="14"/>
      <c r="AC161" s="49"/>
      <c r="AD161" s="14"/>
      <c r="AE161" s="14"/>
      <c r="AF161" s="14"/>
      <c r="AG161" s="14"/>
      <c r="AH161" s="14"/>
      <c r="AI161" s="14"/>
      <c r="AJ161" s="8"/>
      <c r="AK161" s="8"/>
      <c r="AL161" s="8"/>
    </row>
    <row r="162" spans="1:38" x14ac:dyDescent="0.25">
      <c r="A162" s="48"/>
      <c r="C162" s="510" t="s">
        <v>14</v>
      </c>
      <c r="D162" s="510"/>
      <c r="E162" s="510"/>
      <c r="F162" s="510"/>
      <c r="G162" s="510"/>
      <c r="H162" s="510"/>
      <c r="I162" s="28">
        <v>3</v>
      </c>
      <c r="J162" s="28">
        <v>75</v>
      </c>
      <c r="K162" s="118">
        <v>1</v>
      </c>
      <c r="L162" s="28">
        <v>90</v>
      </c>
      <c r="M162" s="15"/>
      <c r="N162" s="15">
        <v>75</v>
      </c>
      <c r="O162" s="27"/>
      <c r="P162" s="15"/>
      <c r="Q162" s="64">
        <f t="shared" ref="Q162:Q167" si="30">I162+M162</f>
        <v>3</v>
      </c>
      <c r="R162" s="15">
        <f>Q91</f>
        <v>1</v>
      </c>
      <c r="S162" s="94">
        <f t="shared" ref="S162:S167" si="31">Q162-R162</f>
        <v>2</v>
      </c>
      <c r="T162" s="15">
        <f t="shared" ref="T162:T167" si="32">L162+P162</f>
        <v>90</v>
      </c>
      <c r="U162" s="15">
        <f t="shared" ref="U162:U167" si="33">K162*J162+O162*N162</f>
        <v>75</v>
      </c>
      <c r="V162" s="15">
        <f t="shared" ref="V162:V167" si="34">T162-U162</f>
        <v>15</v>
      </c>
      <c r="W162" s="13">
        <f t="shared" ref="W162:W167" si="35">S162*N162</f>
        <v>150</v>
      </c>
      <c r="X162" s="14"/>
      <c r="Y162" s="14"/>
      <c r="Z162" s="14"/>
      <c r="AA162" s="14"/>
      <c r="AB162" s="14"/>
      <c r="AC162" s="49"/>
      <c r="AD162" s="14"/>
      <c r="AE162" s="14"/>
      <c r="AF162" s="14"/>
      <c r="AG162" s="14"/>
      <c r="AH162" s="14"/>
      <c r="AI162" s="14"/>
      <c r="AJ162" s="8"/>
      <c r="AK162" s="8"/>
      <c r="AL162" s="8"/>
    </row>
    <row r="163" spans="1:38" x14ac:dyDescent="0.25">
      <c r="A163" s="48"/>
      <c r="C163" s="510" t="s">
        <v>15</v>
      </c>
      <c r="D163" s="510"/>
      <c r="E163" s="510"/>
      <c r="F163" s="510"/>
      <c r="G163" s="510"/>
      <c r="H163" s="510"/>
      <c r="I163" s="28">
        <v>3</v>
      </c>
      <c r="J163" s="28">
        <v>80</v>
      </c>
      <c r="K163" s="119">
        <v>3</v>
      </c>
      <c r="L163" s="28">
        <v>285</v>
      </c>
      <c r="M163" s="15">
        <v>3</v>
      </c>
      <c r="N163" s="129">
        <v>80</v>
      </c>
      <c r="O163" s="117">
        <v>2</v>
      </c>
      <c r="P163" s="15">
        <v>220</v>
      </c>
      <c r="Q163" s="64">
        <f t="shared" si="30"/>
        <v>6</v>
      </c>
      <c r="R163" s="15">
        <f>Q92</f>
        <v>5</v>
      </c>
      <c r="S163" s="94">
        <f t="shared" si="31"/>
        <v>1</v>
      </c>
      <c r="T163" s="15">
        <f t="shared" si="32"/>
        <v>505</v>
      </c>
      <c r="U163" s="15">
        <f t="shared" si="33"/>
        <v>400</v>
      </c>
      <c r="V163" s="15">
        <f t="shared" si="34"/>
        <v>105</v>
      </c>
      <c r="W163" s="13">
        <f t="shared" si="35"/>
        <v>80</v>
      </c>
      <c r="X163" s="14"/>
      <c r="Y163" s="14"/>
      <c r="Z163" s="14"/>
      <c r="AA163" s="14"/>
      <c r="AB163" s="14"/>
      <c r="AC163" s="49"/>
      <c r="AD163" s="14"/>
      <c r="AE163" s="14"/>
      <c r="AF163" s="14"/>
      <c r="AG163" s="14"/>
      <c r="AH163" s="14"/>
      <c r="AI163" s="14"/>
      <c r="AJ163" s="8"/>
      <c r="AK163" s="8"/>
      <c r="AL163" s="8"/>
    </row>
    <row r="164" spans="1:38" x14ac:dyDescent="0.25">
      <c r="A164" s="48"/>
      <c r="C164" s="510" t="s">
        <v>16</v>
      </c>
      <c r="D164" s="510"/>
      <c r="E164" s="510"/>
      <c r="F164" s="510"/>
      <c r="G164" s="510"/>
      <c r="H164" s="510"/>
      <c r="I164" s="28">
        <v>3</v>
      </c>
      <c r="J164" s="28">
        <v>120</v>
      </c>
      <c r="K164" s="119">
        <v>3</v>
      </c>
      <c r="L164" s="28">
        <v>405</v>
      </c>
      <c r="M164" s="15">
        <v>3</v>
      </c>
      <c r="N164" s="15">
        <v>120</v>
      </c>
      <c r="O164" s="27">
        <v>0</v>
      </c>
      <c r="P164" s="15">
        <v>0</v>
      </c>
      <c r="Q164" s="64">
        <f t="shared" si="30"/>
        <v>6</v>
      </c>
      <c r="R164" s="15">
        <f>Q93</f>
        <v>3</v>
      </c>
      <c r="S164" s="94">
        <f t="shared" si="31"/>
        <v>3</v>
      </c>
      <c r="T164" s="15">
        <f t="shared" si="32"/>
        <v>405</v>
      </c>
      <c r="U164" s="15">
        <f t="shared" si="33"/>
        <v>360</v>
      </c>
      <c r="V164" s="15">
        <f t="shared" si="34"/>
        <v>45</v>
      </c>
      <c r="W164" s="13">
        <f t="shared" si="35"/>
        <v>360</v>
      </c>
      <c r="X164" s="14"/>
      <c r="Y164" s="14"/>
      <c r="Z164" s="14"/>
      <c r="AA164" s="14"/>
      <c r="AB164" s="14"/>
      <c r="AC164" s="49"/>
      <c r="AD164" s="14"/>
      <c r="AE164" s="14"/>
      <c r="AF164" s="14"/>
      <c r="AG164" s="14"/>
      <c r="AH164" s="14"/>
      <c r="AI164" s="14"/>
      <c r="AJ164" s="8"/>
      <c r="AK164" s="8"/>
      <c r="AL164" s="8"/>
    </row>
    <row r="165" spans="1:38" x14ac:dyDescent="0.25">
      <c r="A165" s="48"/>
      <c r="C165" s="510" t="s">
        <v>17</v>
      </c>
      <c r="D165" s="510"/>
      <c r="E165" s="510"/>
      <c r="F165" s="510"/>
      <c r="G165" s="510"/>
      <c r="H165" s="566"/>
      <c r="I165" s="28">
        <v>3</v>
      </c>
      <c r="J165" s="28">
        <v>120</v>
      </c>
      <c r="K165" s="118">
        <v>0</v>
      </c>
      <c r="L165" s="28">
        <v>0</v>
      </c>
      <c r="M165" s="15"/>
      <c r="N165" s="15">
        <v>120</v>
      </c>
      <c r="O165" s="27"/>
      <c r="P165" s="15"/>
      <c r="Q165" s="64">
        <f t="shared" si="30"/>
        <v>3</v>
      </c>
      <c r="R165" s="15">
        <f>Q95</f>
        <v>0</v>
      </c>
      <c r="S165" s="94">
        <f t="shared" si="31"/>
        <v>3</v>
      </c>
      <c r="T165" s="15">
        <f t="shared" si="32"/>
        <v>0</v>
      </c>
      <c r="U165" s="15">
        <f t="shared" si="33"/>
        <v>0</v>
      </c>
      <c r="V165" s="15">
        <f t="shared" si="34"/>
        <v>0</v>
      </c>
      <c r="W165" s="13">
        <f t="shared" si="35"/>
        <v>360</v>
      </c>
      <c r="X165" s="14"/>
      <c r="Y165" s="14"/>
      <c r="Z165" s="14"/>
      <c r="AA165" s="14"/>
      <c r="AB165" s="14"/>
      <c r="AC165" s="49"/>
      <c r="AD165" s="14"/>
      <c r="AE165" s="14"/>
      <c r="AF165" s="14"/>
      <c r="AG165" s="14"/>
      <c r="AH165" s="14"/>
      <c r="AI165" s="14"/>
      <c r="AJ165" s="8"/>
      <c r="AK165" s="8"/>
      <c r="AL165" s="8"/>
    </row>
    <row r="166" spans="1:38" x14ac:dyDescent="0.25">
      <c r="A166" s="48"/>
      <c r="C166" s="510" t="s">
        <v>18</v>
      </c>
      <c r="D166" s="510"/>
      <c r="E166" s="510"/>
      <c r="F166" s="510"/>
      <c r="G166" s="510"/>
      <c r="H166" s="566"/>
      <c r="I166" s="28">
        <v>2</v>
      </c>
      <c r="J166" s="28">
        <v>210</v>
      </c>
      <c r="K166" s="118">
        <v>1</v>
      </c>
      <c r="L166" s="28">
        <v>240</v>
      </c>
      <c r="M166" s="15"/>
      <c r="N166" s="15">
        <v>210</v>
      </c>
      <c r="O166" s="27"/>
      <c r="P166" s="15"/>
      <c r="Q166" s="64">
        <f t="shared" si="30"/>
        <v>2</v>
      </c>
      <c r="R166" s="15">
        <f>Q97</f>
        <v>1</v>
      </c>
      <c r="S166" s="94">
        <f t="shared" si="31"/>
        <v>1</v>
      </c>
      <c r="T166" s="15">
        <f t="shared" si="32"/>
        <v>240</v>
      </c>
      <c r="U166" s="15">
        <f t="shared" si="33"/>
        <v>210</v>
      </c>
      <c r="V166" s="15">
        <f t="shared" si="34"/>
        <v>30</v>
      </c>
      <c r="W166" s="13">
        <f t="shared" si="35"/>
        <v>210</v>
      </c>
      <c r="X166" s="14"/>
      <c r="Y166" s="14"/>
      <c r="Z166" s="14"/>
      <c r="AA166" s="14"/>
      <c r="AB166" s="14"/>
      <c r="AC166" s="49"/>
      <c r="AD166" s="14"/>
      <c r="AE166" s="14"/>
      <c r="AF166" s="14"/>
      <c r="AG166" s="14"/>
      <c r="AH166" s="14"/>
      <c r="AI166" s="14"/>
      <c r="AJ166" s="8"/>
      <c r="AK166" s="8"/>
      <c r="AL166" s="8"/>
    </row>
    <row r="167" spans="1:38" x14ac:dyDescent="0.25">
      <c r="A167" s="48"/>
      <c r="C167" s="510" t="s">
        <v>19</v>
      </c>
      <c r="D167" s="510"/>
      <c r="E167" s="510"/>
      <c r="F167" s="510"/>
      <c r="G167" s="510"/>
      <c r="H167" s="566"/>
      <c r="I167" s="28">
        <v>1</v>
      </c>
      <c r="J167" s="28">
        <v>250</v>
      </c>
      <c r="K167" s="118">
        <v>0</v>
      </c>
      <c r="L167" s="28">
        <v>0</v>
      </c>
      <c r="M167" s="15"/>
      <c r="N167" s="15">
        <v>250</v>
      </c>
      <c r="O167" s="27"/>
      <c r="P167" s="15"/>
      <c r="Q167" s="64">
        <f t="shared" si="30"/>
        <v>1</v>
      </c>
      <c r="R167" s="15">
        <f>Q98</f>
        <v>0</v>
      </c>
      <c r="S167" s="94">
        <f t="shared" si="31"/>
        <v>1</v>
      </c>
      <c r="T167" s="15">
        <f t="shared" si="32"/>
        <v>0</v>
      </c>
      <c r="U167" s="15">
        <f t="shared" si="33"/>
        <v>0</v>
      </c>
      <c r="V167" s="15">
        <f t="shared" si="34"/>
        <v>0</v>
      </c>
      <c r="W167" s="13">
        <f t="shared" si="35"/>
        <v>250</v>
      </c>
      <c r="X167" s="14"/>
      <c r="Y167" s="14"/>
      <c r="Z167" s="14"/>
      <c r="AA167" s="14"/>
      <c r="AB167" s="14"/>
      <c r="AC167" s="49"/>
      <c r="AD167" s="14"/>
      <c r="AE167" s="14"/>
      <c r="AF167" s="14"/>
      <c r="AG167" s="14"/>
      <c r="AH167" s="14"/>
      <c r="AI167" s="14"/>
      <c r="AJ167" s="8"/>
      <c r="AK167" s="8"/>
      <c r="AL167" s="8"/>
    </row>
    <row r="168" spans="1:38" x14ac:dyDescent="0.25">
      <c r="A168" s="48"/>
      <c r="C168" s="97" t="s">
        <v>90</v>
      </c>
      <c r="D168" s="26"/>
      <c r="E168" s="26"/>
      <c r="F168" s="26"/>
      <c r="G168" s="26"/>
      <c r="H168" s="26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5">
        <f>SUM(T162:T167)</f>
        <v>1240</v>
      </c>
      <c r="U168" s="15">
        <f>SUM(U162:U167)</f>
        <v>1045</v>
      </c>
      <c r="V168" s="15">
        <f>SUM(V162:V167)</f>
        <v>195</v>
      </c>
      <c r="W168" s="11">
        <f>SUM(W162:W167)</f>
        <v>1410</v>
      </c>
      <c r="X168" s="14"/>
      <c r="Y168" s="14"/>
      <c r="Z168" s="14"/>
      <c r="AA168" s="14"/>
      <c r="AB168" s="14"/>
      <c r="AC168" s="14"/>
      <c r="AD168" s="8"/>
      <c r="AE168" s="8"/>
      <c r="AF168" s="8"/>
    </row>
    <row r="169" spans="1:38" x14ac:dyDescent="0.25">
      <c r="A169" s="48"/>
      <c r="C169" s="97"/>
      <c r="D169" s="26"/>
      <c r="E169" s="26"/>
      <c r="F169" s="26"/>
      <c r="G169" s="26"/>
      <c r="H169" s="26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21">
        <f>V168/U168*100</f>
        <v>18.660287081339714</v>
      </c>
      <c r="W169" s="121"/>
      <c r="X169" s="14"/>
      <c r="Y169" s="14"/>
      <c r="Z169" s="14"/>
      <c r="AA169" s="14"/>
      <c r="AB169" s="14"/>
      <c r="AC169" s="14"/>
      <c r="AD169" s="8"/>
      <c r="AE169" s="8"/>
      <c r="AF169" s="8"/>
    </row>
    <row r="170" spans="1:38" x14ac:dyDescent="0.25">
      <c r="A170" s="48"/>
      <c r="C170" s="97"/>
      <c r="D170" s="26"/>
      <c r="E170" s="26"/>
      <c r="F170" s="26"/>
      <c r="G170" s="26"/>
      <c r="H170" s="26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21"/>
      <c r="X170" s="14"/>
      <c r="Y170" s="14"/>
      <c r="Z170" s="14"/>
      <c r="AA170" s="14"/>
      <c r="AB170" s="14"/>
      <c r="AC170" s="14"/>
      <c r="AD170" s="8"/>
      <c r="AE170" s="8"/>
      <c r="AF170" s="8"/>
    </row>
    <row r="171" spans="1:38" x14ac:dyDescent="0.25">
      <c r="A171" s="48"/>
      <c r="C171" s="97"/>
      <c r="D171" s="26"/>
      <c r="E171" s="26"/>
      <c r="F171" s="26"/>
      <c r="G171" s="26"/>
      <c r="H171" s="26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21"/>
      <c r="X171" s="14"/>
      <c r="Y171" s="14"/>
      <c r="Z171" s="14"/>
      <c r="AA171" s="14"/>
      <c r="AB171" s="14"/>
      <c r="AC171" s="14"/>
      <c r="AD171" s="8"/>
      <c r="AE171" s="8"/>
      <c r="AF171" s="8"/>
    </row>
    <row r="172" spans="1:38" ht="18.75" x14ac:dyDescent="0.25">
      <c r="A172" s="48"/>
      <c r="C172" s="620" t="s">
        <v>98</v>
      </c>
      <c r="D172" s="620"/>
      <c r="E172" s="620"/>
      <c r="F172" s="620"/>
      <c r="G172" s="620"/>
      <c r="H172" s="620"/>
      <c r="I172" s="620"/>
      <c r="J172" s="620"/>
      <c r="K172" s="620"/>
      <c r="L172" s="620"/>
      <c r="M172" s="620"/>
      <c r="N172" s="620"/>
      <c r="O172" s="620"/>
      <c r="P172" s="620"/>
      <c r="Q172" s="620"/>
      <c r="R172" s="620"/>
      <c r="S172" s="620"/>
      <c r="T172" s="620"/>
      <c r="U172" s="620"/>
      <c r="V172" s="620"/>
      <c r="W172" s="121"/>
      <c r="X172" s="14"/>
      <c r="Y172" s="14"/>
      <c r="Z172" s="14"/>
      <c r="AA172" s="14"/>
      <c r="AB172" s="14"/>
      <c r="AC172" s="14"/>
      <c r="AD172" s="8"/>
      <c r="AE172" s="8"/>
      <c r="AF172" s="8"/>
    </row>
    <row r="173" spans="1:38" ht="24" x14ac:dyDescent="0.25">
      <c r="A173" s="48"/>
      <c r="C173" s="612" t="s">
        <v>2</v>
      </c>
      <c r="D173" s="612"/>
      <c r="E173" s="612"/>
      <c r="F173" s="612"/>
      <c r="G173" s="612"/>
      <c r="H173" s="37"/>
      <c r="I173" s="98">
        <v>1</v>
      </c>
      <c r="J173" s="39" t="s">
        <v>91</v>
      </c>
      <c r="K173" s="87" t="s">
        <v>89</v>
      </c>
      <c r="L173" s="84" t="s">
        <v>88</v>
      </c>
      <c r="M173" s="45">
        <v>2</v>
      </c>
      <c r="N173" s="21" t="s">
        <v>91</v>
      </c>
      <c r="O173" s="99" t="s">
        <v>89</v>
      </c>
      <c r="P173" s="83" t="s">
        <v>88</v>
      </c>
      <c r="Q173" s="64" t="s">
        <v>77</v>
      </c>
      <c r="R173" s="15" t="s">
        <v>78</v>
      </c>
      <c r="S173" s="15" t="s">
        <v>79</v>
      </c>
      <c r="T173" s="15" t="s">
        <v>92</v>
      </c>
      <c r="U173" s="15" t="s">
        <v>91</v>
      </c>
      <c r="V173" s="114" t="s">
        <v>75</v>
      </c>
      <c r="W173" s="13" t="s">
        <v>102</v>
      </c>
      <c r="X173" s="14"/>
      <c r="Y173" s="14"/>
      <c r="Z173" s="14"/>
      <c r="AA173" s="14"/>
      <c r="AB173" s="14"/>
      <c r="AC173" s="14"/>
      <c r="AD173" s="8"/>
      <c r="AE173" s="8"/>
      <c r="AF173" s="8"/>
    </row>
    <row r="174" spans="1:38" x14ac:dyDescent="0.25">
      <c r="A174" s="48"/>
      <c r="C174" s="510" t="s">
        <v>16</v>
      </c>
      <c r="D174" s="510"/>
      <c r="E174" s="510"/>
      <c r="F174" s="510"/>
      <c r="G174" s="510"/>
      <c r="H174" s="510"/>
      <c r="I174" s="28">
        <v>6</v>
      </c>
      <c r="J174" s="28">
        <v>80</v>
      </c>
      <c r="K174" s="118">
        <v>5</v>
      </c>
      <c r="L174" s="28">
        <v>500</v>
      </c>
      <c r="M174" s="15"/>
      <c r="N174" s="15">
        <v>80</v>
      </c>
      <c r="O174" s="15"/>
      <c r="P174" s="15"/>
      <c r="Q174" s="64">
        <f>I174+M174</f>
        <v>6</v>
      </c>
      <c r="R174" s="15">
        <f>Q94</f>
        <v>5</v>
      </c>
      <c r="S174" s="94">
        <f>Q174-R174</f>
        <v>1</v>
      </c>
      <c r="T174" s="15">
        <f>L174+P174</f>
        <v>500</v>
      </c>
      <c r="U174" s="15">
        <f>K174*J174+O174*N174</f>
        <v>400</v>
      </c>
      <c r="V174" s="15">
        <f>T174-U174</f>
        <v>100</v>
      </c>
      <c r="W174" s="13">
        <f>S174*N174</f>
        <v>80</v>
      </c>
      <c r="X174" s="14"/>
      <c r="Y174" s="14"/>
      <c r="Z174" s="14"/>
      <c r="AA174" s="14"/>
      <c r="AB174" s="14"/>
      <c r="AC174" s="14"/>
      <c r="AD174" s="8"/>
      <c r="AE174" s="8"/>
      <c r="AF174" s="8"/>
    </row>
    <row r="175" spans="1:38" x14ac:dyDescent="0.25">
      <c r="A175" s="48"/>
      <c r="C175" s="510" t="s">
        <v>97</v>
      </c>
      <c r="D175" s="510"/>
      <c r="E175" s="510"/>
      <c r="F175" s="510"/>
      <c r="G175" s="510"/>
      <c r="H175" s="510"/>
      <c r="I175" s="28">
        <v>3</v>
      </c>
      <c r="J175" s="28">
        <v>80</v>
      </c>
      <c r="K175" s="119">
        <v>3</v>
      </c>
      <c r="L175" s="28">
        <v>300</v>
      </c>
      <c r="M175" s="15"/>
      <c r="N175" s="1">
        <v>80</v>
      </c>
      <c r="O175" s="117"/>
      <c r="P175" s="15"/>
      <c r="Q175" s="64">
        <f>I175+M175</f>
        <v>3</v>
      </c>
      <c r="R175" s="15">
        <f>Q96</f>
        <v>3</v>
      </c>
      <c r="S175" s="94">
        <f>Q175-R175</f>
        <v>0</v>
      </c>
      <c r="T175" s="15">
        <f>L175+P175</f>
        <v>300</v>
      </c>
      <c r="U175" s="15">
        <f>K175*J175+O175*N175</f>
        <v>240</v>
      </c>
      <c r="V175" s="15">
        <f>T175-U175</f>
        <v>60</v>
      </c>
      <c r="W175" s="13">
        <f>S175*N175</f>
        <v>0</v>
      </c>
      <c r="X175" s="14"/>
      <c r="Y175" s="14"/>
      <c r="Z175" s="14"/>
      <c r="AA175" s="14"/>
      <c r="AB175" s="14"/>
      <c r="AC175" s="14"/>
      <c r="AD175" s="8"/>
      <c r="AE175" s="8"/>
      <c r="AF175" s="8"/>
    </row>
    <row r="176" spans="1:38" x14ac:dyDescent="0.25">
      <c r="A176" s="48"/>
      <c r="C176" s="97" t="s">
        <v>90</v>
      </c>
      <c r="D176" s="26"/>
      <c r="E176" s="26"/>
      <c r="F176" s="26"/>
      <c r="G176" s="26"/>
      <c r="H176" s="26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5">
        <f>SUM(T174:T175)</f>
        <v>800</v>
      </c>
      <c r="U176" s="15">
        <f>SUM(U174:U175)</f>
        <v>640</v>
      </c>
      <c r="V176" s="15">
        <f>SUM(V174:V175)</f>
        <v>160</v>
      </c>
      <c r="W176" s="11">
        <f>SUM(W174:W175)</f>
        <v>80</v>
      </c>
      <c r="X176" s="14"/>
      <c r="Y176" s="14"/>
      <c r="Z176" s="14"/>
      <c r="AA176" s="14"/>
      <c r="AB176" s="14"/>
      <c r="AC176" s="14"/>
      <c r="AD176" s="8"/>
      <c r="AE176" s="8"/>
      <c r="AF176" s="8"/>
    </row>
    <row r="177" spans="1:38" x14ac:dyDescent="0.25">
      <c r="A177" s="48"/>
      <c r="C177" s="97"/>
      <c r="D177" s="26"/>
      <c r="E177" s="26"/>
      <c r="F177" s="26"/>
      <c r="G177" s="26"/>
      <c r="H177" s="26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21">
        <f>V176/U176*100</f>
        <v>25</v>
      </c>
      <c r="W177" s="121"/>
      <c r="X177" s="14"/>
      <c r="Y177" s="14"/>
      <c r="Z177" s="14"/>
      <c r="AA177" s="14"/>
      <c r="AB177" s="14"/>
      <c r="AC177" s="14"/>
      <c r="AD177" s="8"/>
      <c r="AE177" s="8"/>
      <c r="AF177" s="8"/>
    </row>
    <row r="178" spans="1:38" x14ac:dyDescent="0.25">
      <c r="A178" s="48"/>
      <c r="C178" s="97"/>
      <c r="D178" s="26"/>
      <c r="E178" s="26"/>
      <c r="F178" s="26"/>
      <c r="G178" s="26"/>
      <c r="H178" s="26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21"/>
      <c r="X178" s="14"/>
      <c r="Y178" s="14"/>
      <c r="Z178" s="14"/>
      <c r="AA178" s="14"/>
      <c r="AB178" s="14"/>
      <c r="AC178" s="14"/>
      <c r="AD178" s="8"/>
      <c r="AE178" s="8"/>
      <c r="AF178" s="8"/>
    </row>
    <row r="179" spans="1:38" x14ac:dyDescent="0.25">
      <c r="A179" s="48"/>
      <c r="C179" s="26"/>
      <c r="D179" s="26"/>
      <c r="E179" s="26"/>
      <c r="F179" s="26"/>
      <c r="G179" s="26"/>
      <c r="H179" s="26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8"/>
      <c r="AE179" s="8"/>
      <c r="AF179" s="8"/>
    </row>
    <row r="180" spans="1:38" ht="18.75" x14ac:dyDescent="0.25">
      <c r="A180" s="48"/>
      <c r="C180" s="620" t="s">
        <v>82</v>
      </c>
      <c r="D180" s="620"/>
      <c r="E180" s="620"/>
      <c r="F180" s="620"/>
      <c r="G180" s="620"/>
      <c r="H180" s="620"/>
      <c r="I180" s="620"/>
      <c r="J180" s="620"/>
      <c r="K180" s="620"/>
      <c r="L180" s="620"/>
      <c r="M180" s="620"/>
      <c r="N180" s="620"/>
      <c r="O180" s="620"/>
      <c r="P180" s="620"/>
      <c r="Q180" s="620"/>
      <c r="R180" s="620"/>
      <c r="S180" s="620"/>
      <c r="T180" s="620"/>
      <c r="U180" s="620"/>
      <c r="V180" s="620"/>
      <c r="W180" s="14"/>
      <c r="X180" s="14"/>
      <c r="Y180" s="14"/>
      <c r="Z180" s="14"/>
      <c r="AA180" s="14"/>
      <c r="AB180" s="14"/>
      <c r="AC180" s="14"/>
      <c r="AD180" s="8"/>
      <c r="AE180" s="8"/>
      <c r="AF180" s="8"/>
    </row>
    <row r="181" spans="1:38" ht="24" x14ac:dyDescent="0.25">
      <c r="A181" s="48"/>
      <c r="C181" s="645" t="s">
        <v>2</v>
      </c>
      <c r="D181" s="645"/>
      <c r="E181" s="645"/>
      <c r="F181" s="645"/>
      <c r="G181" s="645"/>
      <c r="H181" s="26"/>
      <c r="I181" s="105">
        <v>1</v>
      </c>
      <c r="J181" s="39" t="s">
        <v>91</v>
      </c>
      <c r="K181" s="87" t="s">
        <v>89</v>
      </c>
      <c r="L181" s="84" t="s">
        <v>88</v>
      </c>
      <c r="M181" s="46">
        <v>2</v>
      </c>
      <c r="N181" s="21" t="s">
        <v>91</v>
      </c>
      <c r="O181" s="99" t="s">
        <v>89</v>
      </c>
      <c r="P181" s="107" t="s">
        <v>88</v>
      </c>
      <c r="Q181" s="15" t="s">
        <v>77</v>
      </c>
      <c r="R181" s="15" t="s">
        <v>78</v>
      </c>
      <c r="S181" s="15" t="s">
        <v>79</v>
      </c>
      <c r="T181" s="15" t="s">
        <v>92</v>
      </c>
      <c r="U181" s="15" t="s">
        <v>91</v>
      </c>
      <c r="V181" s="114" t="s">
        <v>75</v>
      </c>
      <c r="W181" s="13" t="s">
        <v>102</v>
      </c>
      <c r="X181" s="14"/>
      <c r="Y181" s="14"/>
      <c r="Z181" s="14"/>
      <c r="AA181" s="14"/>
      <c r="AB181" s="14"/>
      <c r="AC181" s="49"/>
      <c r="AD181" s="14"/>
      <c r="AE181" s="14"/>
      <c r="AF181" s="14"/>
      <c r="AG181" s="14"/>
      <c r="AH181" s="14"/>
      <c r="AI181" s="14"/>
      <c r="AJ181" s="8"/>
      <c r="AK181" s="8"/>
      <c r="AL181" s="8"/>
    </row>
    <row r="182" spans="1:38" ht="15.75" x14ac:dyDescent="0.25">
      <c r="A182" s="48"/>
      <c r="C182" s="510" t="s">
        <v>20</v>
      </c>
      <c r="D182" s="510"/>
      <c r="E182" s="510"/>
      <c r="F182" s="510"/>
      <c r="G182" s="510"/>
      <c r="H182" s="566"/>
      <c r="I182" s="28">
        <v>28</v>
      </c>
      <c r="J182" s="28">
        <v>3.45</v>
      </c>
      <c r="K182" s="118">
        <v>2</v>
      </c>
      <c r="L182" s="28">
        <f t="shared" ref="L182:L210" si="36">S99</f>
        <v>11</v>
      </c>
      <c r="M182" s="15"/>
      <c r="N182" s="172">
        <v>4.9763999999999999</v>
      </c>
      <c r="O182" s="15"/>
      <c r="P182" s="15"/>
      <c r="Q182" s="15">
        <f>I182+M182</f>
        <v>28</v>
      </c>
      <c r="R182" s="15">
        <f t="shared" ref="R182:R210" si="37">Q99</f>
        <v>2</v>
      </c>
      <c r="S182" s="44">
        <f>Q182-R182</f>
        <v>26</v>
      </c>
      <c r="T182" s="21">
        <f>L182</f>
        <v>11</v>
      </c>
      <c r="U182" s="15">
        <f>K182*J182</f>
        <v>6.9</v>
      </c>
      <c r="V182" s="114">
        <f>T182-U182</f>
        <v>4.0999999999999996</v>
      </c>
      <c r="W182" s="13">
        <f>S182*N182</f>
        <v>129.38640000000001</v>
      </c>
      <c r="X182" s="14"/>
      <c r="Y182" s="14"/>
      <c r="Z182" s="14"/>
      <c r="AA182" s="14"/>
      <c r="AB182" s="14"/>
      <c r="AC182" s="49"/>
      <c r="AD182" s="14"/>
      <c r="AE182" s="14"/>
      <c r="AF182" s="14"/>
      <c r="AG182" s="14"/>
      <c r="AH182" s="14"/>
      <c r="AI182" s="14"/>
      <c r="AJ182" s="8"/>
      <c r="AK182" s="8"/>
      <c r="AL182" s="8"/>
    </row>
    <row r="183" spans="1:38" ht="15.75" x14ac:dyDescent="0.25">
      <c r="A183" s="48"/>
      <c r="C183" s="510" t="s">
        <v>21</v>
      </c>
      <c r="D183" s="510"/>
      <c r="E183" s="510"/>
      <c r="F183" s="510"/>
      <c r="G183" s="510"/>
      <c r="H183" s="566"/>
      <c r="I183" s="28">
        <v>8</v>
      </c>
      <c r="J183" s="28">
        <v>7.66</v>
      </c>
      <c r="K183" s="118">
        <v>1</v>
      </c>
      <c r="L183" s="28">
        <f t="shared" si="36"/>
        <v>13</v>
      </c>
      <c r="M183" s="15"/>
      <c r="N183" s="172">
        <v>11.7508</v>
      </c>
      <c r="O183" s="15"/>
      <c r="P183" s="15"/>
      <c r="Q183" s="15">
        <f t="shared" ref="Q183:Q210" si="38">I183+M183</f>
        <v>8</v>
      </c>
      <c r="R183" s="15">
        <f t="shared" si="37"/>
        <v>1</v>
      </c>
      <c r="S183" s="44">
        <f t="shared" ref="S183:S210" si="39">Q183-R183</f>
        <v>7</v>
      </c>
      <c r="T183" s="21">
        <f t="shared" ref="T183:T210" si="40">L183</f>
        <v>13</v>
      </c>
      <c r="U183" s="15">
        <f t="shared" ref="U183:U210" si="41">K183*J183</f>
        <v>7.66</v>
      </c>
      <c r="V183" s="114">
        <f t="shared" ref="V183:V210" si="42">T183-U183</f>
        <v>5.34</v>
      </c>
      <c r="W183" s="13">
        <f t="shared" ref="W183:W210" si="43">S183*N183</f>
        <v>82.255600000000001</v>
      </c>
      <c r="X183" s="14"/>
      <c r="Y183" s="14"/>
      <c r="Z183" s="14"/>
      <c r="AA183" s="14"/>
      <c r="AB183" s="14"/>
      <c r="AC183" s="49"/>
      <c r="AD183" s="14"/>
      <c r="AE183" s="14"/>
      <c r="AF183" s="14"/>
      <c r="AG183" s="14"/>
      <c r="AH183" s="14"/>
      <c r="AI183" s="14"/>
      <c r="AJ183" s="8"/>
      <c r="AK183" s="8"/>
      <c r="AL183" s="8"/>
    </row>
    <row r="184" spans="1:38" ht="15.75" x14ac:dyDescent="0.25">
      <c r="A184" s="48"/>
      <c r="C184" s="510" t="s">
        <v>22</v>
      </c>
      <c r="D184" s="510"/>
      <c r="E184" s="510"/>
      <c r="F184" s="510"/>
      <c r="G184" s="510"/>
      <c r="H184" s="566"/>
      <c r="I184" s="28">
        <v>12</v>
      </c>
      <c r="J184" s="28">
        <v>7.81</v>
      </c>
      <c r="K184" s="118">
        <v>4</v>
      </c>
      <c r="L184" s="28">
        <f t="shared" si="36"/>
        <v>44</v>
      </c>
      <c r="M184" s="15"/>
      <c r="N184" s="172">
        <v>10.555999999999999</v>
      </c>
      <c r="O184" s="15"/>
      <c r="P184" s="15"/>
      <c r="Q184" s="15">
        <f t="shared" si="38"/>
        <v>12</v>
      </c>
      <c r="R184" s="15">
        <f t="shared" si="37"/>
        <v>4</v>
      </c>
      <c r="S184" s="44">
        <f t="shared" si="39"/>
        <v>8</v>
      </c>
      <c r="T184" s="21">
        <f t="shared" si="40"/>
        <v>44</v>
      </c>
      <c r="U184" s="15">
        <f t="shared" si="41"/>
        <v>31.24</v>
      </c>
      <c r="V184" s="114">
        <f t="shared" si="42"/>
        <v>12.760000000000002</v>
      </c>
      <c r="W184" s="13">
        <f t="shared" si="43"/>
        <v>84.447999999999993</v>
      </c>
      <c r="X184" s="14"/>
      <c r="Y184" s="14"/>
      <c r="Z184" s="14"/>
      <c r="AA184" s="14"/>
      <c r="AB184" s="14"/>
      <c r="AC184" s="49"/>
      <c r="AD184" s="14"/>
      <c r="AE184" s="14"/>
      <c r="AF184" s="14"/>
      <c r="AG184" s="14"/>
      <c r="AH184" s="14"/>
      <c r="AI184" s="14"/>
      <c r="AJ184" s="8"/>
      <c r="AK184" s="8"/>
      <c r="AL184" s="8"/>
    </row>
    <row r="185" spans="1:38" ht="15.75" x14ac:dyDescent="0.25">
      <c r="A185" s="48"/>
      <c r="C185" s="510" t="s">
        <v>23</v>
      </c>
      <c r="D185" s="510"/>
      <c r="E185" s="510"/>
      <c r="F185" s="510"/>
      <c r="G185" s="510"/>
      <c r="H185" s="566"/>
      <c r="I185" s="28">
        <v>18</v>
      </c>
      <c r="J185" s="28">
        <v>1.9</v>
      </c>
      <c r="K185" s="118">
        <v>0</v>
      </c>
      <c r="L185" s="28">
        <f t="shared" si="36"/>
        <v>0</v>
      </c>
      <c r="M185" s="15"/>
      <c r="N185" s="172">
        <v>3.2827999999999999</v>
      </c>
      <c r="O185" s="15"/>
      <c r="P185" s="15"/>
      <c r="Q185" s="15">
        <f t="shared" si="38"/>
        <v>18</v>
      </c>
      <c r="R185" s="15">
        <f t="shared" si="37"/>
        <v>0</v>
      </c>
      <c r="S185" s="44">
        <f t="shared" si="39"/>
        <v>18</v>
      </c>
      <c r="T185" s="21">
        <f t="shared" si="40"/>
        <v>0</v>
      </c>
      <c r="U185" s="15">
        <f t="shared" si="41"/>
        <v>0</v>
      </c>
      <c r="V185" s="114">
        <f t="shared" si="42"/>
        <v>0</v>
      </c>
      <c r="W185" s="13">
        <f t="shared" si="43"/>
        <v>59.090400000000002</v>
      </c>
      <c r="X185" s="14"/>
      <c r="Y185" s="14"/>
      <c r="Z185" s="14"/>
      <c r="AA185" s="14"/>
      <c r="AB185" s="14"/>
      <c r="AC185" s="49"/>
      <c r="AD185" s="14"/>
      <c r="AE185" s="14"/>
      <c r="AF185" s="14"/>
      <c r="AG185" s="14"/>
      <c r="AH185" s="14"/>
      <c r="AI185" s="14"/>
      <c r="AJ185" s="8"/>
      <c r="AK185" s="8"/>
      <c r="AL185" s="8"/>
    </row>
    <row r="186" spans="1:38" ht="15.75" x14ac:dyDescent="0.25">
      <c r="A186" s="48"/>
      <c r="C186" s="510" t="s">
        <v>24</v>
      </c>
      <c r="D186" s="510"/>
      <c r="E186" s="510"/>
      <c r="F186" s="510"/>
      <c r="G186" s="510"/>
      <c r="H186" s="566"/>
      <c r="I186" s="28">
        <v>8</v>
      </c>
      <c r="J186" s="28">
        <v>4.29</v>
      </c>
      <c r="K186" s="118">
        <v>2</v>
      </c>
      <c r="L186" s="28">
        <f t="shared" si="36"/>
        <v>14.5</v>
      </c>
      <c r="M186" s="15"/>
      <c r="N186" s="172">
        <v>7.5399999999999991</v>
      </c>
      <c r="O186" s="15"/>
      <c r="P186" s="15"/>
      <c r="Q186" s="15">
        <f t="shared" si="38"/>
        <v>8</v>
      </c>
      <c r="R186" s="15">
        <f t="shared" si="37"/>
        <v>2</v>
      </c>
      <c r="S186" s="44">
        <f t="shared" si="39"/>
        <v>6</v>
      </c>
      <c r="T186" s="21">
        <f t="shared" si="40"/>
        <v>14.5</v>
      </c>
      <c r="U186" s="15">
        <f t="shared" si="41"/>
        <v>8.58</v>
      </c>
      <c r="V186" s="114">
        <f t="shared" si="42"/>
        <v>5.92</v>
      </c>
      <c r="W186" s="13">
        <f t="shared" si="43"/>
        <v>45.239999999999995</v>
      </c>
      <c r="X186" s="14"/>
      <c r="Y186" s="14"/>
      <c r="Z186" s="14"/>
      <c r="AA186" s="14"/>
      <c r="AB186" s="14"/>
      <c r="AC186" s="49"/>
      <c r="AD186" s="14"/>
      <c r="AE186" s="14"/>
      <c r="AF186" s="14"/>
      <c r="AG186" s="14"/>
      <c r="AH186" s="14"/>
      <c r="AI186" s="14"/>
      <c r="AJ186" s="8"/>
      <c r="AK186" s="8"/>
      <c r="AL186" s="8"/>
    </row>
    <row r="187" spans="1:38" ht="15.75" x14ac:dyDescent="0.25">
      <c r="A187" s="48"/>
      <c r="C187" s="510" t="s">
        <v>25</v>
      </c>
      <c r="D187" s="510"/>
      <c r="E187" s="510"/>
      <c r="F187" s="510"/>
      <c r="G187" s="510"/>
      <c r="H187" s="566"/>
      <c r="I187" s="28">
        <v>2</v>
      </c>
      <c r="J187" s="28">
        <v>18.059999999999999</v>
      </c>
      <c r="K187" s="118">
        <v>0</v>
      </c>
      <c r="L187" s="28">
        <f t="shared" si="36"/>
        <v>0</v>
      </c>
      <c r="M187" s="15"/>
      <c r="N187" s="172">
        <v>23.130400000000002</v>
      </c>
      <c r="O187" s="15"/>
      <c r="P187" s="15"/>
      <c r="Q187" s="15">
        <f t="shared" si="38"/>
        <v>2</v>
      </c>
      <c r="R187" s="15">
        <f t="shared" si="37"/>
        <v>0</v>
      </c>
      <c r="S187" s="44">
        <f t="shared" si="39"/>
        <v>2</v>
      </c>
      <c r="T187" s="21">
        <f t="shared" si="40"/>
        <v>0</v>
      </c>
      <c r="U187" s="15">
        <f t="shared" si="41"/>
        <v>0</v>
      </c>
      <c r="V187" s="114">
        <f t="shared" si="42"/>
        <v>0</v>
      </c>
      <c r="W187" s="13">
        <f t="shared" si="43"/>
        <v>46.260800000000003</v>
      </c>
      <c r="X187" s="14"/>
      <c r="Y187" s="14"/>
      <c r="Z187" s="14"/>
      <c r="AA187" s="14"/>
      <c r="AB187" s="14"/>
      <c r="AC187" s="49"/>
      <c r="AD187" s="14"/>
      <c r="AE187" s="14"/>
      <c r="AF187" s="14"/>
      <c r="AG187" s="14"/>
      <c r="AH187" s="14"/>
      <c r="AI187" s="14"/>
      <c r="AJ187" s="8"/>
      <c r="AK187" s="8"/>
      <c r="AL187" s="8"/>
    </row>
    <row r="188" spans="1:38" ht="15.75" x14ac:dyDescent="0.25">
      <c r="A188" s="48"/>
      <c r="C188" s="510" t="s">
        <v>26</v>
      </c>
      <c r="D188" s="510"/>
      <c r="E188" s="510"/>
      <c r="F188" s="510"/>
      <c r="G188" s="510"/>
      <c r="H188" s="566"/>
      <c r="I188" s="28">
        <v>2</v>
      </c>
      <c r="J188" s="28">
        <v>22.95</v>
      </c>
      <c r="K188" s="118">
        <v>0</v>
      </c>
      <c r="L188" s="28">
        <f t="shared" si="36"/>
        <v>0</v>
      </c>
      <c r="M188" s="15"/>
      <c r="N188" s="172">
        <v>36.818399999999997</v>
      </c>
      <c r="O188" s="15"/>
      <c r="P188" s="15"/>
      <c r="Q188" s="15">
        <f t="shared" si="38"/>
        <v>2</v>
      </c>
      <c r="R188" s="15">
        <f t="shared" si="37"/>
        <v>0</v>
      </c>
      <c r="S188" s="44">
        <f t="shared" si="39"/>
        <v>2</v>
      </c>
      <c r="T188" s="21">
        <f t="shared" si="40"/>
        <v>0</v>
      </c>
      <c r="U188" s="15">
        <f t="shared" si="41"/>
        <v>0</v>
      </c>
      <c r="V188" s="114">
        <f t="shared" si="42"/>
        <v>0</v>
      </c>
      <c r="W188" s="13">
        <f t="shared" si="43"/>
        <v>73.636799999999994</v>
      </c>
      <c r="X188" s="14"/>
      <c r="Y188" s="14"/>
      <c r="Z188" s="14"/>
      <c r="AA188" s="14"/>
      <c r="AB188" s="14"/>
      <c r="AC188" s="49"/>
      <c r="AD188" s="14"/>
      <c r="AE188" s="14"/>
      <c r="AF188" s="14"/>
      <c r="AG188" s="14"/>
      <c r="AH188" s="14"/>
      <c r="AI188" s="14"/>
      <c r="AJ188" s="8"/>
      <c r="AK188" s="8"/>
      <c r="AL188" s="8"/>
    </row>
    <row r="189" spans="1:38" ht="15.75" x14ac:dyDescent="0.25">
      <c r="A189" s="48"/>
      <c r="C189" s="510" t="s">
        <v>27</v>
      </c>
      <c r="D189" s="510"/>
      <c r="E189" s="510"/>
      <c r="F189" s="510"/>
      <c r="G189" s="510"/>
      <c r="H189" s="566"/>
      <c r="I189" s="28">
        <v>6</v>
      </c>
      <c r="J189" s="28">
        <v>95.86</v>
      </c>
      <c r="K189" s="118">
        <v>3</v>
      </c>
      <c r="L189" s="28">
        <f t="shared" si="36"/>
        <v>390</v>
      </c>
      <c r="M189" s="15"/>
      <c r="N189" s="172">
        <v>140.84719999999999</v>
      </c>
      <c r="O189" s="15"/>
      <c r="P189" s="15"/>
      <c r="Q189" s="15">
        <f t="shared" si="38"/>
        <v>6</v>
      </c>
      <c r="R189" s="15">
        <f t="shared" si="37"/>
        <v>3</v>
      </c>
      <c r="S189" s="44">
        <f t="shared" si="39"/>
        <v>3</v>
      </c>
      <c r="T189" s="21">
        <f t="shared" si="40"/>
        <v>390</v>
      </c>
      <c r="U189" s="15">
        <f t="shared" si="41"/>
        <v>287.58</v>
      </c>
      <c r="V189" s="114">
        <f t="shared" si="42"/>
        <v>102.42000000000002</v>
      </c>
      <c r="W189" s="13">
        <f t="shared" si="43"/>
        <v>422.54159999999996</v>
      </c>
      <c r="X189" s="14"/>
      <c r="Y189" s="14"/>
      <c r="Z189" s="14"/>
      <c r="AA189" s="14"/>
      <c r="AB189" s="14"/>
      <c r="AC189" s="49"/>
      <c r="AD189" s="14"/>
      <c r="AE189" s="14"/>
      <c r="AF189" s="14"/>
      <c r="AG189" s="14"/>
      <c r="AH189" s="14"/>
      <c r="AI189" s="14"/>
      <c r="AJ189" s="8"/>
      <c r="AK189" s="8"/>
      <c r="AL189" s="8"/>
    </row>
    <row r="190" spans="1:38" ht="15.75" x14ac:dyDescent="0.25">
      <c r="A190" s="48"/>
      <c r="C190" s="510" t="s">
        <v>28</v>
      </c>
      <c r="D190" s="510"/>
      <c r="E190" s="510"/>
      <c r="F190" s="510"/>
      <c r="G190" s="510"/>
      <c r="H190" s="566"/>
      <c r="I190" s="28">
        <v>8</v>
      </c>
      <c r="J190" s="28">
        <v>21.99</v>
      </c>
      <c r="K190" s="118">
        <v>7</v>
      </c>
      <c r="L190" s="28">
        <f t="shared" si="36"/>
        <v>224</v>
      </c>
      <c r="M190" s="15"/>
      <c r="N190" s="172">
        <v>31.714399999999998</v>
      </c>
      <c r="O190" s="15"/>
      <c r="P190" s="15"/>
      <c r="Q190" s="15">
        <f t="shared" si="38"/>
        <v>8</v>
      </c>
      <c r="R190" s="15">
        <f t="shared" si="37"/>
        <v>7</v>
      </c>
      <c r="S190" s="44">
        <f t="shared" si="39"/>
        <v>1</v>
      </c>
      <c r="T190" s="21">
        <f t="shared" si="40"/>
        <v>224</v>
      </c>
      <c r="U190" s="15">
        <f t="shared" si="41"/>
        <v>153.92999999999998</v>
      </c>
      <c r="V190" s="114">
        <f t="shared" si="42"/>
        <v>70.070000000000022</v>
      </c>
      <c r="W190" s="13">
        <f t="shared" si="43"/>
        <v>31.714399999999998</v>
      </c>
      <c r="X190" s="14"/>
      <c r="Y190" s="14"/>
      <c r="Z190" s="14"/>
      <c r="AA190" s="14"/>
      <c r="AB190" s="14"/>
      <c r="AC190" s="49"/>
      <c r="AD190" s="14"/>
      <c r="AE190" s="14"/>
      <c r="AF190" s="14"/>
      <c r="AG190" s="14"/>
      <c r="AH190" s="14"/>
      <c r="AI190" s="14"/>
      <c r="AJ190" s="8"/>
      <c r="AK190" s="8"/>
      <c r="AL190" s="8"/>
    </row>
    <row r="191" spans="1:38" ht="15.75" x14ac:dyDescent="0.25">
      <c r="A191" s="48"/>
      <c r="C191" s="510" t="s">
        <v>29</v>
      </c>
      <c r="D191" s="510"/>
      <c r="E191" s="510"/>
      <c r="F191" s="510"/>
      <c r="G191" s="510"/>
      <c r="H191" s="566"/>
      <c r="I191" s="28">
        <v>6</v>
      </c>
      <c r="J191" s="28">
        <v>95.86</v>
      </c>
      <c r="K191" s="118">
        <v>0</v>
      </c>
      <c r="L191" s="28">
        <f t="shared" si="36"/>
        <v>0</v>
      </c>
      <c r="M191" s="15"/>
      <c r="N191" s="172">
        <v>140.84719999999999</v>
      </c>
      <c r="O191" s="15"/>
      <c r="P191" s="15"/>
      <c r="Q191" s="15">
        <f t="shared" si="38"/>
        <v>6</v>
      </c>
      <c r="R191" s="15">
        <f t="shared" si="37"/>
        <v>0</v>
      </c>
      <c r="S191" s="44">
        <f t="shared" si="39"/>
        <v>6</v>
      </c>
      <c r="T191" s="21">
        <f t="shared" si="40"/>
        <v>0</v>
      </c>
      <c r="U191" s="15">
        <f t="shared" si="41"/>
        <v>0</v>
      </c>
      <c r="V191" s="114">
        <f t="shared" si="42"/>
        <v>0</v>
      </c>
      <c r="W191" s="13">
        <f t="shared" si="43"/>
        <v>845.08319999999992</v>
      </c>
      <c r="X191" s="14"/>
      <c r="Y191" s="14"/>
      <c r="Z191" s="14"/>
      <c r="AA191" s="14"/>
      <c r="AB191" s="14"/>
      <c r="AC191" s="49"/>
      <c r="AD191" s="14"/>
      <c r="AE191" s="14"/>
      <c r="AF191" s="14"/>
      <c r="AG191" s="14"/>
      <c r="AH191" s="14"/>
      <c r="AI191" s="14"/>
      <c r="AJ191" s="8"/>
      <c r="AK191" s="8"/>
      <c r="AL191" s="8"/>
    </row>
    <row r="192" spans="1:38" ht="15.75" x14ac:dyDescent="0.25">
      <c r="A192" s="48"/>
      <c r="C192" s="510" t="s">
        <v>30</v>
      </c>
      <c r="D192" s="510"/>
      <c r="E192" s="510"/>
      <c r="F192" s="510"/>
      <c r="G192" s="510"/>
      <c r="H192" s="566"/>
      <c r="I192" s="28">
        <v>6</v>
      </c>
      <c r="J192" s="28">
        <v>95.86</v>
      </c>
      <c r="K192" s="119">
        <v>6</v>
      </c>
      <c r="L192" s="28">
        <f t="shared" si="36"/>
        <v>810</v>
      </c>
      <c r="M192" s="15"/>
      <c r="N192" s="172">
        <v>140.84719999999999</v>
      </c>
      <c r="O192" s="15"/>
      <c r="P192" s="15"/>
      <c r="Q192" s="15">
        <f t="shared" si="38"/>
        <v>6</v>
      </c>
      <c r="R192" s="15">
        <f t="shared" si="37"/>
        <v>6</v>
      </c>
      <c r="S192" s="44">
        <f t="shared" si="39"/>
        <v>0</v>
      </c>
      <c r="T192" s="21">
        <f t="shared" si="40"/>
        <v>810</v>
      </c>
      <c r="U192" s="15">
        <f t="shared" si="41"/>
        <v>575.16</v>
      </c>
      <c r="V192" s="114">
        <f t="shared" si="42"/>
        <v>234.84000000000003</v>
      </c>
      <c r="W192" s="13">
        <f t="shared" si="43"/>
        <v>0</v>
      </c>
      <c r="X192" s="14"/>
      <c r="Y192" s="14"/>
      <c r="Z192" s="14"/>
      <c r="AA192" s="14"/>
      <c r="AB192" s="14"/>
      <c r="AC192" s="49"/>
      <c r="AD192" s="14"/>
      <c r="AE192" s="14"/>
      <c r="AF192" s="14"/>
      <c r="AG192" s="14"/>
      <c r="AH192" s="14"/>
      <c r="AI192" s="14"/>
      <c r="AJ192" s="8"/>
      <c r="AK192" s="8"/>
      <c r="AL192" s="8"/>
    </row>
    <row r="193" spans="1:38" ht="15.75" x14ac:dyDescent="0.25">
      <c r="A193" s="48"/>
      <c r="C193" s="510" t="s">
        <v>31</v>
      </c>
      <c r="D193" s="510"/>
      <c r="E193" s="510"/>
      <c r="F193" s="510"/>
      <c r="G193" s="510"/>
      <c r="H193" s="566"/>
      <c r="I193" s="28">
        <v>8</v>
      </c>
      <c r="J193" s="28">
        <v>21.99</v>
      </c>
      <c r="K193" s="118">
        <v>4</v>
      </c>
      <c r="L193" s="28">
        <f t="shared" si="36"/>
        <v>140</v>
      </c>
      <c r="M193" s="15"/>
      <c r="N193" s="172">
        <v>31.714399999999998</v>
      </c>
      <c r="O193" s="15"/>
      <c r="P193" s="15"/>
      <c r="Q193" s="15">
        <f t="shared" si="38"/>
        <v>8</v>
      </c>
      <c r="R193" s="15">
        <f t="shared" si="37"/>
        <v>4</v>
      </c>
      <c r="S193" s="44">
        <f t="shared" si="39"/>
        <v>4</v>
      </c>
      <c r="T193" s="21">
        <f t="shared" si="40"/>
        <v>140</v>
      </c>
      <c r="U193" s="15">
        <f t="shared" si="41"/>
        <v>87.96</v>
      </c>
      <c r="V193" s="114">
        <f t="shared" si="42"/>
        <v>52.040000000000006</v>
      </c>
      <c r="W193" s="13">
        <f t="shared" si="43"/>
        <v>126.85759999999999</v>
      </c>
      <c r="X193" s="14"/>
      <c r="Y193" s="14"/>
      <c r="Z193" s="14"/>
      <c r="AA193" s="14"/>
      <c r="AB193" s="14"/>
      <c r="AC193" s="49"/>
      <c r="AD193" s="14"/>
      <c r="AE193" s="14"/>
      <c r="AF193" s="14"/>
      <c r="AG193" s="14"/>
      <c r="AH193" s="14"/>
      <c r="AI193" s="14"/>
      <c r="AJ193" s="8"/>
      <c r="AK193" s="8"/>
      <c r="AL193" s="8"/>
    </row>
    <row r="194" spans="1:38" ht="15.75" x14ac:dyDescent="0.25">
      <c r="A194" s="48"/>
      <c r="C194" s="510" t="s">
        <v>32</v>
      </c>
      <c r="D194" s="510"/>
      <c r="E194" s="510"/>
      <c r="F194" s="510"/>
      <c r="G194" s="510"/>
      <c r="H194" s="566"/>
      <c r="I194" s="28">
        <v>12</v>
      </c>
      <c r="J194" s="28">
        <v>11.4</v>
      </c>
      <c r="K194" s="118">
        <v>0</v>
      </c>
      <c r="L194" s="28">
        <f t="shared" si="36"/>
        <v>0</v>
      </c>
      <c r="M194" s="15"/>
      <c r="N194" s="172">
        <v>16.321199999999997</v>
      </c>
      <c r="O194" s="15"/>
      <c r="P194" s="15"/>
      <c r="Q194" s="15">
        <f t="shared" si="38"/>
        <v>12</v>
      </c>
      <c r="R194" s="15">
        <f t="shared" si="37"/>
        <v>0</v>
      </c>
      <c r="S194" s="44">
        <f t="shared" si="39"/>
        <v>12</v>
      </c>
      <c r="T194" s="21">
        <f t="shared" si="40"/>
        <v>0</v>
      </c>
      <c r="U194" s="15">
        <f t="shared" si="41"/>
        <v>0</v>
      </c>
      <c r="V194" s="114">
        <f t="shared" si="42"/>
        <v>0</v>
      </c>
      <c r="W194" s="13">
        <f t="shared" si="43"/>
        <v>195.85439999999997</v>
      </c>
      <c r="X194" s="14"/>
      <c r="Y194" s="14"/>
      <c r="Z194" s="14"/>
      <c r="AA194" s="14"/>
      <c r="AB194" s="14"/>
      <c r="AC194" s="49"/>
      <c r="AD194" s="14"/>
      <c r="AE194" s="14"/>
      <c r="AF194" s="14"/>
      <c r="AG194" s="14"/>
      <c r="AH194" s="14"/>
      <c r="AI194" s="14"/>
      <c r="AJ194" s="8"/>
      <c r="AK194" s="8"/>
      <c r="AL194" s="8"/>
    </row>
    <row r="195" spans="1:38" ht="15.75" x14ac:dyDescent="0.25">
      <c r="A195" s="48"/>
      <c r="C195" s="510" t="s">
        <v>33</v>
      </c>
      <c r="D195" s="510"/>
      <c r="E195" s="510"/>
      <c r="F195" s="510"/>
      <c r="G195" s="510"/>
      <c r="H195" s="566"/>
      <c r="I195" s="28">
        <v>12</v>
      </c>
      <c r="J195" s="28">
        <v>11.4</v>
      </c>
      <c r="K195" s="118">
        <v>0</v>
      </c>
      <c r="L195" s="28">
        <f t="shared" si="36"/>
        <v>0</v>
      </c>
      <c r="M195" s="15"/>
      <c r="N195" s="172">
        <v>15.764399999999998</v>
      </c>
      <c r="O195" s="15"/>
      <c r="P195" s="15"/>
      <c r="Q195" s="15">
        <f t="shared" si="38"/>
        <v>12</v>
      </c>
      <c r="R195" s="15">
        <f t="shared" si="37"/>
        <v>0</v>
      </c>
      <c r="S195" s="44">
        <f t="shared" si="39"/>
        <v>12</v>
      </c>
      <c r="T195" s="21">
        <f t="shared" si="40"/>
        <v>0</v>
      </c>
      <c r="U195" s="15">
        <f t="shared" si="41"/>
        <v>0</v>
      </c>
      <c r="V195" s="114">
        <f t="shared" si="42"/>
        <v>0</v>
      </c>
      <c r="W195" s="13">
        <f t="shared" si="43"/>
        <v>189.1728</v>
      </c>
      <c r="X195" s="14"/>
      <c r="Y195" s="14"/>
      <c r="Z195" s="14"/>
      <c r="AA195" s="14"/>
      <c r="AB195" s="14"/>
      <c r="AC195" s="49"/>
      <c r="AD195" s="14"/>
      <c r="AE195" s="14"/>
      <c r="AF195" s="14"/>
      <c r="AG195" s="14"/>
      <c r="AH195" s="14"/>
      <c r="AI195" s="14"/>
      <c r="AJ195" s="8"/>
      <c r="AK195" s="8"/>
      <c r="AL195" s="8"/>
    </row>
    <row r="196" spans="1:38" ht="15.75" x14ac:dyDescent="0.25">
      <c r="A196" s="48"/>
      <c r="C196" s="510" t="s">
        <v>34</v>
      </c>
      <c r="D196" s="510"/>
      <c r="E196" s="510"/>
      <c r="F196" s="510"/>
      <c r="G196" s="510"/>
      <c r="H196" s="566"/>
      <c r="I196" s="28">
        <v>12</v>
      </c>
      <c r="J196" s="28">
        <v>11.4</v>
      </c>
      <c r="K196" s="118">
        <v>3</v>
      </c>
      <c r="L196" s="28">
        <f t="shared" si="36"/>
        <v>51</v>
      </c>
      <c r="M196" s="15"/>
      <c r="N196" s="172">
        <v>15.764399999999998</v>
      </c>
      <c r="O196" s="15"/>
      <c r="P196" s="15"/>
      <c r="Q196" s="15">
        <f t="shared" si="38"/>
        <v>12</v>
      </c>
      <c r="R196" s="15">
        <f t="shared" si="37"/>
        <v>3</v>
      </c>
      <c r="S196" s="44">
        <f t="shared" si="39"/>
        <v>9</v>
      </c>
      <c r="T196" s="21">
        <f t="shared" si="40"/>
        <v>51</v>
      </c>
      <c r="U196" s="15">
        <f t="shared" si="41"/>
        <v>34.200000000000003</v>
      </c>
      <c r="V196" s="114">
        <f t="shared" si="42"/>
        <v>16.799999999999997</v>
      </c>
      <c r="W196" s="13">
        <f t="shared" si="43"/>
        <v>141.87959999999998</v>
      </c>
      <c r="X196" s="14"/>
      <c r="Y196" s="14"/>
      <c r="Z196" s="14"/>
      <c r="AA196" s="14"/>
      <c r="AB196" s="14"/>
      <c r="AC196" s="49"/>
      <c r="AD196" s="14"/>
      <c r="AE196" s="14"/>
      <c r="AF196" s="14"/>
      <c r="AG196" s="14"/>
      <c r="AH196" s="14"/>
      <c r="AI196" s="14"/>
      <c r="AJ196" s="8"/>
      <c r="AK196" s="8"/>
      <c r="AL196" s="8"/>
    </row>
    <row r="197" spans="1:38" ht="15.75" x14ac:dyDescent="0.25">
      <c r="A197" s="48"/>
      <c r="C197" s="510" t="s">
        <v>35</v>
      </c>
      <c r="D197" s="510"/>
      <c r="E197" s="510"/>
      <c r="F197" s="510"/>
      <c r="G197" s="510"/>
      <c r="H197" s="566"/>
      <c r="I197" s="28">
        <v>12</v>
      </c>
      <c r="J197" s="28">
        <v>4.0599999999999996</v>
      </c>
      <c r="K197" s="118">
        <v>5</v>
      </c>
      <c r="L197" s="28">
        <f t="shared" si="36"/>
        <v>35</v>
      </c>
      <c r="M197" s="15"/>
      <c r="N197" s="172">
        <v>6.1595999999999993</v>
      </c>
      <c r="O197" s="15"/>
      <c r="P197" s="15"/>
      <c r="Q197" s="15">
        <f t="shared" si="38"/>
        <v>12</v>
      </c>
      <c r="R197" s="15">
        <f t="shared" si="37"/>
        <v>5</v>
      </c>
      <c r="S197" s="44">
        <f t="shared" si="39"/>
        <v>7</v>
      </c>
      <c r="T197" s="21">
        <f t="shared" si="40"/>
        <v>35</v>
      </c>
      <c r="U197" s="15">
        <f t="shared" si="41"/>
        <v>20.299999999999997</v>
      </c>
      <c r="V197" s="114">
        <f t="shared" si="42"/>
        <v>14.700000000000003</v>
      </c>
      <c r="W197" s="13">
        <f t="shared" si="43"/>
        <v>43.117199999999997</v>
      </c>
      <c r="X197" s="14"/>
      <c r="Y197" s="14"/>
      <c r="Z197" s="14"/>
      <c r="AA197" s="14"/>
      <c r="AB197" s="14"/>
      <c r="AC197" s="49"/>
      <c r="AD197" s="14"/>
      <c r="AE197" s="14"/>
      <c r="AF197" s="14"/>
      <c r="AG197" s="14"/>
      <c r="AH197" s="14"/>
      <c r="AI197" s="14"/>
      <c r="AJ197" s="8"/>
      <c r="AK197" s="8"/>
      <c r="AL197" s="8"/>
    </row>
    <row r="198" spans="1:38" ht="15.75" x14ac:dyDescent="0.25">
      <c r="A198" s="48"/>
      <c r="C198" s="510" t="s">
        <v>36</v>
      </c>
      <c r="D198" s="510"/>
      <c r="E198" s="510"/>
      <c r="F198" s="510"/>
      <c r="G198" s="510"/>
      <c r="H198" s="566"/>
      <c r="I198" s="28">
        <v>24</v>
      </c>
      <c r="J198" s="28">
        <v>3.68</v>
      </c>
      <c r="K198" s="118">
        <v>0</v>
      </c>
      <c r="L198" s="28">
        <f t="shared" si="36"/>
        <v>0</v>
      </c>
      <c r="M198" s="15"/>
      <c r="N198" s="172">
        <v>6.1595999999999993</v>
      </c>
      <c r="O198" s="15"/>
      <c r="P198" s="15"/>
      <c r="Q198" s="15">
        <f t="shared" si="38"/>
        <v>24</v>
      </c>
      <c r="R198" s="15">
        <f t="shared" si="37"/>
        <v>0</v>
      </c>
      <c r="S198" s="44">
        <f t="shared" si="39"/>
        <v>24</v>
      </c>
      <c r="T198" s="21">
        <f t="shared" si="40"/>
        <v>0</v>
      </c>
      <c r="U198" s="15">
        <f t="shared" si="41"/>
        <v>0</v>
      </c>
      <c r="V198" s="114">
        <f t="shared" si="42"/>
        <v>0</v>
      </c>
      <c r="W198" s="13">
        <f t="shared" si="43"/>
        <v>147.8304</v>
      </c>
      <c r="X198" s="14"/>
      <c r="Y198" s="14"/>
      <c r="Z198" s="14"/>
      <c r="AA198" s="14"/>
      <c r="AB198" s="14"/>
      <c r="AC198" s="49"/>
      <c r="AD198" s="14"/>
      <c r="AE198" s="14"/>
      <c r="AF198" s="14"/>
      <c r="AG198" s="14"/>
      <c r="AH198" s="14"/>
      <c r="AI198" s="14"/>
      <c r="AJ198" s="8"/>
      <c r="AK198" s="8"/>
      <c r="AL198" s="8"/>
    </row>
    <row r="199" spans="1:38" ht="15.75" x14ac:dyDescent="0.25">
      <c r="A199" s="48"/>
      <c r="C199" s="510" t="s">
        <v>37</v>
      </c>
      <c r="D199" s="510"/>
      <c r="E199" s="510"/>
      <c r="F199" s="510"/>
      <c r="G199" s="510"/>
      <c r="H199" s="566"/>
      <c r="I199" s="28">
        <v>12</v>
      </c>
      <c r="J199" s="28">
        <v>5.31</v>
      </c>
      <c r="K199" s="118">
        <v>0</v>
      </c>
      <c r="L199" s="28">
        <f t="shared" si="36"/>
        <v>0</v>
      </c>
      <c r="M199" s="15"/>
      <c r="N199" s="172">
        <v>8.2243999999999993</v>
      </c>
      <c r="O199" s="15"/>
      <c r="P199" s="15"/>
      <c r="Q199" s="15">
        <f t="shared" si="38"/>
        <v>12</v>
      </c>
      <c r="R199" s="15">
        <f t="shared" si="37"/>
        <v>0</v>
      </c>
      <c r="S199" s="44">
        <f t="shared" si="39"/>
        <v>12</v>
      </c>
      <c r="T199" s="21">
        <f t="shared" si="40"/>
        <v>0</v>
      </c>
      <c r="U199" s="15">
        <f t="shared" si="41"/>
        <v>0</v>
      </c>
      <c r="V199" s="114">
        <f t="shared" si="42"/>
        <v>0</v>
      </c>
      <c r="W199" s="13">
        <f t="shared" si="43"/>
        <v>98.692799999999991</v>
      </c>
      <c r="X199" s="14"/>
      <c r="Y199" s="14"/>
      <c r="Z199" s="14"/>
      <c r="AA199" s="14"/>
      <c r="AB199" s="14"/>
      <c r="AC199" s="49"/>
      <c r="AD199" s="14"/>
      <c r="AE199" s="14"/>
      <c r="AF199" s="14"/>
      <c r="AG199" s="14"/>
      <c r="AH199" s="14"/>
      <c r="AI199" s="14"/>
      <c r="AJ199" s="8"/>
      <c r="AK199" s="8"/>
      <c r="AL199" s="8"/>
    </row>
    <row r="200" spans="1:38" ht="15.75" x14ac:dyDescent="0.25">
      <c r="A200" s="48"/>
      <c r="C200" s="510" t="s">
        <v>38</v>
      </c>
      <c r="D200" s="510"/>
      <c r="E200" s="510"/>
      <c r="F200" s="510"/>
      <c r="G200" s="510"/>
      <c r="H200" s="566"/>
      <c r="I200" s="28">
        <v>12</v>
      </c>
      <c r="J200" s="28">
        <v>7.49</v>
      </c>
      <c r="K200" s="118">
        <v>0</v>
      </c>
      <c r="L200" s="28">
        <f t="shared" si="36"/>
        <v>0</v>
      </c>
      <c r="M200" s="15"/>
      <c r="N200" s="172">
        <v>11.7508</v>
      </c>
      <c r="O200" s="15"/>
      <c r="P200" s="15"/>
      <c r="Q200" s="15">
        <f t="shared" si="38"/>
        <v>12</v>
      </c>
      <c r="R200" s="15">
        <f t="shared" si="37"/>
        <v>0</v>
      </c>
      <c r="S200" s="44">
        <f t="shared" si="39"/>
        <v>12</v>
      </c>
      <c r="T200" s="21">
        <f t="shared" si="40"/>
        <v>0</v>
      </c>
      <c r="U200" s="15">
        <f t="shared" si="41"/>
        <v>0</v>
      </c>
      <c r="V200" s="114">
        <f t="shared" si="42"/>
        <v>0</v>
      </c>
      <c r="W200" s="13">
        <f t="shared" si="43"/>
        <v>141.00960000000001</v>
      </c>
      <c r="X200" s="14"/>
      <c r="Y200" s="14"/>
      <c r="Z200" s="14"/>
      <c r="AA200" s="14"/>
      <c r="AB200" s="14"/>
      <c r="AC200" s="49"/>
      <c r="AD200" s="14"/>
      <c r="AE200" s="14"/>
      <c r="AF200" s="14"/>
      <c r="AG200" s="14"/>
      <c r="AH200" s="14"/>
      <c r="AI200" s="14"/>
      <c r="AJ200" s="8"/>
      <c r="AK200" s="8"/>
      <c r="AL200" s="8"/>
    </row>
    <row r="201" spans="1:38" ht="15.75" x14ac:dyDescent="0.25">
      <c r="A201" s="48"/>
      <c r="C201" s="510" t="s">
        <v>39</v>
      </c>
      <c r="D201" s="510"/>
      <c r="E201" s="510"/>
      <c r="F201" s="510"/>
      <c r="G201" s="510"/>
      <c r="H201" s="566"/>
      <c r="I201" s="28">
        <v>12</v>
      </c>
      <c r="J201" s="28">
        <v>10.220000000000001</v>
      </c>
      <c r="K201" s="118">
        <v>0</v>
      </c>
      <c r="L201" s="28">
        <f t="shared" si="36"/>
        <v>0</v>
      </c>
      <c r="M201" s="15"/>
      <c r="N201" s="172">
        <v>16.1936</v>
      </c>
      <c r="O201" s="15"/>
      <c r="P201" s="15"/>
      <c r="Q201" s="15">
        <f t="shared" si="38"/>
        <v>12</v>
      </c>
      <c r="R201" s="15">
        <f t="shared" si="37"/>
        <v>0</v>
      </c>
      <c r="S201" s="44">
        <f t="shared" si="39"/>
        <v>12</v>
      </c>
      <c r="T201" s="21">
        <f t="shared" si="40"/>
        <v>0</v>
      </c>
      <c r="U201" s="15">
        <f t="shared" si="41"/>
        <v>0</v>
      </c>
      <c r="V201" s="114">
        <f t="shared" si="42"/>
        <v>0</v>
      </c>
      <c r="W201" s="13">
        <f t="shared" si="43"/>
        <v>194.32319999999999</v>
      </c>
      <c r="X201" s="14"/>
      <c r="Y201" s="14"/>
      <c r="Z201" s="14"/>
      <c r="AA201" s="14"/>
      <c r="AB201" s="14"/>
      <c r="AC201" s="49"/>
      <c r="AD201" s="14"/>
      <c r="AE201" s="14"/>
      <c r="AF201" s="14"/>
      <c r="AG201" s="14"/>
      <c r="AH201" s="14"/>
      <c r="AI201" s="14"/>
      <c r="AJ201" s="8"/>
      <c r="AK201" s="8"/>
      <c r="AL201" s="8"/>
    </row>
    <row r="202" spans="1:38" ht="15.75" x14ac:dyDescent="0.25">
      <c r="A202" s="48"/>
      <c r="C202" s="510" t="s">
        <v>48</v>
      </c>
      <c r="D202" s="510"/>
      <c r="E202" s="510"/>
      <c r="F202" s="510"/>
      <c r="G202" s="510"/>
      <c r="H202" s="566"/>
      <c r="I202" s="28">
        <v>2</v>
      </c>
      <c r="J202" s="28">
        <v>56.52</v>
      </c>
      <c r="K202" s="118">
        <v>0</v>
      </c>
      <c r="L202" s="28">
        <f t="shared" si="36"/>
        <v>0</v>
      </c>
      <c r="M202" s="15"/>
      <c r="N202" s="172">
        <v>92.8</v>
      </c>
      <c r="O202" s="15"/>
      <c r="P202" s="15"/>
      <c r="Q202" s="15">
        <f t="shared" si="38"/>
        <v>2</v>
      </c>
      <c r="R202" s="15">
        <f t="shared" si="37"/>
        <v>0</v>
      </c>
      <c r="S202" s="44">
        <f t="shared" si="39"/>
        <v>2</v>
      </c>
      <c r="T202" s="21">
        <f t="shared" si="40"/>
        <v>0</v>
      </c>
      <c r="U202" s="15">
        <f t="shared" si="41"/>
        <v>0</v>
      </c>
      <c r="V202" s="114">
        <f t="shared" si="42"/>
        <v>0</v>
      </c>
      <c r="W202" s="13">
        <f t="shared" si="43"/>
        <v>185.6</v>
      </c>
      <c r="X202" s="14"/>
      <c r="Y202" s="14"/>
      <c r="Z202" s="14"/>
      <c r="AA202" s="14"/>
      <c r="AB202" s="14"/>
      <c r="AC202" s="49"/>
      <c r="AD202" s="14"/>
      <c r="AE202" s="14"/>
      <c r="AF202" s="14"/>
      <c r="AG202" s="14"/>
      <c r="AH202" s="14"/>
      <c r="AI202" s="14"/>
      <c r="AJ202" s="8"/>
      <c r="AK202" s="8"/>
      <c r="AL202" s="8"/>
    </row>
    <row r="203" spans="1:38" ht="15.75" x14ac:dyDescent="0.25">
      <c r="A203" s="48"/>
      <c r="C203" s="510" t="s">
        <v>40</v>
      </c>
      <c r="D203" s="510"/>
      <c r="E203" s="510"/>
      <c r="F203" s="510"/>
      <c r="G203" s="510"/>
      <c r="H203" s="566"/>
      <c r="I203" s="28">
        <v>2</v>
      </c>
      <c r="J203" s="28">
        <v>39.340000000000003</v>
      </c>
      <c r="K203" s="118">
        <v>0</v>
      </c>
      <c r="L203" s="28">
        <f t="shared" si="36"/>
        <v>0</v>
      </c>
      <c r="M203" s="15"/>
      <c r="N203" s="172">
        <v>82.881999999999991</v>
      </c>
      <c r="O203" s="15"/>
      <c r="P203" s="15"/>
      <c r="Q203" s="15">
        <f t="shared" si="38"/>
        <v>2</v>
      </c>
      <c r="R203" s="15">
        <f t="shared" si="37"/>
        <v>0</v>
      </c>
      <c r="S203" s="44">
        <f t="shared" si="39"/>
        <v>2</v>
      </c>
      <c r="T203" s="21">
        <f t="shared" si="40"/>
        <v>0</v>
      </c>
      <c r="U203" s="15">
        <f t="shared" si="41"/>
        <v>0</v>
      </c>
      <c r="V203" s="114">
        <f t="shared" si="42"/>
        <v>0</v>
      </c>
      <c r="W203" s="13">
        <f t="shared" si="43"/>
        <v>165.76399999999998</v>
      </c>
      <c r="X203" s="14"/>
      <c r="Y203" s="14"/>
      <c r="Z203" s="14"/>
      <c r="AA203" s="14"/>
      <c r="AB203" s="14"/>
      <c r="AC203" s="49"/>
      <c r="AD203" s="14"/>
      <c r="AE203" s="14"/>
      <c r="AF203" s="14"/>
      <c r="AG203" s="14"/>
      <c r="AH203" s="14"/>
      <c r="AI203" s="14"/>
      <c r="AJ203" s="8"/>
      <c r="AK203" s="8"/>
      <c r="AL203" s="8"/>
    </row>
    <row r="204" spans="1:38" ht="15.75" x14ac:dyDescent="0.25">
      <c r="A204" s="48"/>
      <c r="C204" s="510" t="s">
        <v>41</v>
      </c>
      <c r="D204" s="510"/>
      <c r="E204" s="510"/>
      <c r="F204" s="510"/>
      <c r="G204" s="510"/>
      <c r="H204" s="566"/>
      <c r="I204" s="28">
        <v>16</v>
      </c>
      <c r="J204" s="28">
        <v>3.4</v>
      </c>
      <c r="K204" s="118">
        <v>9</v>
      </c>
      <c r="L204" s="28">
        <f t="shared" si="36"/>
        <v>54</v>
      </c>
      <c r="M204" s="15"/>
      <c r="N204" s="172">
        <v>5.6143999999999998</v>
      </c>
      <c r="O204" s="15"/>
      <c r="P204" s="15"/>
      <c r="Q204" s="15">
        <f t="shared" si="38"/>
        <v>16</v>
      </c>
      <c r="R204" s="15">
        <f t="shared" si="37"/>
        <v>9</v>
      </c>
      <c r="S204" s="44">
        <f t="shared" si="39"/>
        <v>7</v>
      </c>
      <c r="T204" s="21">
        <f t="shared" si="40"/>
        <v>54</v>
      </c>
      <c r="U204" s="15">
        <f t="shared" si="41"/>
        <v>30.599999999999998</v>
      </c>
      <c r="V204" s="114">
        <f t="shared" si="42"/>
        <v>23.400000000000002</v>
      </c>
      <c r="W204" s="13">
        <f t="shared" si="43"/>
        <v>39.300799999999995</v>
      </c>
      <c r="X204" s="14"/>
      <c r="Y204" s="14"/>
      <c r="Z204" s="14"/>
      <c r="AA204" s="14"/>
      <c r="AB204" s="14"/>
      <c r="AC204" s="49"/>
      <c r="AD204" s="14"/>
      <c r="AE204" s="14"/>
      <c r="AF204" s="14"/>
      <c r="AG204" s="14"/>
      <c r="AH204" s="14"/>
      <c r="AI204" s="14"/>
      <c r="AJ204" s="8"/>
      <c r="AK204" s="8"/>
      <c r="AL204" s="8"/>
    </row>
    <row r="205" spans="1:38" ht="15.75" x14ac:dyDescent="0.25">
      <c r="A205" s="48"/>
      <c r="C205" s="510" t="s">
        <v>42</v>
      </c>
      <c r="D205" s="510"/>
      <c r="E205" s="510"/>
      <c r="F205" s="510"/>
      <c r="G205" s="510"/>
      <c r="H205" s="566"/>
      <c r="I205" s="28">
        <v>4</v>
      </c>
      <c r="J205" s="28">
        <v>3.4</v>
      </c>
      <c r="K205" s="118">
        <v>3</v>
      </c>
      <c r="L205" s="28">
        <f t="shared" si="36"/>
        <v>18</v>
      </c>
      <c r="M205" s="15"/>
      <c r="N205" s="172">
        <v>5.6143999999999998</v>
      </c>
      <c r="O205" s="15"/>
      <c r="P205" s="15"/>
      <c r="Q205" s="15">
        <f t="shared" si="38"/>
        <v>4</v>
      </c>
      <c r="R205" s="15">
        <f t="shared" si="37"/>
        <v>3</v>
      </c>
      <c r="S205" s="44">
        <f t="shared" si="39"/>
        <v>1</v>
      </c>
      <c r="T205" s="21">
        <f t="shared" si="40"/>
        <v>18</v>
      </c>
      <c r="U205" s="15">
        <f t="shared" si="41"/>
        <v>10.199999999999999</v>
      </c>
      <c r="V205" s="114">
        <f t="shared" si="42"/>
        <v>7.8000000000000007</v>
      </c>
      <c r="W205" s="13">
        <f t="shared" si="43"/>
        <v>5.6143999999999998</v>
      </c>
      <c r="X205" s="14"/>
      <c r="Y205" s="14"/>
      <c r="Z205" s="14"/>
      <c r="AA205" s="14"/>
      <c r="AB205" s="14"/>
      <c r="AC205" s="49"/>
      <c r="AD205" s="14"/>
      <c r="AE205" s="14"/>
      <c r="AF205" s="14"/>
      <c r="AG205" s="14"/>
      <c r="AH205" s="14"/>
      <c r="AI205" s="14"/>
      <c r="AJ205" s="8"/>
      <c r="AK205" s="8"/>
      <c r="AL205" s="8"/>
    </row>
    <row r="206" spans="1:38" ht="26.25" x14ac:dyDescent="0.25">
      <c r="A206" s="48"/>
      <c r="C206" s="510" t="s">
        <v>45</v>
      </c>
      <c r="D206" s="510"/>
      <c r="E206" s="510"/>
      <c r="F206" s="510"/>
      <c r="G206" s="510"/>
      <c r="H206" s="566"/>
      <c r="I206" s="28">
        <v>4</v>
      </c>
      <c r="J206" s="28">
        <v>7.27</v>
      </c>
      <c r="K206" s="118">
        <v>0</v>
      </c>
      <c r="L206" s="28">
        <f t="shared" si="36"/>
        <v>0</v>
      </c>
      <c r="M206" s="15"/>
      <c r="N206" s="172">
        <v>10.6372</v>
      </c>
      <c r="O206" s="15"/>
      <c r="P206" s="15"/>
      <c r="Q206" s="15">
        <f t="shared" si="38"/>
        <v>4</v>
      </c>
      <c r="R206" s="15">
        <f t="shared" si="37"/>
        <v>0</v>
      </c>
      <c r="S206" s="44">
        <f t="shared" si="39"/>
        <v>4</v>
      </c>
      <c r="T206" s="21">
        <f t="shared" si="40"/>
        <v>0</v>
      </c>
      <c r="U206" s="15">
        <f t="shared" si="41"/>
        <v>0</v>
      </c>
      <c r="V206" s="114">
        <f t="shared" si="42"/>
        <v>0</v>
      </c>
      <c r="W206" s="13">
        <f t="shared" si="43"/>
        <v>42.5488</v>
      </c>
      <c r="X206" s="14"/>
      <c r="Y206" s="25"/>
      <c r="Z206" s="14"/>
      <c r="AA206" s="25"/>
      <c r="AB206" s="14"/>
      <c r="AC206" s="50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38" ht="26.25" x14ac:dyDescent="0.25">
      <c r="A207" s="48"/>
      <c r="C207" s="510" t="s">
        <v>43</v>
      </c>
      <c r="D207" s="510"/>
      <c r="E207" s="510"/>
      <c r="F207" s="510"/>
      <c r="G207" s="510"/>
      <c r="H207" s="566"/>
      <c r="I207" s="106">
        <v>8</v>
      </c>
      <c r="J207" s="106">
        <v>3.4</v>
      </c>
      <c r="K207" s="118">
        <v>3</v>
      </c>
      <c r="L207" s="28">
        <f t="shared" si="36"/>
        <v>18</v>
      </c>
      <c r="M207" s="2"/>
      <c r="N207" s="172">
        <v>5.6143999999999998</v>
      </c>
      <c r="O207" s="2"/>
      <c r="P207" s="2"/>
      <c r="Q207" s="15">
        <f t="shared" si="38"/>
        <v>8</v>
      </c>
      <c r="R207" s="15">
        <f t="shared" si="37"/>
        <v>3</v>
      </c>
      <c r="S207" s="44">
        <f t="shared" si="39"/>
        <v>5</v>
      </c>
      <c r="T207" s="21">
        <f t="shared" si="40"/>
        <v>18</v>
      </c>
      <c r="U207" s="15">
        <f t="shared" si="41"/>
        <v>10.199999999999999</v>
      </c>
      <c r="V207" s="114">
        <f t="shared" si="42"/>
        <v>7.8000000000000007</v>
      </c>
      <c r="W207" s="13">
        <f t="shared" si="43"/>
        <v>28.071999999999999</v>
      </c>
      <c r="X207" s="14"/>
      <c r="Y207" s="25"/>
      <c r="Z207" s="14"/>
      <c r="AA207" s="25"/>
      <c r="AB207" s="14"/>
      <c r="AC207" s="50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38" ht="15.75" x14ac:dyDescent="0.25">
      <c r="A208" s="48"/>
      <c r="C208" s="510" t="s">
        <v>46</v>
      </c>
      <c r="D208" s="510"/>
      <c r="E208" s="510"/>
      <c r="F208" s="510"/>
      <c r="G208" s="510"/>
      <c r="H208" s="566"/>
      <c r="I208" s="28">
        <v>4</v>
      </c>
      <c r="J208" s="28">
        <v>7.27</v>
      </c>
      <c r="K208" s="118">
        <v>0</v>
      </c>
      <c r="L208" s="28">
        <f t="shared" si="36"/>
        <v>0</v>
      </c>
      <c r="M208" s="1"/>
      <c r="N208" s="172">
        <v>10.6372</v>
      </c>
      <c r="O208" s="1"/>
      <c r="P208" s="1"/>
      <c r="Q208" s="15">
        <f t="shared" si="38"/>
        <v>4</v>
      </c>
      <c r="R208" s="15">
        <f t="shared" si="37"/>
        <v>0</v>
      </c>
      <c r="S208" s="44">
        <f t="shared" si="39"/>
        <v>4</v>
      </c>
      <c r="T208" s="21">
        <f t="shared" si="40"/>
        <v>0</v>
      </c>
      <c r="U208" s="15">
        <f t="shared" si="41"/>
        <v>0</v>
      </c>
      <c r="V208" s="114">
        <f t="shared" si="42"/>
        <v>0</v>
      </c>
      <c r="W208" s="13">
        <f t="shared" si="43"/>
        <v>42.5488</v>
      </c>
      <c r="X208" s="8"/>
      <c r="Y208" s="8"/>
      <c r="Z208" s="8"/>
      <c r="AA208" s="8"/>
      <c r="AB208" s="8"/>
      <c r="AC208" s="4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1:29" ht="15.75" x14ac:dyDescent="0.25">
      <c r="A209" s="48"/>
      <c r="C209" s="510" t="s">
        <v>44</v>
      </c>
      <c r="D209" s="510"/>
      <c r="E209" s="510"/>
      <c r="F209" s="510"/>
      <c r="G209" s="510"/>
      <c r="H209" s="566"/>
      <c r="I209" s="28">
        <v>8</v>
      </c>
      <c r="J209" s="28">
        <v>3.4</v>
      </c>
      <c r="K209" s="118">
        <v>3</v>
      </c>
      <c r="L209" s="28">
        <f t="shared" si="36"/>
        <v>18</v>
      </c>
      <c r="M209" s="1"/>
      <c r="N209" s="172">
        <v>5.6143999999999998</v>
      </c>
      <c r="O209" s="1"/>
      <c r="P209" s="1"/>
      <c r="Q209" s="15">
        <f t="shared" si="38"/>
        <v>8</v>
      </c>
      <c r="R209" s="15">
        <f t="shared" si="37"/>
        <v>3</v>
      </c>
      <c r="S209" s="44">
        <f t="shared" si="39"/>
        <v>5</v>
      </c>
      <c r="T209" s="21">
        <f t="shared" si="40"/>
        <v>18</v>
      </c>
      <c r="U209" s="15">
        <f t="shared" si="41"/>
        <v>10.199999999999999</v>
      </c>
      <c r="V209" s="114">
        <f t="shared" si="42"/>
        <v>7.8000000000000007</v>
      </c>
      <c r="W209" s="13">
        <f t="shared" si="43"/>
        <v>28.071999999999999</v>
      </c>
      <c r="AC209" s="48"/>
    </row>
    <row r="210" spans="1:29" ht="15.75" x14ac:dyDescent="0.25">
      <c r="A210" s="48"/>
      <c r="C210" s="510" t="s">
        <v>47</v>
      </c>
      <c r="D210" s="510"/>
      <c r="E210" s="510"/>
      <c r="F210" s="510"/>
      <c r="G210" s="510"/>
      <c r="H210" s="566"/>
      <c r="I210" s="28">
        <v>4</v>
      </c>
      <c r="J210" s="28">
        <v>7.27</v>
      </c>
      <c r="K210" s="118">
        <v>0</v>
      </c>
      <c r="L210" s="28">
        <f t="shared" si="36"/>
        <v>0</v>
      </c>
      <c r="M210" s="1"/>
      <c r="N210" s="172">
        <v>10.6372</v>
      </c>
      <c r="O210" s="1"/>
      <c r="P210" s="1"/>
      <c r="Q210" s="15">
        <f t="shared" si="38"/>
        <v>4</v>
      </c>
      <c r="R210" s="15">
        <f t="shared" si="37"/>
        <v>0</v>
      </c>
      <c r="S210" s="44">
        <f t="shared" si="39"/>
        <v>4</v>
      </c>
      <c r="T210" s="21">
        <f t="shared" si="40"/>
        <v>0</v>
      </c>
      <c r="U210" s="15">
        <f t="shared" si="41"/>
        <v>0</v>
      </c>
      <c r="V210" s="114">
        <f t="shared" si="42"/>
        <v>0</v>
      </c>
      <c r="W210" s="13">
        <f t="shared" si="43"/>
        <v>42.5488</v>
      </c>
      <c r="AC210" s="48"/>
    </row>
    <row r="211" spans="1:29" ht="15.75" x14ac:dyDescent="0.25">
      <c r="A211" s="48"/>
      <c r="C211" s="97" t="s">
        <v>90</v>
      </c>
      <c r="D211" s="14"/>
      <c r="E211" s="14"/>
      <c r="F211" s="14"/>
      <c r="G211" s="14"/>
      <c r="H211" s="14"/>
      <c r="I211" s="14"/>
      <c r="J211" s="6"/>
      <c r="K211" s="14"/>
      <c r="L211" s="14"/>
      <c r="M211" s="14"/>
      <c r="T211" s="21">
        <f>SUM(T182:T210)</f>
        <v>1840.5</v>
      </c>
      <c r="U211" s="21">
        <f>SUM(U182:U210)</f>
        <v>1274.71</v>
      </c>
      <c r="V211" s="116">
        <f>SUM(V182:V210)</f>
        <v>565.79</v>
      </c>
      <c r="W211" s="11">
        <f>SUM(W182:W210)</f>
        <v>3678.4643999999994</v>
      </c>
    </row>
    <row r="212" spans="1:29" x14ac:dyDescent="0.25">
      <c r="A212" s="48"/>
      <c r="C212" s="14"/>
      <c r="D212" s="14"/>
      <c r="E212" s="14"/>
      <c r="F212" s="14"/>
      <c r="G212" s="14"/>
      <c r="H212" s="14"/>
      <c r="I212" s="14"/>
      <c r="J212" s="6"/>
      <c r="K212" s="14"/>
      <c r="L212" s="14"/>
      <c r="M212" s="14"/>
      <c r="V212" s="113">
        <f>V211/U211*100</f>
        <v>44.385781864110264</v>
      </c>
      <c r="W212" s="8"/>
    </row>
    <row r="213" spans="1:29" ht="21" x14ac:dyDescent="0.35">
      <c r="A213" s="48"/>
      <c r="C213" s="621" t="s">
        <v>84</v>
      </c>
      <c r="D213" s="621"/>
      <c r="E213" s="621"/>
      <c r="F213" s="621"/>
      <c r="G213" s="621"/>
      <c r="H213" s="621"/>
      <c r="I213" s="621"/>
      <c r="J213" s="621"/>
      <c r="K213" s="621"/>
      <c r="L213" s="621"/>
      <c r="M213" s="621"/>
      <c r="N213" s="621"/>
      <c r="O213" s="621"/>
      <c r="P213" s="621"/>
      <c r="Q213" s="621"/>
      <c r="R213" s="621"/>
      <c r="W213" s="8"/>
    </row>
    <row r="214" spans="1:29" ht="24" x14ac:dyDescent="0.25">
      <c r="A214" s="48"/>
      <c r="C214" s="645" t="s">
        <v>2</v>
      </c>
      <c r="D214" s="645"/>
      <c r="E214" s="645"/>
      <c r="F214" s="645"/>
      <c r="G214" s="645"/>
      <c r="H214" s="26"/>
      <c r="I214" s="46">
        <v>1</v>
      </c>
      <c r="J214" s="126" t="s">
        <v>91</v>
      </c>
      <c r="K214" s="130" t="s">
        <v>89</v>
      </c>
      <c r="L214" s="131" t="s">
        <v>88</v>
      </c>
      <c r="M214" s="47" t="s">
        <v>77</v>
      </c>
      <c r="N214" s="47" t="s">
        <v>78</v>
      </c>
      <c r="O214" s="47" t="s">
        <v>79</v>
      </c>
      <c r="P214" s="47" t="s">
        <v>92</v>
      </c>
      <c r="Q214" s="47" t="s">
        <v>91</v>
      </c>
      <c r="R214" s="132" t="s">
        <v>75</v>
      </c>
      <c r="S214" s="13" t="s">
        <v>102</v>
      </c>
      <c r="Z214" s="8"/>
    </row>
    <row r="215" spans="1:29" x14ac:dyDescent="0.25">
      <c r="A215" s="48"/>
      <c r="C215" s="510" t="s">
        <v>83</v>
      </c>
      <c r="D215" s="510"/>
      <c r="E215" s="510"/>
      <c r="F215" s="510"/>
      <c r="G215" s="510"/>
      <c r="H215" s="566"/>
      <c r="I215" s="15">
        <v>46</v>
      </c>
      <c r="J215" s="15">
        <v>11.5</v>
      </c>
      <c r="K215" s="117">
        <v>21</v>
      </c>
      <c r="L215" s="15">
        <v>315</v>
      </c>
      <c r="M215" s="15">
        <f>SUM(I215:I215)</f>
        <v>46</v>
      </c>
      <c r="N215" s="15">
        <f>Q128</f>
        <v>21</v>
      </c>
      <c r="O215" s="44">
        <f>M215-N215</f>
        <v>25</v>
      </c>
      <c r="P215" s="31">
        <f>L215</f>
        <v>315</v>
      </c>
      <c r="Q215" s="31">
        <f>K215*J215</f>
        <v>241.5</v>
      </c>
      <c r="R215" s="120">
        <f>P215-Q215-11</f>
        <v>62.5</v>
      </c>
      <c r="S215" s="13">
        <f>O215*J215</f>
        <v>287.5</v>
      </c>
      <c r="T215" t="s">
        <v>94</v>
      </c>
      <c r="U215" s="128" t="s">
        <v>68</v>
      </c>
      <c r="V215" s="128"/>
      <c r="W215" s="128"/>
      <c r="X215" s="128"/>
      <c r="Y215" s="128"/>
      <c r="Z215" s="128"/>
    </row>
    <row r="216" spans="1:29" x14ac:dyDescent="0.25">
      <c r="A216" s="48"/>
      <c r="C216" s="97" t="s">
        <v>90</v>
      </c>
      <c r="R216" s="113">
        <f>R215/Q215*100</f>
        <v>25.879917184265011</v>
      </c>
      <c r="S216" s="13"/>
      <c r="W216" s="8"/>
    </row>
    <row r="217" spans="1:29" x14ac:dyDescent="0.25">
      <c r="A217" s="48"/>
      <c r="W217" s="8"/>
    </row>
    <row r="218" spans="1:29" x14ac:dyDescent="0.25">
      <c r="A218" s="48"/>
      <c r="B218" s="8"/>
      <c r="C218" s="531" t="s">
        <v>95</v>
      </c>
      <c r="D218" s="531"/>
      <c r="E218" s="531"/>
      <c r="F218" s="531"/>
      <c r="G218" s="531"/>
      <c r="H218" s="531"/>
      <c r="I218" s="531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9" x14ac:dyDescent="0.25">
      <c r="A219" s="48"/>
      <c r="B219" s="8"/>
      <c r="C219" s="173"/>
      <c r="D219" s="174" t="s">
        <v>92</v>
      </c>
      <c r="E219" s="174" t="s">
        <v>91</v>
      </c>
      <c r="F219" s="174" t="s">
        <v>75</v>
      </c>
      <c r="G219" s="174" t="s">
        <v>96</v>
      </c>
      <c r="H219" s="8"/>
      <c r="I219" s="174" t="s">
        <v>102</v>
      </c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9" x14ac:dyDescent="0.25">
      <c r="A220" s="48"/>
      <c r="B220" s="8"/>
      <c r="C220" s="2" t="s">
        <v>80</v>
      </c>
      <c r="D220" s="2">
        <f>AB158</f>
        <v>17885</v>
      </c>
      <c r="E220" s="2">
        <f>AC158</f>
        <v>14978.909999999998</v>
      </c>
      <c r="F220" s="2">
        <f>AD158</f>
        <v>2892.0900000000006</v>
      </c>
      <c r="G220" s="122">
        <f t="shared" ref="G220:G225" si="44">F220/E220*100</f>
        <v>19.307746691848745</v>
      </c>
      <c r="H220" s="8"/>
      <c r="I220" s="2">
        <f>AE158</f>
        <v>9879.3599999999969</v>
      </c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9" x14ac:dyDescent="0.25">
      <c r="A221" s="8"/>
      <c r="C221" s="1" t="s">
        <v>81</v>
      </c>
      <c r="D221" s="1">
        <f>T168</f>
        <v>1240</v>
      </c>
      <c r="E221" s="1">
        <f>U168</f>
        <v>1045</v>
      </c>
      <c r="F221" s="1">
        <f>V168</f>
        <v>195</v>
      </c>
      <c r="G221" s="122">
        <f t="shared" si="44"/>
        <v>18.660287081339714</v>
      </c>
      <c r="I221" s="1">
        <f>W168</f>
        <v>1410</v>
      </c>
      <c r="W221" s="8"/>
    </row>
    <row r="222" spans="1:29" x14ac:dyDescent="0.25">
      <c r="A222" s="8"/>
      <c r="C222" s="1" t="s">
        <v>98</v>
      </c>
      <c r="D222" s="1">
        <f>T176</f>
        <v>800</v>
      </c>
      <c r="E222" s="1">
        <f>U176</f>
        <v>640</v>
      </c>
      <c r="F222" s="1">
        <f>V176</f>
        <v>160</v>
      </c>
      <c r="G222" s="122">
        <f t="shared" si="44"/>
        <v>25</v>
      </c>
      <c r="I222" s="1">
        <f>W176</f>
        <v>80</v>
      </c>
      <c r="W222" s="8"/>
    </row>
    <row r="223" spans="1:29" x14ac:dyDescent="0.25">
      <c r="A223" s="8"/>
      <c r="C223" s="2" t="s">
        <v>82</v>
      </c>
      <c r="D223" s="1">
        <f>T211</f>
        <v>1840.5</v>
      </c>
      <c r="E223" s="1">
        <f>U211</f>
        <v>1274.71</v>
      </c>
      <c r="F223" s="1">
        <f>V211</f>
        <v>565.79</v>
      </c>
      <c r="G223" s="122">
        <f t="shared" si="44"/>
        <v>44.385781864110264</v>
      </c>
      <c r="I223" s="1">
        <f>W211</f>
        <v>3678.4643999999994</v>
      </c>
      <c r="W223" s="8"/>
    </row>
    <row r="224" spans="1:29" x14ac:dyDescent="0.25">
      <c r="A224" s="8"/>
      <c r="C224" s="1" t="s">
        <v>84</v>
      </c>
      <c r="D224" s="1">
        <f>P215</f>
        <v>315</v>
      </c>
      <c r="E224" s="1">
        <f>Q215</f>
        <v>241.5</v>
      </c>
      <c r="F224" s="1">
        <f>R215</f>
        <v>62.5</v>
      </c>
      <c r="G224" s="122">
        <f t="shared" si="44"/>
        <v>25.879917184265011</v>
      </c>
      <c r="I224" s="1">
        <f>S215</f>
        <v>287.5</v>
      </c>
      <c r="W224" s="8"/>
    </row>
    <row r="225" spans="1:23" ht="15.75" x14ac:dyDescent="0.25">
      <c r="A225" s="8"/>
      <c r="C225" s="123" t="s">
        <v>72</v>
      </c>
      <c r="D225" s="4">
        <f>SUM(D220:D224)</f>
        <v>22080.5</v>
      </c>
      <c r="E225" s="4">
        <f>SUM(E220:E224)</f>
        <v>18180.119999999995</v>
      </c>
      <c r="F225" s="125">
        <f>SUM(F220:F224)</f>
        <v>3875.3800000000006</v>
      </c>
      <c r="G225" s="124">
        <f t="shared" si="44"/>
        <v>21.316580968662482</v>
      </c>
      <c r="I225" s="175">
        <f>SUM(I220:I224)</f>
        <v>15335.324399999996</v>
      </c>
      <c r="W225" s="8"/>
    </row>
    <row r="226" spans="1:23" x14ac:dyDescent="0.25">
      <c r="A226" s="8"/>
      <c r="C226" s="97" t="s">
        <v>90</v>
      </c>
      <c r="W226" s="8"/>
    </row>
    <row r="227" spans="1:23" x14ac:dyDescent="0.25">
      <c r="A227" s="8"/>
      <c r="W227" s="8"/>
    </row>
    <row r="228" spans="1:23" x14ac:dyDescent="0.25">
      <c r="A228" s="8"/>
      <c r="W228" s="8"/>
    </row>
    <row r="229" spans="1:23" x14ac:dyDescent="0.25">
      <c r="A229" s="8"/>
      <c r="W229" s="8"/>
    </row>
    <row r="230" spans="1:23" x14ac:dyDescent="0.25">
      <c r="W230" s="8"/>
    </row>
    <row r="231" spans="1:23" x14ac:dyDescent="0.25">
      <c r="W231" s="8"/>
    </row>
    <row r="232" spans="1:23" x14ac:dyDescent="0.25">
      <c r="W232" s="8"/>
    </row>
    <row r="233" spans="1:23" x14ac:dyDescent="0.25">
      <c r="W233" s="8"/>
    </row>
    <row r="234" spans="1:23" x14ac:dyDescent="0.25">
      <c r="W234" s="8"/>
    </row>
    <row r="235" spans="1:23" x14ac:dyDescent="0.25">
      <c r="W235" s="8"/>
    </row>
    <row r="236" spans="1:23" x14ac:dyDescent="0.25">
      <c r="W236" s="8"/>
    </row>
    <row r="237" spans="1:23" x14ac:dyDescent="0.25">
      <c r="W237" s="8"/>
    </row>
    <row r="238" spans="1:23" x14ac:dyDescent="0.25">
      <c r="W238" s="8"/>
    </row>
    <row r="239" spans="1:23" x14ac:dyDescent="0.25">
      <c r="W239" s="8"/>
    </row>
    <row r="240" spans="1:23" x14ac:dyDescent="0.25">
      <c r="W240" s="8"/>
    </row>
    <row r="241" spans="23:23" x14ac:dyDescent="0.25">
      <c r="W241" s="8"/>
    </row>
    <row r="242" spans="23:23" x14ac:dyDescent="0.25">
      <c r="W242" s="8"/>
    </row>
    <row r="243" spans="23:23" x14ac:dyDescent="0.25">
      <c r="W243" s="8"/>
    </row>
    <row r="244" spans="23:23" x14ac:dyDescent="0.25">
      <c r="W244" s="8"/>
    </row>
    <row r="245" spans="23:23" x14ac:dyDescent="0.25">
      <c r="W245" s="8"/>
    </row>
    <row r="246" spans="23:23" x14ac:dyDescent="0.25">
      <c r="W246" s="8"/>
    </row>
    <row r="247" spans="23:23" x14ac:dyDescent="0.25">
      <c r="W247" s="8"/>
    </row>
    <row r="248" spans="23:23" x14ac:dyDescent="0.25">
      <c r="W248" s="8"/>
    </row>
    <row r="249" spans="23:23" x14ac:dyDescent="0.25">
      <c r="W249" s="8"/>
    </row>
    <row r="250" spans="23:23" x14ac:dyDescent="0.25">
      <c r="W250" s="8"/>
    </row>
    <row r="251" spans="23:23" x14ac:dyDescent="0.25">
      <c r="W251" s="8"/>
    </row>
    <row r="252" spans="23:23" x14ac:dyDescent="0.25">
      <c r="W252" s="8"/>
    </row>
    <row r="253" spans="23:23" x14ac:dyDescent="0.25">
      <c r="W253" s="8"/>
    </row>
    <row r="254" spans="23:23" x14ac:dyDescent="0.25">
      <c r="W254" s="8"/>
    </row>
    <row r="255" spans="23:23" x14ac:dyDescent="0.25">
      <c r="W255" s="8"/>
    </row>
    <row r="256" spans="23:23" x14ac:dyDescent="0.25">
      <c r="W256" s="8"/>
    </row>
    <row r="257" spans="23:23" x14ac:dyDescent="0.25">
      <c r="W257" s="8"/>
    </row>
    <row r="258" spans="23:23" x14ac:dyDescent="0.25">
      <c r="W258" s="8"/>
    </row>
    <row r="259" spans="23:23" x14ac:dyDescent="0.25">
      <c r="W259" s="8"/>
    </row>
    <row r="260" spans="23:23" x14ac:dyDescent="0.25">
      <c r="W260" s="8"/>
    </row>
    <row r="261" spans="23:23" x14ac:dyDescent="0.25">
      <c r="W261" s="8"/>
    </row>
    <row r="262" spans="23:23" x14ac:dyDescent="0.25">
      <c r="W262" s="8"/>
    </row>
    <row r="263" spans="23:23" x14ac:dyDescent="0.25">
      <c r="W263" s="8"/>
    </row>
    <row r="264" spans="23:23" x14ac:dyDescent="0.25">
      <c r="W264" s="8"/>
    </row>
    <row r="265" spans="23:23" x14ac:dyDescent="0.25">
      <c r="W265" s="8"/>
    </row>
    <row r="266" spans="23:23" x14ac:dyDescent="0.25">
      <c r="W266" s="8"/>
    </row>
    <row r="267" spans="23:23" x14ac:dyDescent="0.25">
      <c r="W267" s="8"/>
    </row>
    <row r="268" spans="23:23" x14ac:dyDescent="0.25">
      <c r="W268" s="8"/>
    </row>
    <row r="269" spans="23:23" x14ac:dyDescent="0.25">
      <c r="W269" s="8"/>
    </row>
    <row r="270" spans="23:23" x14ac:dyDescent="0.25">
      <c r="W270" s="8"/>
    </row>
    <row r="271" spans="23:23" x14ac:dyDescent="0.25">
      <c r="W271" s="8"/>
    </row>
    <row r="272" spans="23:23" x14ac:dyDescent="0.25">
      <c r="W272" s="8"/>
    </row>
    <row r="273" spans="23:23" x14ac:dyDescent="0.25">
      <c r="W273" s="8"/>
    </row>
    <row r="274" spans="23:23" x14ac:dyDescent="0.25">
      <c r="W274" s="8"/>
    </row>
    <row r="275" spans="23:23" x14ac:dyDescent="0.25">
      <c r="W275" s="8"/>
    </row>
    <row r="276" spans="23:23" x14ac:dyDescent="0.25">
      <c r="W276" s="8"/>
    </row>
    <row r="277" spans="23:23" x14ac:dyDescent="0.25">
      <c r="W277" s="8"/>
    </row>
    <row r="278" spans="23:23" x14ac:dyDescent="0.25">
      <c r="W278" s="8"/>
    </row>
    <row r="279" spans="23:23" x14ac:dyDescent="0.25">
      <c r="W279" s="8"/>
    </row>
    <row r="280" spans="23:23" x14ac:dyDescent="0.25">
      <c r="W280" s="8"/>
    </row>
    <row r="281" spans="23:23" x14ac:dyDescent="0.25">
      <c r="W281" s="8"/>
    </row>
    <row r="282" spans="23:23" x14ac:dyDescent="0.25">
      <c r="W282" s="8"/>
    </row>
    <row r="283" spans="23:23" x14ac:dyDescent="0.25">
      <c r="W283" s="8"/>
    </row>
    <row r="284" spans="23:23" x14ac:dyDescent="0.25">
      <c r="W284" s="8"/>
    </row>
    <row r="285" spans="23:23" x14ac:dyDescent="0.25">
      <c r="W285" s="8"/>
    </row>
    <row r="286" spans="23:23" x14ac:dyDescent="0.25">
      <c r="W286" s="8"/>
    </row>
    <row r="287" spans="23:23" x14ac:dyDescent="0.25">
      <c r="W287" s="8"/>
    </row>
    <row r="288" spans="23:23" x14ac:dyDescent="0.25">
      <c r="W288" s="8"/>
    </row>
    <row r="289" spans="23:23" x14ac:dyDescent="0.25">
      <c r="W289" s="8"/>
    </row>
    <row r="290" spans="23:23" x14ac:dyDescent="0.25">
      <c r="W290" s="8"/>
    </row>
    <row r="291" spans="23:23" x14ac:dyDescent="0.25">
      <c r="W291" s="8"/>
    </row>
    <row r="292" spans="23:23" x14ac:dyDescent="0.25">
      <c r="W292" s="8"/>
    </row>
    <row r="293" spans="23:23" x14ac:dyDescent="0.25">
      <c r="W293" s="8"/>
    </row>
    <row r="294" spans="23:23" x14ac:dyDescent="0.25">
      <c r="W294" s="8"/>
    </row>
    <row r="295" spans="23:23" x14ac:dyDescent="0.25">
      <c r="W295" s="8"/>
    </row>
    <row r="296" spans="23:23" x14ac:dyDescent="0.25">
      <c r="W296" s="8"/>
    </row>
    <row r="297" spans="23:23" x14ac:dyDescent="0.25">
      <c r="W297" s="8"/>
    </row>
    <row r="298" spans="23:23" x14ac:dyDescent="0.25">
      <c r="W298" s="8"/>
    </row>
    <row r="299" spans="23:23" x14ac:dyDescent="0.25">
      <c r="W299" s="8"/>
    </row>
    <row r="300" spans="23:23" x14ac:dyDescent="0.25">
      <c r="W300" s="8"/>
    </row>
  </sheetData>
  <mergeCells count="1006">
    <mergeCell ref="A1:DP3"/>
    <mergeCell ref="C5:I6"/>
    <mergeCell ref="P5:V6"/>
    <mergeCell ref="AB5:AH6"/>
    <mergeCell ref="AM5:AS6"/>
    <mergeCell ref="BA5:BG6"/>
    <mergeCell ref="BM5:BS6"/>
    <mergeCell ref="CF5:CL6"/>
    <mergeCell ref="CX5:DD6"/>
    <mergeCell ref="CF8:CK8"/>
    <mergeCell ref="CX8:DC8"/>
    <mergeCell ref="DR8:DW8"/>
    <mergeCell ref="C9:H9"/>
    <mergeCell ref="P9:U9"/>
    <mergeCell ref="AB9:AG9"/>
    <mergeCell ref="AM9:AR9"/>
    <mergeCell ref="BA9:BF9"/>
    <mergeCell ref="BM9:BR9"/>
    <mergeCell ref="CF9:CK9"/>
    <mergeCell ref="C8:G8"/>
    <mergeCell ref="P8:T8"/>
    <mergeCell ref="AB8:AF8"/>
    <mergeCell ref="AM8:AR8"/>
    <mergeCell ref="BA8:BF8"/>
    <mergeCell ref="BM8:BR8"/>
    <mergeCell ref="DR5:DX6"/>
    <mergeCell ref="C7:H7"/>
    <mergeCell ref="P7:U7"/>
    <mergeCell ref="AB7:AG7"/>
    <mergeCell ref="AM7:AR7"/>
    <mergeCell ref="BA7:BF7"/>
    <mergeCell ref="BM7:BR7"/>
    <mergeCell ref="CF7:CK7"/>
    <mergeCell ref="CX7:DC7"/>
    <mergeCell ref="DR7:DW7"/>
    <mergeCell ref="DR10:DW10"/>
    <mergeCell ref="C11:H11"/>
    <mergeCell ref="P11:U11"/>
    <mergeCell ref="AB11:AG11"/>
    <mergeCell ref="AM11:AR11"/>
    <mergeCell ref="BA11:BF11"/>
    <mergeCell ref="BM11:BR11"/>
    <mergeCell ref="CF11:CK11"/>
    <mergeCell ref="CX11:DC11"/>
    <mergeCell ref="DR11:DW11"/>
    <mergeCell ref="CX9:DC9"/>
    <mergeCell ref="DR9:DW9"/>
    <mergeCell ref="C10:H10"/>
    <mergeCell ref="P10:U10"/>
    <mergeCell ref="AB10:AG10"/>
    <mergeCell ref="AM10:AR10"/>
    <mergeCell ref="BA10:BF10"/>
    <mergeCell ref="BM10:BR10"/>
    <mergeCell ref="CF10:CK10"/>
    <mergeCell ref="CX10:DC10"/>
    <mergeCell ref="CX13:DC13"/>
    <mergeCell ref="DR13:DW13"/>
    <mergeCell ref="C14:H14"/>
    <mergeCell ref="P14:U14"/>
    <mergeCell ref="AB14:AG14"/>
    <mergeCell ref="AM14:AR14"/>
    <mergeCell ref="BA14:BF14"/>
    <mergeCell ref="BM14:BR14"/>
    <mergeCell ref="CF14:CK14"/>
    <mergeCell ref="CX14:DC14"/>
    <mergeCell ref="CF12:CK12"/>
    <mergeCell ref="CX12:DC12"/>
    <mergeCell ref="DR12:DW12"/>
    <mergeCell ref="C13:H13"/>
    <mergeCell ref="P13:U13"/>
    <mergeCell ref="AB13:AG13"/>
    <mergeCell ref="AM13:AR13"/>
    <mergeCell ref="BA13:BF13"/>
    <mergeCell ref="BM13:BR13"/>
    <mergeCell ref="CF13:CK13"/>
    <mergeCell ref="C12:H12"/>
    <mergeCell ref="P12:U12"/>
    <mergeCell ref="AB12:AG12"/>
    <mergeCell ref="AM12:AR12"/>
    <mergeCell ref="BA12:BF12"/>
    <mergeCell ref="BM12:BR12"/>
    <mergeCell ref="CF16:CK16"/>
    <mergeCell ref="CX16:DC16"/>
    <mergeCell ref="DR16:DW16"/>
    <mergeCell ref="C17:H17"/>
    <mergeCell ref="P17:U17"/>
    <mergeCell ref="AB17:AG17"/>
    <mergeCell ref="AM17:AR17"/>
    <mergeCell ref="BA17:BF17"/>
    <mergeCell ref="BM17:BR17"/>
    <mergeCell ref="CF17:CK17"/>
    <mergeCell ref="C16:H16"/>
    <mergeCell ref="P16:U16"/>
    <mergeCell ref="AB16:AG16"/>
    <mergeCell ref="AM16:AR16"/>
    <mergeCell ref="BA16:BF16"/>
    <mergeCell ref="BM16:BR16"/>
    <mergeCell ref="DR14:DW14"/>
    <mergeCell ref="C15:H15"/>
    <mergeCell ref="P15:U15"/>
    <mergeCell ref="AB15:AG15"/>
    <mergeCell ref="AM15:AR15"/>
    <mergeCell ref="BA15:BF15"/>
    <mergeCell ref="BM15:BR15"/>
    <mergeCell ref="CF15:CK15"/>
    <mergeCell ref="CX15:DC15"/>
    <mergeCell ref="DR15:DW15"/>
    <mergeCell ref="DR18:DW18"/>
    <mergeCell ref="C19:H19"/>
    <mergeCell ref="P19:U19"/>
    <mergeCell ref="AB19:AG19"/>
    <mergeCell ref="AM19:AR19"/>
    <mergeCell ref="BA19:BF19"/>
    <mergeCell ref="BM19:BR19"/>
    <mergeCell ref="CF19:CK19"/>
    <mergeCell ref="CX19:DC19"/>
    <mergeCell ref="DR19:DW19"/>
    <mergeCell ref="CX17:DC17"/>
    <mergeCell ref="DR17:DW17"/>
    <mergeCell ref="C18:H18"/>
    <mergeCell ref="P18:U18"/>
    <mergeCell ref="AB18:AG18"/>
    <mergeCell ref="AM18:AR18"/>
    <mergeCell ref="BA18:BF18"/>
    <mergeCell ref="BM18:BR18"/>
    <mergeCell ref="CF18:CK18"/>
    <mergeCell ref="CX18:DC18"/>
    <mergeCell ref="CX21:DC21"/>
    <mergeCell ref="DR21:DW21"/>
    <mergeCell ref="C22:H22"/>
    <mergeCell ref="P22:U22"/>
    <mergeCell ref="AB22:AG22"/>
    <mergeCell ref="AM22:AR22"/>
    <mergeCell ref="BA22:BF22"/>
    <mergeCell ref="BM22:BR22"/>
    <mergeCell ref="CF22:CK22"/>
    <mergeCell ref="CX22:DC22"/>
    <mergeCell ref="CF20:CK20"/>
    <mergeCell ref="CX20:DC20"/>
    <mergeCell ref="DR20:DW20"/>
    <mergeCell ref="C21:H21"/>
    <mergeCell ref="P21:U21"/>
    <mergeCell ref="AB21:AG21"/>
    <mergeCell ref="AM21:AR21"/>
    <mergeCell ref="BA21:BF21"/>
    <mergeCell ref="BM21:BR21"/>
    <mergeCell ref="CF21:CK21"/>
    <mergeCell ref="C20:G20"/>
    <mergeCell ref="P20:T20"/>
    <mergeCell ref="AB20:AF20"/>
    <mergeCell ref="AM20:AR20"/>
    <mergeCell ref="BA20:BF20"/>
    <mergeCell ref="BM20:BR20"/>
    <mergeCell ref="CF24:CK24"/>
    <mergeCell ref="CX24:DC24"/>
    <mergeCell ref="DR24:DW24"/>
    <mergeCell ref="CF25:CK25"/>
    <mergeCell ref="CX25:DC25"/>
    <mergeCell ref="DR25:DW25"/>
    <mergeCell ref="C24:H24"/>
    <mergeCell ref="P24:U24"/>
    <mergeCell ref="AB24:AG24"/>
    <mergeCell ref="AM24:AR24"/>
    <mergeCell ref="BA24:BF24"/>
    <mergeCell ref="BM24:BR24"/>
    <mergeCell ref="DR22:DW22"/>
    <mergeCell ref="C23:H23"/>
    <mergeCell ref="P23:U23"/>
    <mergeCell ref="AB23:AG23"/>
    <mergeCell ref="AM23:AR23"/>
    <mergeCell ref="BA23:BF23"/>
    <mergeCell ref="BM23:BR23"/>
    <mergeCell ref="CF23:CK23"/>
    <mergeCell ref="CX23:DC23"/>
    <mergeCell ref="DR23:DW23"/>
    <mergeCell ref="CX27:DC27"/>
    <mergeCell ref="DR27:DW27"/>
    <mergeCell ref="C28:H28"/>
    <mergeCell ref="P28:U28"/>
    <mergeCell ref="AB28:AG28"/>
    <mergeCell ref="AM28:AR28"/>
    <mergeCell ref="BA28:BF28"/>
    <mergeCell ref="BM28:BR28"/>
    <mergeCell ref="CF28:CK28"/>
    <mergeCell ref="CX28:DC28"/>
    <mergeCell ref="CF26:CK26"/>
    <mergeCell ref="CX26:DC26"/>
    <mergeCell ref="DR26:DW26"/>
    <mergeCell ref="C27:H27"/>
    <mergeCell ref="P27:U27"/>
    <mergeCell ref="AB27:AG27"/>
    <mergeCell ref="AM27:AR27"/>
    <mergeCell ref="BA27:BF27"/>
    <mergeCell ref="BM27:BR27"/>
    <mergeCell ref="CF27:CK27"/>
    <mergeCell ref="C26:H26"/>
    <mergeCell ref="P26:U26"/>
    <mergeCell ref="AB26:AG26"/>
    <mergeCell ref="AM26:AR26"/>
    <mergeCell ref="BA26:BF26"/>
    <mergeCell ref="BM26:BR26"/>
    <mergeCell ref="CF30:CK30"/>
    <mergeCell ref="CX30:DC30"/>
    <mergeCell ref="DR30:DW30"/>
    <mergeCell ref="C31:H31"/>
    <mergeCell ref="P31:U31"/>
    <mergeCell ref="AB31:AG31"/>
    <mergeCell ref="AM31:AR31"/>
    <mergeCell ref="BA31:BF31"/>
    <mergeCell ref="BM31:BR31"/>
    <mergeCell ref="CF31:CK31"/>
    <mergeCell ref="C30:H30"/>
    <mergeCell ref="P30:U30"/>
    <mergeCell ref="AB30:AG30"/>
    <mergeCell ref="AM30:AR30"/>
    <mergeCell ref="BA30:BF30"/>
    <mergeCell ref="BM30:BR30"/>
    <mergeCell ref="DR28:DW28"/>
    <mergeCell ref="C29:H29"/>
    <mergeCell ref="P29:U29"/>
    <mergeCell ref="AB29:AG29"/>
    <mergeCell ref="AM29:AR29"/>
    <mergeCell ref="BA29:BF29"/>
    <mergeCell ref="BM29:BR29"/>
    <mergeCell ref="CF29:CK29"/>
    <mergeCell ref="CX29:DC29"/>
    <mergeCell ref="DR29:DW29"/>
    <mergeCell ref="DR32:DW32"/>
    <mergeCell ref="C33:H33"/>
    <mergeCell ref="P33:U33"/>
    <mergeCell ref="AB33:AG33"/>
    <mergeCell ref="AM33:AR33"/>
    <mergeCell ref="BA33:BF33"/>
    <mergeCell ref="BM33:BR33"/>
    <mergeCell ref="CF33:CK33"/>
    <mergeCell ref="CX33:DC33"/>
    <mergeCell ref="DR33:DW33"/>
    <mergeCell ref="CX31:DC31"/>
    <mergeCell ref="DR31:DW31"/>
    <mergeCell ref="C32:H32"/>
    <mergeCell ref="P32:U32"/>
    <mergeCell ref="AB32:AG32"/>
    <mergeCell ref="AM32:AR32"/>
    <mergeCell ref="BA32:BF32"/>
    <mergeCell ref="BM32:BR32"/>
    <mergeCell ref="CF32:CK32"/>
    <mergeCell ref="CX32:DC32"/>
    <mergeCell ref="CX35:DC35"/>
    <mergeCell ref="DR35:DW35"/>
    <mergeCell ref="C36:H36"/>
    <mergeCell ref="P36:U36"/>
    <mergeCell ref="AB36:AG36"/>
    <mergeCell ref="AM36:AR36"/>
    <mergeCell ref="BA36:BF36"/>
    <mergeCell ref="BM36:BR36"/>
    <mergeCell ref="CF36:CK36"/>
    <mergeCell ref="CX36:DC36"/>
    <mergeCell ref="CF34:CK34"/>
    <mergeCell ref="CX34:DC34"/>
    <mergeCell ref="DR34:DW34"/>
    <mergeCell ref="C35:H35"/>
    <mergeCell ref="P35:U35"/>
    <mergeCell ref="AB35:AG35"/>
    <mergeCell ref="AM35:AR35"/>
    <mergeCell ref="BA35:BF35"/>
    <mergeCell ref="BM35:BR35"/>
    <mergeCell ref="CF35:CK35"/>
    <mergeCell ref="C34:H34"/>
    <mergeCell ref="P34:U34"/>
    <mergeCell ref="AB34:AG34"/>
    <mergeCell ref="AM34:AR34"/>
    <mergeCell ref="BA34:BF34"/>
    <mergeCell ref="BM34:BR34"/>
    <mergeCell ref="CF38:CK38"/>
    <mergeCell ref="CX38:DC38"/>
    <mergeCell ref="DR38:DW38"/>
    <mergeCell ref="C39:H39"/>
    <mergeCell ref="P39:U39"/>
    <mergeCell ref="AB39:AG39"/>
    <mergeCell ref="AM39:AR39"/>
    <mergeCell ref="BA39:BF39"/>
    <mergeCell ref="BM39:BR39"/>
    <mergeCell ref="CF39:CK39"/>
    <mergeCell ref="C38:H38"/>
    <mergeCell ref="P38:U38"/>
    <mergeCell ref="AB38:AG38"/>
    <mergeCell ref="AM38:AR38"/>
    <mergeCell ref="BA38:BF38"/>
    <mergeCell ref="BM38:BR38"/>
    <mergeCell ref="DR36:DW36"/>
    <mergeCell ref="C37:H37"/>
    <mergeCell ref="P37:U37"/>
    <mergeCell ref="AB37:AG37"/>
    <mergeCell ref="AM37:AR37"/>
    <mergeCell ref="BA37:BF37"/>
    <mergeCell ref="BM37:BR37"/>
    <mergeCell ref="CF37:CK37"/>
    <mergeCell ref="CX37:DC37"/>
    <mergeCell ref="DR37:DW37"/>
    <mergeCell ref="DR40:DW40"/>
    <mergeCell ref="C41:H41"/>
    <mergeCell ref="P41:U41"/>
    <mergeCell ref="AB41:AG41"/>
    <mergeCell ref="AM41:AR41"/>
    <mergeCell ref="BA41:BF41"/>
    <mergeCell ref="BM41:BR41"/>
    <mergeCell ref="CF41:CK41"/>
    <mergeCell ref="CX41:DC41"/>
    <mergeCell ref="DR41:DW41"/>
    <mergeCell ref="CX39:DC39"/>
    <mergeCell ref="DR39:DW39"/>
    <mergeCell ref="C40:H40"/>
    <mergeCell ref="P40:U40"/>
    <mergeCell ref="AB40:AG40"/>
    <mergeCell ref="AM40:AR40"/>
    <mergeCell ref="BA40:BF40"/>
    <mergeCell ref="BM40:BR40"/>
    <mergeCell ref="CF40:CK40"/>
    <mergeCell ref="CX40:DC40"/>
    <mergeCell ref="CX43:DC43"/>
    <mergeCell ref="DR43:DW43"/>
    <mergeCell ref="C44:H44"/>
    <mergeCell ref="P44:U44"/>
    <mergeCell ref="AB44:AG44"/>
    <mergeCell ref="AM44:AR44"/>
    <mergeCell ref="BA44:BF44"/>
    <mergeCell ref="BM44:BR44"/>
    <mergeCell ref="CF44:CK44"/>
    <mergeCell ref="CX44:DC44"/>
    <mergeCell ref="CF42:CK42"/>
    <mergeCell ref="CX42:DC42"/>
    <mergeCell ref="DR42:DW42"/>
    <mergeCell ref="C43:H43"/>
    <mergeCell ref="P43:U43"/>
    <mergeCell ref="AB43:AG43"/>
    <mergeCell ref="AM43:AR43"/>
    <mergeCell ref="BA43:BF43"/>
    <mergeCell ref="BM43:BR43"/>
    <mergeCell ref="CF43:CK43"/>
    <mergeCell ref="C42:H42"/>
    <mergeCell ref="P42:U42"/>
    <mergeCell ref="AB42:AG42"/>
    <mergeCell ref="AM42:AR42"/>
    <mergeCell ref="BA42:BF42"/>
    <mergeCell ref="BM42:BR42"/>
    <mergeCell ref="CF46:CK46"/>
    <mergeCell ref="CX46:DC46"/>
    <mergeCell ref="DR46:DW46"/>
    <mergeCell ref="C47:H47"/>
    <mergeCell ref="P47:U47"/>
    <mergeCell ref="AB47:AG47"/>
    <mergeCell ref="AM47:AR47"/>
    <mergeCell ref="BA47:BF47"/>
    <mergeCell ref="BM47:BR47"/>
    <mergeCell ref="CF47:CK47"/>
    <mergeCell ref="C46:H46"/>
    <mergeCell ref="P46:U46"/>
    <mergeCell ref="AB46:AG46"/>
    <mergeCell ref="AM46:AR46"/>
    <mergeCell ref="BA46:BF46"/>
    <mergeCell ref="BM46:BR46"/>
    <mergeCell ref="DR44:DW44"/>
    <mergeCell ref="C45:H45"/>
    <mergeCell ref="P45:U45"/>
    <mergeCell ref="AB45:AG45"/>
    <mergeCell ref="AM45:AR45"/>
    <mergeCell ref="BA45:BF45"/>
    <mergeCell ref="BM45:BR45"/>
    <mergeCell ref="CF45:CK45"/>
    <mergeCell ref="CX45:DC45"/>
    <mergeCell ref="DR45:DW45"/>
    <mergeCell ref="DR48:DW48"/>
    <mergeCell ref="C49:H49"/>
    <mergeCell ref="P49:U49"/>
    <mergeCell ref="AB49:AG49"/>
    <mergeCell ref="AM49:AR49"/>
    <mergeCell ref="BA49:BF49"/>
    <mergeCell ref="BM49:BR49"/>
    <mergeCell ref="CF49:CK49"/>
    <mergeCell ref="CX49:DC49"/>
    <mergeCell ref="DR49:DW49"/>
    <mergeCell ref="CX47:DC47"/>
    <mergeCell ref="DR47:DW47"/>
    <mergeCell ref="C48:H48"/>
    <mergeCell ref="P48:U48"/>
    <mergeCell ref="AB48:AG48"/>
    <mergeCell ref="AM48:AR48"/>
    <mergeCell ref="BA48:BF48"/>
    <mergeCell ref="BM48:BR48"/>
    <mergeCell ref="CF48:CK48"/>
    <mergeCell ref="CX48:DC48"/>
    <mergeCell ref="CX51:DC51"/>
    <mergeCell ref="DR51:DW51"/>
    <mergeCell ref="C52:H52"/>
    <mergeCell ref="P52:U52"/>
    <mergeCell ref="AB52:AG52"/>
    <mergeCell ref="AM52:AR52"/>
    <mergeCell ref="BA52:BF52"/>
    <mergeCell ref="BM52:BR52"/>
    <mergeCell ref="CF52:CK52"/>
    <mergeCell ref="CX52:DC52"/>
    <mergeCell ref="CF50:CK50"/>
    <mergeCell ref="CX50:DC50"/>
    <mergeCell ref="DR50:DW50"/>
    <mergeCell ref="C51:H51"/>
    <mergeCell ref="P51:U51"/>
    <mergeCell ref="AB51:AG51"/>
    <mergeCell ref="AM51:AR51"/>
    <mergeCell ref="BA51:BF51"/>
    <mergeCell ref="BM51:BR51"/>
    <mergeCell ref="CF51:CK51"/>
    <mergeCell ref="C50:H50"/>
    <mergeCell ref="P50:U50"/>
    <mergeCell ref="AB50:AG50"/>
    <mergeCell ref="AM50:AR50"/>
    <mergeCell ref="BA50:BF50"/>
    <mergeCell ref="BM50:BR50"/>
    <mergeCell ref="CF54:CK54"/>
    <mergeCell ref="CX54:DC54"/>
    <mergeCell ref="DR54:DW54"/>
    <mergeCell ref="C55:H55"/>
    <mergeCell ref="P55:U55"/>
    <mergeCell ref="AB55:AG55"/>
    <mergeCell ref="AM55:AR55"/>
    <mergeCell ref="BA55:BF55"/>
    <mergeCell ref="BM55:BR55"/>
    <mergeCell ref="CF55:CK55"/>
    <mergeCell ref="C54:H54"/>
    <mergeCell ref="P54:U54"/>
    <mergeCell ref="AB54:AG54"/>
    <mergeCell ref="AM54:AR54"/>
    <mergeCell ref="BA54:BF54"/>
    <mergeCell ref="BM54:BR54"/>
    <mergeCell ref="DR52:DW52"/>
    <mergeCell ref="C53:H53"/>
    <mergeCell ref="P53:U53"/>
    <mergeCell ref="AB53:AG53"/>
    <mergeCell ref="AM53:AR53"/>
    <mergeCell ref="BA53:BF53"/>
    <mergeCell ref="BM53:BR53"/>
    <mergeCell ref="CF53:CK53"/>
    <mergeCell ref="CX53:DC53"/>
    <mergeCell ref="DR53:DW53"/>
    <mergeCell ref="DR56:DW56"/>
    <mergeCell ref="C57:H57"/>
    <mergeCell ref="P57:U57"/>
    <mergeCell ref="AB57:AG57"/>
    <mergeCell ref="AM57:AR57"/>
    <mergeCell ref="BA57:BF57"/>
    <mergeCell ref="BM57:BR57"/>
    <mergeCell ref="CF57:CK57"/>
    <mergeCell ref="CX57:DC57"/>
    <mergeCell ref="DR57:DW57"/>
    <mergeCell ref="CX55:DC55"/>
    <mergeCell ref="DR55:DW55"/>
    <mergeCell ref="C56:H56"/>
    <mergeCell ref="P56:U56"/>
    <mergeCell ref="AB56:AG56"/>
    <mergeCell ref="AM56:AR56"/>
    <mergeCell ref="BA56:BF56"/>
    <mergeCell ref="BM56:BR56"/>
    <mergeCell ref="CF56:CK56"/>
    <mergeCell ref="CX56:DC56"/>
    <mergeCell ref="CX59:DC59"/>
    <mergeCell ref="DR59:DW59"/>
    <mergeCell ref="C60:H60"/>
    <mergeCell ref="P60:U60"/>
    <mergeCell ref="AB60:AG60"/>
    <mergeCell ref="AM60:AR60"/>
    <mergeCell ref="BA60:BF60"/>
    <mergeCell ref="BM60:BR60"/>
    <mergeCell ref="CF60:CK60"/>
    <mergeCell ref="CX60:DC60"/>
    <mergeCell ref="CF58:CK58"/>
    <mergeCell ref="CX58:DC58"/>
    <mergeCell ref="DR58:DW58"/>
    <mergeCell ref="C59:H59"/>
    <mergeCell ref="P59:U59"/>
    <mergeCell ref="AB59:AG59"/>
    <mergeCell ref="AM59:AR59"/>
    <mergeCell ref="BA59:BF59"/>
    <mergeCell ref="BM59:BR59"/>
    <mergeCell ref="CF59:CK59"/>
    <mergeCell ref="C58:H58"/>
    <mergeCell ref="P58:U58"/>
    <mergeCell ref="AB58:AG58"/>
    <mergeCell ref="AM58:AR58"/>
    <mergeCell ref="BA58:BF58"/>
    <mergeCell ref="BM58:BR58"/>
    <mergeCell ref="CF62:CK62"/>
    <mergeCell ref="CX62:DC62"/>
    <mergeCell ref="DR62:DW62"/>
    <mergeCell ref="C63:H63"/>
    <mergeCell ref="P63:U63"/>
    <mergeCell ref="AB63:AG63"/>
    <mergeCell ref="AM63:AR63"/>
    <mergeCell ref="BA63:BF63"/>
    <mergeCell ref="BM63:BR63"/>
    <mergeCell ref="CF63:CK63"/>
    <mergeCell ref="C62:H62"/>
    <mergeCell ref="P62:U62"/>
    <mergeCell ref="AB62:AG62"/>
    <mergeCell ref="AM62:AR62"/>
    <mergeCell ref="BA62:BF62"/>
    <mergeCell ref="BM62:BR62"/>
    <mergeCell ref="DR60:DW60"/>
    <mergeCell ref="C61:H61"/>
    <mergeCell ref="P61:U61"/>
    <mergeCell ref="AB61:AG61"/>
    <mergeCell ref="AM61:AR61"/>
    <mergeCell ref="BA61:BF61"/>
    <mergeCell ref="BM61:BR61"/>
    <mergeCell ref="CF61:CK61"/>
    <mergeCell ref="CX61:DC61"/>
    <mergeCell ref="DR61:DW61"/>
    <mergeCell ref="DR64:DW64"/>
    <mergeCell ref="BM65:BR65"/>
    <mergeCell ref="CF65:CK65"/>
    <mergeCell ref="CF66:CK66"/>
    <mergeCell ref="A67:Y69"/>
    <mergeCell ref="C71:G71"/>
    <mergeCell ref="I71:L71"/>
    <mergeCell ref="M71:P71"/>
    <mergeCell ref="Q71:T71"/>
    <mergeCell ref="U71:V71"/>
    <mergeCell ref="CX63:DC63"/>
    <mergeCell ref="DR63:DW63"/>
    <mergeCell ref="C64:G64"/>
    <mergeCell ref="P64:T64"/>
    <mergeCell ref="AB64:AF64"/>
    <mergeCell ref="AM64:AR64"/>
    <mergeCell ref="BA64:BF64"/>
    <mergeCell ref="BM64:BR64"/>
    <mergeCell ref="CF64:CK64"/>
    <mergeCell ref="CX64:DC64"/>
    <mergeCell ref="S74:T74"/>
    <mergeCell ref="C75:H75"/>
    <mergeCell ref="I75:J75"/>
    <mergeCell ref="K75:L75"/>
    <mergeCell ref="M75:N75"/>
    <mergeCell ref="O75:P75"/>
    <mergeCell ref="Q75:R75"/>
    <mergeCell ref="S75:T75"/>
    <mergeCell ref="C74:H74"/>
    <mergeCell ref="I74:J74"/>
    <mergeCell ref="K74:L74"/>
    <mergeCell ref="M74:N74"/>
    <mergeCell ref="O74:P74"/>
    <mergeCell ref="Q74:R74"/>
    <mergeCell ref="S72:T72"/>
    <mergeCell ref="C73:H73"/>
    <mergeCell ref="I73:J73"/>
    <mergeCell ref="K73:L73"/>
    <mergeCell ref="M73:N73"/>
    <mergeCell ref="O73:P73"/>
    <mergeCell ref="Q73:R73"/>
    <mergeCell ref="S73:T73"/>
    <mergeCell ref="C72:H72"/>
    <mergeCell ref="I72:J72"/>
    <mergeCell ref="K72:L72"/>
    <mergeCell ref="M72:N72"/>
    <mergeCell ref="O72:P72"/>
    <mergeCell ref="Q72:R72"/>
    <mergeCell ref="S78:T78"/>
    <mergeCell ref="C79:H79"/>
    <mergeCell ref="I79:J79"/>
    <mergeCell ref="K79:L79"/>
    <mergeCell ref="M79:N79"/>
    <mergeCell ref="O79:P79"/>
    <mergeCell ref="Q79:R79"/>
    <mergeCell ref="S79:T79"/>
    <mergeCell ref="C78:H78"/>
    <mergeCell ref="I78:J78"/>
    <mergeCell ref="K78:L78"/>
    <mergeCell ref="M78:N78"/>
    <mergeCell ref="O78:P78"/>
    <mergeCell ref="Q78:R78"/>
    <mergeCell ref="S76:T76"/>
    <mergeCell ref="C77:H77"/>
    <mergeCell ref="I77:J77"/>
    <mergeCell ref="K77:L77"/>
    <mergeCell ref="M77:N77"/>
    <mergeCell ref="O77:P77"/>
    <mergeCell ref="Q77:R77"/>
    <mergeCell ref="S77:T77"/>
    <mergeCell ref="C76:H76"/>
    <mergeCell ref="I76:J76"/>
    <mergeCell ref="K76:L76"/>
    <mergeCell ref="M76:N76"/>
    <mergeCell ref="O76:P76"/>
    <mergeCell ref="Q76:R76"/>
    <mergeCell ref="S82:T82"/>
    <mergeCell ref="C83:H83"/>
    <mergeCell ref="I83:J83"/>
    <mergeCell ref="K83:L83"/>
    <mergeCell ref="M83:N83"/>
    <mergeCell ref="O83:P83"/>
    <mergeCell ref="Q83:R83"/>
    <mergeCell ref="S83:T83"/>
    <mergeCell ref="C82:H82"/>
    <mergeCell ref="I82:J82"/>
    <mergeCell ref="K82:L82"/>
    <mergeCell ref="M82:N82"/>
    <mergeCell ref="O82:P82"/>
    <mergeCell ref="Q82:R82"/>
    <mergeCell ref="S80:T80"/>
    <mergeCell ref="C81:H81"/>
    <mergeCell ref="I81:J81"/>
    <mergeCell ref="K81:L81"/>
    <mergeCell ref="M81:N81"/>
    <mergeCell ref="O81:P81"/>
    <mergeCell ref="Q81:R81"/>
    <mergeCell ref="S81:T81"/>
    <mergeCell ref="C80:H80"/>
    <mergeCell ref="I80:J80"/>
    <mergeCell ref="K80:L80"/>
    <mergeCell ref="M80:N80"/>
    <mergeCell ref="O80:P80"/>
    <mergeCell ref="Q80:R80"/>
    <mergeCell ref="S86:T86"/>
    <mergeCell ref="C87:H87"/>
    <mergeCell ref="I87:J87"/>
    <mergeCell ref="K87:L87"/>
    <mergeCell ref="M87:N87"/>
    <mergeCell ref="O87:P87"/>
    <mergeCell ref="Q87:R87"/>
    <mergeCell ref="S87:T87"/>
    <mergeCell ref="C86:H86"/>
    <mergeCell ref="I86:J86"/>
    <mergeCell ref="K86:L86"/>
    <mergeCell ref="M86:N86"/>
    <mergeCell ref="O86:P86"/>
    <mergeCell ref="Q86:R86"/>
    <mergeCell ref="S84:T84"/>
    <mergeCell ref="C85:H85"/>
    <mergeCell ref="I85:J85"/>
    <mergeCell ref="K85:L85"/>
    <mergeCell ref="M85:N85"/>
    <mergeCell ref="O85:P85"/>
    <mergeCell ref="Q85:R85"/>
    <mergeCell ref="S85:T85"/>
    <mergeCell ref="C84:H84"/>
    <mergeCell ref="I84:J84"/>
    <mergeCell ref="K84:L84"/>
    <mergeCell ref="M84:N84"/>
    <mergeCell ref="O84:P84"/>
    <mergeCell ref="Q84:R84"/>
    <mergeCell ref="S90:T90"/>
    <mergeCell ref="C91:H91"/>
    <mergeCell ref="I91:J91"/>
    <mergeCell ref="K91:L91"/>
    <mergeCell ref="M91:N91"/>
    <mergeCell ref="O91:P91"/>
    <mergeCell ref="Q91:R91"/>
    <mergeCell ref="S91:T91"/>
    <mergeCell ref="C90:H90"/>
    <mergeCell ref="I90:J90"/>
    <mergeCell ref="K90:L90"/>
    <mergeCell ref="M90:N90"/>
    <mergeCell ref="O90:P90"/>
    <mergeCell ref="Q90:R90"/>
    <mergeCell ref="S88:T88"/>
    <mergeCell ref="C89:H89"/>
    <mergeCell ref="I89:J89"/>
    <mergeCell ref="K89:L89"/>
    <mergeCell ref="M89:N89"/>
    <mergeCell ref="O89:P89"/>
    <mergeCell ref="Q89:R89"/>
    <mergeCell ref="S89:T89"/>
    <mergeCell ref="C88:H88"/>
    <mergeCell ref="I88:J88"/>
    <mergeCell ref="K88:L88"/>
    <mergeCell ref="M88:N88"/>
    <mergeCell ref="O88:P88"/>
    <mergeCell ref="Q88:R88"/>
    <mergeCell ref="S94:T94"/>
    <mergeCell ref="C95:H95"/>
    <mergeCell ref="I95:J95"/>
    <mergeCell ref="K95:L95"/>
    <mergeCell ref="M95:N95"/>
    <mergeCell ref="O95:P95"/>
    <mergeCell ref="Q95:R95"/>
    <mergeCell ref="S95:T95"/>
    <mergeCell ref="C94:H94"/>
    <mergeCell ref="I94:J94"/>
    <mergeCell ref="K94:L94"/>
    <mergeCell ref="M94:N94"/>
    <mergeCell ref="O94:P94"/>
    <mergeCell ref="Q94:R94"/>
    <mergeCell ref="S92:T92"/>
    <mergeCell ref="C93:H93"/>
    <mergeCell ref="I93:J93"/>
    <mergeCell ref="K93:L93"/>
    <mergeCell ref="M93:N93"/>
    <mergeCell ref="O93:P93"/>
    <mergeCell ref="Q93:R93"/>
    <mergeCell ref="S93:T93"/>
    <mergeCell ref="C92:H92"/>
    <mergeCell ref="I92:J92"/>
    <mergeCell ref="K92:L92"/>
    <mergeCell ref="M92:N92"/>
    <mergeCell ref="O92:P92"/>
    <mergeCell ref="Q92:R92"/>
    <mergeCell ref="S98:T98"/>
    <mergeCell ref="C99:H99"/>
    <mergeCell ref="I99:J99"/>
    <mergeCell ref="K99:L99"/>
    <mergeCell ref="M99:N99"/>
    <mergeCell ref="O99:P99"/>
    <mergeCell ref="Q99:R99"/>
    <mergeCell ref="S99:T99"/>
    <mergeCell ref="C98:H98"/>
    <mergeCell ref="I98:J98"/>
    <mergeCell ref="K98:L98"/>
    <mergeCell ref="M98:N98"/>
    <mergeCell ref="O98:P98"/>
    <mergeCell ref="Q98:R98"/>
    <mergeCell ref="S96:T96"/>
    <mergeCell ref="C97:H97"/>
    <mergeCell ref="I97:J97"/>
    <mergeCell ref="K97:L97"/>
    <mergeCell ref="M97:N97"/>
    <mergeCell ref="O97:P97"/>
    <mergeCell ref="Q97:R97"/>
    <mergeCell ref="S97:T97"/>
    <mergeCell ref="C96:H96"/>
    <mergeCell ref="I96:J96"/>
    <mergeCell ref="K96:L96"/>
    <mergeCell ref="M96:N96"/>
    <mergeCell ref="O96:P96"/>
    <mergeCell ref="Q96:R96"/>
    <mergeCell ref="S102:T102"/>
    <mergeCell ref="C103:H103"/>
    <mergeCell ref="I103:J103"/>
    <mergeCell ref="K103:L103"/>
    <mergeCell ref="M103:N103"/>
    <mergeCell ref="O103:P103"/>
    <mergeCell ref="Q103:R103"/>
    <mergeCell ref="S103:T103"/>
    <mergeCell ref="C102:H102"/>
    <mergeCell ref="I102:J102"/>
    <mergeCell ref="K102:L102"/>
    <mergeCell ref="M102:N102"/>
    <mergeCell ref="O102:P102"/>
    <mergeCell ref="Q102:R102"/>
    <mergeCell ref="S100:T100"/>
    <mergeCell ref="C101:H101"/>
    <mergeCell ref="I101:J101"/>
    <mergeCell ref="K101:L101"/>
    <mergeCell ref="M101:N101"/>
    <mergeCell ref="O101:P101"/>
    <mergeCell ref="Q101:R101"/>
    <mergeCell ref="S101:T101"/>
    <mergeCell ref="C100:H100"/>
    <mergeCell ref="I100:J100"/>
    <mergeCell ref="K100:L100"/>
    <mergeCell ref="M100:N100"/>
    <mergeCell ref="O100:P100"/>
    <mergeCell ref="Q100:R100"/>
    <mergeCell ref="S106:T106"/>
    <mergeCell ref="C107:H107"/>
    <mergeCell ref="I107:J107"/>
    <mergeCell ref="K107:L107"/>
    <mergeCell ref="M107:N107"/>
    <mergeCell ref="O107:P107"/>
    <mergeCell ref="Q107:R107"/>
    <mergeCell ref="S107:T107"/>
    <mergeCell ref="C106:H106"/>
    <mergeCell ref="I106:J106"/>
    <mergeCell ref="K106:L106"/>
    <mergeCell ref="M106:N106"/>
    <mergeCell ref="O106:P106"/>
    <mergeCell ref="Q106:R106"/>
    <mergeCell ref="S104:T104"/>
    <mergeCell ref="C105:H105"/>
    <mergeCell ref="I105:J105"/>
    <mergeCell ref="K105:L105"/>
    <mergeCell ref="M105:N105"/>
    <mergeCell ref="O105:P105"/>
    <mergeCell ref="Q105:R105"/>
    <mergeCell ref="S105:T105"/>
    <mergeCell ref="C104:H104"/>
    <mergeCell ref="I104:J104"/>
    <mergeCell ref="K104:L104"/>
    <mergeCell ref="M104:N104"/>
    <mergeCell ref="O104:P104"/>
    <mergeCell ref="Q104:R104"/>
    <mergeCell ref="S110:T110"/>
    <mergeCell ref="C111:H111"/>
    <mergeCell ref="I111:J111"/>
    <mergeCell ref="K111:L111"/>
    <mergeCell ref="M111:N111"/>
    <mergeCell ref="O111:P111"/>
    <mergeCell ref="Q111:R111"/>
    <mergeCell ref="S111:T111"/>
    <mergeCell ref="C110:H110"/>
    <mergeCell ref="I110:J110"/>
    <mergeCell ref="K110:L110"/>
    <mergeCell ref="M110:N110"/>
    <mergeCell ref="O110:P110"/>
    <mergeCell ref="Q110:R110"/>
    <mergeCell ref="S108:T108"/>
    <mergeCell ref="C109:H109"/>
    <mergeCell ref="I109:J109"/>
    <mergeCell ref="K109:L109"/>
    <mergeCell ref="M109:N109"/>
    <mergeCell ref="O109:P109"/>
    <mergeCell ref="Q109:R109"/>
    <mergeCell ref="S109:T109"/>
    <mergeCell ref="C108:H108"/>
    <mergeCell ref="I108:J108"/>
    <mergeCell ref="K108:L108"/>
    <mergeCell ref="M108:N108"/>
    <mergeCell ref="O108:P108"/>
    <mergeCell ref="Q108:R108"/>
    <mergeCell ref="S114:T114"/>
    <mergeCell ref="C115:H115"/>
    <mergeCell ref="I115:J115"/>
    <mergeCell ref="K115:L115"/>
    <mergeCell ref="M115:N115"/>
    <mergeCell ref="O115:P115"/>
    <mergeCell ref="Q115:R115"/>
    <mergeCell ref="S115:T115"/>
    <mergeCell ref="C114:H114"/>
    <mergeCell ref="I114:J114"/>
    <mergeCell ref="K114:L114"/>
    <mergeCell ref="M114:N114"/>
    <mergeCell ref="O114:P114"/>
    <mergeCell ref="Q114:R114"/>
    <mergeCell ref="S112:T112"/>
    <mergeCell ref="C113:H113"/>
    <mergeCell ref="I113:J113"/>
    <mergeCell ref="K113:L113"/>
    <mergeCell ref="M113:N113"/>
    <mergeCell ref="O113:P113"/>
    <mergeCell ref="Q113:R113"/>
    <mergeCell ref="S113:T113"/>
    <mergeCell ref="C112:H112"/>
    <mergeCell ref="I112:J112"/>
    <mergeCell ref="K112:L112"/>
    <mergeCell ref="M112:N112"/>
    <mergeCell ref="O112:P112"/>
    <mergeCell ref="Q112:R112"/>
    <mergeCell ref="S118:T118"/>
    <mergeCell ref="C119:H119"/>
    <mergeCell ref="I119:J119"/>
    <mergeCell ref="K119:L119"/>
    <mergeCell ref="M119:N119"/>
    <mergeCell ref="O119:P119"/>
    <mergeCell ref="Q119:R119"/>
    <mergeCell ref="S119:T119"/>
    <mergeCell ref="C118:H118"/>
    <mergeCell ref="I118:J118"/>
    <mergeCell ref="K118:L118"/>
    <mergeCell ref="M118:N118"/>
    <mergeCell ref="O118:P118"/>
    <mergeCell ref="Q118:R118"/>
    <mergeCell ref="S116:T116"/>
    <mergeCell ref="C117:H117"/>
    <mergeCell ref="I117:J117"/>
    <mergeCell ref="K117:L117"/>
    <mergeCell ref="M117:N117"/>
    <mergeCell ref="O117:P117"/>
    <mergeCell ref="Q117:R117"/>
    <mergeCell ref="S117:T117"/>
    <mergeCell ref="C116:H116"/>
    <mergeCell ref="I116:J116"/>
    <mergeCell ref="K116:L116"/>
    <mergeCell ref="M116:N116"/>
    <mergeCell ref="O116:P116"/>
    <mergeCell ref="Q116:R116"/>
    <mergeCell ref="S122:T122"/>
    <mergeCell ref="C123:H123"/>
    <mergeCell ref="I123:J123"/>
    <mergeCell ref="K123:L123"/>
    <mergeCell ref="M123:N123"/>
    <mergeCell ref="O123:P123"/>
    <mergeCell ref="Q123:R123"/>
    <mergeCell ref="S123:T123"/>
    <mergeCell ref="C122:H122"/>
    <mergeCell ref="I122:J122"/>
    <mergeCell ref="K122:L122"/>
    <mergeCell ref="M122:N122"/>
    <mergeCell ref="O122:P122"/>
    <mergeCell ref="Q122:R122"/>
    <mergeCell ref="S120:T120"/>
    <mergeCell ref="C121:H121"/>
    <mergeCell ref="I121:J121"/>
    <mergeCell ref="K121:L121"/>
    <mergeCell ref="M121:N121"/>
    <mergeCell ref="O121:P121"/>
    <mergeCell ref="Q121:R121"/>
    <mergeCell ref="S121:T121"/>
    <mergeCell ref="C120:H120"/>
    <mergeCell ref="I120:J120"/>
    <mergeCell ref="K120:L120"/>
    <mergeCell ref="M120:N120"/>
    <mergeCell ref="O120:P120"/>
    <mergeCell ref="Q120:R120"/>
    <mergeCell ref="S126:T126"/>
    <mergeCell ref="C127:H127"/>
    <mergeCell ref="I127:J127"/>
    <mergeCell ref="K127:L127"/>
    <mergeCell ref="M127:N127"/>
    <mergeCell ref="O127:P127"/>
    <mergeCell ref="Q127:R127"/>
    <mergeCell ref="S127:T127"/>
    <mergeCell ref="C126:H126"/>
    <mergeCell ref="I126:J126"/>
    <mergeCell ref="K126:L126"/>
    <mergeCell ref="M126:N126"/>
    <mergeCell ref="O126:P126"/>
    <mergeCell ref="Q126:R126"/>
    <mergeCell ref="S124:T124"/>
    <mergeCell ref="C125:H125"/>
    <mergeCell ref="I125:J125"/>
    <mergeCell ref="K125:L125"/>
    <mergeCell ref="M125:N125"/>
    <mergeCell ref="O125:P125"/>
    <mergeCell ref="Q125:R125"/>
    <mergeCell ref="S125:T125"/>
    <mergeCell ref="C124:H124"/>
    <mergeCell ref="I124:J124"/>
    <mergeCell ref="K124:L124"/>
    <mergeCell ref="M124:N124"/>
    <mergeCell ref="O124:P124"/>
    <mergeCell ref="Q124:R124"/>
    <mergeCell ref="C144:H144"/>
    <mergeCell ref="C145:H145"/>
    <mergeCell ref="C146:H146"/>
    <mergeCell ref="C147:H147"/>
    <mergeCell ref="C148:H148"/>
    <mergeCell ref="C149:H149"/>
    <mergeCell ref="C138:AB138"/>
    <mergeCell ref="C139:G139"/>
    <mergeCell ref="C140:H140"/>
    <mergeCell ref="C141:H141"/>
    <mergeCell ref="C142:H142"/>
    <mergeCell ref="C143:H143"/>
    <mergeCell ref="S128:T128"/>
    <mergeCell ref="I129:L129"/>
    <mergeCell ref="M129:P129"/>
    <mergeCell ref="Q129:T129"/>
    <mergeCell ref="U129:V129"/>
    <mergeCell ref="B134:W136"/>
    <mergeCell ref="C128:H128"/>
    <mergeCell ref="I128:J128"/>
    <mergeCell ref="K128:L128"/>
    <mergeCell ref="M128:N128"/>
    <mergeCell ref="O128:P128"/>
    <mergeCell ref="Q128:R128"/>
    <mergeCell ref="C164:H164"/>
    <mergeCell ref="C165:H165"/>
    <mergeCell ref="C166:H166"/>
    <mergeCell ref="C167:H167"/>
    <mergeCell ref="C172:V172"/>
    <mergeCell ref="C173:G173"/>
    <mergeCell ref="C156:H156"/>
    <mergeCell ref="C157:H157"/>
    <mergeCell ref="C160:V160"/>
    <mergeCell ref="C161:G161"/>
    <mergeCell ref="C162:H162"/>
    <mergeCell ref="C163:H163"/>
    <mergeCell ref="C150:H150"/>
    <mergeCell ref="C151:H151"/>
    <mergeCell ref="C152:H152"/>
    <mergeCell ref="C153:H153"/>
    <mergeCell ref="C154:H154"/>
    <mergeCell ref="C155:H155"/>
    <mergeCell ref="C190:H190"/>
    <mergeCell ref="C191:H191"/>
    <mergeCell ref="C192:H192"/>
    <mergeCell ref="C193:H193"/>
    <mergeCell ref="C194:H194"/>
    <mergeCell ref="C195:H195"/>
    <mergeCell ref="C184:H184"/>
    <mergeCell ref="C185:H185"/>
    <mergeCell ref="C186:H186"/>
    <mergeCell ref="C187:H187"/>
    <mergeCell ref="C188:H188"/>
    <mergeCell ref="C189:H189"/>
    <mergeCell ref="C174:H174"/>
    <mergeCell ref="C175:H175"/>
    <mergeCell ref="C180:V180"/>
    <mergeCell ref="C181:G181"/>
    <mergeCell ref="C182:H182"/>
    <mergeCell ref="C183:H183"/>
    <mergeCell ref="C218:I218"/>
    <mergeCell ref="C208:H208"/>
    <mergeCell ref="C209:H209"/>
    <mergeCell ref="C210:H210"/>
    <mergeCell ref="C213:R213"/>
    <mergeCell ref="C214:G214"/>
    <mergeCell ref="C215:H215"/>
    <mergeCell ref="C202:H202"/>
    <mergeCell ref="C203:H203"/>
    <mergeCell ref="C204:H204"/>
    <mergeCell ref="C205:H205"/>
    <mergeCell ref="C206:H206"/>
    <mergeCell ref="C207:H207"/>
    <mergeCell ref="C196:H196"/>
    <mergeCell ref="C197:H197"/>
    <mergeCell ref="C198:H198"/>
    <mergeCell ref="C199:H199"/>
    <mergeCell ref="C200:H200"/>
    <mergeCell ref="C201:H20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30"/>
  <sheetViews>
    <sheetView workbookViewId="0">
      <selection activeCell="L7" sqref="L7"/>
    </sheetView>
  </sheetViews>
  <sheetFormatPr baseColWidth="10" defaultRowHeight="15" x14ac:dyDescent="0.25"/>
  <cols>
    <col min="3" max="3" width="28.7109375" customWidth="1"/>
    <col min="4" max="4" width="17.85546875" customWidth="1"/>
    <col min="5" max="5" width="18.7109375" customWidth="1"/>
    <col min="6" max="6" width="22.140625" customWidth="1"/>
    <col min="7" max="7" width="18" customWidth="1"/>
    <col min="8" max="8" width="35.42578125" customWidth="1"/>
  </cols>
  <sheetData>
    <row r="2" spans="2:27" x14ac:dyDescent="0.25">
      <c r="B2" s="589" t="s">
        <v>110</v>
      </c>
      <c r="C2" s="589"/>
      <c r="D2" s="589"/>
      <c r="E2" s="589"/>
      <c r="F2" s="589"/>
      <c r="G2" s="589"/>
      <c r="H2" s="589"/>
      <c r="I2" s="589"/>
      <c r="J2" s="589"/>
      <c r="L2" s="195"/>
      <c r="M2" s="195"/>
      <c r="N2" s="195"/>
      <c r="O2" s="692"/>
      <c r="P2" s="692"/>
      <c r="Q2" s="692"/>
      <c r="R2" s="692"/>
      <c r="S2" s="195"/>
      <c r="T2" s="195"/>
      <c r="U2" s="195"/>
      <c r="V2" s="195"/>
      <c r="W2" s="195"/>
      <c r="X2" s="195"/>
      <c r="Y2" s="195"/>
      <c r="Z2" s="195"/>
      <c r="AA2" s="195"/>
    </row>
    <row r="3" spans="2:27" x14ac:dyDescent="0.25">
      <c r="B3" s="589"/>
      <c r="C3" s="589"/>
      <c r="D3" s="589"/>
      <c r="E3" s="589"/>
      <c r="F3" s="589"/>
      <c r="G3" s="589"/>
      <c r="H3" s="589"/>
      <c r="I3" s="589"/>
      <c r="J3" s="589"/>
      <c r="L3" s="12"/>
    </row>
    <row r="4" spans="2:27" x14ac:dyDescent="0.25">
      <c r="B4" s="13" t="s">
        <v>111</v>
      </c>
      <c r="C4" s="13" t="s">
        <v>112</v>
      </c>
      <c r="D4" s="13" t="s">
        <v>117</v>
      </c>
      <c r="E4" s="13" t="s">
        <v>113</v>
      </c>
      <c r="F4" s="13" t="s">
        <v>114</v>
      </c>
      <c r="G4" s="13" t="s">
        <v>115</v>
      </c>
      <c r="H4" s="13" t="s">
        <v>116</v>
      </c>
      <c r="I4" s="13" t="s">
        <v>242</v>
      </c>
      <c r="J4" s="13" t="s">
        <v>72</v>
      </c>
      <c r="L4" s="12"/>
    </row>
    <row r="5" spans="2:27" ht="45" x14ac:dyDescent="0.25">
      <c r="B5" s="13">
        <v>1</v>
      </c>
      <c r="C5" s="13" t="s">
        <v>123</v>
      </c>
      <c r="D5" s="13" t="s">
        <v>118</v>
      </c>
      <c r="E5" s="13" t="s">
        <v>124</v>
      </c>
      <c r="F5" s="13" t="s">
        <v>136</v>
      </c>
      <c r="G5" s="13">
        <v>8</v>
      </c>
      <c r="H5" s="191" t="s">
        <v>142</v>
      </c>
      <c r="I5" s="207">
        <f>'DETALLE DE VENTAS'!V259/0.7</f>
        <v>4.0428571428571436</v>
      </c>
      <c r="J5" s="207">
        <f>I5*G5</f>
        <v>32.342857142857149</v>
      </c>
      <c r="L5" s="12"/>
    </row>
    <row r="6" spans="2:27" ht="45" x14ac:dyDescent="0.25">
      <c r="B6" s="13">
        <v>2</v>
      </c>
      <c r="C6" s="13" t="s">
        <v>125</v>
      </c>
      <c r="D6" s="13" t="s">
        <v>119</v>
      </c>
      <c r="E6" s="13" t="s">
        <v>126</v>
      </c>
      <c r="F6" s="13" t="s">
        <v>137</v>
      </c>
      <c r="G6" s="13">
        <v>4</v>
      </c>
      <c r="H6" s="191" t="s">
        <v>143</v>
      </c>
      <c r="I6" s="207">
        <f>'DETALLE DE VENTAS'!V261/0.7</f>
        <v>9.3714285714285719</v>
      </c>
      <c r="J6" s="207">
        <f t="shared" ref="J6:J13" si="0">I6*G6</f>
        <v>37.485714285714288</v>
      </c>
      <c r="L6" s="12"/>
    </row>
    <row r="7" spans="2:27" ht="60" x14ac:dyDescent="0.25">
      <c r="B7" s="532">
        <v>3</v>
      </c>
      <c r="C7" s="532" t="s">
        <v>127</v>
      </c>
      <c r="D7" s="532" t="s">
        <v>120</v>
      </c>
      <c r="E7" s="13" t="s">
        <v>128</v>
      </c>
      <c r="F7" s="191" t="s">
        <v>138</v>
      </c>
      <c r="G7" s="13">
        <v>4</v>
      </c>
      <c r="H7" s="693" t="s">
        <v>144</v>
      </c>
      <c r="I7" s="207">
        <f>'DETALLE DE VENTAS'!V262/0.7</f>
        <v>0</v>
      </c>
      <c r="J7" s="207">
        <f t="shared" si="0"/>
        <v>0</v>
      </c>
      <c r="L7" s="12"/>
    </row>
    <row r="8" spans="2:27" ht="45" x14ac:dyDescent="0.25">
      <c r="B8" s="532"/>
      <c r="C8" s="532"/>
      <c r="D8" s="532"/>
      <c r="E8" s="13" t="s">
        <v>129</v>
      </c>
      <c r="F8" s="191" t="s">
        <v>139</v>
      </c>
      <c r="G8" s="13">
        <v>4</v>
      </c>
      <c r="H8" s="693"/>
      <c r="I8" s="207">
        <f>'DETALLE DE VENTAS'!V263/0.7</f>
        <v>5.1571428571428575</v>
      </c>
      <c r="J8" s="207">
        <f t="shared" si="0"/>
        <v>20.62857142857143</v>
      </c>
      <c r="L8" s="12"/>
    </row>
    <row r="9" spans="2:27" ht="90" x14ac:dyDescent="0.25">
      <c r="B9" s="13">
        <v>5</v>
      </c>
      <c r="C9" s="13" t="s">
        <v>131</v>
      </c>
      <c r="D9" s="13" t="s">
        <v>121</v>
      </c>
      <c r="E9" s="13" t="s">
        <v>130</v>
      </c>
      <c r="F9" s="191" t="s">
        <v>140</v>
      </c>
      <c r="G9" s="13">
        <v>3</v>
      </c>
      <c r="H9" s="191" t="s">
        <v>145</v>
      </c>
      <c r="I9" s="207">
        <f>'DETALLE DE VENTAS'!V275/0.7</f>
        <v>5.5285714285714294</v>
      </c>
      <c r="J9" s="207">
        <f t="shared" si="0"/>
        <v>16.585714285714289</v>
      </c>
      <c r="L9" s="12"/>
    </row>
    <row r="10" spans="2:27" x14ac:dyDescent="0.25">
      <c r="B10" s="13">
        <v>6</v>
      </c>
      <c r="C10" s="13" t="s">
        <v>132</v>
      </c>
      <c r="D10" s="13" t="s">
        <v>122</v>
      </c>
      <c r="E10" s="13" t="s">
        <v>133</v>
      </c>
      <c r="F10" s="13" t="s">
        <v>141</v>
      </c>
      <c r="G10" s="13">
        <v>2</v>
      </c>
      <c r="H10" s="191" t="s">
        <v>146</v>
      </c>
      <c r="I10" s="207">
        <f>'DETALLE DE VENTAS'!V278/0.7</f>
        <v>0</v>
      </c>
      <c r="J10" s="207">
        <f t="shared" si="0"/>
        <v>0</v>
      </c>
    </row>
    <row r="11" spans="2:27" ht="42.6" customHeight="1" x14ac:dyDescent="0.25">
      <c r="B11" s="13">
        <v>7</v>
      </c>
      <c r="C11" s="190" t="s">
        <v>166</v>
      </c>
      <c r="D11" s="532" t="s">
        <v>120</v>
      </c>
      <c r="E11" s="532" t="s">
        <v>134</v>
      </c>
      <c r="F11" s="532"/>
      <c r="G11" s="13">
        <v>3</v>
      </c>
      <c r="H11" s="693" t="s">
        <v>147</v>
      </c>
      <c r="I11" s="208">
        <f>'DETALLE DE VENTAS'!V282/0.7</f>
        <v>8.7142857142857135</v>
      </c>
      <c r="J11" s="207">
        <f t="shared" si="0"/>
        <v>26.142857142857139</v>
      </c>
    </row>
    <row r="12" spans="2:27" ht="43.15" hidden="1" customHeight="1" x14ac:dyDescent="0.25">
      <c r="B12" s="12">
        <v>8</v>
      </c>
      <c r="C12" s="12" t="s">
        <v>135</v>
      </c>
      <c r="D12" s="532"/>
      <c r="E12" s="532"/>
      <c r="F12" s="532"/>
      <c r="G12" s="13">
        <v>0</v>
      </c>
      <c r="H12" s="693"/>
      <c r="I12" s="208">
        <f>'DETALLE DE VENTAS'!V283/0.7</f>
        <v>0</v>
      </c>
      <c r="J12" s="209">
        <f t="shared" si="0"/>
        <v>0</v>
      </c>
    </row>
    <row r="13" spans="2:27" ht="14.45" hidden="1" customHeight="1" x14ac:dyDescent="0.25">
      <c r="B13" s="12">
        <v>9</v>
      </c>
      <c r="C13" s="12" t="s">
        <v>135</v>
      </c>
      <c r="D13" s="532"/>
      <c r="E13" s="532"/>
      <c r="F13" s="532"/>
      <c r="G13" s="13">
        <v>0</v>
      </c>
      <c r="H13" s="693"/>
      <c r="I13" s="208">
        <f>'DETALLE DE VENTAS'!V284/0.7</f>
        <v>0</v>
      </c>
      <c r="J13" s="209">
        <f t="shared" si="0"/>
        <v>0</v>
      </c>
    </row>
    <row r="14" spans="2:27" ht="43.15" customHeight="1" x14ac:dyDescent="0.25">
      <c r="B14" s="13">
        <v>8</v>
      </c>
      <c r="C14" s="190" t="s">
        <v>164</v>
      </c>
      <c r="D14" s="532"/>
      <c r="E14" s="532"/>
      <c r="F14" s="532"/>
      <c r="G14" s="13">
        <v>2</v>
      </c>
      <c r="H14" s="693"/>
      <c r="I14" s="208">
        <f>'DETALLE DE VENTAS'!V285/0.7</f>
        <v>8.7142857142857135</v>
      </c>
      <c r="J14" s="207">
        <f>I14*G14</f>
        <v>17.428571428571427</v>
      </c>
    </row>
    <row r="15" spans="2:27" ht="43.15" customHeight="1" x14ac:dyDescent="0.25">
      <c r="B15" s="13">
        <v>9</v>
      </c>
      <c r="C15" s="190" t="s">
        <v>165</v>
      </c>
      <c r="D15" s="532"/>
      <c r="E15" s="532"/>
      <c r="F15" s="532"/>
      <c r="G15" s="13">
        <v>2</v>
      </c>
      <c r="H15" s="693"/>
      <c r="I15" s="208">
        <f>'DETALLE DE VENTAS'!V289/0.7</f>
        <v>0</v>
      </c>
      <c r="J15" s="207">
        <f>I15*G15</f>
        <v>0</v>
      </c>
    </row>
    <row r="16" spans="2:27" x14ac:dyDescent="0.25">
      <c r="J16" s="207">
        <f>SUM(J5:J15)</f>
        <v>150.61428571428573</v>
      </c>
    </row>
    <row r="23" spans="12:27" ht="34.9" customHeight="1" x14ac:dyDescent="0.25">
      <c r="L23" s="195"/>
      <c r="M23" s="195"/>
      <c r="N23" s="195"/>
      <c r="O23" s="692"/>
      <c r="P23" s="692"/>
      <c r="Q23" s="692"/>
      <c r="R23" s="692"/>
      <c r="S23" s="195"/>
      <c r="T23" s="195"/>
      <c r="U23" s="195"/>
      <c r="V23" s="195"/>
      <c r="W23" s="195"/>
      <c r="X23" s="195"/>
      <c r="Y23" s="195"/>
      <c r="Z23" s="195"/>
      <c r="AA23" s="195"/>
    </row>
    <row r="24" spans="12:27" ht="34.9" customHeight="1" x14ac:dyDescent="0.25">
      <c r="L24" s="12"/>
    </row>
    <row r="25" spans="12:27" ht="34.9" customHeight="1" x14ac:dyDescent="0.25">
      <c r="L25" s="12"/>
    </row>
    <row r="26" spans="12:27" ht="34.9" customHeight="1" x14ac:dyDescent="0.25">
      <c r="L26" s="12"/>
    </row>
    <row r="27" spans="12:27" ht="34.9" customHeight="1" x14ac:dyDescent="0.25">
      <c r="L27" s="12"/>
    </row>
    <row r="28" spans="12:27" ht="34.9" customHeight="1" x14ac:dyDescent="0.25">
      <c r="L28" s="12"/>
    </row>
    <row r="29" spans="12:27" ht="34.9" customHeight="1" x14ac:dyDescent="0.25">
      <c r="L29" s="12"/>
    </row>
    <row r="30" spans="12:27" ht="34.9" customHeight="1" x14ac:dyDescent="0.25">
      <c r="L30" s="12"/>
    </row>
  </sheetData>
  <mergeCells count="13">
    <mergeCell ref="B2:J3"/>
    <mergeCell ref="Q2:R2"/>
    <mergeCell ref="O2:P2"/>
    <mergeCell ref="O23:P23"/>
    <mergeCell ref="Q23:R23"/>
    <mergeCell ref="F11:F15"/>
    <mergeCell ref="E11:E15"/>
    <mergeCell ref="D11:D15"/>
    <mergeCell ref="H11:H15"/>
    <mergeCell ref="C7:C8"/>
    <mergeCell ref="D7:D8"/>
    <mergeCell ref="B7:B8"/>
    <mergeCell ref="H7:H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78"/>
  <sheetViews>
    <sheetView zoomScaleNormal="100" workbookViewId="0">
      <selection activeCell="C96" sqref="C96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695" t="s">
        <v>2</v>
      </c>
      <c r="C1" s="695" t="s">
        <v>243</v>
      </c>
      <c r="D1" s="695"/>
      <c r="E1" s="134"/>
      <c r="F1" s="134"/>
    </row>
    <row r="2" spans="2:16" ht="30" customHeight="1" x14ac:dyDescent="0.25">
      <c r="B2" s="695"/>
      <c r="C2" s="162" t="s">
        <v>1</v>
      </c>
      <c r="D2" s="162" t="s">
        <v>100</v>
      </c>
      <c r="E2" s="134"/>
      <c r="F2" s="134"/>
    </row>
    <row r="3" spans="2:16" ht="24" x14ac:dyDescent="0.25">
      <c r="B3" s="163" t="s">
        <v>55</v>
      </c>
      <c r="C3" s="164">
        <v>6</v>
      </c>
      <c r="D3" s="164">
        <v>47</v>
      </c>
      <c r="E3" s="134"/>
      <c r="F3" s="134"/>
    </row>
    <row r="4" spans="2:16" x14ac:dyDescent="0.25">
      <c r="B4" s="163" t="s">
        <v>4</v>
      </c>
      <c r="C4" s="164">
        <v>49</v>
      </c>
      <c r="D4" s="164">
        <v>774</v>
      </c>
      <c r="E4" s="134"/>
      <c r="F4" s="134"/>
    </row>
    <row r="5" spans="2:16" ht="24" x14ac:dyDescent="0.25">
      <c r="B5" s="163" t="s">
        <v>5</v>
      </c>
      <c r="C5" s="164">
        <v>18</v>
      </c>
      <c r="D5" s="164">
        <v>736</v>
      </c>
      <c r="E5" s="134"/>
      <c r="F5" s="134"/>
    </row>
    <row r="6" spans="2:16" x14ac:dyDescent="0.25">
      <c r="B6" s="163" t="s">
        <v>56</v>
      </c>
      <c r="C6" s="164">
        <v>9</v>
      </c>
      <c r="D6" s="164">
        <v>108</v>
      </c>
      <c r="E6" s="134"/>
      <c r="F6" s="134"/>
    </row>
    <row r="7" spans="2:16" x14ac:dyDescent="0.25">
      <c r="B7" s="163" t="s">
        <v>49</v>
      </c>
      <c r="C7" s="164">
        <v>21</v>
      </c>
      <c r="D7" s="164">
        <v>582</v>
      </c>
      <c r="E7" s="134"/>
      <c r="F7" s="134"/>
      <c r="L7" s="696"/>
      <c r="M7" s="696"/>
      <c r="N7" s="696"/>
      <c r="O7" s="696"/>
      <c r="P7" s="696"/>
    </row>
    <row r="8" spans="2:16" ht="24" x14ac:dyDescent="0.25">
      <c r="B8" s="163" t="s">
        <v>50</v>
      </c>
      <c r="C8" s="164">
        <v>1</v>
      </c>
      <c r="D8" s="164">
        <v>8</v>
      </c>
      <c r="E8" s="134"/>
      <c r="F8" s="134"/>
      <c r="L8" s="696"/>
      <c r="M8" s="696"/>
      <c r="N8" s="696"/>
      <c r="O8" s="696"/>
      <c r="P8" s="696"/>
    </row>
    <row r="9" spans="2:16" x14ac:dyDescent="0.25">
      <c r="B9" s="163" t="s">
        <v>6</v>
      </c>
      <c r="C9" s="164">
        <v>13</v>
      </c>
      <c r="D9" s="164">
        <v>134</v>
      </c>
      <c r="E9" s="134"/>
      <c r="F9" s="134"/>
      <c r="L9" s="696"/>
      <c r="M9" s="696"/>
      <c r="N9" s="696"/>
      <c r="O9" s="696"/>
      <c r="P9" s="696"/>
    </row>
    <row r="10" spans="2:16" x14ac:dyDescent="0.25">
      <c r="B10" s="163" t="s">
        <v>7</v>
      </c>
      <c r="C10" s="164">
        <v>6</v>
      </c>
      <c r="D10" s="164">
        <v>190</v>
      </c>
      <c r="E10" s="134"/>
      <c r="F10" s="134"/>
      <c r="L10" s="696"/>
      <c r="M10" s="696"/>
      <c r="N10" s="696"/>
      <c r="O10" s="696"/>
      <c r="P10" s="696"/>
    </row>
    <row r="11" spans="2:16" x14ac:dyDescent="0.25">
      <c r="B11" s="163" t="s">
        <v>8</v>
      </c>
      <c r="C11" s="164">
        <v>15</v>
      </c>
      <c r="D11" s="164">
        <v>214</v>
      </c>
      <c r="E11" s="134"/>
      <c r="F11" s="134"/>
      <c r="L11" s="696"/>
      <c r="M11" s="696"/>
      <c r="N11" s="696"/>
      <c r="O11" s="696"/>
      <c r="P11" s="696"/>
    </row>
    <row r="12" spans="2:16" x14ac:dyDescent="0.25">
      <c r="B12" s="163" t="s">
        <v>9</v>
      </c>
      <c r="C12" s="164">
        <v>50</v>
      </c>
      <c r="D12" s="164">
        <v>1504</v>
      </c>
      <c r="E12" s="134"/>
      <c r="F12" s="134"/>
      <c r="L12" s="696"/>
      <c r="M12" s="696"/>
      <c r="N12" s="696"/>
      <c r="O12" s="696"/>
      <c r="P12" s="696"/>
    </row>
    <row r="13" spans="2:16" x14ac:dyDescent="0.25">
      <c r="B13" s="163" t="s">
        <v>10</v>
      </c>
      <c r="C13" s="164">
        <v>8</v>
      </c>
      <c r="D13" s="164">
        <v>261</v>
      </c>
      <c r="E13" s="134"/>
      <c r="F13" s="134"/>
      <c r="L13" s="696"/>
      <c r="M13" s="696"/>
      <c r="N13" s="696"/>
      <c r="O13" s="696"/>
      <c r="P13" s="696"/>
    </row>
    <row r="14" spans="2:16" ht="24" x14ac:dyDescent="0.25">
      <c r="B14" s="163" t="s">
        <v>11</v>
      </c>
      <c r="C14" s="164">
        <v>23</v>
      </c>
      <c r="D14" s="164">
        <v>2470</v>
      </c>
      <c r="E14" s="134"/>
      <c r="F14" s="134"/>
      <c r="L14" s="696"/>
      <c r="M14" s="696"/>
      <c r="N14" s="696"/>
      <c r="O14" s="696"/>
      <c r="P14" s="696"/>
    </row>
    <row r="15" spans="2:16" ht="18" customHeight="1" x14ac:dyDescent="0.25">
      <c r="B15" s="163" t="s">
        <v>57</v>
      </c>
      <c r="C15" s="164">
        <v>6</v>
      </c>
      <c r="D15" s="164">
        <v>324</v>
      </c>
      <c r="E15" s="134"/>
      <c r="F15" s="134"/>
      <c r="L15" s="696"/>
      <c r="M15" s="696"/>
      <c r="N15" s="696"/>
      <c r="O15" s="696"/>
      <c r="P15" s="696"/>
    </row>
    <row r="16" spans="2:16" ht="24" x14ac:dyDescent="0.25">
      <c r="B16" s="163" t="s">
        <v>51</v>
      </c>
      <c r="C16" s="164">
        <v>3</v>
      </c>
      <c r="D16" s="164">
        <v>144</v>
      </c>
      <c r="E16" s="134"/>
      <c r="F16" s="134"/>
      <c r="L16" s="696"/>
      <c r="M16" s="696"/>
      <c r="N16" s="696"/>
      <c r="O16" s="696"/>
      <c r="P16" s="696"/>
    </row>
    <row r="17" spans="2:16" x14ac:dyDescent="0.25">
      <c r="B17" s="163" t="s">
        <v>52</v>
      </c>
      <c r="C17" s="164">
        <v>0</v>
      </c>
      <c r="D17" s="164">
        <v>0</v>
      </c>
      <c r="E17" s="134"/>
      <c r="F17" s="134"/>
      <c r="L17" s="696"/>
      <c r="M17" s="696"/>
      <c r="N17" s="696"/>
      <c r="O17" s="696"/>
      <c r="P17" s="696"/>
    </row>
    <row r="18" spans="2:16" x14ac:dyDescent="0.25">
      <c r="B18" s="163" t="s">
        <v>12</v>
      </c>
      <c r="C18" s="164">
        <v>38</v>
      </c>
      <c r="D18" s="164">
        <v>1178</v>
      </c>
      <c r="E18" s="134"/>
      <c r="F18" s="134"/>
      <c r="L18" s="696"/>
      <c r="M18" s="696"/>
      <c r="N18" s="696"/>
      <c r="O18" s="696"/>
      <c r="P18" s="696"/>
    </row>
    <row r="19" spans="2:16" x14ac:dyDescent="0.25">
      <c r="B19" s="163" t="s">
        <v>13</v>
      </c>
      <c r="C19" s="164">
        <v>96</v>
      </c>
      <c r="D19" s="164">
        <v>3283</v>
      </c>
      <c r="E19" s="134"/>
      <c r="F19" s="134"/>
      <c r="L19" s="696"/>
      <c r="M19" s="696"/>
      <c r="N19" s="696"/>
      <c r="O19" s="696"/>
      <c r="P19" s="696"/>
    </row>
    <row r="20" spans="2:16" x14ac:dyDescent="0.25">
      <c r="B20" s="163" t="s">
        <v>67</v>
      </c>
      <c r="C20" s="164">
        <v>2</v>
      </c>
      <c r="D20" s="164">
        <v>50</v>
      </c>
      <c r="E20" s="134"/>
      <c r="F20" s="134"/>
      <c r="L20" s="696"/>
      <c r="M20" s="696"/>
      <c r="N20" s="696"/>
      <c r="O20" s="696"/>
      <c r="P20" s="696"/>
    </row>
    <row r="21" spans="2:16" ht="24" x14ac:dyDescent="0.25">
      <c r="B21" s="163" t="s">
        <v>106</v>
      </c>
      <c r="C21" s="164">
        <v>0</v>
      </c>
      <c r="D21" s="164">
        <v>0</v>
      </c>
      <c r="E21" s="134"/>
      <c r="F21" s="134"/>
      <c r="L21" s="696"/>
      <c r="M21" s="696"/>
      <c r="N21" s="696"/>
      <c r="O21" s="696"/>
      <c r="P21" s="696"/>
    </row>
    <row r="22" spans="2:16" ht="24" x14ac:dyDescent="0.25">
      <c r="B22" s="163" t="s">
        <v>107</v>
      </c>
      <c r="C22" s="164">
        <v>0</v>
      </c>
      <c r="D22" s="164">
        <v>0</v>
      </c>
      <c r="E22" s="134"/>
      <c r="F22" s="134"/>
      <c r="L22" s="696"/>
      <c r="M22" s="696"/>
      <c r="N22" s="696"/>
      <c r="O22" s="696"/>
      <c r="P22" s="696"/>
    </row>
    <row r="23" spans="2:16" ht="24" x14ac:dyDescent="0.25">
      <c r="B23" s="163" t="s">
        <v>108</v>
      </c>
      <c r="C23" s="164">
        <v>0</v>
      </c>
      <c r="D23" s="164">
        <v>0</v>
      </c>
      <c r="E23" s="134"/>
      <c r="F23" s="134"/>
      <c r="L23" s="696"/>
      <c r="M23" s="696"/>
      <c r="N23" s="696"/>
      <c r="O23" s="696"/>
      <c r="P23" s="696"/>
    </row>
    <row r="24" spans="2:16" ht="24" x14ac:dyDescent="0.25">
      <c r="B24" s="163" t="s">
        <v>109</v>
      </c>
      <c r="C24" s="164">
        <v>0</v>
      </c>
      <c r="D24" s="164">
        <v>0</v>
      </c>
      <c r="E24" s="134"/>
      <c r="F24" s="134"/>
      <c r="L24" s="697"/>
      <c r="M24" s="697"/>
      <c r="N24" s="697"/>
      <c r="O24" s="697"/>
      <c r="P24" s="697"/>
    </row>
    <row r="25" spans="2:16" x14ac:dyDescent="0.25">
      <c r="B25" s="163" t="s">
        <v>53</v>
      </c>
      <c r="C25" s="164">
        <v>2</v>
      </c>
      <c r="D25" s="164">
        <v>50</v>
      </c>
      <c r="E25" s="134"/>
      <c r="F25" s="134"/>
      <c r="L25" s="696"/>
      <c r="M25" s="696"/>
      <c r="N25" s="696"/>
      <c r="O25" s="696"/>
      <c r="P25" s="3"/>
    </row>
    <row r="26" spans="2:16" x14ac:dyDescent="0.25">
      <c r="B26" s="163" t="s">
        <v>14</v>
      </c>
      <c r="C26" s="164">
        <v>1</v>
      </c>
      <c r="D26" s="164">
        <v>95</v>
      </c>
      <c r="E26" s="134"/>
      <c r="F26" s="134"/>
      <c r="L26" s="696"/>
      <c r="M26" s="696"/>
      <c r="N26" s="696"/>
      <c r="O26" s="696"/>
      <c r="P26" s="3"/>
    </row>
    <row r="27" spans="2:16" x14ac:dyDescent="0.25">
      <c r="B27" s="163" t="s">
        <v>15</v>
      </c>
      <c r="C27" s="164">
        <v>0</v>
      </c>
      <c r="D27" s="164">
        <v>0</v>
      </c>
      <c r="E27" s="134"/>
      <c r="F27" s="134"/>
      <c r="L27" s="696"/>
      <c r="M27" s="696"/>
      <c r="N27" s="696"/>
      <c r="O27" s="696"/>
      <c r="P27" s="3"/>
    </row>
    <row r="28" spans="2:16" x14ac:dyDescent="0.25">
      <c r="B28" s="163" t="s">
        <v>16</v>
      </c>
      <c r="C28" s="164">
        <v>0</v>
      </c>
      <c r="D28" s="164">
        <v>0</v>
      </c>
      <c r="E28" s="134"/>
      <c r="F28" s="134"/>
      <c r="L28" s="696"/>
      <c r="M28" s="696"/>
      <c r="N28" s="696"/>
      <c r="O28" s="696"/>
      <c r="P28" s="3"/>
    </row>
    <row r="29" spans="2:16" x14ac:dyDescent="0.25">
      <c r="B29" s="163" t="s">
        <v>54</v>
      </c>
      <c r="C29" s="164">
        <v>6</v>
      </c>
      <c r="D29" s="164">
        <v>600</v>
      </c>
      <c r="E29" s="134"/>
      <c r="F29" s="134"/>
      <c r="L29" s="696"/>
      <c r="M29" s="696"/>
      <c r="N29" s="696"/>
      <c r="O29" s="696"/>
      <c r="P29" s="696"/>
    </row>
    <row r="30" spans="2:16" x14ac:dyDescent="0.25">
      <c r="B30" s="163" t="s">
        <v>17</v>
      </c>
      <c r="C30" s="164">
        <v>0</v>
      </c>
      <c r="D30" s="164">
        <v>0</v>
      </c>
      <c r="E30" s="134"/>
      <c r="F30" s="134"/>
      <c r="L30" s="696"/>
      <c r="M30" s="696"/>
      <c r="N30" s="696"/>
      <c r="O30" s="696"/>
      <c r="P30" s="696"/>
    </row>
    <row r="31" spans="2:16" x14ac:dyDescent="0.25">
      <c r="B31" s="163" t="s">
        <v>59</v>
      </c>
      <c r="C31" s="164">
        <v>5</v>
      </c>
      <c r="D31" s="164">
        <v>500</v>
      </c>
      <c r="E31" s="134"/>
      <c r="F31" s="134"/>
      <c r="L31" s="696"/>
      <c r="M31" s="696"/>
      <c r="N31" s="696"/>
      <c r="O31" s="696"/>
      <c r="P31" s="696"/>
    </row>
    <row r="32" spans="2:16" x14ac:dyDescent="0.25">
      <c r="B32" s="163" t="s">
        <v>18</v>
      </c>
      <c r="C32" s="164">
        <v>0</v>
      </c>
      <c r="D32" s="164">
        <v>0</v>
      </c>
      <c r="E32" s="134"/>
      <c r="F32" s="134"/>
      <c r="L32" s="696"/>
      <c r="M32" s="696"/>
      <c r="N32" s="696"/>
      <c r="O32" s="696"/>
      <c r="P32" s="696"/>
    </row>
    <row r="33" spans="2:16" x14ac:dyDescent="0.25">
      <c r="B33" s="163" t="s">
        <v>19</v>
      </c>
      <c r="C33" s="164">
        <v>0</v>
      </c>
      <c r="D33" s="164">
        <v>0</v>
      </c>
      <c r="E33" s="134"/>
      <c r="F33" s="134"/>
      <c r="L33" s="696"/>
      <c r="M33" s="696"/>
      <c r="N33" s="696"/>
      <c r="O33" s="696"/>
      <c r="P33" s="696"/>
    </row>
    <row r="34" spans="2:16" x14ac:dyDescent="0.25">
      <c r="B34" s="163" t="s">
        <v>20</v>
      </c>
      <c r="C34" s="164">
        <v>17</v>
      </c>
      <c r="D34" s="164">
        <v>93.5</v>
      </c>
      <c r="E34" s="134"/>
      <c r="F34" s="134"/>
      <c r="L34" s="696"/>
      <c r="M34" s="696"/>
      <c r="N34" s="696"/>
      <c r="O34" s="696"/>
      <c r="P34" s="696"/>
    </row>
    <row r="35" spans="2:16" x14ac:dyDescent="0.25">
      <c r="B35" s="163" t="s">
        <v>21</v>
      </c>
      <c r="C35" s="164">
        <v>3</v>
      </c>
      <c r="D35" s="164">
        <v>39</v>
      </c>
      <c r="E35" s="134"/>
      <c r="F35" s="134"/>
      <c r="L35" s="696"/>
      <c r="M35" s="696"/>
      <c r="N35" s="696"/>
      <c r="O35" s="696"/>
      <c r="P35" s="696"/>
    </row>
    <row r="36" spans="2:16" x14ac:dyDescent="0.25">
      <c r="B36" s="163" t="s">
        <v>22</v>
      </c>
      <c r="C36" s="164">
        <v>6</v>
      </c>
      <c r="D36" s="164">
        <v>69</v>
      </c>
      <c r="E36" s="134"/>
      <c r="F36" s="134"/>
      <c r="L36" s="696"/>
      <c r="M36" s="696"/>
      <c r="N36" s="696"/>
      <c r="O36" s="696"/>
      <c r="P36" s="696"/>
    </row>
    <row r="37" spans="2:16" x14ac:dyDescent="0.25">
      <c r="B37" s="163" t="s">
        <v>23</v>
      </c>
      <c r="C37" s="164">
        <v>11</v>
      </c>
      <c r="D37" s="164">
        <v>44</v>
      </c>
      <c r="E37" s="134"/>
      <c r="F37" s="134"/>
      <c r="L37" s="696"/>
      <c r="M37" s="696"/>
      <c r="N37" s="696"/>
      <c r="O37" s="696"/>
      <c r="P37" s="696"/>
    </row>
    <row r="38" spans="2:16" x14ac:dyDescent="0.25">
      <c r="B38" s="163" t="s">
        <v>24</v>
      </c>
      <c r="C38" s="164">
        <v>3</v>
      </c>
      <c r="D38" s="164">
        <v>25.5</v>
      </c>
      <c r="E38" s="134"/>
      <c r="F38" s="134"/>
      <c r="L38" s="696"/>
      <c r="M38" s="696"/>
      <c r="N38" s="696"/>
      <c r="O38" s="696"/>
      <c r="P38" s="696"/>
    </row>
    <row r="39" spans="2:16" x14ac:dyDescent="0.25">
      <c r="B39" s="163" t="s">
        <v>25</v>
      </c>
      <c r="C39" s="164">
        <v>2</v>
      </c>
      <c r="D39" s="164">
        <v>52</v>
      </c>
      <c r="E39" s="134"/>
      <c r="F39" s="134"/>
      <c r="L39" s="696"/>
      <c r="M39" s="696"/>
      <c r="N39" s="696"/>
      <c r="O39" s="696"/>
      <c r="P39" s="696"/>
    </row>
    <row r="40" spans="2:16" x14ac:dyDescent="0.25">
      <c r="B40" s="163" t="s">
        <v>26</v>
      </c>
      <c r="C40" s="164">
        <v>1</v>
      </c>
      <c r="D40" s="164">
        <v>40</v>
      </c>
      <c r="E40" s="134"/>
      <c r="F40" s="134"/>
      <c r="L40" s="696"/>
      <c r="M40" s="696"/>
      <c r="N40" s="696"/>
      <c r="O40" s="696"/>
      <c r="P40" s="696"/>
    </row>
    <row r="41" spans="2:16" x14ac:dyDescent="0.25">
      <c r="B41" s="163" t="s">
        <v>27</v>
      </c>
      <c r="C41" s="164">
        <v>6</v>
      </c>
      <c r="D41" s="164">
        <v>810</v>
      </c>
      <c r="E41" s="134"/>
      <c r="F41" s="134"/>
      <c r="L41" s="696"/>
      <c r="M41" s="696"/>
      <c r="N41" s="696"/>
      <c r="O41" s="696"/>
      <c r="P41" s="696"/>
    </row>
    <row r="42" spans="2:16" ht="15.6" customHeight="1" x14ac:dyDescent="0.25">
      <c r="B42" s="163" t="s">
        <v>28</v>
      </c>
      <c r="C42" s="164">
        <v>0</v>
      </c>
      <c r="D42" s="164">
        <v>0</v>
      </c>
      <c r="E42" s="134"/>
      <c r="F42" s="134"/>
      <c r="L42" s="696"/>
      <c r="M42" s="696"/>
      <c r="N42" s="696"/>
      <c r="O42" s="696"/>
      <c r="P42" s="696"/>
    </row>
    <row r="43" spans="2:16" x14ac:dyDescent="0.25">
      <c r="B43" s="163" t="s">
        <v>29</v>
      </c>
      <c r="C43" s="164">
        <v>1</v>
      </c>
      <c r="D43" s="164">
        <v>135</v>
      </c>
      <c r="E43" s="134"/>
      <c r="F43" s="134"/>
      <c r="L43" s="696"/>
      <c r="M43" s="696"/>
      <c r="N43" s="696"/>
      <c r="O43" s="696"/>
      <c r="P43" s="696"/>
    </row>
    <row r="44" spans="2:16" x14ac:dyDescent="0.25">
      <c r="B44" s="163" t="s">
        <v>161</v>
      </c>
      <c r="C44" s="164">
        <v>0</v>
      </c>
      <c r="D44" s="164">
        <v>0</v>
      </c>
      <c r="E44" s="134"/>
      <c r="F44" s="134"/>
      <c r="L44" s="696"/>
      <c r="M44" s="696"/>
      <c r="N44" s="696"/>
      <c r="O44" s="696"/>
      <c r="P44" s="696"/>
    </row>
    <row r="45" spans="2:16" x14ac:dyDescent="0.25">
      <c r="B45" s="163" t="s">
        <v>30</v>
      </c>
      <c r="C45" s="164">
        <v>0</v>
      </c>
      <c r="D45" s="164">
        <v>0</v>
      </c>
      <c r="E45" s="134"/>
      <c r="F45" s="134"/>
      <c r="L45" s="696"/>
      <c r="M45" s="696"/>
      <c r="N45" s="696"/>
      <c r="O45" s="696"/>
      <c r="P45" s="696"/>
    </row>
    <row r="46" spans="2:16" x14ac:dyDescent="0.25">
      <c r="B46" s="163" t="s">
        <v>31</v>
      </c>
      <c r="C46" s="164">
        <v>0</v>
      </c>
      <c r="D46" s="164">
        <v>0</v>
      </c>
      <c r="E46" s="134"/>
      <c r="F46" s="134"/>
      <c r="L46" s="696"/>
      <c r="M46" s="696"/>
      <c r="N46" s="696"/>
      <c r="O46" s="696"/>
      <c r="P46" s="696"/>
    </row>
    <row r="47" spans="2:16" ht="24" x14ac:dyDescent="0.25">
      <c r="B47" s="163" t="s">
        <v>32</v>
      </c>
      <c r="C47" s="164">
        <v>10</v>
      </c>
      <c r="D47" s="164">
        <v>180</v>
      </c>
      <c r="E47" s="134"/>
      <c r="F47" s="134"/>
      <c r="L47" s="696"/>
      <c r="M47" s="696"/>
      <c r="N47" s="696"/>
      <c r="O47" s="696"/>
      <c r="P47" s="696"/>
    </row>
    <row r="48" spans="2:16" ht="24" x14ac:dyDescent="0.25">
      <c r="B48" s="163" t="s">
        <v>33</v>
      </c>
      <c r="C48" s="164">
        <v>10</v>
      </c>
      <c r="D48" s="164">
        <v>170</v>
      </c>
      <c r="E48" s="134"/>
      <c r="F48" s="134"/>
      <c r="L48" s="696"/>
      <c r="M48" s="696"/>
      <c r="N48" s="696"/>
      <c r="O48" s="696"/>
      <c r="P48" s="696"/>
    </row>
    <row r="49" spans="2:16" x14ac:dyDescent="0.25">
      <c r="B49" s="163" t="s">
        <v>34</v>
      </c>
      <c r="C49" s="164">
        <v>7</v>
      </c>
      <c r="D49" s="164">
        <v>119</v>
      </c>
      <c r="E49" s="134"/>
      <c r="F49" s="134"/>
      <c r="L49" s="696"/>
      <c r="M49" s="696"/>
      <c r="N49" s="696"/>
      <c r="O49" s="696"/>
      <c r="P49" s="696"/>
    </row>
    <row r="50" spans="2:16" x14ac:dyDescent="0.25">
      <c r="B50" s="163" t="s">
        <v>35</v>
      </c>
      <c r="C50" s="164">
        <v>5</v>
      </c>
      <c r="D50" s="164">
        <v>35</v>
      </c>
      <c r="E50" s="134"/>
      <c r="F50" s="134"/>
      <c r="L50" s="696"/>
      <c r="M50" s="696"/>
      <c r="N50" s="696"/>
      <c r="O50" s="696"/>
      <c r="P50" s="696"/>
    </row>
    <row r="51" spans="2:16" x14ac:dyDescent="0.25">
      <c r="B51" s="163" t="s">
        <v>36</v>
      </c>
      <c r="C51" s="164">
        <v>22</v>
      </c>
      <c r="D51" s="164">
        <v>154</v>
      </c>
      <c r="E51" s="134"/>
      <c r="F51" s="134"/>
      <c r="L51" s="696"/>
      <c r="M51" s="696"/>
      <c r="N51" s="696"/>
      <c r="O51" s="696"/>
      <c r="P51" s="696"/>
    </row>
    <row r="52" spans="2:16" ht="24" x14ac:dyDescent="0.25">
      <c r="B52" s="163" t="s">
        <v>37</v>
      </c>
      <c r="C52" s="164">
        <v>10</v>
      </c>
      <c r="D52" s="164">
        <v>90</v>
      </c>
      <c r="E52" s="134"/>
      <c r="F52" s="134"/>
      <c r="L52" s="696"/>
      <c r="M52" s="696"/>
      <c r="N52" s="696"/>
      <c r="O52" s="696"/>
      <c r="P52" s="696"/>
    </row>
    <row r="53" spans="2:16" x14ac:dyDescent="0.25">
      <c r="B53" s="163" t="s">
        <v>38</v>
      </c>
      <c r="C53" s="164">
        <v>8</v>
      </c>
      <c r="D53" s="164">
        <v>104</v>
      </c>
      <c r="E53" s="134"/>
      <c r="F53" s="134"/>
      <c r="L53" s="696"/>
      <c r="M53" s="696"/>
      <c r="N53" s="696"/>
      <c r="O53" s="696"/>
      <c r="P53" s="696"/>
    </row>
    <row r="54" spans="2:16" x14ac:dyDescent="0.25">
      <c r="B54" s="163" t="s">
        <v>39</v>
      </c>
      <c r="C54" s="164">
        <v>9</v>
      </c>
      <c r="D54" s="164">
        <v>162</v>
      </c>
      <c r="E54" s="134"/>
      <c r="F54" s="134"/>
      <c r="L54" s="696"/>
      <c r="M54" s="696"/>
      <c r="N54" s="696"/>
      <c r="O54" s="696"/>
      <c r="P54" s="696"/>
    </row>
    <row r="55" spans="2:16" ht="24" x14ac:dyDescent="0.25">
      <c r="B55" s="163" t="s">
        <v>48</v>
      </c>
      <c r="C55" s="164">
        <v>1</v>
      </c>
      <c r="D55" s="164">
        <v>100</v>
      </c>
      <c r="E55" s="134"/>
      <c r="F55" s="134"/>
      <c r="L55" s="696"/>
      <c r="M55" s="696"/>
      <c r="N55" s="696"/>
      <c r="O55" s="696"/>
      <c r="P55" s="696"/>
    </row>
    <row r="56" spans="2:16" ht="24" x14ac:dyDescent="0.25">
      <c r="B56" s="163" t="s">
        <v>40</v>
      </c>
      <c r="C56" s="164">
        <v>1</v>
      </c>
      <c r="D56" s="164">
        <v>90</v>
      </c>
      <c r="E56" s="134"/>
      <c r="F56" s="134"/>
      <c r="L56" s="696"/>
      <c r="M56" s="696"/>
      <c r="N56" s="696"/>
      <c r="O56" s="696"/>
      <c r="P56" s="696"/>
    </row>
    <row r="57" spans="2:16" ht="24" x14ac:dyDescent="0.25">
      <c r="B57" s="163" t="s">
        <v>41</v>
      </c>
      <c r="C57" s="164">
        <v>12</v>
      </c>
      <c r="D57" s="164">
        <v>72</v>
      </c>
      <c r="E57" s="134"/>
      <c r="F57" s="134"/>
      <c r="L57" s="696"/>
      <c r="M57" s="696"/>
      <c r="N57" s="696"/>
      <c r="O57" s="696"/>
      <c r="P57" s="696"/>
    </row>
    <row r="58" spans="2:16" ht="24" x14ac:dyDescent="0.25">
      <c r="B58" s="163" t="s">
        <v>42</v>
      </c>
      <c r="C58" s="164">
        <v>6</v>
      </c>
      <c r="D58" s="164">
        <v>36</v>
      </c>
      <c r="E58" s="134"/>
      <c r="F58" s="134"/>
      <c r="L58" s="696"/>
      <c r="M58" s="696"/>
      <c r="N58" s="696"/>
      <c r="O58" s="696"/>
      <c r="P58" s="696"/>
    </row>
    <row r="59" spans="2:16" ht="24" x14ac:dyDescent="0.25">
      <c r="B59" s="163" t="s">
        <v>45</v>
      </c>
      <c r="C59" s="164">
        <v>3</v>
      </c>
      <c r="D59" s="164">
        <v>34.5</v>
      </c>
      <c r="E59" s="134"/>
      <c r="F59" s="134"/>
      <c r="L59" s="696"/>
      <c r="M59" s="696"/>
      <c r="N59" s="696"/>
      <c r="O59" s="696"/>
      <c r="P59" s="696"/>
    </row>
    <row r="60" spans="2:16" ht="24" x14ac:dyDescent="0.25">
      <c r="B60" s="163" t="s">
        <v>163</v>
      </c>
      <c r="C60" s="164">
        <v>6</v>
      </c>
      <c r="D60" s="164">
        <v>36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">
        <v>43</v>
      </c>
      <c r="C61" s="164">
        <v>2</v>
      </c>
      <c r="D61" s="164">
        <v>12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">
        <v>46</v>
      </c>
      <c r="C62" s="164">
        <v>3</v>
      </c>
      <c r="D62" s="164">
        <v>34.5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">
        <v>44</v>
      </c>
      <c r="C63" s="164">
        <v>3</v>
      </c>
      <c r="D63" s="164">
        <v>18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">
        <v>162</v>
      </c>
      <c r="C64" s="164">
        <v>6</v>
      </c>
      <c r="D64" s="164">
        <v>36</v>
      </c>
      <c r="E64" s="134"/>
      <c r="F64" s="134"/>
      <c r="L64" s="14"/>
      <c r="M64" s="14"/>
      <c r="N64" s="14"/>
      <c r="O64" s="14"/>
      <c r="P64" s="14"/>
    </row>
    <row r="65" spans="2:22" ht="24" x14ac:dyDescent="0.25">
      <c r="B65" s="163" t="s">
        <v>47</v>
      </c>
      <c r="C65" s="164">
        <v>3</v>
      </c>
      <c r="D65" s="164">
        <v>34.5</v>
      </c>
      <c r="E65" s="134"/>
      <c r="F65" s="134"/>
      <c r="L65" s="14"/>
      <c r="M65" s="14"/>
      <c r="N65" s="14"/>
      <c r="O65" s="14"/>
      <c r="P65" s="14"/>
    </row>
    <row r="66" spans="2:22" x14ac:dyDescent="0.25">
      <c r="B66" s="163" t="s">
        <v>58</v>
      </c>
      <c r="C66" s="164">
        <v>1</v>
      </c>
      <c r="D66" s="164">
        <v>17</v>
      </c>
      <c r="E66" s="134"/>
      <c r="F66" s="134"/>
      <c r="L66" s="14"/>
      <c r="M66" s="14"/>
      <c r="N66" s="14"/>
      <c r="O66" s="14"/>
      <c r="P66" s="14"/>
    </row>
    <row r="67" spans="2:22" x14ac:dyDescent="0.25">
      <c r="B67" s="163" t="s">
        <v>168</v>
      </c>
      <c r="C67" s="164">
        <v>0</v>
      </c>
      <c r="D67" s="164">
        <v>0</v>
      </c>
      <c r="E67" s="134"/>
      <c r="F67" s="134"/>
      <c r="L67" s="14"/>
      <c r="M67" s="14"/>
      <c r="N67" s="14"/>
      <c r="O67" s="14"/>
      <c r="P67" s="14"/>
    </row>
    <row r="68" spans="2:22" x14ac:dyDescent="0.25">
      <c r="B68" s="163" t="s">
        <v>261</v>
      </c>
      <c r="C68" s="164">
        <v>3</v>
      </c>
      <c r="D68" s="164">
        <v>225</v>
      </c>
      <c r="E68" s="134"/>
      <c r="F68" s="134"/>
      <c r="L68" s="696"/>
      <c r="M68" s="696"/>
      <c r="N68" s="696"/>
      <c r="O68" s="696"/>
      <c r="P68" s="696"/>
    </row>
    <row r="69" spans="2:22" x14ac:dyDescent="0.25">
      <c r="B69" s="165"/>
      <c r="C69" s="166"/>
      <c r="D69" s="166">
        <f>SUM(D3:D68)</f>
        <v>16319.5</v>
      </c>
      <c r="E69" s="134"/>
      <c r="F69" s="134"/>
      <c r="L69" s="14"/>
      <c r="M69" s="14"/>
      <c r="N69" s="14"/>
      <c r="O69" s="14"/>
      <c r="P69" s="14"/>
    </row>
    <row r="70" spans="2:22" x14ac:dyDescent="0.25">
      <c r="B70" s="142"/>
      <c r="C70" s="142"/>
      <c r="D70" s="142"/>
      <c r="E70" s="142"/>
      <c r="F70" s="142"/>
      <c r="G70" s="142"/>
      <c r="H70" s="142"/>
      <c r="I70" s="134"/>
      <c r="J70" s="134"/>
      <c r="L70" s="696"/>
      <c r="M70" s="696"/>
      <c r="N70" s="696"/>
      <c r="O70" s="696"/>
      <c r="P70" s="696"/>
    </row>
    <row r="71" spans="2:22" ht="18.75" x14ac:dyDescent="0.3">
      <c r="B71" s="699" t="s">
        <v>80</v>
      </c>
      <c r="C71" s="699"/>
      <c r="D71" s="699"/>
      <c r="E71" s="699"/>
      <c r="F71" s="699"/>
      <c r="G71" s="699"/>
      <c r="H71" s="699"/>
      <c r="I71" s="210"/>
      <c r="J71" s="699" t="s">
        <v>80</v>
      </c>
      <c r="K71" s="699"/>
      <c r="L71" s="699"/>
      <c r="M71" s="699"/>
      <c r="N71" s="26"/>
      <c r="O71" s="26"/>
      <c r="P71" s="26"/>
      <c r="Q71" s="133"/>
      <c r="R71" s="133"/>
      <c r="S71" s="133"/>
      <c r="T71" s="133"/>
      <c r="U71" s="133"/>
      <c r="V71" s="8"/>
    </row>
    <row r="72" spans="2:22" ht="24" x14ac:dyDescent="0.25">
      <c r="B72" s="99" t="s">
        <v>2</v>
      </c>
      <c r="C72" s="143" t="s">
        <v>78</v>
      </c>
      <c r="D72" s="143" t="s">
        <v>79</v>
      </c>
      <c r="E72" s="143" t="s">
        <v>92</v>
      </c>
      <c r="F72" s="143" t="s">
        <v>91</v>
      </c>
      <c r="G72" s="144" t="s">
        <v>75</v>
      </c>
      <c r="H72" s="176" t="s">
        <v>102</v>
      </c>
      <c r="I72" s="134"/>
      <c r="J72" s="99" t="s">
        <v>2</v>
      </c>
      <c r="K72" s="143" t="s">
        <v>79</v>
      </c>
      <c r="L72" s="143" t="s">
        <v>91</v>
      </c>
      <c r="M72" s="176" t="s">
        <v>102</v>
      </c>
      <c r="N72" s="26"/>
      <c r="O72" s="26"/>
    </row>
    <row r="73" spans="2:22" ht="24" x14ac:dyDescent="0.25">
      <c r="B73" s="145" t="s">
        <v>55</v>
      </c>
      <c r="C73" s="143">
        <f t="shared" ref="C73:C88" si="0">C3</f>
        <v>6</v>
      </c>
      <c r="D73" s="143">
        <v>35</v>
      </c>
      <c r="E73" s="99">
        <f t="shared" ref="E73:E88" si="1">D3</f>
        <v>47</v>
      </c>
      <c r="F73" s="143">
        <v>38.340000000000003</v>
      </c>
      <c r="G73" s="144">
        <f>E73-F73</f>
        <v>8.6599999999999966</v>
      </c>
      <c r="H73" s="265">
        <v>257.19749999999993</v>
      </c>
      <c r="I73" s="134"/>
      <c r="J73" s="145" t="s">
        <v>55</v>
      </c>
      <c r="K73" s="143">
        <f>'DETALLE DE VENTAS'!AN212</f>
        <v>1</v>
      </c>
      <c r="L73" s="310">
        <f>'DETALLE DE VENTAS'!AA212*1.16/1.08</f>
        <v>6.39</v>
      </c>
      <c r="M73" s="265">
        <f>K73*L73</f>
        <v>6.39</v>
      </c>
      <c r="N73" s="26"/>
      <c r="O73" s="26"/>
    </row>
    <row r="74" spans="2:22" x14ac:dyDescent="0.25">
      <c r="B74" s="145" t="s">
        <v>4</v>
      </c>
      <c r="C74" s="143">
        <f t="shared" si="0"/>
        <v>49</v>
      </c>
      <c r="D74" s="143">
        <v>27</v>
      </c>
      <c r="E74" s="99">
        <f t="shared" si="1"/>
        <v>774</v>
      </c>
      <c r="F74" s="143">
        <v>613.01</v>
      </c>
      <c r="G74" s="144">
        <f t="shared" ref="G74:G94" si="2">E74-F74</f>
        <v>160.99</v>
      </c>
      <c r="H74" s="266">
        <v>394.02449999999999</v>
      </c>
      <c r="I74" s="134"/>
      <c r="J74" s="145" t="s">
        <v>4</v>
      </c>
      <c r="K74" s="143">
        <f>'DETALLE DE VENTAS'!AN213</f>
        <v>-2</v>
      </c>
      <c r="L74" s="310">
        <f>'DETALLE DE VENTAS'!AA213*1.16/1.08</f>
        <v>12.69</v>
      </c>
      <c r="M74" s="265">
        <f t="shared" ref="M74:M94" si="3">K74*L74</f>
        <v>-25.38</v>
      </c>
      <c r="N74" s="26"/>
      <c r="O74" s="26"/>
    </row>
    <row r="75" spans="2:22" ht="24" x14ac:dyDescent="0.25">
      <c r="B75" s="145" t="s">
        <v>5</v>
      </c>
      <c r="C75" s="143">
        <f t="shared" si="0"/>
        <v>18</v>
      </c>
      <c r="D75" s="143">
        <v>13</v>
      </c>
      <c r="E75" s="99">
        <f t="shared" si="1"/>
        <v>736</v>
      </c>
      <c r="F75" s="143">
        <v>613.78</v>
      </c>
      <c r="G75" s="144">
        <f t="shared" si="2"/>
        <v>122.22000000000003</v>
      </c>
      <c r="H75" s="265">
        <v>523.84799999999996</v>
      </c>
      <c r="I75" s="134"/>
      <c r="J75" s="145" t="s">
        <v>5</v>
      </c>
      <c r="K75" s="143">
        <f>'DETALLE DE VENTAS'!AN214</f>
        <v>14</v>
      </c>
      <c r="L75" s="310">
        <f>'DETALLE DE VENTAS'!AA214*1.16/1.08</f>
        <v>35.04</v>
      </c>
      <c r="M75" s="265">
        <f t="shared" si="3"/>
        <v>490.56</v>
      </c>
      <c r="N75" s="26"/>
      <c r="O75" s="26"/>
    </row>
    <row r="76" spans="2:22" x14ac:dyDescent="0.25">
      <c r="B76" s="145" t="s">
        <v>56</v>
      </c>
      <c r="C76" s="143">
        <f t="shared" si="0"/>
        <v>9</v>
      </c>
      <c r="D76" s="143">
        <v>21</v>
      </c>
      <c r="E76" s="99">
        <f t="shared" si="1"/>
        <v>108</v>
      </c>
      <c r="F76" s="143">
        <v>96.3</v>
      </c>
      <c r="G76" s="144">
        <f t="shared" si="2"/>
        <v>11.700000000000003</v>
      </c>
      <c r="H76" s="265">
        <v>258.40499999999997</v>
      </c>
      <c r="I76" s="134"/>
      <c r="J76" s="145" t="s">
        <v>56</v>
      </c>
      <c r="K76" s="143">
        <f>'DETALLE DE VENTAS'!AN215</f>
        <v>46</v>
      </c>
      <c r="L76" s="310">
        <f>'DETALLE DE VENTAS'!AA215*1.16/1.08</f>
        <v>10.7</v>
      </c>
      <c r="M76" s="265">
        <f t="shared" si="3"/>
        <v>492.2</v>
      </c>
      <c r="N76" s="26"/>
      <c r="O76" s="26"/>
    </row>
    <row r="77" spans="2:22" x14ac:dyDescent="0.25">
      <c r="B77" s="145" t="s">
        <v>49</v>
      </c>
      <c r="C77" s="143">
        <f t="shared" si="0"/>
        <v>21</v>
      </c>
      <c r="D77" s="143">
        <v>18</v>
      </c>
      <c r="E77" s="99">
        <f t="shared" si="1"/>
        <v>582</v>
      </c>
      <c r="F77" s="143">
        <v>460.17</v>
      </c>
      <c r="G77" s="144">
        <f t="shared" si="2"/>
        <v>121.82999999999998</v>
      </c>
      <c r="H77" s="265">
        <v>472.16699999999992</v>
      </c>
      <c r="I77" s="134"/>
      <c r="J77" s="145" t="s">
        <v>49</v>
      </c>
      <c r="K77" s="143">
        <f>'DETALLE DE VENTAS'!AN216</f>
        <v>-3</v>
      </c>
      <c r="L77" s="310">
        <f>'DETALLE DE VENTAS'!AA216*1.16/1.08</f>
        <v>22.81</v>
      </c>
      <c r="M77" s="265">
        <f t="shared" si="3"/>
        <v>-68.429999999999993</v>
      </c>
      <c r="N77" s="26"/>
      <c r="O77" s="26"/>
    </row>
    <row r="78" spans="2:22" ht="24" x14ac:dyDescent="0.25">
      <c r="B78" s="145" t="s">
        <v>50</v>
      </c>
      <c r="C78" s="143">
        <f t="shared" si="0"/>
        <v>1</v>
      </c>
      <c r="D78" s="143">
        <v>22</v>
      </c>
      <c r="E78" s="99">
        <f t="shared" si="1"/>
        <v>8</v>
      </c>
      <c r="F78" s="143">
        <v>5.67</v>
      </c>
      <c r="G78" s="144">
        <f t="shared" si="2"/>
        <v>2.33</v>
      </c>
      <c r="H78" s="265">
        <v>151.79999999999998</v>
      </c>
      <c r="I78" s="134"/>
      <c r="J78" s="145" t="s">
        <v>50</v>
      </c>
      <c r="K78" s="143">
        <f>'DETALLE DE VENTAS'!AN217</f>
        <v>27</v>
      </c>
      <c r="L78" s="310">
        <f>'DETALLE DE VENTAS'!AA217*1.16/1.08</f>
        <v>5.9999999999999991</v>
      </c>
      <c r="M78" s="265">
        <f t="shared" si="3"/>
        <v>161.99999999999997</v>
      </c>
      <c r="N78" s="26"/>
      <c r="O78" s="26"/>
    </row>
    <row r="79" spans="2:22" x14ac:dyDescent="0.25">
      <c r="B79" s="145" t="s">
        <v>6</v>
      </c>
      <c r="C79" s="143">
        <f t="shared" si="0"/>
        <v>13</v>
      </c>
      <c r="D79" s="143">
        <v>19</v>
      </c>
      <c r="E79" s="99">
        <f t="shared" si="1"/>
        <v>134</v>
      </c>
      <c r="F79" s="143">
        <v>119.99</v>
      </c>
      <c r="G79" s="144">
        <f t="shared" si="2"/>
        <v>14.010000000000005</v>
      </c>
      <c r="H79" s="265">
        <v>201.6755</v>
      </c>
      <c r="I79" s="134"/>
      <c r="J79" s="145" t="s">
        <v>6</v>
      </c>
      <c r="K79" s="143">
        <f>'DETALLE DE VENTAS'!AN218</f>
        <v>19</v>
      </c>
      <c r="L79" s="310">
        <f>'DETALLE DE VENTAS'!AA218*1.16/1.08</f>
        <v>9.23</v>
      </c>
      <c r="M79" s="265">
        <f t="shared" si="3"/>
        <v>175.37</v>
      </c>
      <c r="N79" s="26"/>
      <c r="O79" s="26"/>
    </row>
    <row r="80" spans="2:22" x14ac:dyDescent="0.25">
      <c r="B80" s="145" t="s">
        <v>7</v>
      </c>
      <c r="C80" s="143">
        <f t="shared" si="0"/>
        <v>6</v>
      </c>
      <c r="D80" s="146">
        <v>11</v>
      </c>
      <c r="E80" s="99">
        <f t="shared" si="1"/>
        <v>190</v>
      </c>
      <c r="F80" s="143">
        <v>162.24</v>
      </c>
      <c r="G80" s="144">
        <f t="shared" si="2"/>
        <v>27.759999999999991</v>
      </c>
      <c r="H80" s="265">
        <v>342.05599999999998</v>
      </c>
      <c r="I80" s="134"/>
      <c r="J80" s="145" t="s">
        <v>7</v>
      </c>
      <c r="K80" s="143">
        <f>'DETALLE DE VENTAS'!AN219</f>
        <v>11</v>
      </c>
      <c r="L80" s="310">
        <f>'DETALLE DE VENTAS'!AA219*1.16/1.08</f>
        <v>27.04</v>
      </c>
      <c r="M80" s="265">
        <f t="shared" si="3"/>
        <v>297.44</v>
      </c>
      <c r="N80" s="26"/>
      <c r="O80" s="14"/>
    </row>
    <row r="81" spans="2:17" x14ac:dyDescent="0.25">
      <c r="B81" s="145" t="s">
        <v>8</v>
      </c>
      <c r="C81" s="143">
        <f t="shared" si="0"/>
        <v>15</v>
      </c>
      <c r="D81" s="143">
        <v>11</v>
      </c>
      <c r="E81" s="99">
        <f t="shared" si="1"/>
        <v>214</v>
      </c>
      <c r="F81" s="143">
        <v>145.44</v>
      </c>
      <c r="G81" s="144">
        <f t="shared" si="2"/>
        <v>68.56</v>
      </c>
      <c r="H81" s="265">
        <v>148.511</v>
      </c>
      <c r="I81" s="134"/>
      <c r="J81" s="145" t="s">
        <v>8</v>
      </c>
      <c r="K81" s="143">
        <f>'DETALLE DE VENTAS'!AN220</f>
        <v>38</v>
      </c>
      <c r="L81" s="310">
        <f>'DETALLE DE VENTAS'!AA220*1.16/1.08</f>
        <v>11.74</v>
      </c>
      <c r="M81" s="265">
        <f t="shared" si="3"/>
        <v>446.12</v>
      </c>
    </row>
    <row r="82" spans="2:17" x14ac:dyDescent="0.25">
      <c r="B82" s="145" t="s">
        <v>9</v>
      </c>
      <c r="C82" s="143">
        <f t="shared" si="0"/>
        <v>50</v>
      </c>
      <c r="D82" s="143">
        <v>9</v>
      </c>
      <c r="E82" s="99">
        <f t="shared" si="1"/>
        <v>1504</v>
      </c>
      <c r="F82" s="143">
        <v>1302.6500000000001</v>
      </c>
      <c r="G82" s="144">
        <f t="shared" si="2"/>
        <v>201.34999999999991</v>
      </c>
      <c r="H82" s="265">
        <v>277.69049999999993</v>
      </c>
      <c r="I82" s="134"/>
      <c r="J82" s="145" t="s">
        <v>9</v>
      </c>
      <c r="K82" s="143">
        <f>'DETALLE DE VENTAS'!AN221</f>
        <v>70</v>
      </c>
      <c r="L82" s="310">
        <f>'DETALLE DE VENTAS'!AA221*1.16/1.08</f>
        <v>26.83</v>
      </c>
      <c r="M82" s="265">
        <f t="shared" si="3"/>
        <v>1878.1</v>
      </c>
    </row>
    <row r="83" spans="2:17" x14ac:dyDescent="0.25">
      <c r="B83" s="145" t="s">
        <v>10</v>
      </c>
      <c r="C83" s="143">
        <f t="shared" si="0"/>
        <v>8</v>
      </c>
      <c r="D83" s="143">
        <v>16</v>
      </c>
      <c r="E83" s="99">
        <f t="shared" si="1"/>
        <v>261</v>
      </c>
      <c r="F83" s="143">
        <v>223.68</v>
      </c>
      <c r="G83" s="144">
        <f t="shared" si="2"/>
        <v>37.319999999999993</v>
      </c>
      <c r="H83" s="265">
        <v>514.46399999999994</v>
      </c>
      <c r="I83" s="134"/>
      <c r="J83" s="145" t="s">
        <v>10</v>
      </c>
      <c r="K83" s="143">
        <f>'DETALLE DE VENTAS'!AN222</f>
        <v>-3</v>
      </c>
      <c r="L83" s="310">
        <f>'DETALLE DE VENTAS'!AA222*1.16/1.08</f>
        <v>27.96</v>
      </c>
      <c r="M83" s="265">
        <f t="shared" si="3"/>
        <v>-83.88</v>
      </c>
    </row>
    <row r="84" spans="2:17" ht="24" x14ac:dyDescent="0.25">
      <c r="B84" s="145" t="s">
        <v>11</v>
      </c>
      <c r="C84" s="143">
        <f t="shared" si="0"/>
        <v>23</v>
      </c>
      <c r="D84" s="143">
        <v>15</v>
      </c>
      <c r="E84" s="99">
        <f t="shared" si="1"/>
        <v>2470</v>
      </c>
      <c r="F84" s="143">
        <v>2185.69</v>
      </c>
      <c r="G84" s="144">
        <f t="shared" si="2"/>
        <v>284.30999999999995</v>
      </c>
      <c r="H84" s="265">
        <v>1639.2674999999999</v>
      </c>
      <c r="I84" s="134"/>
      <c r="J84" s="145" t="s">
        <v>11</v>
      </c>
      <c r="K84" s="143">
        <f>'DETALLE DE VENTAS'!AN223</f>
        <v>0</v>
      </c>
      <c r="L84" s="310">
        <f>'DETALLE DE VENTAS'!AA223*1.16/1.08</f>
        <v>95.030000000000015</v>
      </c>
      <c r="M84" s="265">
        <f t="shared" si="3"/>
        <v>0</v>
      </c>
    </row>
    <row r="85" spans="2:17" ht="24" x14ac:dyDescent="0.25">
      <c r="B85" s="145" t="s">
        <v>57</v>
      </c>
      <c r="C85" s="143">
        <f t="shared" si="0"/>
        <v>6</v>
      </c>
      <c r="D85" s="143">
        <v>12</v>
      </c>
      <c r="E85" s="99">
        <f t="shared" si="1"/>
        <v>324</v>
      </c>
      <c r="F85" s="143">
        <v>264.18</v>
      </c>
      <c r="G85" s="144">
        <f t="shared" si="2"/>
        <v>59.819999999999993</v>
      </c>
      <c r="H85" s="265">
        <v>607.61399999999992</v>
      </c>
      <c r="I85" s="134"/>
      <c r="J85" s="145" t="s">
        <v>57</v>
      </c>
      <c r="K85" s="143">
        <f>'DETALLE DE VENTAS'!AN224</f>
        <v>0</v>
      </c>
      <c r="L85" s="310">
        <f>'DETALLE DE VENTAS'!AA224*1.16/1.08</f>
        <v>44.03</v>
      </c>
      <c r="M85" s="265">
        <f t="shared" si="3"/>
        <v>0</v>
      </c>
    </row>
    <row r="86" spans="2:17" ht="24" x14ac:dyDescent="0.25">
      <c r="B86" s="145" t="s">
        <v>51</v>
      </c>
      <c r="C86" s="143">
        <f t="shared" si="0"/>
        <v>3</v>
      </c>
      <c r="D86" s="143">
        <v>0</v>
      </c>
      <c r="E86" s="99">
        <f t="shared" si="1"/>
        <v>144</v>
      </c>
      <c r="F86" s="143">
        <v>117.45</v>
      </c>
      <c r="G86" s="144">
        <f t="shared" si="2"/>
        <v>26.549999999999997</v>
      </c>
      <c r="H86" s="265">
        <v>0</v>
      </c>
      <c r="I86" s="134"/>
      <c r="J86" s="145" t="s">
        <v>51</v>
      </c>
      <c r="K86" s="143">
        <f>'DETALLE DE VENTAS'!AN225</f>
        <v>11</v>
      </c>
      <c r="L86" s="310">
        <f>'DETALLE DE VENTAS'!AA225*1.16/1.08</f>
        <v>41.500000000000007</v>
      </c>
      <c r="M86" s="265">
        <f t="shared" si="3"/>
        <v>456.50000000000006</v>
      </c>
    </row>
    <row r="87" spans="2:17" x14ac:dyDescent="0.25">
      <c r="B87" s="145" t="s">
        <v>52</v>
      </c>
      <c r="C87" s="143">
        <f t="shared" si="0"/>
        <v>0</v>
      </c>
      <c r="D87" s="143">
        <v>9</v>
      </c>
      <c r="E87" s="99">
        <f t="shared" si="1"/>
        <v>0</v>
      </c>
      <c r="F87" s="143">
        <v>0</v>
      </c>
      <c r="G87" s="144">
        <f t="shared" si="2"/>
        <v>0</v>
      </c>
      <c r="H87" s="265">
        <v>559.83150000000001</v>
      </c>
      <c r="I87" s="134"/>
      <c r="J87" s="145" t="s">
        <v>52</v>
      </c>
      <c r="K87" s="143">
        <f>'DETALLE DE VENTAS'!AN226</f>
        <v>15</v>
      </c>
      <c r="L87" s="310">
        <f>'DETALLE DE VENTAS'!AA226*1.16/1.08</f>
        <v>54.09</v>
      </c>
      <c r="M87" s="265">
        <f t="shared" si="3"/>
        <v>811.35</v>
      </c>
    </row>
    <row r="88" spans="2:17" x14ac:dyDescent="0.25">
      <c r="B88" s="145" t="s">
        <v>12</v>
      </c>
      <c r="C88" s="143">
        <f t="shared" si="0"/>
        <v>38</v>
      </c>
      <c r="D88" s="143">
        <v>0</v>
      </c>
      <c r="E88" s="99">
        <f t="shared" si="1"/>
        <v>1178</v>
      </c>
      <c r="F88" s="143">
        <v>1105.8</v>
      </c>
      <c r="G88" s="144">
        <f t="shared" si="2"/>
        <v>72.200000000000045</v>
      </c>
      <c r="H88" s="265">
        <v>0</v>
      </c>
      <c r="I88" s="134"/>
      <c r="J88" s="145" t="s">
        <v>12</v>
      </c>
      <c r="K88" s="143">
        <f>'DETALLE DE VENTAS'!AN227</f>
        <v>0</v>
      </c>
      <c r="L88" s="310">
        <f>'DETALLE DE VENTAS'!AA227*1.16/1.08</f>
        <v>29.099999999999998</v>
      </c>
      <c r="M88" s="265">
        <f t="shared" si="3"/>
        <v>0</v>
      </c>
    </row>
    <row r="89" spans="2:17" x14ac:dyDescent="0.25">
      <c r="B89" s="145" t="s">
        <v>13</v>
      </c>
      <c r="C89" s="143">
        <f>C19+C20</f>
        <v>98</v>
      </c>
      <c r="D89" s="143">
        <v>73</v>
      </c>
      <c r="E89" s="99">
        <f>D19+D20</f>
        <v>3333</v>
      </c>
      <c r="F89" s="143">
        <v>2947.73</v>
      </c>
      <c r="G89" s="144">
        <f t="shared" si="2"/>
        <v>385.27</v>
      </c>
      <c r="H89" s="265">
        <v>2611.6844999999998</v>
      </c>
      <c r="I89" s="134"/>
      <c r="J89" s="145" t="s">
        <v>13</v>
      </c>
      <c r="K89" s="143">
        <f>'DETALLE DE VENTAS'!AN228</f>
        <v>-7</v>
      </c>
      <c r="L89" s="310">
        <f>'DETALLE DE VENTAS'!AA228*1.16/1.08</f>
        <v>31.110000000000003</v>
      </c>
      <c r="M89" s="265">
        <f t="shared" si="3"/>
        <v>-217.77</v>
      </c>
    </row>
    <row r="90" spans="2:17" ht="24" x14ac:dyDescent="0.25">
      <c r="B90" s="145" t="s">
        <v>106</v>
      </c>
      <c r="C90" s="143">
        <f>C21</f>
        <v>0</v>
      </c>
      <c r="D90" s="143">
        <v>5</v>
      </c>
      <c r="E90" s="99">
        <f>D21</f>
        <v>0</v>
      </c>
      <c r="F90" s="143">
        <v>0</v>
      </c>
      <c r="G90" s="144">
        <f t="shared" si="2"/>
        <v>0</v>
      </c>
      <c r="H90" s="265">
        <v>553.26499999999999</v>
      </c>
      <c r="I90" s="134"/>
      <c r="J90" s="145" t="s">
        <v>106</v>
      </c>
      <c r="K90" s="143">
        <f>'DETALLE DE VENTAS'!AN229</f>
        <v>5</v>
      </c>
      <c r="L90" s="310">
        <f>'DETALLE DE VENTAS'!AA229*1.16/1.08</f>
        <v>96.22</v>
      </c>
      <c r="M90" s="265">
        <f t="shared" si="3"/>
        <v>481.1</v>
      </c>
    </row>
    <row r="91" spans="2:17" ht="24" x14ac:dyDescent="0.25">
      <c r="B91" s="145" t="s">
        <v>107</v>
      </c>
      <c r="C91" s="143">
        <f>C22</f>
        <v>0</v>
      </c>
      <c r="D91" s="143">
        <v>5</v>
      </c>
      <c r="E91" s="99">
        <f>D22</f>
        <v>0</v>
      </c>
      <c r="F91" s="150">
        <v>0</v>
      </c>
      <c r="G91" s="144">
        <f t="shared" si="2"/>
        <v>0</v>
      </c>
      <c r="H91" s="265">
        <v>613.58249999999987</v>
      </c>
      <c r="I91" s="134"/>
      <c r="J91" s="145" t="s">
        <v>107</v>
      </c>
      <c r="K91" s="143">
        <f>'DETALLE DE VENTAS'!AN230</f>
        <v>3</v>
      </c>
      <c r="L91" s="310">
        <f>'DETALLE DE VENTAS'!AA230*1.16/1.08</f>
        <v>106.71</v>
      </c>
      <c r="M91" s="265">
        <f t="shared" si="3"/>
        <v>320.13</v>
      </c>
    </row>
    <row r="92" spans="2:17" ht="24" x14ac:dyDescent="0.25">
      <c r="B92" s="145" t="s">
        <v>108</v>
      </c>
      <c r="C92" s="143">
        <f>C23</f>
        <v>0</v>
      </c>
      <c r="D92" s="143">
        <v>5</v>
      </c>
      <c r="E92" s="99">
        <f>D23</f>
        <v>0</v>
      </c>
      <c r="F92" s="150">
        <v>0</v>
      </c>
      <c r="G92" s="144">
        <f t="shared" si="2"/>
        <v>0</v>
      </c>
      <c r="H92" s="265">
        <v>583.28</v>
      </c>
      <c r="I92" s="134"/>
      <c r="J92" s="145" t="s">
        <v>108</v>
      </c>
      <c r="K92" s="143">
        <f>'DETALLE DE VENTAS'!AN231</f>
        <v>0</v>
      </c>
      <c r="L92" s="310">
        <f>'DETALLE DE VENTAS'!AA231*1.16/1.08</f>
        <v>101.44</v>
      </c>
      <c r="M92" s="265">
        <f t="shared" si="3"/>
        <v>0</v>
      </c>
    </row>
    <row r="93" spans="2:17" ht="24" x14ac:dyDescent="0.25">
      <c r="B93" s="145" t="s">
        <v>109</v>
      </c>
      <c r="C93" s="143">
        <f>C24</f>
        <v>0</v>
      </c>
      <c r="D93" s="143">
        <v>5</v>
      </c>
      <c r="E93" s="99">
        <f>D24</f>
        <v>0</v>
      </c>
      <c r="F93" s="150">
        <v>0</v>
      </c>
      <c r="G93" s="144">
        <f t="shared" si="2"/>
        <v>0</v>
      </c>
      <c r="H93" s="265">
        <v>566.89249999999993</v>
      </c>
      <c r="I93" s="134"/>
      <c r="J93" s="145" t="s">
        <v>109</v>
      </c>
      <c r="K93" s="143">
        <f>'DETALLE DE VENTAS'!AN232</f>
        <v>3</v>
      </c>
      <c r="L93" s="310">
        <f>'DETALLE DE VENTAS'!AA232*1.16/1.08</f>
        <v>98.59</v>
      </c>
      <c r="M93" s="265">
        <f t="shared" si="3"/>
        <v>295.77</v>
      </c>
    </row>
    <row r="94" spans="2:17" x14ac:dyDescent="0.25">
      <c r="B94" s="145" t="s">
        <v>53</v>
      </c>
      <c r="C94" s="143">
        <f>C25</f>
        <v>2</v>
      </c>
      <c r="D94" s="143">
        <v>1</v>
      </c>
      <c r="E94" s="99">
        <f>D25</f>
        <v>50</v>
      </c>
      <c r="F94" s="150">
        <v>41.34</v>
      </c>
      <c r="G94" s="144">
        <f t="shared" si="2"/>
        <v>8.6599999999999966</v>
      </c>
      <c r="H94" s="265">
        <v>25.196499999999997</v>
      </c>
      <c r="I94" s="134"/>
      <c r="J94" s="145" t="s">
        <v>53</v>
      </c>
      <c r="K94" s="143">
        <f>'DETALLE DE VENTAS'!AN233</f>
        <v>1</v>
      </c>
      <c r="L94" s="310">
        <f>'DETALLE DE VENTAS'!AA233*1.16/1.08</f>
        <v>21.91</v>
      </c>
      <c r="M94" s="265">
        <f t="shared" si="3"/>
        <v>21.91</v>
      </c>
    </row>
    <row r="95" spans="2:17" x14ac:dyDescent="0.25">
      <c r="B95" s="154"/>
      <c r="C95" s="148"/>
      <c r="D95" s="148"/>
      <c r="E95" s="149">
        <f>SUM(E73:E94)</f>
        <v>12057</v>
      </c>
      <c r="F95" s="149">
        <f>SUM(F73:F94)</f>
        <v>10443.460000000001</v>
      </c>
      <c r="G95" s="216">
        <f>SUM(G73:G94)</f>
        <v>1613.5399999999997</v>
      </c>
      <c r="H95" s="267">
        <f>SUM(H73:H94)</f>
        <v>11302.453</v>
      </c>
      <c r="I95" s="136"/>
      <c r="J95" s="154"/>
      <c r="K95" s="148"/>
      <c r="L95" s="149">
        <f>SUM(L73:L94)</f>
        <v>916.16000000000008</v>
      </c>
      <c r="M95" s="267">
        <f>SUM(M73:M94)</f>
        <v>5939.48</v>
      </c>
      <c r="N95" s="12"/>
      <c r="O95" s="12"/>
      <c r="P95" s="12"/>
      <c r="Q95" s="12"/>
    </row>
    <row r="96" spans="2:17" x14ac:dyDescent="0.25">
      <c r="B96" s="142"/>
      <c r="C96" s="142"/>
      <c r="D96" s="142"/>
      <c r="E96" s="142"/>
      <c r="F96" s="142"/>
      <c r="G96" s="168">
        <f>G95/F95</f>
        <v>0.15450243501674729</v>
      </c>
      <c r="H96" s="134"/>
      <c r="I96" s="134"/>
      <c r="K96" s="696"/>
      <c r="L96" s="696"/>
      <c r="M96" s="14"/>
    </row>
    <row r="97" spans="2:14" x14ac:dyDescent="0.25">
      <c r="B97" s="142"/>
      <c r="C97" s="142"/>
      <c r="D97" s="142"/>
      <c r="E97" s="142"/>
      <c r="F97" s="142"/>
      <c r="G97" s="142"/>
      <c r="H97" s="137"/>
      <c r="I97" s="134"/>
      <c r="J97" s="134"/>
      <c r="K97" s="696"/>
      <c r="L97" s="696"/>
      <c r="M97" s="696"/>
      <c r="N97" s="696"/>
    </row>
    <row r="98" spans="2:14" x14ac:dyDescent="0.25">
      <c r="B98" s="700" t="s">
        <v>81</v>
      </c>
      <c r="C98" s="700"/>
      <c r="D98" s="700"/>
      <c r="E98" s="700"/>
      <c r="F98" s="700"/>
      <c r="G98" s="700"/>
      <c r="H98" s="700"/>
      <c r="I98" s="211"/>
      <c r="J98" s="134"/>
    </row>
    <row r="99" spans="2:14" ht="24" x14ac:dyDescent="0.25">
      <c r="B99" s="131" t="s">
        <v>2</v>
      </c>
      <c r="C99" s="150" t="s">
        <v>78</v>
      </c>
      <c r="D99" s="150" t="s">
        <v>79</v>
      </c>
      <c r="E99" s="150" t="s">
        <v>92</v>
      </c>
      <c r="F99" s="150" t="s">
        <v>91</v>
      </c>
      <c r="G99" s="157" t="s">
        <v>75</v>
      </c>
      <c r="H99" s="212" t="s">
        <v>102</v>
      </c>
      <c r="I99" s="134"/>
    </row>
    <row r="100" spans="2:14" x14ac:dyDescent="0.25">
      <c r="B100" s="145" t="s">
        <v>14</v>
      </c>
      <c r="C100" s="143">
        <f>C26</f>
        <v>1</v>
      </c>
      <c r="D100" s="143">
        <v>0</v>
      </c>
      <c r="E100" s="143">
        <f>D26</f>
        <v>95</v>
      </c>
      <c r="F100" s="143">
        <v>75</v>
      </c>
      <c r="G100" s="144">
        <f t="shared" ref="G100:G105" si="4">E100-F100</f>
        <v>20</v>
      </c>
      <c r="H100" s="179">
        <v>0</v>
      </c>
      <c r="I100" s="134"/>
    </row>
    <row r="101" spans="2:14" x14ac:dyDescent="0.25">
      <c r="B101" s="145" t="s">
        <v>15</v>
      </c>
      <c r="C101" s="143">
        <f>C27</f>
        <v>0</v>
      </c>
      <c r="D101" s="143">
        <v>0</v>
      </c>
      <c r="E101" s="143">
        <f>D27</f>
        <v>0</v>
      </c>
      <c r="F101" s="143">
        <v>0</v>
      </c>
      <c r="G101" s="144">
        <f t="shared" si="4"/>
        <v>0</v>
      </c>
      <c r="H101" s="179">
        <v>0</v>
      </c>
      <c r="I101" s="134"/>
    </row>
    <row r="102" spans="2:14" x14ac:dyDescent="0.25">
      <c r="B102" s="145" t="s">
        <v>16</v>
      </c>
      <c r="C102" s="143">
        <f>C28</f>
        <v>0</v>
      </c>
      <c r="D102" s="143">
        <v>3</v>
      </c>
      <c r="E102" s="143">
        <f>D28</f>
        <v>0</v>
      </c>
      <c r="F102" s="143">
        <v>0</v>
      </c>
      <c r="G102" s="144">
        <f t="shared" si="4"/>
        <v>0</v>
      </c>
      <c r="H102" s="179">
        <v>360</v>
      </c>
      <c r="I102" s="134"/>
    </row>
    <row r="103" spans="2:14" x14ac:dyDescent="0.25">
      <c r="B103" s="145" t="s">
        <v>17</v>
      </c>
      <c r="C103" s="143">
        <f>C30</f>
        <v>0</v>
      </c>
      <c r="D103" s="143">
        <v>3</v>
      </c>
      <c r="E103" s="143">
        <f>D30</f>
        <v>0</v>
      </c>
      <c r="F103" s="143">
        <v>0</v>
      </c>
      <c r="G103" s="144">
        <f t="shared" si="4"/>
        <v>0</v>
      </c>
      <c r="H103" s="179">
        <v>360</v>
      </c>
      <c r="I103" s="134"/>
    </row>
    <row r="104" spans="2:14" x14ac:dyDescent="0.25">
      <c r="B104" s="145" t="s">
        <v>18</v>
      </c>
      <c r="C104" s="143">
        <f>C32</f>
        <v>0</v>
      </c>
      <c r="D104" s="143">
        <v>1</v>
      </c>
      <c r="E104" s="143">
        <f>D32</f>
        <v>0</v>
      </c>
      <c r="F104" s="143">
        <v>0</v>
      </c>
      <c r="G104" s="144">
        <f t="shared" si="4"/>
        <v>0</v>
      </c>
      <c r="H104" s="179">
        <v>210</v>
      </c>
      <c r="I104" s="134"/>
    </row>
    <row r="105" spans="2:14" x14ac:dyDescent="0.25">
      <c r="B105" s="145" t="s">
        <v>19</v>
      </c>
      <c r="C105" s="143">
        <f>C33</f>
        <v>0</v>
      </c>
      <c r="D105" s="143">
        <v>1</v>
      </c>
      <c r="E105" s="143">
        <f>D33</f>
        <v>0</v>
      </c>
      <c r="F105" s="143">
        <v>0</v>
      </c>
      <c r="G105" s="144">
        <f t="shared" si="4"/>
        <v>0</v>
      </c>
      <c r="H105" s="179">
        <v>250</v>
      </c>
      <c r="I105" s="134"/>
    </row>
    <row r="106" spans="2:14" x14ac:dyDescent="0.25">
      <c r="B106" s="147"/>
      <c r="C106" s="148"/>
      <c r="D106" s="148"/>
      <c r="E106" s="99">
        <f>SUM(E100:E105)</f>
        <v>95</v>
      </c>
      <c r="F106" s="99">
        <f>SUM(F100:F105)</f>
        <v>75</v>
      </c>
      <c r="G106" s="156">
        <f>SUM(G100:G105)</f>
        <v>20</v>
      </c>
      <c r="H106" s="180">
        <v>1410</v>
      </c>
      <c r="I106" s="134"/>
    </row>
    <row r="107" spans="2:14" x14ac:dyDescent="0.25">
      <c r="B107" s="147"/>
      <c r="C107" s="148"/>
      <c r="D107" s="148"/>
      <c r="E107" s="148"/>
      <c r="F107" s="148"/>
      <c r="G107" s="167">
        <f>G106/F106</f>
        <v>0.26666666666666666</v>
      </c>
      <c r="H107" s="138"/>
      <c r="I107" s="134"/>
    </row>
    <row r="108" spans="2:14" x14ac:dyDescent="0.25">
      <c r="B108" s="147"/>
      <c r="C108" s="148"/>
      <c r="D108" s="148"/>
      <c r="E108" s="148"/>
      <c r="F108" s="148"/>
      <c r="G108" s="148"/>
      <c r="H108" s="148"/>
      <c r="I108" s="138"/>
      <c r="J108" s="134"/>
    </row>
    <row r="109" spans="2:14" x14ac:dyDescent="0.25">
      <c r="B109" s="147"/>
      <c r="C109" s="148"/>
      <c r="D109" s="148"/>
      <c r="E109" s="148"/>
      <c r="F109" s="148"/>
      <c r="G109" s="148"/>
      <c r="H109" s="148"/>
      <c r="I109" s="138"/>
      <c r="J109" s="134"/>
    </row>
    <row r="110" spans="2:14" x14ac:dyDescent="0.25">
      <c r="B110" s="700" t="s">
        <v>244</v>
      </c>
      <c r="C110" s="700"/>
      <c r="D110" s="700"/>
      <c r="E110" s="700"/>
      <c r="F110" s="700"/>
      <c r="G110" s="700"/>
      <c r="H110" s="700"/>
      <c r="I110" s="211"/>
      <c r="J110" s="134"/>
    </row>
    <row r="111" spans="2:14" ht="24" x14ac:dyDescent="0.25">
      <c r="B111" s="107" t="s">
        <v>2</v>
      </c>
      <c r="C111" s="143" t="s">
        <v>78</v>
      </c>
      <c r="D111" s="143" t="s">
        <v>79</v>
      </c>
      <c r="E111" s="143" t="s">
        <v>92</v>
      </c>
      <c r="F111" s="143" t="s">
        <v>91</v>
      </c>
      <c r="G111" s="144" t="s">
        <v>75</v>
      </c>
      <c r="H111" s="181" t="s">
        <v>102</v>
      </c>
      <c r="I111" s="134"/>
    </row>
    <row r="112" spans="2:14" x14ac:dyDescent="0.25">
      <c r="B112" s="145" t="s">
        <v>16</v>
      </c>
      <c r="C112" s="143">
        <f>C29</f>
        <v>6</v>
      </c>
      <c r="D112" s="153">
        <v>1</v>
      </c>
      <c r="E112" s="143">
        <f>D29</f>
        <v>600</v>
      </c>
      <c r="F112" s="143">
        <v>480</v>
      </c>
      <c r="G112" s="144">
        <f>E112-F112</f>
        <v>120</v>
      </c>
      <c r="H112" s="181">
        <v>80</v>
      </c>
      <c r="I112" s="134"/>
    </row>
    <row r="113" spans="2:19" x14ac:dyDescent="0.25">
      <c r="B113" s="145" t="s">
        <v>97</v>
      </c>
      <c r="C113" s="143">
        <f>C31</f>
        <v>5</v>
      </c>
      <c r="D113" s="153">
        <v>4</v>
      </c>
      <c r="E113" s="143">
        <f>D31</f>
        <v>500</v>
      </c>
      <c r="F113" s="143">
        <v>400</v>
      </c>
      <c r="G113" s="144">
        <f>E113-F113</f>
        <v>100</v>
      </c>
      <c r="H113" s="181">
        <v>320</v>
      </c>
      <c r="I113" s="134"/>
    </row>
    <row r="114" spans="2:19" x14ac:dyDescent="0.25">
      <c r="B114" s="147"/>
      <c r="C114" s="148"/>
      <c r="D114" s="148"/>
      <c r="E114" s="99">
        <f>SUM(E112:E113)</f>
        <v>1100</v>
      </c>
      <c r="F114" s="99">
        <f>SUM(F112:F113)</f>
        <v>880</v>
      </c>
      <c r="G114" s="156">
        <f>SUM(G112:G113)</f>
        <v>220</v>
      </c>
      <c r="H114" s="182">
        <f>320</f>
        <v>320</v>
      </c>
      <c r="I114" s="134"/>
    </row>
    <row r="115" spans="2:19" x14ac:dyDescent="0.25">
      <c r="B115" s="147"/>
      <c r="C115" s="154"/>
      <c r="D115" s="154"/>
      <c r="E115" s="154"/>
      <c r="F115" s="154"/>
      <c r="G115" s="167">
        <f>G114/F114</f>
        <v>0.25</v>
      </c>
      <c r="H115" s="136"/>
      <c r="I115" s="136"/>
      <c r="J115" s="14"/>
      <c r="K115" s="14"/>
      <c r="L115" s="14"/>
      <c r="M115" s="14"/>
      <c r="N115" s="14"/>
      <c r="O115" s="14"/>
      <c r="P115" s="14"/>
      <c r="Q115" s="14"/>
      <c r="R115" s="121"/>
    </row>
    <row r="116" spans="2:19" x14ac:dyDescent="0.25">
      <c r="B116" s="147"/>
      <c r="C116" s="154"/>
      <c r="D116" s="154"/>
      <c r="E116" s="154"/>
      <c r="F116" s="154"/>
      <c r="G116" s="154"/>
      <c r="H116" s="148"/>
      <c r="I116" s="136"/>
      <c r="J116" s="136"/>
      <c r="K116" s="14"/>
      <c r="L116" s="14"/>
      <c r="M116" s="14"/>
      <c r="N116" s="14"/>
      <c r="O116" s="14"/>
      <c r="P116" s="14"/>
      <c r="Q116" s="14"/>
      <c r="R116" s="14"/>
      <c r="S116" s="121"/>
    </row>
    <row r="117" spans="2:19" x14ac:dyDescent="0.25">
      <c r="B117" s="154"/>
      <c r="C117" s="154"/>
      <c r="D117" s="154"/>
      <c r="E117" s="154"/>
      <c r="F117" s="154"/>
      <c r="G117" s="154"/>
      <c r="H117" s="148"/>
      <c r="I117" s="136"/>
      <c r="J117" s="136"/>
      <c r="K117" s="14"/>
      <c r="L117" s="14"/>
      <c r="M117" s="14"/>
      <c r="N117" s="14"/>
      <c r="O117" s="14"/>
      <c r="P117" s="14"/>
      <c r="Q117" s="14"/>
      <c r="R117" s="14"/>
      <c r="S117" s="14"/>
    </row>
    <row r="118" spans="2:19" x14ac:dyDescent="0.25">
      <c r="B118" s="700" t="s">
        <v>82</v>
      </c>
      <c r="C118" s="700"/>
      <c r="D118" s="700"/>
      <c r="E118" s="700"/>
      <c r="F118" s="700"/>
      <c r="G118" s="700"/>
      <c r="H118" s="700"/>
      <c r="I118" s="211"/>
      <c r="J118" s="700" t="s">
        <v>82</v>
      </c>
      <c r="K118" s="700"/>
      <c r="L118" s="700"/>
      <c r="M118" s="700"/>
      <c r="N118" s="211"/>
      <c r="O118" s="211"/>
      <c r="P118" s="211"/>
    </row>
    <row r="119" spans="2:19" ht="24" x14ac:dyDescent="0.25">
      <c r="B119" s="131" t="s">
        <v>2</v>
      </c>
      <c r="C119" s="143" t="s">
        <v>78</v>
      </c>
      <c r="D119" s="143" t="s">
        <v>79</v>
      </c>
      <c r="E119" s="143" t="s">
        <v>92</v>
      </c>
      <c r="F119" s="143" t="s">
        <v>91</v>
      </c>
      <c r="G119" s="144" t="s">
        <v>75</v>
      </c>
      <c r="H119" s="179" t="s">
        <v>102</v>
      </c>
      <c r="I119" s="134"/>
      <c r="J119" s="107" t="s">
        <v>2</v>
      </c>
      <c r="K119" s="143" t="s">
        <v>79</v>
      </c>
      <c r="L119" s="143" t="s">
        <v>91</v>
      </c>
      <c r="M119" s="179" t="s">
        <v>102</v>
      </c>
    </row>
    <row r="120" spans="2:19" x14ac:dyDescent="0.25">
      <c r="B120" s="145" t="str">
        <f t="shared" ref="B120:C151" si="5">B34</f>
        <v>MAPEI UNO GARRAFA 0,8 KG</v>
      </c>
      <c r="C120" s="143">
        <f t="shared" si="5"/>
        <v>17</v>
      </c>
      <c r="D120" s="155">
        <v>7</v>
      </c>
      <c r="E120" s="99">
        <f t="shared" ref="E120:E151" si="6">D34</f>
        <v>93.5</v>
      </c>
      <c r="F120" s="143">
        <v>58.65</v>
      </c>
      <c r="G120" s="144">
        <f>E120-F120</f>
        <v>34.85</v>
      </c>
      <c r="H120" s="176">
        <v>30.03</v>
      </c>
      <c r="I120" s="134"/>
      <c r="J120" s="145" t="str">
        <f>B34</f>
        <v>MAPEI UNO GARRAFA 0,8 KG</v>
      </c>
      <c r="K120" s="155">
        <f>'DETALLE DE VENTAS'!AC259</f>
        <v>39</v>
      </c>
      <c r="L120" s="310">
        <f>'DETALLE DE VENTAS'!V259</f>
        <v>2.83</v>
      </c>
      <c r="M120" s="176">
        <f>K120*L120</f>
        <v>110.37</v>
      </c>
    </row>
    <row r="121" spans="2:19" x14ac:dyDescent="0.25">
      <c r="B121" s="145" t="str">
        <f t="shared" si="5"/>
        <v>MAPEI UNO GARRAFA 2 KG</v>
      </c>
      <c r="C121" s="143">
        <f t="shared" si="5"/>
        <v>3</v>
      </c>
      <c r="D121" s="155">
        <v>3</v>
      </c>
      <c r="E121" s="99">
        <f t="shared" si="6"/>
        <v>39</v>
      </c>
      <c r="F121" s="143">
        <v>22.98</v>
      </c>
      <c r="G121" s="144">
        <f t="shared" ref="G121:G151" si="7">E121-F121</f>
        <v>16.02</v>
      </c>
      <c r="H121" s="176">
        <v>30.39</v>
      </c>
      <c r="I121" s="134"/>
      <c r="J121" s="145" t="str">
        <f t="shared" ref="J121:J151" si="8">B35</f>
        <v>MAPEI UNO GARRAFA 2 KG</v>
      </c>
      <c r="K121" s="155">
        <f>'DETALLE DE VENTAS'!AC260</f>
        <v>8</v>
      </c>
      <c r="L121" s="310">
        <f>'DETALLE DE VENTAS'!V260</f>
        <v>0</v>
      </c>
      <c r="M121" s="176">
        <f t="shared" ref="M121:M151" si="9">K121*L121</f>
        <v>0</v>
      </c>
    </row>
    <row r="122" spans="2:19" x14ac:dyDescent="0.25">
      <c r="B122" s="145" t="str">
        <f t="shared" si="5"/>
        <v>MAPELATEX  CO GARRAFA 0,8 KG</v>
      </c>
      <c r="C122" s="143">
        <f t="shared" si="5"/>
        <v>6</v>
      </c>
      <c r="D122" s="155">
        <v>2</v>
      </c>
      <c r="E122" s="99">
        <f t="shared" si="6"/>
        <v>69</v>
      </c>
      <c r="F122" s="143">
        <v>46.86</v>
      </c>
      <c r="G122" s="144">
        <f t="shared" si="7"/>
        <v>22.14</v>
      </c>
      <c r="H122" s="176">
        <v>18.2</v>
      </c>
      <c r="I122" s="134"/>
      <c r="J122" s="145" t="str">
        <f t="shared" si="8"/>
        <v>MAPELATEX  CO GARRAFA 0,8 KG</v>
      </c>
      <c r="K122" s="155">
        <f>'DETALLE DE VENTAS'!AC261</f>
        <v>10</v>
      </c>
      <c r="L122" s="310">
        <f>'DETALLE DE VENTAS'!V261</f>
        <v>6.56</v>
      </c>
      <c r="M122" s="176">
        <f t="shared" si="9"/>
        <v>65.599999999999994</v>
      </c>
    </row>
    <row r="123" spans="2:19" x14ac:dyDescent="0.25">
      <c r="B123" s="145" t="str">
        <f t="shared" si="5"/>
        <v>MAPELATEX PVA GARRAFA 0,25 KG</v>
      </c>
      <c r="C123" s="143">
        <f t="shared" si="5"/>
        <v>11</v>
      </c>
      <c r="D123" s="155">
        <v>7</v>
      </c>
      <c r="E123" s="99">
        <f t="shared" si="6"/>
        <v>44</v>
      </c>
      <c r="F123" s="143">
        <v>20.9</v>
      </c>
      <c r="G123" s="144">
        <f t="shared" si="7"/>
        <v>23.1</v>
      </c>
      <c r="H123" s="176">
        <v>19.810000000000002</v>
      </c>
      <c r="I123" s="134"/>
      <c r="J123" s="145" t="str">
        <f t="shared" si="8"/>
        <v>MAPELATEX PVA GARRAFA 0,25 KG</v>
      </c>
      <c r="K123" s="155">
        <f>'DETALLE DE VENTAS'!AC262</f>
        <v>7</v>
      </c>
      <c r="L123" s="310">
        <f>'DETALLE DE VENTAS'!V262</f>
        <v>0</v>
      </c>
      <c r="M123" s="176">
        <f t="shared" si="9"/>
        <v>0</v>
      </c>
    </row>
    <row r="124" spans="2:19" x14ac:dyDescent="0.25">
      <c r="B124" s="145" t="str">
        <f t="shared" si="5"/>
        <v>MAPELATEX PVA GARRAFA 1 KG</v>
      </c>
      <c r="C124" s="143">
        <f t="shared" si="5"/>
        <v>3</v>
      </c>
      <c r="D124" s="155">
        <v>2</v>
      </c>
      <c r="E124" s="99">
        <f t="shared" si="6"/>
        <v>25.5</v>
      </c>
      <c r="F124" s="143">
        <v>12.87</v>
      </c>
      <c r="G124" s="144">
        <f t="shared" si="7"/>
        <v>12.63</v>
      </c>
      <c r="H124" s="176">
        <v>13</v>
      </c>
      <c r="I124" s="134"/>
      <c r="J124" s="145" t="str">
        <f t="shared" si="8"/>
        <v>MAPELATEX PVA GARRAFA 1 KG</v>
      </c>
      <c r="K124" s="155">
        <f>'DETALLE DE VENTAS'!AC263</f>
        <v>10</v>
      </c>
      <c r="L124" s="310">
        <f>'DETALLE DE VENTAS'!V263</f>
        <v>3.61</v>
      </c>
      <c r="M124" s="176">
        <f t="shared" si="9"/>
        <v>36.1</v>
      </c>
    </row>
    <row r="125" spans="2:19" x14ac:dyDescent="0.25">
      <c r="B125" s="145" t="str">
        <f t="shared" si="5"/>
        <v>MAPEPLAST WP20 GARRAFA 4,5 KG</v>
      </c>
      <c r="C125" s="143">
        <f t="shared" si="5"/>
        <v>2</v>
      </c>
      <c r="D125" s="155">
        <v>0</v>
      </c>
      <c r="E125" s="99">
        <f t="shared" si="6"/>
        <v>52</v>
      </c>
      <c r="F125" s="143">
        <v>36.119999999999997</v>
      </c>
      <c r="G125" s="144">
        <f t="shared" si="7"/>
        <v>15.880000000000003</v>
      </c>
      <c r="H125" s="176">
        <v>0</v>
      </c>
      <c r="I125" s="134"/>
      <c r="J125" s="145" t="str">
        <f t="shared" si="8"/>
        <v>MAPEPLAST WP20 GARRAFA 4,5 KG</v>
      </c>
      <c r="K125" s="155">
        <f>'DETALLE DE VENTAS'!AC264</f>
        <v>0</v>
      </c>
      <c r="L125" s="310">
        <f>'DETALLE DE VENTAS'!V264</f>
        <v>0</v>
      </c>
      <c r="M125" s="176">
        <f t="shared" si="9"/>
        <v>0</v>
      </c>
    </row>
    <row r="126" spans="2:19" x14ac:dyDescent="0.25">
      <c r="B126" s="145" t="str">
        <f t="shared" si="5"/>
        <v>MAPEBAND EASY H130 ROLLO 10M</v>
      </c>
      <c r="C126" s="143">
        <f t="shared" si="5"/>
        <v>1</v>
      </c>
      <c r="D126" s="155">
        <v>1</v>
      </c>
      <c r="E126" s="99">
        <f t="shared" si="6"/>
        <v>40</v>
      </c>
      <c r="F126" s="143">
        <v>22.95</v>
      </c>
      <c r="G126" s="144">
        <f t="shared" si="7"/>
        <v>17.05</v>
      </c>
      <c r="H126" s="176">
        <v>31.74</v>
      </c>
      <c r="I126" s="134"/>
      <c r="J126" s="145" t="str">
        <f t="shared" si="8"/>
        <v>MAPEBAND EASY H130 ROLLO 10M</v>
      </c>
      <c r="K126" s="155">
        <f>'DETALLE DE VENTAS'!AC265</f>
        <v>0</v>
      </c>
      <c r="L126" s="310">
        <f>'DETALLE DE VENTAS'!V265</f>
        <v>0</v>
      </c>
      <c r="M126" s="176">
        <f t="shared" si="9"/>
        <v>0</v>
      </c>
    </row>
    <row r="127" spans="2:19" x14ac:dyDescent="0.25">
      <c r="B127" s="145" t="str">
        <f t="shared" si="5"/>
        <v>AQUAFLEX TECHO MAXI 5GL BLANCO</v>
      </c>
      <c r="C127" s="143">
        <f t="shared" si="5"/>
        <v>6</v>
      </c>
      <c r="D127" s="155">
        <v>2</v>
      </c>
      <c r="E127" s="99">
        <f t="shared" si="6"/>
        <v>810</v>
      </c>
      <c r="F127" s="143">
        <v>651.84</v>
      </c>
      <c r="G127" s="144">
        <f t="shared" si="7"/>
        <v>158.15999999999997</v>
      </c>
      <c r="H127" s="176">
        <v>242.84</v>
      </c>
      <c r="I127" s="134"/>
      <c r="J127" s="145" t="str">
        <f t="shared" si="8"/>
        <v>AQUAFLEX TECHO MAXI 5GL BLANCO</v>
      </c>
      <c r="K127" s="155">
        <f>'DETALLE DE VENTAS'!AC266</f>
        <v>0</v>
      </c>
      <c r="L127" s="310">
        <f>'DETALLE DE VENTAS'!V266</f>
        <v>103.99</v>
      </c>
      <c r="M127" s="176">
        <f t="shared" si="9"/>
        <v>0</v>
      </c>
    </row>
    <row r="128" spans="2:19" x14ac:dyDescent="0.25">
      <c r="B128" s="145" t="str">
        <f t="shared" si="5"/>
        <v>AQUAFLEX TECHO MAXI GL BLANCO</v>
      </c>
      <c r="C128" s="143">
        <f t="shared" si="5"/>
        <v>0</v>
      </c>
      <c r="D128" s="155">
        <v>10</v>
      </c>
      <c r="E128" s="99">
        <f t="shared" si="6"/>
        <v>0</v>
      </c>
      <c r="F128" s="143">
        <v>0</v>
      </c>
      <c r="G128" s="144">
        <f t="shared" si="7"/>
        <v>0</v>
      </c>
      <c r="H128" s="176">
        <v>273.39999999999998</v>
      </c>
      <c r="I128" s="134"/>
      <c r="J128" s="145" t="str">
        <f t="shared" si="8"/>
        <v>AQUAFLEX TECHO MAXI GL BLANCO</v>
      </c>
      <c r="K128" s="155">
        <f>'DETALLE DE VENTAS'!AC267</f>
        <v>8</v>
      </c>
      <c r="L128" s="310">
        <f>'DETALLE DE VENTAS'!V267</f>
        <v>0</v>
      </c>
      <c r="M128" s="176">
        <f t="shared" si="9"/>
        <v>0</v>
      </c>
    </row>
    <row r="129" spans="2:13" x14ac:dyDescent="0.25">
      <c r="B129" s="145" t="str">
        <f t="shared" si="5"/>
        <v>AQUAFLEX TECHO MAXI 5GL GRIS</v>
      </c>
      <c r="C129" s="143">
        <f t="shared" si="5"/>
        <v>1</v>
      </c>
      <c r="D129" s="155">
        <v>4</v>
      </c>
      <c r="E129" s="99">
        <f t="shared" si="6"/>
        <v>135</v>
      </c>
      <c r="F129" s="143">
        <v>95.86</v>
      </c>
      <c r="G129" s="144">
        <f t="shared" si="7"/>
        <v>39.14</v>
      </c>
      <c r="H129" s="176">
        <v>485.68</v>
      </c>
      <c r="I129" s="134"/>
      <c r="J129" s="145" t="str">
        <f t="shared" si="8"/>
        <v>AQUAFLEX TECHO MAXI 5GL GRIS</v>
      </c>
      <c r="K129" s="155">
        <f>'DETALLE DE VENTAS'!AC268</f>
        <v>5</v>
      </c>
      <c r="L129" s="310">
        <f>'DETALLE DE VENTAS'!V268</f>
        <v>103.99</v>
      </c>
      <c r="M129" s="176">
        <f t="shared" si="9"/>
        <v>519.94999999999993</v>
      </c>
    </row>
    <row r="130" spans="2:13" x14ac:dyDescent="0.25">
      <c r="B130" s="145" t="str">
        <f t="shared" si="5"/>
        <v>AQUAFLEX TECHO MAXI GL GRIS</v>
      </c>
      <c r="C130" s="143">
        <f t="shared" si="5"/>
        <v>0</v>
      </c>
      <c r="D130" s="155">
        <v>8</v>
      </c>
      <c r="E130" s="99">
        <f t="shared" si="6"/>
        <v>0</v>
      </c>
      <c r="F130" s="143">
        <v>0</v>
      </c>
      <c r="G130" s="144">
        <f t="shared" si="7"/>
        <v>0</v>
      </c>
      <c r="H130" s="176">
        <v>218.72</v>
      </c>
      <c r="I130" s="134"/>
      <c r="J130" s="145" t="str">
        <f t="shared" si="8"/>
        <v>AQUAFLEX TECHO MAXI GL GRIS</v>
      </c>
      <c r="K130" s="155">
        <f>'DETALLE DE VENTAS'!AC269</f>
        <v>9</v>
      </c>
      <c r="L130" s="310">
        <f>'DETALLE DE VENTAS'!V269</f>
        <v>0</v>
      </c>
      <c r="M130" s="176">
        <f t="shared" si="9"/>
        <v>0</v>
      </c>
    </row>
    <row r="131" spans="2:13" x14ac:dyDescent="0.25">
      <c r="B131" s="145" t="str">
        <f t="shared" si="5"/>
        <v>AQUAFLEX TECHO MAXI 5GL ROJO</v>
      </c>
      <c r="C131" s="143">
        <f t="shared" si="5"/>
        <v>0</v>
      </c>
      <c r="D131" s="155">
        <v>8</v>
      </c>
      <c r="E131" s="99">
        <f t="shared" si="6"/>
        <v>0</v>
      </c>
      <c r="F131" s="143">
        <v>0</v>
      </c>
      <c r="G131" s="144">
        <f t="shared" si="7"/>
        <v>0</v>
      </c>
      <c r="H131" s="176">
        <v>971.36</v>
      </c>
      <c r="I131" s="134"/>
      <c r="J131" s="145" t="str">
        <f t="shared" si="8"/>
        <v>AQUAFLEX TECHO MAXI 5GL ROJO</v>
      </c>
      <c r="K131" s="155">
        <f>'DETALLE DE VENTAS'!AC270</f>
        <v>6</v>
      </c>
      <c r="L131" s="310">
        <f>'DETALLE DE VENTAS'!V270</f>
        <v>103.99</v>
      </c>
      <c r="M131" s="176">
        <f t="shared" si="9"/>
        <v>623.93999999999994</v>
      </c>
    </row>
    <row r="132" spans="2:13" x14ac:dyDescent="0.25">
      <c r="B132" s="145" t="str">
        <f t="shared" si="5"/>
        <v>AQUAFLEX TECHO MAXI GL ROJO</v>
      </c>
      <c r="C132" s="143">
        <f t="shared" si="5"/>
        <v>0</v>
      </c>
      <c r="D132" s="155">
        <v>4</v>
      </c>
      <c r="E132" s="99">
        <f t="shared" si="6"/>
        <v>0</v>
      </c>
      <c r="F132" s="143">
        <v>0</v>
      </c>
      <c r="G132" s="144">
        <f t="shared" si="7"/>
        <v>0</v>
      </c>
      <c r="H132" s="176">
        <v>109.36</v>
      </c>
      <c r="I132" s="134"/>
      <c r="J132" s="145" t="str">
        <f t="shared" si="8"/>
        <v>AQUAFLEX TECHO MAXI GL ROJO</v>
      </c>
      <c r="K132" s="155">
        <f>'DETALLE DE VENTAS'!AC271</f>
        <v>0</v>
      </c>
      <c r="L132" s="310">
        <f>'DETALLE DE VENTAS'!V271</f>
        <v>0</v>
      </c>
      <c r="M132" s="176">
        <f t="shared" si="9"/>
        <v>0</v>
      </c>
    </row>
    <row r="133" spans="2:13" ht="24" x14ac:dyDescent="0.25">
      <c r="B133" s="145" t="str">
        <f t="shared" si="5"/>
        <v>MAPEFLEX MS CRYSTAL CART 300ML TRANSP</v>
      </c>
      <c r="C133" s="143">
        <f t="shared" si="5"/>
        <v>10</v>
      </c>
      <c r="D133" s="155">
        <v>2</v>
      </c>
      <c r="E133" s="99">
        <f t="shared" si="6"/>
        <v>180</v>
      </c>
      <c r="F133" s="143">
        <v>114</v>
      </c>
      <c r="G133" s="144">
        <f t="shared" si="7"/>
        <v>66</v>
      </c>
      <c r="H133" s="176">
        <v>28.14</v>
      </c>
      <c r="I133" s="134"/>
      <c r="J133" s="145" t="str">
        <f t="shared" si="8"/>
        <v>MAPEFLEX MS CRYSTAL CART 300ML TRANSP</v>
      </c>
      <c r="K133" s="155">
        <f>'DETALLE DE VENTAS'!AC272</f>
        <v>4</v>
      </c>
      <c r="L133" s="310">
        <f>'DETALLE DE VENTAS'!V272</f>
        <v>10.5</v>
      </c>
      <c r="M133" s="176">
        <f t="shared" si="9"/>
        <v>42</v>
      </c>
    </row>
    <row r="134" spans="2:13" ht="24" x14ac:dyDescent="0.25">
      <c r="B134" s="145" t="str">
        <f t="shared" si="5"/>
        <v>MAPEFLEX MS 45 CART 300ML BLANCO</v>
      </c>
      <c r="C134" s="143">
        <f t="shared" si="5"/>
        <v>10</v>
      </c>
      <c r="D134" s="155">
        <v>2</v>
      </c>
      <c r="E134" s="99">
        <f t="shared" si="6"/>
        <v>170</v>
      </c>
      <c r="F134" s="143">
        <v>114</v>
      </c>
      <c r="G134" s="144">
        <f t="shared" si="7"/>
        <v>56</v>
      </c>
      <c r="H134" s="176">
        <v>27.18</v>
      </c>
      <c r="I134" s="134"/>
      <c r="J134" s="145" t="str">
        <f t="shared" si="8"/>
        <v>MAPEFLEX MS 45 CART 300ML BLANCO</v>
      </c>
      <c r="K134" s="155">
        <f>'DETALLE DE VENTAS'!AC273</f>
        <v>2</v>
      </c>
      <c r="L134" s="310">
        <f>'DETALLE DE VENTAS'!V273</f>
        <v>0</v>
      </c>
      <c r="M134" s="176">
        <f t="shared" si="9"/>
        <v>0</v>
      </c>
    </row>
    <row r="135" spans="2:13" x14ac:dyDescent="0.25">
      <c r="B135" s="145" t="str">
        <f t="shared" si="5"/>
        <v>MAPEFLEX MS 45 CART 300ML GRIS</v>
      </c>
      <c r="C135" s="143">
        <f t="shared" si="5"/>
        <v>7</v>
      </c>
      <c r="D135" s="155">
        <v>2</v>
      </c>
      <c r="E135" s="99">
        <f t="shared" si="6"/>
        <v>119</v>
      </c>
      <c r="F135" s="143">
        <v>79.8</v>
      </c>
      <c r="G135" s="144">
        <f t="shared" si="7"/>
        <v>39.200000000000003</v>
      </c>
      <c r="H135" s="176">
        <v>27.18</v>
      </c>
      <c r="I135" s="134"/>
      <c r="J135" s="145" t="str">
        <f t="shared" si="8"/>
        <v>MAPEFLEX MS 45 CART 300ML GRIS</v>
      </c>
      <c r="K135" s="155">
        <f>'DETALLE DE VENTAS'!AC274</f>
        <v>2</v>
      </c>
      <c r="L135" s="310">
        <f>'DETALLE DE VENTAS'!V274</f>
        <v>0</v>
      </c>
      <c r="M135" s="176">
        <f t="shared" si="9"/>
        <v>0</v>
      </c>
    </row>
    <row r="136" spans="2:13" x14ac:dyDescent="0.25">
      <c r="B136" s="145" t="str">
        <f t="shared" si="5"/>
        <v>MAPEFLEX AC4 CART 300ML BLANCO</v>
      </c>
      <c r="C136" s="143">
        <f t="shared" si="5"/>
        <v>5</v>
      </c>
      <c r="D136" s="155">
        <v>2</v>
      </c>
      <c r="E136" s="99">
        <f t="shared" si="6"/>
        <v>35</v>
      </c>
      <c r="F136" s="143">
        <v>20.3</v>
      </c>
      <c r="G136" s="144">
        <f t="shared" si="7"/>
        <v>14.7</v>
      </c>
      <c r="H136" s="176">
        <v>10.88</v>
      </c>
      <c r="I136" s="134"/>
      <c r="J136" s="145" t="str">
        <f t="shared" si="8"/>
        <v>MAPEFLEX AC4 CART 300ML BLANCO</v>
      </c>
      <c r="K136" s="155">
        <f>'DETALLE DE VENTAS'!AC275</f>
        <v>9</v>
      </c>
      <c r="L136" s="310">
        <f>'DETALLE DE VENTAS'!V275</f>
        <v>3.87</v>
      </c>
      <c r="M136" s="176">
        <f t="shared" si="9"/>
        <v>34.83</v>
      </c>
    </row>
    <row r="137" spans="2:13" x14ac:dyDescent="0.25">
      <c r="B137" s="145" t="str">
        <f t="shared" si="5"/>
        <v>MAPESIL U TRANSP CART 280ML</v>
      </c>
      <c r="C137" s="143">
        <f t="shared" si="5"/>
        <v>22</v>
      </c>
      <c r="D137" s="155">
        <v>2</v>
      </c>
      <c r="E137" s="99">
        <f t="shared" si="6"/>
        <v>154</v>
      </c>
      <c r="F137" s="143">
        <v>80.959999999999994</v>
      </c>
      <c r="G137" s="144">
        <f t="shared" si="7"/>
        <v>73.040000000000006</v>
      </c>
      <c r="H137" s="176">
        <v>10.62</v>
      </c>
      <c r="I137" s="134"/>
      <c r="J137" s="145" t="str">
        <f t="shared" si="8"/>
        <v>MAPESIL U TRANSP CART 280ML</v>
      </c>
      <c r="K137" s="155">
        <f>'DETALLE DE VENTAS'!AC276</f>
        <v>-4</v>
      </c>
      <c r="L137" s="310">
        <f>'DETALLE DE VENTAS'!V276</f>
        <v>0</v>
      </c>
      <c r="M137" s="176">
        <f t="shared" si="9"/>
        <v>0</v>
      </c>
    </row>
    <row r="138" spans="2:13" ht="24" x14ac:dyDescent="0.25">
      <c r="B138" s="145" t="str">
        <f t="shared" si="5"/>
        <v>ULTRABOND SUPER GRIP CART 310ML</v>
      </c>
      <c r="C138" s="143">
        <f t="shared" si="5"/>
        <v>10</v>
      </c>
      <c r="D138" s="155">
        <v>2</v>
      </c>
      <c r="E138" s="99">
        <f t="shared" si="6"/>
        <v>90</v>
      </c>
      <c r="F138" s="143">
        <v>53.1</v>
      </c>
      <c r="G138" s="144">
        <f t="shared" si="7"/>
        <v>36.9</v>
      </c>
      <c r="H138" s="213">
        <v>14.18</v>
      </c>
      <c r="I138" s="134"/>
      <c r="J138" s="145" t="str">
        <f t="shared" si="8"/>
        <v>ULTRABOND SUPER GRIP CART 310ML</v>
      </c>
      <c r="K138" s="155">
        <f>'DETALLE DE VENTAS'!AC277</f>
        <v>2</v>
      </c>
      <c r="L138" s="310">
        <f>'DETALLE DE VENTAS'!V277</f>
        <v>0</v>
      </c>
      <c r="M138" s="176">
        <f t="shared" si="9"/>
        <v>0</v>
      </c>
    </row>
    <row r="139" spans="2:13" x14ac:dyDescent="0.25">
      <c r="B139" s="145" t="str">
        <f t="shared" si="5"/>
        <v>MAPEUR UNIV FOAM LATA 500ML</v>
      </c>
      <c r="C139" s="143">
        <f t="shared" si="5"/>
        <v>8</v>
      </c>
      <c r="D139" s="155">
        <v>3</v>
      </c>
      <c r="E139" s="99">
        <f t="shared" si="6"/>
        <v>104</v>
      </c>
      <c r="F139" s="143">
        <v>59.92</v>
      </c>
      <c r="G139" s="144">
        <f t="shared" si="7"/>
        <v>44.08</v>
      </c>
      <c r="H139" s="179">
        <v>30.39</v>
      </c>
      <c r="I139" s="134"/>
      <c r="J139" s="145" t="str">
        <f t="shared" si="8"/>
        <v>MAPEUR UNIV FOAM LATA 500ML</v>
      </c>
      <c r="K139" s="155">
        <f>'DETALLE DE VENTAS'!AC278</f>
        <v>2</v>
      </c>
      <c r="L139" s="310">
        <f>'DETALLE DE VENTAS'!V278</f>
        <v>0</v>
      </c>
      <c r="M139" s="176">
        <f t="shared" si="9"/>
        <v>0</v>
      </c>
    </row>
    <row r="140" spans="2:13" x14ac:dyDescent="0.25">
      <c r="B140" s="145" t="str">
        <f t="shared" si="5"/>
        <v>MAPEUR UNIV FOAM LATA 750ML</v>
      </c>
      <c r="C140" s="143">
        <f t="shared" si="5"/>
        <v>9</v>
      </c>
      <c r="D140" s="155">
        <v>3</v>
      </c>
      <c r="E140" s="99">
        <f t="shared" si="6"/>
        <v>162</v>
      </c>
      <c r="F140" s="143">
        <v>91.98</v>
      </c>
      <c r="G140" s="144">
        <f t="shared" si="7"/>
        <v>70.02</v>
      </c>
      <c r="H140" s="179">
        <v>41.88</v>
      </c>
      <c r="I140" s="134"/>
      <c r="J140" s="145" t="str">
        <f t="shared" si="8"/>
        <v>MAPEUR UNIV FOAM LATA 750ML</v>
      </c>
      <c r="K140" s="155">
        <f>'DETALLE DE VENTAS'!AC279</f>
        <v>2</v>
      </c>
      <c r="L140" s="310">
        <f>'DETALLE DE VENTAS'!V279</f>
        <v>0</v>
      </c>
      <c r="M140" s="176">
        <f t="shared" si="9"/>
        <v>0</v>
      </c>
    </row>
    <row r="141" spans="2:13" ht="24" x14ac:dyDescent="0.25">
      <c r="B141" s="145" t="str">
        <f t="shared" si="5"/>
        <v>EPORIP COMP A+B TARRO 1,5 KG + 0,5 KG</v>
      </c>
      <c r="C141" s="143">
        <f t="shared" si="5"/>
        <v>1</v>
      </c>
      <c r="D141" s="155">
        <v>1</v>
      </c>
      <c r="E141" s="99">
        <f t="shared" si="6"/>
        <v>100</v>
      </c>
      <c r="F141" s="143">
        <v>56.52</v>
      </c>
      <c r="G141" s="144">
        <f t="shared" si="7"/>
        <v>43.48</v>
      </c>
      <c r="H141" s="179">
        <v>80</v>
      </c>
      <c r="I141" s="134"/>
      <c r="J141" s="145" t="str">
        <f t="shared" si="8"/>
        <v>EPORIP COMP A+B TARRO 1,5 KG + 0,5 KG</v>
      </c>
      <c r="K141" s="155">
        <f>'DETALLE DE VENTAS'!AC280</f>
        <v>1</v>
      </c>
      <c r="L141" s="310">
        <f>'DETALLE DE VENTAS'!V280</f>
        <v>0</v>
      </c>
      <c r="M141" s="176">
        <f t="shared" si="9"/>
        <v>0</v>
      </c>
    </row>
    <row r="142" spans="2:13" ht="24" x14ac:dyDescent="0.25">
      <c r="B142" s="145" t="str">
        <f t="shared" si="5"/>
        <v>ADESILEX PG1 COMP A+B TARRO 2KG</v>
      </c>
      <c r="C142" s="143">
        <f t="shared" si="5"/>
        <v>1</v>
      </c>
      <c r="D142" s="155">
        <v>1</v>
      </c>
      <c r="E142" s="99">
        <f t="shared" si="6"/>
        <v>90</v>
      </c>
      <c r="F142" s="143">
        <v>39.340000000000003</v>
      </c>
      <c r="G142" s="144">
        <f t="shared" si="7"/>
        <v>50.66</v>
      </c>
      <c r="H142" s="179">
        <v>71.45</v>
      </c>
      <c r="I142" s="134"/>
      <c r="J142" s="145" t="str">
        <f t="shared" si="8"/>
        <v>ADESILEX PG1 COMP A+B TARRO 2KG</v>
      </c>
      <c r="K142" s="155">
        <f>'DETALLE DE VENTAS'!AC281</f>
        <v>1</v>
      </c>
      <c r="L142" s="310">
        <f>'DETALLE DE VENTAS'!V281</f>
        <v>0</v>
      </c>
      <c r="M142" s="176">
        <f t="shared" si="9"/>
        <v>0</v>
      </c>
    </row>
    <row r="143" spans="2:13" ht="24" x14ac:dyDescent="0.25">
      <c r="B143" s="145" t="str">
        <f t="shared" si="5"/>
        <v>KERACOLOR FF 100 BLANCO BOLSA 2KG</v>
      </c>
      <c r="C143" s="143">
        <f t="shared" si="5"/>
        <v>12</v>
      </c>
      <c r="D143" s="155">
        <v>3</v>
      </c>
      <c r="E143" s="99">
        <f t="shared" si="6"/>
        <v>72</v>
      </c>
      <c r="F143" s="143">
        <v>48</v>
      </c>
      <c r="G143" s="144">
        <f t="shared" si="7"/>
        <v>24</v>
      </c>
      <c r="H143" s="179">
        <v>14.52</v>
      </c>
      <c r="I143" s="134"/>
      <c r="J143" s="145" t="str">
        <f t="shared" si="8"/>
        <v>KERACOLOR FF 100 BLANCO BOLSA 2KG</v>
      </c>
      <c r="K143" s="155">
        <f>'DETALLE DE VENTAS'!AC282</f>
        <v>29</v>
      </c>
      <c r="L143" s="310">
        <f>'DETALLE DE VENTAS'!V282</f>
        <v>6.1</v>
      </c>
      <c r="M143" s="176">
        <f t="shared" si="9"/>
        <v>176.89999999999998</v>
      </c>
    </row>
    <row r="144" spans="2:13" ht="24" x14ac:dyDescent="0.25">
      <c r="B144" s="145" t="str">
        <f t="shared" si="5"/>
        <v>KERACOLOR FF 113 GRIS CEMENTO BOLSA 2KG</v>
      </c>
      <c r="C144" s="143">
        <f t="shared" si="5"/>
        <v>6</v>
      </c>
      <c r="D144" s="155">
        <v>3</v>
      </c>
      <c r="E144" s="99">
        <f t="shared" si="6"/>
        <v>36</v>
      </c>
      <c r="F144" s="143">
        <v>27.6</v>
      </c>
      <c r="G144" s="144">
        <f t="shared" si="7"/>
        <v>8.3999999999999986</v>
      </c>
      <c r="H144" s="179">
        <v>14.52</v>
      </c>
      <c r="I144" s="134"/>
      <c r="J144" s="145" t="str">
        <f t="shared" si="8"/>
        <v>KERACOLOR FF 113 GRIS CEMENTO BOLSA 2KG</v>
      </c>
      <c r="K144" s="155">
        <f>'DETALLE DE VENTAS'!AC283</f>
        <v>4</v>
      </c>
      <c r="L144" s="310">
        <f>'DETALLE DE VENTAS'!V283</f>
        <v>0</v>
      </c>
      <c r="M144" s="176">
        <f t="shared" si="9"/>
        <v>0</v>
      </c>
    </row>
    <row r="145" spans="2:13" ht="24" x14ac:dyDescent="0.25">
      <c r="B145" s="145" t="str">
        <f t="shared" si="5"/>
        <v>KERACOLOR FF 112 GRIS MEDIO BOLSA 5KG</v>
      </c>
      <c r="C145" s="143">
        <f t="shared" si="5"/>
        <v>3</v>
      </c>
      <c r="D145" s="155">
        <v>1</v>
      </c>
      <c r="E145" s="99">
        <f t="shared" si="6"/>
        <v>34.5</v>
      </c>
      <c r="F145" s="143">
        <v>21.81</v>
      </c>
      <c r="G145" s="144">
        <f t="shared" si="7"/>
        <v>12.690000000000001</v>
      </c>
      <c r="H145" s="179">
        <v>9.17</v>
      </c>
      <c r="I145" s="134"/>
      <c r="J145" s="145" t="str">
        <f t="shared" si="8"/>
        <v>KERACOLOR FF 112 GRIS MEDIO BOLSA 5KG</v>
      </c>
      <c r="K145" s="155">
        <f>'DETALLE DE VENTAS'!AC284</f>
        <v>1</v>
      </c>
      <c r="L145" s="310">
        <f>'DETALLE DE VENTAS'!V284</f>
        <v>0</v>
      </c>
      <c r="M145" s="176">
        <f t="shared" si="9"/>
        <v>0</v>
      </c>
    </row>
    <row r="146" spans="2:13" ht="24" x14ac:dyDescent="0.25">
      <c r="B146" s="145" t="str">
        <f t="shared" si="5"/>
        <v>KERACOLOR FF 112 GRIS MEDIO BOLSA 2KG</v>
      </c>
      <c r="C146" s="143">
        <f t="shared" si="5"/>
        <v>6</v>
      </c>
      <c r="D146" s="155">
        <v>2</v>
      </c>
      <c r="E146" s="99">
        <f t="shared" si="6"/>
        <v>36</v>
      </c>
      <c r="F146" s="143">
        <v>29.04</v>
      </c>
      <c r="G146" s="144">
        <f t="shared" si="7"/>
        <v>6.9600000000000009</v>
      </c>
      <c r="H146" s="183">
        <v>9.68</v>
      </c>
      <c r="I146" s="134"/>
      <c r="J146" s="145" t="str">
        <f t="shared" si="8"/>
        <v>KERACOLOR FF 112 GRIS MEDIO BOLSA 2KG</v>
      </c>
      <c r="K146" s="155">
        <f>'DETALLE DE VENTAS'!AC285</f>
        <v>10</v>
      </c>
      <c r="L146" s="310">
        <f>'DETALLE DE VENTAS'!V285</f>
        <v>6.1</v>
      </c>
      <c r="M146" s="176">
        <f t="shared" si="9"/>
        <v>61</v>
      </c>
    </row>
    <row r="147" spans="2:13" ht="24" x14ac:dyDescent="0.25">
      <c r="B147" s="145" t="str">
        <f t="shared" si="5"/>
        <v>KERACOLOR FF 142 MARRON BOLSA 2KG</v>
      </c>
      <c r="C147" s="143">
        <f t="shared" si="5"/>
        <v>2</v>
      </c>
      <c r="D147" s="155">
        <v>3</v>
      </c>
      <c r="E147" s="99">
        <f t="shared" si="6"/>
        <v>12</v>
      </c>
      <c r="F147" s="143">
        <v>6.8</v>
      </c>
      <c r="G147" s="144">
        <f t="shared" si="7"/>
        <v>5.2</v>
      </c>
      <c r="H147" s="178">
        <v>14.52</v>
      </c>
      <c r="I147" s="134"/>
      <c r="J147" s="145" t="str">
        <f t="shared" si="8"/>
        <v>KERACOLOR FF 142 MARRON BOLSA 2KG</v>
      </c>
      <c r="K147" s="155">
        <f>'DETALLE DE VENTAS'!AC286</f>
        <v>3</v>
      </c>
      <c r="L147" s="310">
        <f>'DETALLE DE VENTAS'!V286</f>
        <v>0</v>
      </c>
      <c r="M147" s="176">
        <f t="shared" si="9"/>
        <v>0</v>
      </c>
    </row>
    <row r="148" spans="2:13" ht="24" x14ac:dyDescent="0.25">
      <c r="B148" s="145" t="str">
        <f t="shared" si="5"/>
        <v>KERACOLOR FF 142 MARRON BOLSA 5KG</v>
      </c>
      <c r="C148" s="143">
        <f t="shared" si="5"/>
        <v>3</v>
      </c>
      <c r="D148" s="155">
        <v>1</v>
      </c>
      <c r="E148" s="99">
        <f t="shared" si="6"/>
        <v>34.5</v>
      </c>
      <c r="F148" s="143">
        <v>21.81</v>
      </c>
      <c r="G148" s="144">
        <f t="shared" si="7"/>
        <v>12.690000000000001</v>
      </c>
      <c r="H148" s="178">
        <v>9.17</v>
      </c>
      <c r="I148" s="134"/>
      <c r="J148" s="145" t="str">
        <f t="shared" si="8"/>
        <v>KERACOLOR FF 142 MARRON BOLSA 5KG</v>
      </c>
      <c r="K148" s="155">
        <f>'DETALLE DE VENTAS'!AC287</f>
        <v>1</v>
      </c>
      <c r="L148" s="310">
        <f>'DETALLE DE VENTAS'!V287</f>
        <v>0</v>
      </c>
      <c r="M148" s="176">
        <f t="shared" si="9"/>
        <v>0</v>
      </c>
    </row>
    <row r="149" spans="2:13" ht="24" x14ac:dyDescent="0.25">
      <c r="B149" s="145" t="str">
        <f t="shared" si="5"/>
        <v>KERACOLOR FF 166 FANGO BOLSA 2KG</v>
      </c>
      <c r="C149" s="143">
        <f t="shared" si="5"/>
        <v>3</v>
      </c>
      <c r="D149" s="155">
        <v>2</v>
      </c>
      <c r="E149" s="99">
        <f t="shared" si="6"/>
        <v>18</v>
      </c>
      <c r="F149" s="143">
        <v>10.199999999999999</v>
      </c>
      <c r="G149" s="144">
        <f t="shared" si="7"/>
        <v>7.8000000000000007</v>
      </c>
      <c r="H149" s="178">
        <v>9.68</v>
      </c>
      <c r="I149" s="134"/>
      <c r="J149" s="145" t="str">
        <f t="shared" si="8"/>
        <v>KERACOLOR FF 166 FANGO BOLSA 2KG</v>
      </c>
      <c r="K149" s="155">
        <f>'DETALLE DE VENTAS'!AC288</f>
        <v>2</v>
      </c>
      <c r="L149" s="310">
        <f>'DETALLE DE VENTAS'!V288</f>
        <v>0</v>
      </c>
      <c r="M149" s="176">
        <f t="shared" si="9"/>
        <v>0</v>
      </c>
    </row>
    <row r="150" spans="2:13" ht="24" x14ac:dyDescent="0.25">
      <c r="B150" s="145" t="str">
        <f t="shared" si="5"/>
        <v>KERACOLOR FF 132 BEIGE BOLSA 2KG</v>
      </c>
      <c r="C150" s="143">
        <f t="shared" si="5"/>
        <v>6</v>
      </c>
      <c r="D150" s="155">
        <v>2</v>
      </c>
      <c r="E150" s="99">
        <f t="shared" si="6"/>
        <v>36</v>
      </c>
      <c r="F150" s="143">
        <v>29.04</v>
      </c>
      <c r="G150" s="144">
        <f t="shared" si="7"/>
        <v>6.9600000000000009</v>
      </c>
      <c r="H150" s="178">
        <v>9.68</v>
      </c>
      <c r="I150" s="134"/>
      <c r="J150" s="145" t="str">
        <f t="shared" si="8"/>
        <v>KERACOLOR FF 132 BEIGE BOLSA 2KG</v>
      </c>
      <c r="K150" s="155">
        <f>'DETALLE DE VENTAS'!AC289</f>
        <v>2</v>
      </c>
      <c r="L150" s="310">
        <f>'DETALLE DE VENTAS'!V289</f>
        <v>0</v>
      </c>
      <c r="M150" s="176">
        <f t="shared" si="9"/>
        <v>0</v>
      </c>
    </row>
    <row r="151" spans="2:13" ht="24" x14ac:dyDescent="0.25">
      <c r="B151" s="145" t="str">
        <f t="shared" si="5"/>
        <v>KERACOLOR FF 136 BARRO FANGO BOLSA 5KG</v>
      </c>
      <c r="C151" s="143">
        <f t="shared" si="5"/>
        <v>3</v>
      </c>
      <c r="D151" s="155">
        <v>1</v>
      </c>
      <c r="E151" s="99">
        <f t="shared" si="6"/>
        <v>34.5</v>
      </c>
      <c r="F151" s="143">
        <v>21.81</v>
      </c>
      <c r="G151" s="144">
        <f t="shared" si="7"/>
        <v>12.690000000000001</v>
      </c>
      <c r="H151" s="178">
        <v>9.17</v>
      </c>
      <c r="I151" s="134"/>
      <c r="J151" s="145" t="str">
        <f t="shared" si="8"/>
        <v>KERACOLOR FF 136 BARRO FANGO BOLSA 5KG</v>
      </c>
      <c r="K151" s="155">
        <f>'DETALLE DE VENTAS'!AC290</f>
        <v>1</v>
      </c>
      <c r="L151" s="310">
        <f>'DETALLE DE VENTAS'!V290</f>
        <v>0</v>
      </c>
      <c r="M151" s="176">
        <f t="shared" si="9"/>
        <v>0</v>
      </c>
    </row>
    <row r="152" spans="2:13" x14ac:dyDescent="0.25">
      <c r="B152" s="147"/>
      <c r="C152" s="142"/>
      <c r="D152" s="142"/>
      <c r="E152" s="99">
        <f>SUM(E120:E151)</f>
        <v>2825.5</v>
      </c>
      <c r="F152" s="99">
        <f>SUM(F120:F151)</f>
        <v>1895.0599999999997</v>
      </c>
      <c r="G152" s="156">
        <f>SUM(G120:G151)</f>
        <v>930.44000000000017</v>
      </c>
      <c r="H152" s="99">
        <f>SUM(H120:H151)</f>
        <v>2886.5399999999991</v>
      </c>
      <c r="I152" s="134"/>
      <c r="J152" s="147"/>
      <c r="K152" s="142"/>
      <c r="L152" s="99"/>
      <c r="M152" s="99">
        <f>SUM(M120:M151)</f>
        <v>1670.69</v>
      </c>
    </row>
    <row r="153" spans="2:13" ht="13.15" customHeight="1" x14ac:dyDescent="0.25">
      <c r="B153" s="142"/>
      <c r="C153" s="142"/>
      <c r="D153" s="142"/>
      <c r="E153" s="142"/>
      <c r="F153" s="142"/>
      <c r="G153" s="169">
        <f>G152/F152</f>
        <v>0.49098181587918077</v>
      </c>
      <c r="H153" s="134"/>
      <c r="I153" s="134"/>
    </row>
    <row r="154" spans="2:13" ht="20.45" customHeight="1" x14ac:dyDescent="0.25">
      <c r="B154" s="142"/>
      <c r="C154" s="142"/>
      <c r="D154" s="142"/>
      <c r="E154" s="142"/>
      <c r="F154" s="142"/>
      <c r="G154" s="142"/>
      <c r="H154" s="169"/>
      <c r="I154" s="134"/>
      <c r="J154" s="134"/>
    </row>
    <row r="155" spans="2:13" ht="14.45" customHeight="1" x14ac:dyDescent="0.25">
      <c r="B155" s="142"/>
      <c r="C155" s="142"/>
      <c r="D155" s="142"/>
      <c r="E155" s="142"/>
      <c r="F155" s="142"/>
      <c r="G155" s="142"/>
      <c r="H155" s="169"/>
      <c r="I155" s="134"/>
      <c r="J155" s="134"/>
    </row>
    <row r="156" spans="2:13" x14ac:dyDescent="0.25">
      <c r="B156" s="694" t="s">
        <v>84</v>
      </c>
      <c r="C156" s="694"/>
      <c r="D156" s="694"/>
      <c r="E156" s="694"/>
      <c r="F156" s="694"/>
      <c r="G156" s="694"/>
      <c r="H156" s="694"/>
      <c r="I156" s="268"/>
      <c r="J156" s="134"/>
    </row>
    <row r="157" spans="2:13" ht="24" x14ac:dyDescent="0.25">
      <c r="B157" s="131" t="s">
        <v>2</v>
      </c>
      <c r="C157" s="150" t="s">
        <v>78</v>
      </c>
      <c r="D157" s="150" t="s">
        <v>79</v>
      </c>
      <c r="E157" s="150" t="s">
        <v>92</v>
      </c>
      <c r="F157" s="150" t="s">
        <v>91</v>
      </c>
      <c r="G157" s="157" t="s">
        <v>75</v>
      </c>
      <c r="H157" s="176" t="s">
        <v>102</v>
      </c>
      <c r="I157" s="134"/>
    </row>
    <row r="158" spans="2:13" x14ac:dyDescent="0.25">
      <c r="B158" s="145" t="s">
        <v>83</v>
      </c>
      <c r="C158" s="143">
        <f>C66</f>
        <v>1</v>
      </c>
      <c r="D158" s="155">
        <v>49</v>
      </c>
      <c r="E158" s="140">
        <f>D66</f>
        <v>17</v>
      </c>
      <c r="F158" s="140">
        <v>13</v>
      </c>
      <c r="G158" s="158">
        <f>E158-F158</f>
        <v>4</v>
      </c>
      <c r="H158" s="176">
        <v>637</v>
      </c>
      <c r="I158" s="134"/>
    </row>
    <row r="159" spans="2:13" x14ac:dyDescent="0.25">
      <c r="B159" s="145" t="str">
        <f>B67</f>
        <v>TUBO RECT 2X1 GALV 6MTS</v>
      </c>
      <c r="C159" s="143">
        <f>C67</f>
        <v>0</v>
      </c>
      <c r="D159" s="155">
        <v>25</v>
      </c>
      <c r="E159" s="140">
        <f>D67</f>
        <v>0</v>
      </c>
      <c r="F159" s="140">
        <v>0</v>
      </c>
      <c r="G159" s="158">
        <f>E159-F159</f>
        <v>0</v>
      </c>
      <c r="H159" s="176">
        <v>362.75</v>
      </c>
      <c r="I159" s="134"/>
    </row>
    <row r="160" spans="2:13" x14ac:dyDescent="0.25">
      <c r="B160" s="147"/>
      <c r="C160" s="142"/>
      <c r="D160" s="142"/>
      <c r="E160" s="215">
        <f>SUM(E158:E159)</f>
        <v>17</v>
      </c>
      <c r="F160" s="215">
        <f>SUM(F158:F159)</f>
        <v>13</v>
      </c>
      <c r="G160" s="215">
        <f>SUM(G158:G159)</f>
        <v>4</v>
      </c>
      <c r="H160" s="139">
        <f>SUM(H158:H159)</f>
        <v>999.75</v>
      </c>
      <c r="I160" s="134"/>
    </row>
    <row r="161" spans="2:10" ht="16.149999999999999" customHeight="1" x14ac:dyDescent="0.25">
      <c r="B161" s="142"/>
      <c r="C161" s="142"/>
      <c r="D161" s="142"/>
      <c r="E161" s="142"/>
      <c r="F161" s="142"/>
      <c r="G161" s="169">
        <f>G160/F160</f>
        <v>0.30769230769230771</v>
      </c>
      <c r="H161" s="142"/>
      <c r="I161" s="134"/>
      <c r="J161" s="134"/>
    </row>
    <row r="162" spans="2:10" ht="16.149999999999999" customHeight="1" x14ac:dyDescent="0.25">
      <c r="B162" s="142"/>
      <c r="C162" s="142"/>
      <c r="D162" s="142"/>
      <c r="E162" s="142"/>
      <c r="F162" s="142"/>
      <c r="G162" s="169"/>
      <c r="H162" s="142"/>
      <c r="I162" s="134"/>
      <c r="J162" s="134"/>
    </row>
    <row r="163" spans="2:10" ht="16.149999999999999" customHeight="1" x14ac:dyDescent="0.25">
      <c r="B163" s="694" t="s">
        <v>262</v>
      </c>
      <c r="C163" s="694"/>
      <c r="D163" s="694"/>
      <c r="E163" s="694"/>
      <c r="F163" s="694"/>
      <c r="G163" s="694"/>
      <c r="H163" s="694"/>
      <c r="I163" s="134"/>
      <c r="J163" s="134"/>
    </row>
    <row r="164" spans="2:10" ht="16.149999999999999" customHeight="1" x14ac:dyDescent="0.25">
      <c r="B164" s="131" t="s">
        <v>2</v>
      </c>
      <c r="C164" s="150" t="s">
        <v>78</v>
      </c>
      <c r="D164" s="150" t="s">
        <v>79</v>
      </c>
      <c r="E164" s="150" t="s">
        <v>92</v>
      </c>
      <c r="F164" s="150" t="s">
        <v>91</v>
      </c>
      <c r="G164" s="157" t="s">
        <v>75</v>
      </c>
      <c r="H164" s="176" t="s">
        <v>102</v>
      </c>
      <c r="I164" s="134"/>
      <c r="J164" s="134"/>
    </row>
    <row r="165" spans="2:10" ht="16.149999999999999" customHeight="1" x14ac:dyDescent="0.25">
      <c r="B165" s="145" t="str">
        <f>B68</f>
        <v>MANTO 2.2MM ADHESIVO EDIL</v>
      </c>
      <c r="C165" s="143">
        <f>C68</f>
        <v>3</v>
      </c>
      <c r="D165" s="155">
        <v>0</v>
      </c>
      <c r="E165" s="140">
        <f>D68</f>
        <v>225</v>
      </c>
      <c r="F165" s="140">
        <v>177.69</v>
      </c>
      <c r="G165" s="158">
        <f>E165-F165</f>
        <v>47.31</v>
      </c>
      <c r="H165" s="176">
        <v>0</v>
      </c>
      <c r="I165" s="134"/>
      <c r="J165" s="134"/>
    </row>
    <row r="166" spans="2:10" x14ac:dyDescent="0.25">
      <c r="B166" s="147"/>
      <c r="C166" s="142"/>
      <c r="D166" s="142"/>
      <c r="E166" s="215">
        <f>SUM(E165:E165)</f>
        <v>225</v>
      </c>
      <c r="F166" s="215">
        <f>SUM(F165:F165)</f>
        <v>177.69</v>
      </c>
      <c r="G166" s="215">
        <f>SUM(G165:G165)</f>
        <v>47.31</v>
      </c>
      <c r="H166" s="139">
        <f>SUM(H165:H165)</f>
        <v>0</v>
      </c>
      <c r="I166" s="134"/>
      <c r="J166" s="134"/>
    </row>
    <row r="167" spans="2:10" x14ac:dyDescent="0.25">
      <c r="B167" s="142"/>
      <c r="C167" s="142"/>
      <c r="D167" s="142"/>
      <c r="E167" s="142"/>
      <c r="F167" s="142"/>
      <c r="G167" s="169">
        <f>G166/F166</f>
        <v>0.26625021104170188</v>
      </c>
      <c r="H167" s="142"/>
      <c r="I167" s="134"/>
      <c r="J167" s="134"/>
    </row>
    <row r="168" spans="2:10" ht="14.45" customHeight="1" x14ac:dyDescent="0.25">
      <c r="B168" s="142"/>
      <c r="C168" s="142"/>
      <c r="D168" s="142"/>
      <c r="E168" s="142"/>
      <c r="F168" s="142"/>
      <c r="G168" s="142"/>
      <c r="H168" s="142"/>
      <c r="I168" s="134"/>
      <c r="J168" s="134"/>
    </row>
    <row r="169" spans="2:10" x14ac:dyDescent="0.25">
      <c r="B169" s="698" t="s">
        <v>95</v>
      </c>
      <c r="C169" s="698"/>
      <c r="D169" s="698"/>
      <c r="E169" s="698"/>
      <c r="F169" s="698"/>
      <c r="G169" s="698"/>
      <c r="H169" s="142"/>
      <c r="I169" s="134"/>
      <c r="J169" s="134"/>
    </row>
    <row r="170" spans="2:10" ht="24.75" x14ac:dyDescent="0.25">
      <c r="B170" s="141"/>
      <c r="C170" s="159" t="s">
        <v>92</v>
      </c>
      <c r="D170" s="159" t="s">
        <v>91</v>
      </c>
      <c r="E170" s="159" t="s">
        <v>75</v>
      </c>
      <c r="F170" s="159" t="s">
        <v>96</v>
      </c>
      <c r="G170" s="141" t="s">
        <v>102</v>
      </c>
      <c r="H170" s="142"/>
      <c r="I170" s="134"/>
      <c r="J170" s="134"/>
    </row>
    <row r="171" spans="2:10" x14ac:dyDescent="0.25">
      <c r="B171" s="159" t="s">
        <v>80</v>
      </c>
      <c r="C171" s="159">
        <f>E95</f>
        <v>12057</v>
      </c>
      <c r="D171" s="159">
        <f>F95</f>
        <v>10443.460000000001</v>
      </c>
      <c r="E171" s="159">
        <f>G95</f>
        <v>1613.5399999999997</v>
      </c>
      <c r="F171" s="171">
        <f>G96</f>
        <v>0.15450243501674729</v>
      </c>
      <c r="G171" s="141">
        <f>H95</f>
        <v>11302.453</v>
      </c>
      <c r="H171" s="142"/>
      <c r="I171" s="134"/>
      <c r="J171" s="134"/>
    </row>
    <row r="172" spans="2:10" x14ac:dyDescent="0.25">
      <c r="B172" s="141" t="s">
        <v>81</v>
      </c>
      <c r="C172" s="141">
        <f>E106</f>
        <v>95</v>
      </c>
      <c r="D172" s="141">
        <f>F106</f>
        <v>75</v>
      </c>
      <c r="E172" s="141">
        <f>G106</f>
        <v>20</v>
      </c>
      <c r="F172" s="171">
        <f>G107</f>
        <v>0.26666666666666666</v>
      </c>
      <c r="G172" s="141">
        <f>H106</f>
        <v>1410</v>
      </c>
      <c r="H172" s="142"/>
      <c r="I172" s="134"/>
      <c r="J172" s="134"/>
    </row>
    <row r="173" spans="2:10" x14ac:dyDescent="0.25">
      <c r="B173" s="141" t="s">
        <v>244</v>
      </c>
      <c r="C173" s="141">
        <f>E114</f>
        <v>1100</v>
      </c>
      <c r="D173" s="141">
        <f>F114</f>
        <v>880</v>
      </c>
      <c r="E173" s="141">
        <f>G114</f>
        <v>220</v>
      </c>
      <c r="F173" s="171">
        <f>G115</f>
        <v>0.25</v>
      </c>
      <c r="G173" s="141">
        <f>H114</f>
        <v>320</v>
      </c>
      <c r="H173" s="142"/>
      <c r="I173" s="134"/>
      <c r="J173" s="134"/>
    </row>
    <row r="174" spans="2:10" x14ac:dyDescent="0.25">
      <c r="B174" s="159" t="s">
        <v>82</v>
      </c>
      <c r="C174" s="141">
        <f>E152</f>
        <v>2825.5</v>
      </c>
      <c r="D174" s="141">
        <f>F152</f>
        <v>1895.0599999999997</v>
      </c>
      <c r="E174" s="141">
        <f>G152</f>
        <v>930.44000000000017</v>
      </c>
      <c r="F174" s="171">
        <f>G153</f>
        <v>0.49098181587918077</v>
      </c>
      <c r="G174" s="141">
        <f>H152</f>
        <v>2886.5399999999991</v>
      </c>
      <c r="H174" s="142"/>
      <c r="I174" s="134"/>
      <c r="J174" s="134"/>
    </row>
    <row r="175" spans="2:10" x14ac:dyDescent="0.25">
      <c r="B175" s="141" t="s">
        <v>84</v>
      </c>
      <c r="C175" s="141">
        <f>E160</f>
        <v>17</v>
      </c>
      <c r="D175" s="141">
        <f>F160</f>
        <v>13</v>
      </c>
      <c r="E175" s="141">
        <f>G160</f>
        <v>4</v>
      </c>
      <c r="F175" s="171">
        <f>G161</f>
        <v>0.30769230769230771</v>
      </c>
      <c r="G175" s="141">
        <f>H160</f>
        <v>999.75</v>
      </c>
      <c r="H175" s="142"/>
      <c r="I175" s="134"/>
      <c r="J175" s="134"/>
    </row>
    <row r="176" spans="2:10" x14ac:dyDescent="0.25">
      <c r="B176" s="141" t="s">
        <v>262</v>
      </c>
      <c r="C176" s="141">
        <f>E166</f>
        <v>225</v>
      </c>
      <c r="D176" s="141">
        <f>F166</f>
        <v>177.69</v>
      </c>
      <c r="E176" s="141">
        <f>G166</f>
        <v>47.31</v>
      </c>
      <c r="F176" s="171">
        <f>G167</f>
        <v>0.26625021104170188</v>
      </c>
      <c r="G176" s="141">
        <f>H166</f>
        <v>0</v>
      </c>
      <c r="H176" s="142"/>
      <c r="I176" s="134"/>
      <c r="J176" s="134"/>
    </row>
    <row r="177" spans="2:10" x14ac:dyDescent="0.25">
      <c r="B177" s="160" t="s">
        <v>72</v>
      </c>
      <c r="C177" s="139">
        <f>SUM(C171:C176)</f>
        <v>16319.5</v>
      </c>
      <c r="D177" s="139">
        <f>SUM(D171:D176)</f>
        <v>13484.210000000001</v>
      </c>
      <c r="E177" s="139">
        <f>SUM(E171:E176)</f>
        <v>2835.29</v>
      </c>
      <c r="F177" s="218">
        <f>E177/D177</f>
        <v>0.21026741648194441</v>
      </c>
      <c r="G177" s="139">
        <f>SUM(G171:G176)</f>
        <v>16918.742999999999</v>
      </c>
      <c r="H177" s="142"/>
      <c r="I177" s="134"/>
      <c r="J177" s="134"/>
    </row>
    <row r="178" spans="2:10" x14ac:dyDescent="0.25">
      <c r="B178" s="217" t="s">
        <v>293</v>
      </c>
      <c r="C178" s="142"/>
      <c r="D178" s="142"/>
      <c r="E178" s="142"/>
      <c r="F178" s="142"/>
      <c r="G178" s="142"/>
      <c r="H178" s="142"/>
      <c r="I178" s="134"/>
      <c r="J178" s="134"/>
    </row>
  </sheetData>
  <mergeCells count="68">
    <mergeCell ref="B98:H98"/>
    <mergeCell ref="B110:H110"/>
    <mergeCell ref="B118:H118"/>
    <mergeCell ref="K96:L96"/>
    <mergeCell ref="K97:N97"/>
    <mergeCell ref="J118:M118"/>
    <mergeCell ref="B71:H71"/>
    <mergeCell ref="J71:M71"/>
    <mergeCell ref="L70:P70"/>
    <mergeCell ref="L55:P55"/>
    <mergeCell ref="L56:P56"/>
    <mergeCell ref="L57:P57"/>
    <mergeCell ref="L58:P58"/>
    <mergeCell ref="L59:P59"/>
    <mergeCell ref="L68:P68"/>
    <mergeCell ref="L38:P38"/>
    <mergeCell ref="L39:P39"/>
    <mergeCell ref="L40:P40"/>
    <mergeCell ref="L41:P41"/>
    <mergeCell ref="L54:P54"/>
    <mergeCell ref="L43:P43"/>
    <mergeCell ref="L44:P44"/>
    <mergeCell ref="L45:P45"/>
    <mergeCell ref="L46:P46"/>
    <mergeCell ref="L47:P47"/>
    <mergeCell ref="L48:P48"/>
    <mergeCell ref="L49:P49"/>
    <mergeCell ref="L50:P50"/>
    <mergeCell ref="L51:P51"/>
    <mergeCell ref="L52:P52"/>
    <mergeCell ref="L53:P53"/>
    <mergeCell ref="L33:P33"/>
    <mergeCell ref="L34:P34"/>
    <mergeCell ref="L35:P35"/>
    <mergeCell ref="L36:P36"/>
    <mergeCell ref="L37:P37"/>
    <mergeCell ref="B169:G169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16:P16"/>
    <mergeCell ref="L17:P17"/>
    <mergeCell ref="L30:P30"/>
    <mergeCell ref="L19:P19"/>
    <mergeCell ref="L20:P20"/>
    <mergeCell ref="L21:P21"/>
    <mergeCell ref="B156:H156"/>
    <mergeCell ref="B163:H163"/>
    <mergeCell ref="B1:B2"/>
    <mergeCell ref="C1:D1"/>
    <mergeCell ref="L18:P18"/>
    <mergeCell ref="L22:P22"/>
    <mergeCell ref="L23:P23"/>
    <mergeCell ref="L24:P24"/>
    <mergeCell ref="L25:O25"/>
    <mergeCell ref="L26:O26"/>
    <mergeCell ref="L27:O27"/>
    <mergeCell ref="L28:O28"/>
    <mergeCell ref="L29:P29"/>
    <mergeCell ref="L42:P42"/>
    <mergeCell ref="L31:P31"/>
    <mergeCell ref="L32:P3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27" t="s">
        <v>86</v>
      </c>
      <c r="B1" s="627"/>
      <c r="C1" s="627"/>
      <c r="D1" s="627"/>
      <c r="E1" s="627"/>
      <c r="F1" s="627"/>
      <c r="G1" s="627"/>
      <c r="H1" s="627"/>
      <c r="I1" s="627"/>
      <c r="J1" s="627"/>
      <c r="K1" s="627"/>
      <c r="L1" s="627"/>
      <c r="M1" s="627"/>
      <c r="N1" s="627"/>
      <c r="O1" s="627"/>
      <c r="P1" s="627"/>
      <c r="Q1" s="627"/>
      <c r="R1" s="627"/>
      <c r="S1" s="627"/>
      <c r="T1" s="627"/>
      <c r="U1" s="627"/>
      <c r="V1" s="627"/>
      <c r="W1" s="627"/>
      <c r="X1" s="627"/>
      <c r="Y1" s="627"/>
      <c r="Z1" s="627"/>
      <c r="AA1" s="627"/>
      <c r="AB1" s="627"/>
      <c r="AC1" s="627"/>
      <c r="AD1" s="627"/>
      <c r="AE1" s="627"/>
      <c r="AF1" s="627"/>
      <c r="AG1" s="627"/>
      <c r="AH1" s="627"/>
      <c r="AI1" s="627"/>
      <c r="AJ1" s="627"/>
      <c r="AK1" s="627"/>
      <c r="AL1" s="627"/>
      <c r="AM1" s="627"/>
      <c r="AN1" s="627"/>
      <c r="AO1" s="627"/>
      <c r="AP1" s="627"/>
      <c r="AQ1" s="627"/>
      <c r="AR1" s="627"/>
      <c r="AS1" s="627"/>
      <c r="AT1" s="627"/>
      <c r="AU1" s="627"/>
      <c r="AV1" s="627"/>
      <c r="AW1" s="627"/>
      <c r="AX1" s="627"/>
      <c r="AY1" s="627"/>
      <c r="AZ1" s="627"/>
      <c r="BA1" s="627"/>
      <c r="BB1" s="627"/>
      <c r="BC1" s="627"/>
      <c r="BD1" s="627"/>
      <c r="BE1" s="627"/>
      <c r="BF1" s="627"/>
      <c r="BG1" s="627"/>
      <c r="BH1" s="627"/>
      <c r="BI1" s="627"/>
      <c r="BJ1" s="627"/>
      <c r="BK1" s="627"/>
      <c r="BL1" s="627"/>
      <c r="BM1" s="627"/>
      <c r="BN1" s="627"/>
      <c r="BO1" s="627"/>
      <c r="BP1" s="627"/>
      <c r="BQ1" s="627"/>
      <c r="BR1" s="627"/>
      <c r="BS1" s="627"/>
      <c r="BT1" s="627"/>
      <c r="BU1" s="627"/>
      <c r="BV1" s="627"/>
      <c r="BW1" s="627"/>
      <c r="BX1" s="627"/>
      <c r="BY1" s="627"/>
      <c r="BZ1" s="627"/>
      <c r="CA1" s="627"/>
      <c r="CB1" s="627"/>
      <c r="CC1" s="627"/>
      <c r="CD1" s="627"/>
      <c r="CE1" s="627"/>
      <c r="CF1" s="627"/>
      <c r="CG1" s="627"/>
      <c r="CH1" s="627"/>
      <c r="CI1" s="627"/>
      <c r="CJ1" s="627"/>
      <c r="CK1" s="627"/>
      <c r="CL1" s="627"/>
      <c r="CM1" s="627"/>
      <c r="CN1" s="627"/>
      <c r="CO1" s="627"/>
      <c r="CP1" s="627"/>
      <c r="CQ1" s="627"/>
      <c r="CR1" s="627"/>
      <c r="CS1" s="627"/>
      <c r="CT1" s="627"/>
      <c r="CU1" s="627"/>
      <c r="CV1" s="627"/>
      <c r="CW1" s="627"/>
      <c r="CX1" s="627"/>
      <c r="CY1" s="627"/>
      <c r="CZ1" s="627"/>
      <c r="DA1" s="627"/>
      <c r="DB1" s="627"/>
      <c r="DC1" s="627"/>
      <c r="DD1" s="627"/>
      <c r="DE1" s="627"/>
      <c r="DF1" s="627"/>
      <c r="DG1" s="627"/>
      <c r="DH1" s="627"/>
      <c r="DI1" s="627"/>
      <c r="DJ1" s="627"/>
      <c r="DK1" s="627"/>
      <c r="DL1" s="627"/>
      <c r="DM1" s="627"/>
      <c r="DN1" s="627"/>
      <c r="DO1" s="627"/>
    </row>
    <row r="2" spans="1:236" x14ac:dyDescent="0.25">
      <c r="A2" s="627"/>
      <c r="B2" s="627"/>
      <c r="C2" s="627"/>
      <c r="D2" s="627"/>
      <c r="E2" s="627"/>
      <c r="F2" s="627"/>
      <c r="G2" s="627"/>
      <c r="H2" s="627"/>
      <c r="I2" s="627"/>
      <c r="J2" s="627"/>
      <c r="K2" s="627"/>
      <c r="L2" s="627"/>
      <c r="M2" s="627"/>
      <c r="N2" s="627"/>
      <c r="O2" s="627"/>
      <c r="P2" s="627"/>
      <c r="Q2" s="627"/>
      <c r="R2" s="627"/>
      <c r="S2" s="627"/>
      <c r="T2" s="627"/>
      <c r="U2" s="627"/>
      <c r="V2" s="627"/>
      <c r="W2" s="627"/>
      <c r="X2" s="627"/>
      <c r="Y2" s="627"/>
      <c r="Z2" s="627"/>
      <c r="AA2" s="627"/>
      <c r="AB2" s="627"/>
      <c r="AC2" s="627"/>
      <c r="AD2" s="627"/>
      <c r="AE2" s="627"/>
      <c r="AF2" s="627"/>
      <c r="AG2" s="627"/>
      <c r="AH2" s="627"/>
      <c r="AI2" s="627"/>
      <c r="AJ2" s="627"/>
      <c r="AK2" s="627"/>
      <c r="AL2" s="627"/>
      <c r="AM2" s="627"/>
      <c r="AN2" s="627"/>
      <c r="AO2" s="627"/>
      <c r="AP2" s="627"/>
      <c r="AQ2" s="627"/>
      <c r="AR2" s="627"/>
      <c r="AS2" s="627"/>
      <c r="AT2" s="627"/>
      <c r="AU2" s="627"/>
      <c r="AV2" s="627"/>
      <c r="AW2" s="627"/>
      <c r="AX2" s="627"/>
      <c r="AY2" s="627"/>
      <c r="AZ2" s="627"/>
      <c r="BA2" s="627"/>
      <c r="BB2" s="627"/>
      <c r="BC2" s="627"/>
      <c r="BD2" s="627"/>
      <c r="BE2" s="627"/>
      <c r="BF2" s="627"/>
      <c r="BG2" s="627"/>
      <c r="BH2" s="627"/>
      <c r="BI2" s="627"/>
      <c r="BJ2" s="627"/>
      <c r="BK2" s="627"/>
      <c r="BL2" s="627"/>
      <c r="BM2" s="627"/>
      <c r="BN2" s="627"/>
      <c r="BO2" s="627"/>
      <c r="BP2" s="627"/>
      <c r="BQ2" s="627"/>
      <c r="BR2" s="627"/>
      <c r="BS2" s="627"/>
      <c r="BT2" s="627"/>
      <c r="BU2" s="627"/>
      <c r="BV2" s="627"/>
      <c r="BW2" s="627"/>
      <c r="BX2" s="627"/>
      <c r="BY2" s="627"/>
      <c r="BZ2" s="627"/>
      <c r="CA2" s="627"/>
      <c r="CB2" s="627"/>
      <c r="CC2" s="627"/>
      <c r="CD2" s="627"/>
      <c r="CE2" s="627"/>
      <c r="CF2" s="627"/>
      <c r="CG2" s="627"/>
      <c r="CH2" s="627"/>
      <c r="CI2" s="627"/>
      <c r="CJ2" s="627"/>
      <c r="CK2" s="627"/>
      <c r="CL2" s="627"/>
      <c r="CM2" s="627"/>
      <c r="CN2" s="627"/>
      <c r="CO2" s="627"/>
      <c r="CP2" s="627"/>
      <c r="CQ2" s="627"/>
      <c r="CR2" s="627"/>
      <c r="CS2" s="627"/>
      <c r="CT2" s="627"/>
      <c r="CU2" s="627"/>
      <c r="CV2" s="627"/>
      <c r="CW2" s="627"/>
      <c r="CX2" s="627"/>
      <c r="CY2" s="627"/>
      <c r="CZ2" s="627"/>
      <c r="DA2" s="627"/>
      <c r="DB2" s="627"/>
      <c r="DC2" s="627"/>
      <c r="DD2" s="627"/>
      <c r="DE2" s="627"/>
      <c r="DF2" s="627"/>
      <c r="DG2" s="627"/>
      <c r="DH2" s="627"/>
      <c r="DI2" s="627"/>
      <c r="DJ2" s="627"/>
      <c r="DK2" s="627"/>
      <c r="DL2" s="627"/>
      <c r="DM2" s="627"/>
      <c r="DN2" s="627"/>
      <c r="DO2" s="627"/>
    </row>
    <row r="3" spans="1:236" x14ac:dyDescent="0.25">
      <c r="A3" s="627"/>
      <c r="B3" s="627"/>
      <c r="C3" s="627"/>
      <c r="D3" s="627"/>
      <c r="E3" s="627"/>
      <c r="F3" s="627"/>
      <c r="G3" s="627"/>
      <c r="H3" s="627"/>
      <c r="I3" s="627"/>
      <c r="J3" s="627"/>
      <c r="K3" s="627"/>
      <c r="L3" s="627"/>
      <c r="M3" s="627"/>
      <c r="N3" s="627"/>
      <c r="O3" s="627"/>
      <c r="P3" s="627"/>
      <c r="Q3" s="627"/>
      <c r="R3" s="627"/>
      <c r="S3" s="627"/>
      <c r="T3" s="627"/>
      <c r="U3" s="627"/>
      <c r="V3" s="627"/>
      <c r="W3" s="627"/>
      <c r="X3" s="627"/>
      <c r="Y3" s="627"/>
      <c r="Z3" s="627"/>
      <c r="AA3" s="627"/>
      <c r="AB3" s="627"/>
      <c r="AC3" s="627"/>
      <c r="AD3" s="627"/>
      <c r="AE3" s="627"/>
      <c r="AF3" s="627"/>
      <c r="AG3" s="627"/>
      <c r="AH3" s="627"/>
      <c r="AI3" s="627"/>
      <c r="AJ3" s="627"/>
      <c r="AK3" s="627"/>
      <c r="AL3" s="627"/>
      <c r="AM3" s="627"/>
      <c r="AN3" s="627"/>
      <c r="AO3" s="627"/>
      <c r="AP3" s="627"/>
      <c r="AQ3" s="627"/>
      <c r="AR3" s="627"/>
      <c r="AS3" s="627"/>
      <c r="AT3" s="627"/>
      <c r="AU3" s="627"/>
      <c r="AV3" s="627"/>
      <c r="AW3" s="627"/>
      <c r="AX3" s="627"/>
      <c r="AY3" s="627"/>
      <c r="AZ3" s="627"/>
      <c r="BA3" s="627"/>
      <c r="BB3" s="627"/>
      <c r="BC3" s="627"/>
      <c r="BD3" s="627"/>
      <c r="BE3" s="627"/>
      <c r="BF3" s="627"/>
      <c r="BG3" s="627"/>
      <c r="BH3" s="627"/>
      <c r="BI3" s="627"/>
      <c r="BJ3" s="627"/>
      <c r="BK3" s="627"/>
      <c r="BL3" s="627"/>
      <c r="BM3" s="627"/>
      <c r="BN3" s="627"/>
      <c r="BO3" s="627"/>
      <c r="BP3" s="627"/>
      <c r="BQ3" s="627"/>
      <c r="BR3" s="627"/>
      <c r="BS3" s="627"/>
      <c r="BT3" s="627"/>
      <c r="BU3" s="627"/>
      <c r="BV3" s="627"/>
      <c r="BW3" s="627"/>
      <c r="BX3" s="627"/>
      <c r="BY3" s="627"/>
      <c r="BZ3" s="627"/>
      <c r="CA3" s="627"/>
      <c r="CB3" s="627"/>
      <c r="CC3" s="627"/>
      <c r="CD3" s="627"/>
      <c r="CE3" s="627"/>
      <c r="CF3" s="627"/>
      <c r="CG3" s="627"/>
      <c r="CH3" s="627"/>
      <c r="CI3" s="627"/>
      <c r="CJ3" s="627"/>
      <c r="CK3" s="627"/>
      <c r="CL3" s="627"/>
      <c r="CM3" s="627"/>
      <c r="CN3" s="627"/>
      <c r="CO3" s="627"/>
      <c r="CP3" s="627"/>
      <c r="CQ3" s="627"/>
      <c r="CR3" s="627"/>
      <c r="CS3" s="627"/>
      <c r="CT3" s="627"/>
      <c r="CU3" s="627"/>
      <c r="CV3" s="627"/>
      <c r="CW3" s="627"/>
      <c r="CX3" s="627"/>
      <c r="CY3" s="627"/>
      <c r="CZ3" s="627"/>
      <c r="DA3" s="627"/>
      <c r="DB3" s="627"/>
      <c r="DC3" s="627"/>
      <c r="DD3" s="627"/>
      <c r="DE3" s="627"/>
      <c r="DF3" s="627"/>
      <c r="DG3" s="627"/>
      <c r="DH3" s="627"/>
      <c r="DI3" s="627"/>
      <c r="DJ3" s="627"/>
      <c r="DK3" s="627"/>
      <c r="DL3" s="627"/>
      <c r="DM3" s="627"/>
      <c r="DN3" s="627"/>
      <c r="DO3" s="627"/>
    </row>
    <row r="4" spans="1:236" ht="14.45" customHeight="1" x14ac:dyDescent="0.25">
      <c r="A4" s="58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58"/>
      <c r="B5" s="7"/>
      <c r="C5" s="504"/>
      <c r="D5" s="504"/>
      <c r="E5" s="504"/>
      <c r="F5" s="504"/>
      <c r="G5" s="504"/>
      <c r="H5" s="504"/>
      <c r="I5" s="5"/>
      <c r="J5" s="7"/>
      <c r="K5" s="9"/>
      <c r="L5" s="9"/>
      <c r="M5" s="9"/>
      <c r="N5" s="9"/>
      <c r="O5" s="703"/>
      <c r="P5" s="703"/>
      <c r="Q5" s="703"/>
      <c r="R5" s="703"/>
      <c r="S5" s="703"/>
      <c r="T5" s="703"/>
      <c r="U5" s="703"/>
      <c r="V5" s="7"/>
      <c r="W5" s="9"/>
      <c r="X5" s="9"/>
      <c r="Y5" s="9"/>
      <c r="AA5" s="702"/>
      <c r="AB5" s="703"/>
      <c r="AC5" s="703"/>
      <c r="AD5" s="703"/>
      <c r="AE5" s="703"/>
      <c r="AF5" s="703"/>
      <c r="AG5" s="703"/>
      <c r="AH5" s="7"/>
      <c r="AI5" s="7"/>
      <c r="AJ5" s="7"/>
      <c r="AL5" s="702"/>
      <c r="AM5" s="703"/>
      <c r="AN5" s="703"/>
      <c r="AO5" s="703"/>
      <c r="AP5" s="703"/>
      <c r="AQ5" s="703"/>
      <c r="AR5" s="703"/>
      <c r="AS5" s="7"/>
      <c r="AZ5" s="702"/>
      <c r="BA5" s="703"/>
      <c r="BB5" s="703"/>
      <c r="BC5" s="703"/>
      <c r="BD5" s="703"/>
      <c r="BE5" s="703"/>
      <c r="BF5" s="703"/>
      <c r="BG5" s="7"/>
      <c r="BL5" s="702"/>
      <c r="BM5" s="703"/>
      <c r="BN5" s="703"/>
      <c r="BO5" s="703"/>
      <c r="BP5" s="703"/>
      <c r="BQ5" s="703"/>
      <c r="BR5" s="703"/>
      <c r="BS5" s="7"/>
      <c r="CE5" s="702"/>
      <c r="CF5" s="703"/>
      <c r="CG5" s="703"/>
      <c r="CH5" s="703"/>
      <c r="CI5" s="703"/>
      <c r="CJ5" s="703"/>
      <c r="CK5" s="703"/>
      <c r="CL5" s="7"/>
      <c r="CW5" s="702"/>
      <c r="CX5" s="703"/>
      <c r="CY5" s="703"/>
      <c r="CZ5" s="703"/>
      <c r="DA5" s="703"/>
      <c r="DB5" s="703"/>
      <c r="DC5" s="703"/>
      <c r="DQ5" s="702"/>
      <c r="DR5" s="703"/>
      <c r="DS5" s="703"/>
      <c r="DT5" s="703"/>
      <c r="DU5" s="703"/>
      <c r="DV5" s="703"/>
      <c r="DW5" s="703"/>
      <c r="EK5" s="702"/>
      <c r="EL5" s="703"/>
      <c r="EM5" s="703"/>
      <c r="EN5" s="703"/>
      <c r="EO5" s="703"/>
      <c r="EP5" s="703"/>
      <c r="EQ5" s="703"/>
      <c r="FP5" s="702"/>
      <c r="FQ5" s="703"/>
      <c r="FR5" s="703"/>
      <c r="FS5" s="703"/>
      <c r="FT5" s="703"/>
      <c r="FU5" s="703"/>
      <c r="FV5" s="703"/>
      <c r="GM5" s="702"/>
      <c r="GN5" s="703"/>
      <c r="GO5" s="703"/>
      <c r="GP5" s="703"/>
      <c r="GQ5" s="703"/>
      <c r="GR5" s="703"/>
      <c r="GS5" s="703"/>
      <c r="HH5" s="702"/>
      <c r="HI5" s="703"/>
      <c r="HJ5" s="703"/>
      <c r="HK5" s="703"/>
      <c r="HL5" s="703"/>
      <c r="HM5" s="703"/>
      <c r="HN5" s="703"/>
      <c r="HS5" s="702"/>
      <c r="HT5" s="703"/>
      <c r="HU5" s="703"/>
      <c r="HV5" s="703"/>
      <c r="HW5" s="703"/>
      <c r="HX5" s="703"/>
      <c r="HY5" s="703"/>
    </row>
    <row r="6" spans="1:236" ht="14.45" customHeight="1" x14ac:dyDescent="0.25">
      <c r="A6" s="58"/>
      <c r="B6" s="7"/>
      <c r="C6" s="504"/>
      <c r="D6" s="504"/>
      <c r="E6" s="504"/>
      <c r="F6" s="504"/>
      <c r="G6" s="504"/>
      <c r="H6" s="504"/>
      <c r="I6" s="5"/>
      <c r="J6" s="7"/>
      <c r="K6" s="9"/>
      <c r="L6" s="9"/>
      <c r="M6" s="9"/>
      <c r="N6" s="9"/>
      <c r="O6" s="703"/>
      <c r="P6" s="703"/>
      <c r="Q6" s="703"/>
      <c r="R6" s="703"/>
      <c r="S6" s="703"/>
      <c r="T6" s="703"/>
      <c r="U6" s="703"/>
      <c r="V6" s="7"/>
      <c r="W6" s="9"/>
      <c r="X6" s="9"/>
      <c r="Y6" s="9"/>
      <c r="AA6" s="703"/>
      <c r="AB6" s="703"/>
      <c r="AC6" s="703"/>
      <c r="AD6" s="703"/>
      <c r="AE6" s="703"/>
      <c r="AF6" s="703"/>
      <c r="AG6" s="703"/>
      <c r="AH6" s="7"/>
      <c r="AI6" s="7"/>
      <c r="AJ6" s="7"/>
      <c r="AL6" s="703"/>
      <c r="AM6" s="703"/>
      <c r="AN6" s="703"/>
      <c r="AO6" s="703"/>
      <c r="AP6" s="703"/>
      <c r="AQ6" s="703"/>
      <c r="AR6" s="703"/>
      <c r="AS6" s="7"/>
      <c r="AZ6" s="703"/>
      <c r="BA6" s="703"/>
      <c r="BB6" s="703"/>
      <c r="BC6" s="703"/>
      <c r="BD6" s="703"/>
      <c r="BE6" s="703"/>
      <c r="BF6" s="703"/>
      <c r="BG6" s="7"/>
      <c r="BL6" s="703"/>
      <c r="BM6" s="703"/>
      <c r="BN6" s="703"/>
      <c r="BO6" s="703"/>
      <c r="BP6" s="703"/>
      <c r="BQ6" s="703"/>
      <c r="BR6" s="703"/>
      <c r="BS6" s="7"/>
      <c r="CE6" s="703"/>
      <c r="CF6" s="703"/>
      <c r="CG6" s="703"/>
      <c r="CH6" s="703"/>
      <c r="CI6" s="703"/>
      <c r="CJ6" s="703"/>
      <c r="CK6" s="703"/>
      <c r="CL6" s="7"/>
      <c r="CW6" s="703"/>
      <c r="CX6" s="703"/>
      <c r="CY6" s="703"/>
      <c r="CZ6" s="703"/>
      <c r="DA6" s="703"/>
      <c r="DB6" s="703"/>
      <c r="DC6" s="703"/>
      <c r="DQ6" s="703"/>
      <c r="DR6" s="703"/>
      <c r="DS6" s="703"/>
      <c r="DT6" s="703"/>
      <c r="DU6" s="703"/>
      <c r="DV6" s="703"/>
      <c r="DW6" s="703"/>
      <c r="EK6" s="703"/>
      <c r="EL6" s="703"/>
      <c r="EM6" s="703"/>
      <c r="EN6" s="703"/>
      <c r="EO6" s="703"/>
      <c r="EP6" s="703"/>
      <c r="EQ6" s="703"/>
      <c r="FP6" s="703"/>
      <c r="FQ6" s="703"/>
      <c r="FR6" s="703"/>
      <c r="FS6" s="703"/>
      <c r="FT6" s="703"/>
      <c r="FU6" s="703"/>
      <c r="FV6" s="703"/>
      <c r="GM6" s="703"/>
      <c r="GN6" s="703"/>
      <c r="GO6" s="703"/>
      <c r="GP6" s="703"/>
      <c r="GQ6" s="703"/>
      <c r="GR6" s="703"/>
      <c r="GS6" s="703"/>
      <c r="HH6" s="703"/>
      <c r="HI6" s="703"/>
      <c r="HJ6" s="703"/>
      <c r="HK6" s="703"/>
      <c r="HL6" s="703"/>
      <c r="HM6" s="703"/>
      <c r="HN6" s="703"/>
      <c r="HS6" s="703"/>
      <c r="HT6" s="703"/>
      <c r="HU6" s="703"/>
      <c r="HV6" s="703"/>
      <c r="HW6" s="703"/>
      <c r="HX6" s="703"/>
      <c r="HY6" s="703"/>
    </row>
    <row r="7" spans="1:236" ht="14.45" customHeight="1" x14ac:dyDescent="0.25">
      <c r="A7" s="58"/>
      <c r="B7" s="10"/>
      <c r="C7" s="589" t="s">
        <v>2</v>
      </c>
      <c r="D7" s="589"/>
      <c r="E7" s="589"/>
      <c r="F7" s="589"/>
      <c r="G7" s="589"/>
      <c r="H7" s="246" t="s">
        <v>3</v>
      </c>
      <c r="I7" s="245">
        <v>44782</v>
      </c>
      <c r="J7" s="247">
        <v>44800</v>
      </c>
      <c r="K7" s="242"/>
      <c r="L7" s="18" t="s">
        <v>1</v>
      </c>
      <c r="M7" s="18" t="s">
        <v>72</v>
      </c>
      <c r="N7" s="17"/>
      <c r="R7" s="546"/>
      <c r="S7" s="546"/>
      <c r="T7" s="546"/>
      <c r="U7" s="10"/>
      <c r="V7" s="17"/>
      <c r="W7" s="17"/>
      <c r="X7" s="17"/>
      <c r="Y7" s="17"/>
      <c r="Z7" s="17"/>
      <c r="AA7" s="701"/>
      <c r="AB7" s="701"/>
      <c r="AC7" s="701"/>
      <c r="AD7" s="701"/>
      <c r="AE7" s="701"/>
      <c r="AF7" s="701"/>
      <c r="AG7" s="10"/>
      <c r="AH7" s="17"/>
      <c r="AI7" s="17"/>
      <c r="AJ7" s="17"/>
      <c r="AL7" s="701"/>
      <c r="AM7" s="701"/>
      <c r="AN7" s="701"/>
      <c r="AO7" s="701"/>
      <c r="AP7" s="701"/>
      <c r="AQ7" s="701"/>
      <c r="AR7" s="10"/>
      <c r="AS7" s="17"/>
      <c r="AT7" s="17"/>
      <c r="AU7" s="17"/>
      <c r="AV7" s="17"/>
      <c r="AW7" s="17"/>
      <c r="AX7" s="17"/>
      <c r="AY7" s="17"/>
      <c r="AZ7" s="701"/>
      <c r="BA7" s="701"/>
      <c r="BB7" s="701"/>
      <c r="BC7" s="701"/>
      <c r="BD7" s="701"/>
      <c r="BE7" s="701"/>
      <c r="BF7" s="10"/>
      <c r="BG7" s="17"/>
      <c r="BH7" s="17"/>
      <c r="BI7" s="17"/>
      <c r="BJ7" s="17"/>
      <c r="BK7" s="17"/>
      <c r="BL7" s="701"/>
      <c r="BM7" s="701"/>
      <c r="BN7" s="701"/>
      <c r="BO7" s="701"/>
      <c r="BP7" s="701"/>
      <c r="BQ7" s="701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01"/>
      <c r="CF7" s="701"/>
      <c r="CG7" s="701"/>
      <c r="CH7" s="701"/>
      <c r="CI7" s="701"/>
      <c r="CJ7" s="701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01"/>
      <c r="CX7" s="701"/>
      <c r="CY7" s="701"/>
      <c r="CZ7" s="701"/>
      <c r="DA7" s="701"/>
      <c r="DB7" s="701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01"/>
      <c r="DR7" s="701"/>
      <c r="DS7" s="701"/>
      <c r="DT7" s="701"/>
      <c r="DU7" s="701"/>
      <c r="DV7" s="701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01"/>
      <c r="EL7" s="701"/>
      <c r="EM7" s="701"/>
      <c r="EN7" s="701"/>
      <c r="EO7" s="701"/>
      <c r="EP7" s="701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01"/>
      <c r="FQ7" s="701"/>
      <c r="FR7" s="701"/>
      <c r="FS7" s="701"/>
      <c r="FT7" s="701"/>
      <c r="FU7" s="701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01"/>
      <c r="GN7" s="701"/>
      <c r="GO7" s="701"/>
      <c r="GP7" s="701"/>
      <c r="GQ7" s="701"/>
      <c r="GR7" s="701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01"/>
      <c r="HI7" s="701"/>
      <c r="HJ7" s="701"/>
      <c r="HK7" s="701"/>
      <c r="HL7" s="701"/>
      <c r="HM7" s="701"/>
      <c r="HN7" s="10"/>
      <c r="HO7" s="17"/>
      <c r="HP7" s="17"/>
      <c r="HQ7" s="17"/>
      <c r="HS7" s="701"/>
      <c r="HT7" s="701"/>
      <c r="HU7" s="701"/>
      <c r="HV7" s="701"/>
      <c r="HW7" s="701"/>
      <c r="HX7" s="701"/>
      <c r="HY7" s="10"/>
      <c r="HZ7" s="17"/>
      <c r="IA7" s="17"/>
      <c r="IB7" s="17"/>
    </row>
    <row r="8" spans="1:236" ht="14.45" customHeight="1" x14ac:dyDescent="0.25">
      <c r="A8" s="58"/>
      <c r="B8" s="12"/>
      <c r="C8" s="704" t="s">
        <v>170</v>
      </c>
      <c r="D8" s="704"/>
      <c r="E8" s="704"/>
      <c r="F8" s="704"/>
      <c r="G8" s="704"/>
      <c r="H8" s="203"/>
      <c r="I8" s="13"/>
      <c r="J8" s="13"/>
      <c r="K8" s="13"/>
      <c r="L8" s="19">
        <f>SUM(I8:K8)</f>
        <v>0</v>
      </c>
      <c r="M8" s="19">
        <f>L8*H8</f>
        <v>0</v>
      </c>
      <c r="N8" s="12"/>
      <c r="R8" s="546"/>
      <c r="S8" s="546"/>
      <c r="T8" s="546"/>
      <c r="U8" s="12"/>
      <c r="V8" s="12"/>
      <c r="W8" s="12"/>
      <c r="X8" s="12"/>
      <c r="Y8" s="12"/>
      <c r="Z8" s="6"/>
      <c r="AA8" s="547"/>
      <c r="AB8" s="547"/>
      <c r="AC8" s="547"/>
      <c r="AD8" s="547"/>
      <c r="AE8" s="547"/>
      <c r="AF8" s="10"/>
      <c r="AG8" s="12"/>
      <c r="AH8" s="12"/>
      <c r="AI8" s="12"/>
      <c r="AJ8" s="12"/>
      <c r="AL8" s="547"/>
      <c r="AM8" s="547"/>
      <c r="AN8" s="547"/>
      <c r="AO8" s="547"/>
      <c r="AP8" s="547"/>
      <c r="AQ8" s="547"/>
      <c r="AR8" s="12"/>
      <c r="AS8" s="12"/>
      <c r="AT8" s="12"/>
      <c r="AU8" s="12"/>
      <c r="AV8" s="12"/>
      <c r="AW8" s="12"/>
      <c r="AX8" s="12"/>
      <c r="AY8" s="12"/>
      <c r="AZ8" s="547"/>
      <c r="BA8" s="547"/>
      <c r="BB8" s="547"/>
      <c r="BC8" s="547"/>
      <c r="BD8" s="547"/>
      <c r="BE8" s="547"/>
      <c r="BF8" s="12"/>
      <c r="BG8" s="12"/>
      <c r="BH8" s="12"/>
      <c r="BI8" s="12"/>
      <c r="BJ8" s="12"/>
      <c r="BK8" s="12"/>
      <c r="BL8" s="547"/>
      <c r="BM8" s="547"/>
      <c r="BN8" s="547"/>
      <c r="BO8" s="547"/>
      <c r="BP8" s="547"/>
      <c r="BQ8" s="547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547"/>
      <c r="CF8" s="547"/>
      <c r="CG8" s="547"/>
      <c r="CH8" s="547"/>
      <c r="CI8" s="547"/>
      <c r="CJ8" s="547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547"/>
      <c r="CX8" s="547"/>
      <c r="CY8" s="547"/>
      <c r="CZ8" s="547"/>
      <c r="DA8" s="547"/>
      <c r="DB8" s="547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547"/>
      <c r="DR8" s="547"/>
      <c r="DS8" s="547"/>
      <c r="DT8" s="547"/>
      <c r="DU8" s="547"/>
      <c r="DV8" s="547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547"/>
      <c r="EL8" s="547"/>
      <c r="EM8" s="547"/>
      <c r="EN8" s="547"/>
      <c r="EO8" s="547"/>
      <c r="EP8" s="547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547"/>
      <c r="FQ8" s="547"/>
      <c r="FR8" s="547"/>
      <c r="FS8" s="547"/>
      <c r="FT8" s="547"/>
      <c r="FU8" s="547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547"/>
      <c r="GN8" s="547"/>
      <c r="GO8" s="547"/>
      <c r="GP8" s="547"/>
      <c r="GQ8" s="547"/>
      <c r="GR8" s="547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547"/>
      <c r="HI8" s="547"/>
      <c r="HJ8" s="547"/>
      <c r="HK8" s="547"/>
      <c r="HL8" s="547"/>
      <c r="HM8" s="547"/>
      <c r="HN8" s="12"/>
      <c r="HO8" s="12"/>
      <c r="HP8" s="12"/>
      <c r="HQ8" s="12"/>
      <c r="HS8" s="547"/>
      <c r="HT8" s="547"/>
      <c r="HU8" s="547"/>
      <c r="HV8" s="547"/>
      <c r="HW8" s="547"/>
      <c r="HX8" s="547"/>
      <c r="HY8" s="12"/>
      <c r="HZ8" s="12"/>
      <c r="IA8" s="12"/>
      <c r="IB8" s="12"/>
    </row>
    <row r="9" spans="1:236" ht="14.45" customHeight="1" x14ac:dyDescent="0.25">
      <c r="A9" s="58"/>
      <c r="B9" s="12"/>
      <c r="C9" s="704" t="s">
        <v>171</v>
      </c>
      <c r="D9" s="704"/>
      <c r="E9" s="704"/>
      <c r="F9" s="704"/>
      <c r="G9" s="704"/>
      <c r="H9" s="203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546"/>
      <c r="S9" s="546"/>
      <c r="T9" s="546"/>
      <c r="U9" s="12"/>
      <c r="V9" s="12"/>
      <c r="W9" s="12"/>
      <c r="X9" s="12"/>
      <c r="Y9" s="12"/>
      <c r="Z9" s="6"/>
      <c r="AA9" s="547"/>
      <c r="AB9" s="547"/>
      <c r="AC9" s="547"/>
      <c r="AD9" s="547"/>
      <c r="AE9" s="547"/>
      <c r="AF9" s="547"/>
      <c r="AG9" s="12"/>
      <c r="AH9" s="12"/>
      <c r="AI9" s="12"/>
      <c r="AJ9" s="12"/>
      <c r="AL9" s="547"/>
      <c r="AM9" s="547"/>
      <c r="AN9" s="547"/>
      <c r="AO9" s="547"/>
      <c r="AP9" s="547"/>
      <c r="AQ9" s="547"/>
      <c r="AR9" s="12"/>
      <c r="AS9" s="12"/>
      <c r="AT9" s="12"/>
      <c r="AU9" s="12"/>
      <c r="AV9" s="12"/>
      <c r="AW9" s="12"/>
      <c r="AX9" s="12"/>
      <c r="AY9" s="12"/>
      <c r="AZ9" s="547"/>
      <c r="BA9" s="547"/>
      <c r="BB9" s="547"/>
      <c r="BC9" s="547"/>
      <c r="BD9" s="547"/>
      <c r="BE9" s="547"/>
      <c r="BF9" s="12"/>
      <c r="BG9" s="12"/>
      <c r="BH9" s="12"/>
      <c r="BI9" s="12"/>
      <c r="BJ9" s="12"/>
      <c r="BK9" s="12"/>
      <c r="BL9" s="547"/>
      <c r="BM9" s="547"/>
      <c r="BN9" s="547"/>
      <c r="BO9" s="547"/>
      <c r="BP9" s="547"/>
      <c r="BQ9" s="547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547"/>
      <c r="CF9" s="547"/>
      <c r="CG9" s="547"/>
      <c r="CH9" s="547"/>
      <c r="CI9" s="547"/>
      <c r="CJ9" s="547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547"/>
      <c r="CX9" s="547"/>
      <c r="CY9" s="547"/>
      <c r="CZ9" s="547"/>
      <c r="DA9" s="547"/>
      <c r="DB9" s="547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547"/>
      <c r="DR9" s="547"/>
      <c r="DS9" s="547"/>
      <c r="DT9" s="547"/>
      <c r="DU9" s="547"/>
      <c r="DV9" s="547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547"/>
      <c r="EL9" s="547"/>
      <c r="EM9" s="547"/>
      <c r="EN9" s="547"/>
      <c r="EO9" s="547"/>
      <c r="EP9" s="547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547"/>
      <c r="FQ9" s="547"/>
      <c r="FR9" s="547"/>
      <c r="FS9" s="547"/>
      <c r="FT9" s="547"/>
      <c r="FU9" s="547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547"/>
      <c r="GN9" s="547"/>
      <c r="GO9" s="547"/>
      <c r="GP9" s="547"/>
      <c r="GQ9" s="547"/>
      <c r="GR9" s="547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547"/>
      <c r="HI9" s="547"/>
      <c r="HJ9" s="547"/>
      <c r="HK9" s="547"/>
      <c r="HL9" s="547"/>
      <c r="HM9" s="547"/>
      <c r="HN9" s="12"/>
      <c r="HO9" s="12"/>
      <c r="HP9" s="12"/>
      <c r="HQ9" s="12"/>
      <c r="HS9" s="547"/>
      <c r="HT9" s="547"/>
      <c r="HU9" s="547"/>
      <c r="HV9" s="547"/>
      <c r="HW9" s="547"/>
      <c r="HX9" s="547"/>
      <c r="HY9" s="12"/>
      <c r="HZ9" s="12"/>
      <c r="IA9" s="12"/>
      <c r="IB9" s="12"/>
    </row>
    <row r="10" spans="1:236" ht="14.45" customHeight="1" x14ac:dyDescent="0.25">
      <c r="A10" s="58"/>
      <c r="B10" s="12"/>
      <c r="C10" s="704" t="s">
        <v>173</v>
      </c>
      <c r="D10" s="704"/>
      <c r="E10" s="704"/>
      <c r="F10" s="704"/>
      <c r="G10" s="704"/>
      <c r="H10" s="203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546"/>
      <c r="S10" s="546"/>
      <c r="T10" s="546"/>
      <c r="U10" s="12"/>
      <c r="V10" s="12"/>
      <c r="W10" s="12"/>
      <c r="X10" s="12"/>
      <c r="Y10" s="12"/>
      <c r="Z10" s="6"/>
      <c r="AA10" s="547"/>
      <c r="AB10" s="547"/>
      <c r="AC10" s="547"/>
      <c r="AD10" s="547"/>
      <c r="AE10" s="547"/>
      <c r="AF10" s="547"/>
      <c r="AG10" s="12"/>
      <c r="AH10" s="12"/>
      <c r="AI10" s="12"/>
      <c r="AJ10" s="12"/>
      <c r="AL10" s="547"/>
      <c r="AM10" s="547"/>
      <c r="AN10" s="547"/>
      <c r="AO10" s="547"/>
      <c r="AP10" s="547"/>
      <c r="AQ10" s="547"/>
      <c r="AR10" s="12"/>
      <c r="AS10" s="12"/>
      <c r="AT10" s="12"/>
      <c r="AU10" s="12"/>
      <c r="AV10" s="12"/>
      <c r="AW10" s="12"/>
      <c r="AX10" s="12"/>
      <c r="AY10" s="12"/>
      <c r="AZ10" s="547"/>
      <c r="BA10" s="547"/>
      <c r="BB10" s="547"/>
      <c r="BC10" s="547"/>
      <c r="BD10" s="547"/>
      <c r="BE10" s="547"/>
      <c r="BF10" s="12"/>
      <c r="BG10" s="12"/>
      <c r="BH10" s="12"/>
      <c r="BI10" s="12"/>
      <c r="BJ10" s="12"/>
      <c r="BK10" s="12"/>
      <c r="BL10" s="547"/>
      <c r="BM10" s="547"/>
      <c r="BN10" s="547"/>
      <c r="BO10" s="547"/>
      <c r="BP10" s="547"/>
      <c r="BQ10" s="547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547"/>
      <c r="CF10" s="547"/>
      <c r="CG10" s="547"/>
      <c r="CH10" s="547"/>
      <c r="CI10" s="547"/>
      <c r="CJ10" s="547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547"/>
      <c r="CX10" s="547"/>
      <c r="CY10" s="547"/>
      <c r="CZ10" s="547"/>
      <c r="DA10" s="547"/>
      <c r="DB10" s="547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547"/>
      <c r="DR10" s="547"/>
      <c r="DS10" s="547"/>
      <c r="DT10" s="547"/>
      <c r="DU10" s="547"/>
      <c r="DV10" s="547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547"/>
      <c r="EL10" s="547"/>
      <c r="EM10" s="547"/>
      <c r="EN10" s="547"/>
      <c r="EO10" s="547"/>
      <c r="EP10" s="547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547"/>
      <c r="FQ10" s="547"/>
      <c r="FR10" s="547"/>
      <c r="FS10" s="547"/>
      <c r="FT10" s="547"/>
      <c r="FU10" s="547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547"/>
      <c r="GN10" s="547"/>
      <c r="GO10" s="547"/>
      <c r="GP10" s="547"/>
      <c r="GQ10" s="547"/>
      <c r="GR10" s="547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547"/>
      <c r="HI10" s="547"/>
      <c r="HJ10" s="547"/>
      <c r="HK10" s="547"/>
      <c r="HL10" s="547"/>
      <c r="HM10" s="547"/>
      <c r="HN10" s="12"/>
      <c r="HO10" s="12"/>
      <c r="HP10" s="12"/>
      <c r="HQ10" s="12"/>
      <c r="HS10" s="547"/>
      <c r="HT10" s="547"/>
      <c r="HU10" s="547"/>
      <c r="HV10" s="547"/>
      <c r="HW10" s="547"/>
      <c r="HX10" s="547"/>
      <c r="HY10" s="12"/>
      <c r="HZ10" s="12"/>
      <c r="IA10" s="12"/>
      <c r="IB10" s="12"/>
    </row>
    <row r="11" spans="1:236" ht="14.45" customHeight="1" x14ac:dyDescent="0.25">
      <c r="A11" s="58"/>
      <c r="B11" s="12"/>
      <c r="C11" s="704" t="s">
        <v>172</v>
      </c>
      <c r="D11" s="704"/>
      <c r="E11" s="704"/>
      <c r="F11" s="704"/>
      <c r="G11" s="704"/>
      <c r="H11" s="203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546"/>
      <c r="S11" s="546"/>
      <c r="T11" s="546"/>
      <c r="U11" s="12"/>
      <c r="V11" s="12"/>
      <c r="W11" s="12"/>
      <c r="X11" s="12"/>
      <c r="Y11" s="12"/>
      <c r="Z11" s="6"/>
      <c r="AA11" s="547"/>
      <c r="AB11" s="547"/>
      <c r="AC11" s="547"/>
      <c r="AD11" s="547"/>
      <c r="AE11" s="547"/>
      <c r="AF11" s="547"/>
      <c r="AG11" s="12"/>
      <c r="AH11" s="12"/>
      <c r="AI11" s="12"/>
      <c r="AJ11" s="12"/>
      <c r="AL11" s="547"/>
      <c r="AM11" s="547"/>
      <c r="AN11" s="547"/>
      <c r="AO11" s="547"/>
      <c r="AP11" s="547"/>
      <c r="AQ11" s="547"/>
      <c r="AR11" s="12"/>
      <c r="AS11" s="12"/>
      <c r="AT11" s="12"/>
      <c r="AU11" s="12"/>
      <c r="AV11" s="12"/>
      <c r="AW11" s="12"/>
      <c r="AX11" s="12"/>
      <c r="AY11" s="12"/>
      <c r="AZ11" s="547"/>
      <c r="BA11" s="547"/>
      <c r="BB11" s="547"/>
      <c r="BC11" s="547"/>
      <c r="BD11" s="547"/>
      <c r="BE11" s="547"/>
      <c r="BF11" s="12"/>
      <c r="BG11" s="12"/>
      <c r="BH11" s="12"/>
      <c r="BI11" s="12"/>
      <c r="BJ11" s="12"/>
      <c r="BK11" s="12"/>
      <c r="BL11" s="547"/>
      <c r="BM11" s="547"/>
      <c r="BN11" s="547"/>
      <c r="BO11" s="547"/>
      <c r="BP11" s="547"/>
      <c r="BQ11" s="547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547"/>
      <c r="CF11" s="547"/>
      <c r="CG11" s="547"/>
      <c r="CH11" s="547"/>
      <c r="CI11" s="547"/>
      <c r="CJ11" s="547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547"/>
      <c r="CX11" s="547"/>
      <c r="CY11" s="547"/>
      <c r="CZ11" s="547"/>
      <c r="DA11" s="547"/>
      <c r="DB11" s="547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547"/>
      <c r="DR11" s="547"/>
      <c r="DS11" s="547"/>
      <c r="DT11" s="547"/>
      <c r="DU11" s="547"/>
      <c r="DV11" s="547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547"/>
      <c r="EL11" s="547"/>
      <c r="EM11" s="547"/>
      <c r="EN11" s="547"/>
      <c r="EO11" s="547"/>
      <c r="EP11" s="547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547"/>
      <c r="FQ11" s="547"/>
      <c r="FR11" s="547"/>
      <c r="FS11" s="547"/>
      <c r="FT11" s="547"/>
      <c r="FU11" s="547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547"/>
      <c r="GN11" s="547"/>
      <c r="GO11" s="547"/>
      <c r="GP11" s="547"/>
      <c r="GQ11" s="547"/>
      <c r="GR11" s="547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547"/>
      <c r="HI11" s="547"/>
      <c r="HJ11" s="547"/>
      <c r="HK11" s="547"/>
      <c r="HL11" s="547"/>
      <c r="HM11" s="547"/>
      <c r="HN11" s="12"/>
      <c r="HO11" s="12"/>
      <c r="HP11" s="12"/>
      <c r="HQ11" s="12"/>
      <c r="HS11" s="547"/>
      <c r="HT11" s="547"/>
      <c r="HU11" s="547"/>
      <c r="HV11" s="547"/>
      <c r="HW11" s="547"/>
      <c r="HX11" s="547"/>
      <c r="HY11" s="12"/>
      <c r="HZ11" s="12"/>
      <c r="IA11" s="12"/>
      <c r="IB11" s="12"/>
    </row>
    <row r="12" spans="1:236" ht="14.45" customHeight="1" x14ac:dyDescent="0.25">
      <c r="A12" s="58"/>
      <c r="B12" s="14"/>
      <c r="C12" s="704" t="s">
        <v>174</v>
      </c>
      <c r="D12" s="704"/>
      <c r="E12" s="704"/>
      <c r="F12" s="704"/>
      <c r="G12" s="704"/>
      <c r="H12" s="203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546"/>
      <c r="S12" s="546"/>
      <c r="T12" s="546"/>
      <c r="U12" s="12"/>
      <c r="V12" s="12"/>
      <c r="W12" s="12"/>
      <c r="X12" s="12"/>
      <c r="Y12" s="12"/>
      <c r="Z12" s="6"/>
      <c r="AA12" s="547"/>
      <c r="AB12" s="547"/>
      <c r="AC12" s="547"/>
      <c r="AD12" s="547"/>
      <c r="AE12" s="547"/>
      <c r="AF12" s="547"/>
      <c r="AG12" s="12"/>
      <c r="AH12" s="12"/>
      <c r="AI12" s="12"/>
      <c r="AJ12" s="12"/>
      <c r="AL12" s="547"/>
      <c r="AM12" s="547"/>
      <c r="AN12" s="547"/>
      <c r="AO12" s="547"/>
      <c r="AP12" s="547"/>
      <c r="AQ12" s="547"/>
      <c r="AR12" s="12"/>
      <c r="AS12" s="12"/>
      <c r="AT12" s="12"/>
      <c r="AU12" s="12"/>
      <c r="AV12" s="12"/>
      <c r="AW12" s="12"/>
      <c r="AX12" s="12"/>
      <c r="AY12" s="12"/>
      <c r="AZ12" s="547"/>
      <c r="BA12" s="547"/>
      <c r="BB12" s="547"/>
      <c r="BC12" s="547"/>
      <c r="BD12" s="547"/>
      <c r="BE12" s="547"/>
      <c r="BF12" s="12"/>
      <c r="BG12" s="12"/>
      <c r="BH12" s="12"/>
      <c r="BI12" s="12"/>
      <c r="BJ12" s="12"/>
      <c r="BK12" s="12"/>
      <c r="BL12" s="547"/>
      <c r="BM12" s="547"/>
      <c r="BN12" s="547"/>
      <c r="BO12" s="547"/>
      <c r="BP12" s="547"/>
      <c r="BQ12" s="547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547"/>
      <c r="CF12" s="547"/>
      <c r="CG12" s="547"/>
      <c r="CH12" s="547"/>
      <c r="CI12" s="547"/>
      <c r="CJ12" s="547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547"/>
      <c r="CX12" s="547"/>
      <c r="CY12" s="547"/>
      <c r="CZ12" s="547"/>
      <c r="DA12" s="547"/>
      <c r="DB12" s="547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547"/>
      <c r="DR12" s="547"/>
      <c r="DS12" s="547"/>
      <c r="DT12" s="547"/>
      <c r="DU12" s="547"/>
      <c r="DV12" s="547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547"/>
      <c r="EL12" s="547"/>
      <c r="EM12" s="547"/>
      <c r="EN12" s="547"/>
      <c r="EO12" s="547"/>
      <c r="EP12" s="547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547"/>
      <c r="FQ12" s="547"/>
      <c r="FR12" s="547"/>
      <c r="FS12" s="547"/>
      <c r="FT12" s="547"/>
      <c r="FU12" s="547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547"/>
      <c r="GN12" s="547"/>
      <c r="GO12" s="547"/>
      <c r="GP12" s="547"/>
      <c r="GQ12" s="547"/>
      <c r="GR12" s="547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547"/>
      <c r="HI12" s="547"/>
      <c r="HJ12" s="547"/>
      <c r="HK12" s="547"/>
      <c r="HL12" s="547"/>
      <c r="HM12" s="547"/>
      <c r="HN12" s="12"/>
      <c r="HO12" s="12"/>
      <c r="HP12" s="12"/>
      <c r="HQ12" s="12"/>
      <c r="HS12" s="547"/>
      <c r="HT12" s="547"/>
      <c r="HU12" s="547"/>
      <c r="HV12" s="547"/>
      <c r="HW12" s="547"/>
      <c r="HX12" s="547"/>
      <c r="HY12" s="12"/>
      <c r="HZ12" s="12"/>
      <c r="IA12" s="12"/>
      <c r="IB12" s="12"/>
    </row>
    <row r="13" spans="1:236" ht="14.45" customHeight="1" x14ac:dyDescent="0.25">
      <c r="A13" s="58"/>
      <c r="B13" s="14"/>
      <c r="C13" s="704" t="s">
        <v>175</v>
      </c>
      <c r="D13" s="704"/>
      <c r="E13" s="704"/>
      <c r="F13" s="704"/>
      <c r="G13" s="704"/>
      <c r="H13" s="203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546"/>
      <c r="S13" s="546"/>
      <c r="T13" s="546"/>
      <c r="U13" s="12"/>
      <c r="V13" s="12"/>
      <c r="W13" s="12"/>
      <c r="X13" s="12"/>
      <c r="Y13" s="12"/>
      <c r="Z13" s="6"/>
      <c r="AA13" s="547"/>
      <c r="AB13" s="547"/>
      <c r="AC13" s="547"/>
      <c r="AD13" s="547"/>
      <c r="AE13" s="547"/>
      <c r="AF13" s="547"/>
      <c r="AG13" s="12"/>
      <c r="AH13" s="12"/>
      <c r="AI13" s="12"/>
      <c r="AJ13" s="12"/>
      <c r="AL13" s="547"/>
      <c r="AM13" s="547"/>
      <c r="AN13" s="547"/>
      <c r="AO13" s="547"/>
      <c r="AP13" s="547"/>
      <c r="AQ13" s="547"/>
      <c r="AR13" s="12"/>
      <c r="AS13" s="12"/>
      <c r="AT13" s="12"/>
      <c r="AU13" s="12"/>
      <c r="AV13" s="12"/>
      <c r="AW13" s="12"/>
      <c r="AX13" s="12"/>
      <c r="AY13" s="12"/>
      <c r="AZ13" s="547"/>
      <c r="BA13" s="547"/>
      <c r="BB13" s="547"/>
      <c r="BC13" s="547"/>
      <c r="BD13" s="547"/>
      <c r="BE13" s="547"/>
      <c r="BF13" s="12"/>
      <c r="BG13" s="12"/>
      <c r="BH13" s="12"/>
      <c r="BI13" s="12"/>
      <c r="BJ13" s="12"/>
      <c r="BK13" s="12"/>
      <c r="BL13" s="547"/>
      <c r="BM13" s="547"/>
      <c r="BN13" s="547"/>
      <c r="BO13" s="547"/>
      <c r="BP13" s="547"/>
      <c r="BQ13" s="547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547"/>
      <c r="CF13" s="547"/>
      <c r="CG13" s="547"/>
      <c r="CH13" s="547"/>
      <c r="CI13" s="547"/>
      <c r="CJ13" s="547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547"/>
      <c r="CX13" s="547"/>
      <c r="CY13" s="547"/>
      <c r="CZ13" s="547"/>
      <c r="DA13" s="547"/>
      <c r="DB13" s="547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547"/>
      <c r="DR13" s="547"/>
      <c r="DS13" s="547"/>
      <c r="DT13" s="547"/>
      <c r="DU13" s="547"/>
      <c r="DV13" s="547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547"/>
      <c r="EL13" s="547"/>
      <c r="EM13" s="547"/>
      <c r="EN13" s="547"/>
      <c r="EO13" s="547"/>
      <c r="EP13" s="547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547"/>
      <c r="FQ13" s="547"/>
      <c r="FR13" s="547"/>
      <c r="FS13" s="547"/>
      <c r="FT13" s="547"/>
      <c r="FU13" s="547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547"/>
      <c r="GN13" s="547"/>
      <c r="GO13" s="547"/>
      <c r="GP13" s="547"/>
      <c r="GQ13" s="547"/>
      <c r="GR13" s="547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547"/>
      <c r="HI13" s="547"/>
      <c r="HJ13" s="547"/>
      <c r="HK13" s="547"/>
      <c r="HL13" s="547"/>
      <c r="HM13" s="547"/>
      <c r="HN13" s="12"/>
      <c r="HO13" s="12"/>
      <c r="HP13" s="12"/>
      <c r="HQ13" s="12"/>
      <c r="HS13" s="547"/>
      <c r="HT13" s="547"/>
      <c r="HU13" s="547"/>
      <c r="HV13" s="547"/>
      <c r="HW13" s="547"/>
      <c r="HX13" s="547"/>
      <c r="HY13" s="12"/>
      <c r="HZ13" s="12"/>
      <c r="IA13" s="12"/>
      <c r="IB13" s="12"/>
    </row>
    <row r="14" spans="1:236" ht="14.45" customHeight="1" x14ac:dyDescent="0.25">
      <c r="A14" s="58"/>
      <c r="B14" s="14"/>
      <c r="C14" s="704" t="s">
        <v>178</v>
      </c>
      <c r="D14" s="704"/>
      <c r="E14" s="704"/>
      <c r="F14" s="704"/>
      <c r="G14" s="704"/>
      <c r="H14" s="203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546"/>
      <c r="S14" s="546"/>
      <c r="T14" s="546"/>
      <c r="U14" s="12"/>
      <c r="V14" s="12"/>
      <c r="W14" s="12"/>
      <c r="X14" s="12"/>
      <c r="Y14" s="12"/>
      <c r="Z14" s="6"/>
      <c r="AA14" s="547"/>
      <c r="AB14" s="547"/>
      <c r="AC14" s="547"/>
      <c r="AD14" s="547"/>
      <c r="AE14" s="547"/>
      <c r="AF14" s="547"/>
      <c r="AG14" s="12"/>
      <c r="AH14" s="12"/>
      <c r="AI14" s="12"/>
      <c r="AJ14" s="12"/>
      <c r="AL14" s="547"/>
      <c r="AM14" s="547"/>
      <c r="AN14" s="547"/>
      <c r="AO14" s="547"/>
      <c r="AP14" s="547"/>
      <c r="AQ14" s="547"/>
      <c r="AR14" s="12"/>
      <c r="AS14" s="12"/>
      <c r="AT14" s="12"/>
      <c r="AU14" s="12"/>
      <c r="AV14" s="12"/>
      <c r="AW14" s="12"/>
      <c r="AX14" s="12"/>
      <c r="AY14" s="12"/>
      <c r="AZ14" s="547"/>
      <c r="BA14" s="547"/>
      <c r="BB14" s="547"/>
      <c r="BC14" s="547"/>
      <c r="BD14" s="547"/>
      <c r="BE14" s="547"/>
      <c r="BF14" s="12"/>
      <c r="BG14" s="12"/>
      <c r="BH14" s="12"/>
      <c r="BI14" s="12"/>
      <c r="BJ14" s="12"/>
      <c r="BK14" s="12"/>
      <c r="BL14" s="547"/>
      <c r="BM14" s="547"/>
      <c r="BN14" s="547"/>
      <c r="BO14" s="547"/>
      <c r="BP14" s="547"/>
      <c r="BQ14" s="547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547"/>
      <c r="CF14" s="547"/>
      <c r="CG14" s="547"/>
      <c r="CH14" s="547"/>
      <c r="CI14" s="547"/>
      <c r="CJ14" s="547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547"/>
      <c r="CX14" s="547"/>
      <c r="CY14" s="547"/>
      <c r="CZ14" s="547"/>
      <c r="DA14" s="547"/>
      <c r="DB14" s="547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547"/>
      <c r="DR14" s="547"/>
      <c r="DS14" s="547"/>
      <c r="DT14" s="547"/>
      <c r="DU14" s="547"/>
      <c r="DV14" s="547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547"/>
      <c r="EL14" s="547"/>
      <c r="EM14" s="547"/>
      <c r="EN14" s="547"/>
      <c r="EO14" s="547"/>
      <c r="EP14" s="547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547"/>
      <c r="FQ14" s="547"/>
      <c r="FR14" s="547"/>
      <c r="FS14" s="547"/>
      <c r="FT14" s="547"/>
      <c r="FU14" s="547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547"/>
      <c r="GN14" s="547"/>
      <c r="GO14" s="547"/>
      <c r="GP14" s="547"/>
      <c r="GQ14" s="547"/>
      <c r="GR14" s="547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547"/>
      <c r="HI14" s="547"/>
      <c r="HJ14" s="547"/>
      <c r="HK14" s="547"/>
      <c r="HL14" s="547"/>
      <c r="HM14" s="547"/>
      <c r="HN14" s="12"/>
      <c r="HO14" s="12"/>
      <c r="HP14" s="12"/>
      <c r="HQ14" s="12"/>
      <c r="HS14" s="547"/>
      <c r="HT14" s="547"/>
      <c r="HU14" s="547"/>
      <c r="HV14" s="547"/>
      <c r="HW14" s="547"/>
      <c r="HX14" s="547"/>
      <c r="HY14" s="12"/>
      <c r="HZ14" s="12"/>
      <c r="IA14" s="12"/>
      <c r="IB14" s="12"/>
    </row>
    <row r="15" spans="1:236" ht="14.45" customHeight="1" x14ac:dyDescent="0.25">
      <c r="A15" s="58"/>
      <c r="B15" s="14"/>
      <c r="C15" s="704" t="s">
        <v>179</v>
      </c>
      <c r="D15" s="704"/>
      <c r="E15" s="704"/>
      <c r="F15" s="704"/>
      <c r="G15" s="704"/>
      <c r="H15" s="203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546"/>
      <c r="S15" s="546"/>
      <c r="T15" s="546"/>
      <c r="U15" s="12"/>
      <c r="V15" s="12"/>
      <c r="W15" s="12"/>
      <c r="X15" s="12"/>
      <c r="Y15" s="12"/>
      <c r="Z15" s="6"/>
      <c r="AA15" s="547"/>
      <c r="AB15" s="547"/>
      <c r="AC15" s="547"/>
      <c r="AD15" s="547"/>
      <c r="AE15" s="547"/>
      <c r="AF15" s="547"/>
      <c r="AG15" s="12"/>
      <c r="AH15" s="12"/>
      <c r="AI15" s="12"/>
      <c r="AJ15" s="12"/>
      <c r="AL15" s="547"/>
      <c r="AM15" s="547"/>
      <c r="AN15" s="547"/>
      <c r="AO15" s="547"/>
      <c r="AP15" s="547"/>
      <c r="AQ15" s="547"/>
      <c r="AR15" s="12"/>
      <c r="AS15" s="12"/>
      <c r="AT15" s="12"/>
      <c r="AU15" s="12"/>
      <c r="AV15" s="12"/>
      <c r="AW15" s="12"/>
      <c r="AX15" s="12"/>
      <c r="AY15" s="12"/>
      <c r="AZ15" s="547"/>
      <c r="BA15" s="547"/>
      <c r="BB15" s="547"/>
      <c r="BC15" s="547"/>
      <c r="BD15" s="547"/>
      <c r="BE15" s="547"/>
      <c r="BF15" s="12"/>
      <c r="BG15" s="12"/>
      <c r="BH15" s="12"/>
      <c r="BI15" s="12"/>
      <c r="BJ15" s="12"/>
      <c r="BK15" s="12"/>
      <c r="BL15" s="547"/>
      <c r="BM15" s="547"/>
      <c r="BN15" s="547"/>
      <c r="BO15" s="547"/>
      <c r="BP15" s="547"/>
      <c r="BQ15" s="547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547"/>
      <c r="CF15" s="547"/>
      <c r="CG15" s="547"/>
      <c r="CH15" s="547"/>
      <c r="CI15" s="547"/>
      <c r="CJ15" s="547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547"/>
      <c r="CX15" s="547"/>
      <c r="CY15" s="547"/>
      <c r="CZ15" s="547"/>
      <c r="DA15" s="547"/>
      <c r="DB15" s="547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547"/>
      <c r="DR15" s="547"/>
      <c r="DS15" s="547"/>
      <c r="DT15" s="547"/>
      <c r="DU15" s="547"/>
      <c r="DV15" s="547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547"/>
      <c r="EL15" s="547"/>
      <c r="EM15" s="547"/>
      <c r="EN15" s="547"/>
      <c r="EO15" s="547"/>
      <c r="EP15" s="547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547"/>
      <c r="FQ15" s="547"/>
      <c r="FR15" s="547"/>
      <c r="FS15" s="547"/>
      <c r="FT15" s="547"/>
      <c r="FU15" s="547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547"/>
      <c r="GN15" s="547"/>
      <c r="GO15" s="547"/>
      <c r="GP15" s="547"/>
      <c r="GQ15" s="547"/>
      <c r="GR15" s="547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547"/>
      <c r="HI15" s="547"/>
      <c r="HJ15" s="547"/>
      <c r="HK15" s="547"/>
      <c r="HL15" s="547"/>
      <c r="HM15" s="547"/>
      <c r="HN15" s="12"/>
      <c r="HO15" s="12"/>
      <c r="HP15" s="12"/>
      <c r="HQ15" s="12"/>
      <c r="HS15" s="547"/>
      <c r="HT15" s="547"/>
      <c r="HU15" s="547"/>
      <c r="HV15" s="547"/>
      <c r="HW15" s="547"/>
      <c r="HX15" s="547"/>
      <c r="HY15" s="12"/>
      <c r="HZ15" s="12"/>
      <c r="IA15" s="12"/>
      <c r="IB15" s="12"/>
    </row>
    <row r="16" spans="1:236" ht="14.45" customHeight="1" x14ac:dyDescent="0.25">
      <c r="A16" s="58"/>
      <c r="B16" s="14"/>
      <c r="C16" s="704" t="s">
        <v>180</v>
      </c>
      <c r="D16" s="704"/>
      <c r="E16" s="704"/>
      <c r="F16" s="704"/>
      <c r="G16" s="704"/>
      <c r="H16" s="203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546"/>
      <c r="S16" s="546"/>
      <c r="T16" s="546"/>
      <c r="U16" s="12"/>
      <c r="V16" s="12"/>
      <c r="W16" s="12"/>
      <c r="X16" s="12"/>
      <c r="Y16" s="12"/>
      <c r="Z16" s="6"/>
      <c r="AA16" s="547"/>
      <c r="AB16" s="547"/>
      <c r="AC16" s="547"/>
      <c r="AD16" s="547"/>
      <c r="AE16" s="547"/>
      <c r="AF16" s="547"/>
      <c r="AG16" s="12"/>
      <c r="AH16" s="12"/>
      <c r="AI16" s="12"/>
      <c r="AJ16" s="12"/>
      <c r="AL16" s="547"/>
      <c r="AM16" s="547"/>
      <c r="AN16" s="547"/>
      <c r="AO16" s="547"/>
      <c r="AP16" s="547"/>
      <c r="AQ16" s="547"/>
      <c r="AR16" s="12"/>
      <c r="AS16" s="12"/>
      <c r="AT16" s="12"/>
      <c r="AU16" s="12"/>
      <c r="AV16" s="12"/>
      <c r="AW16" s="12"/>
      <c r="AX16" s="12"/>
      <c r="AY16" s="12"/>
      <c r="AZ16" s="547"/>
      <c r="BA16" s="547"/>
      <c r="BB16" s="547"/>
      <c r="BC16" s="547"/>
      <c r="BD16" s="547"/>
      <c r="BE16" s="547"/>
      <c r="BF16" s="12"/>
      <c r="BG16" s="12"/>
      <c r="BH16" s="12"/>
      <c r="BI16" s="12"/>
      <c r="BJ16" s="12"/>
      <c r="BK16" s="12"/>
      <c r="BL16" s="547"/>
      <c r="BM16" s="547"/>
      <c r="BN16" s="547"/>
      <c r="BO16" s="547"/>
      <c r="BP16" s="547"/>
      <c r="BQ16" s="547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547"/>
      <c r="CF16" s="547"/>
      <c r="CG16" s="547"/>
      <c r="CH16" s="547"/>
      <c r="CI16" s="547"/>
      <c r="CJ16" s="547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547"/>
      <c r="CX16" s="547"/>
      <c r="CY16" s="547"/>
      <c r="CZ16" s="547"/>
      <c r="DA16" s="547"/>
      <c r="DB16" s="547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547"/>
      <c r="DR16" s="547"/>
      <c r="DS16" s="547"/>
      <c r="DT16" s="547"/>
      <c r="DU16" s="547"/>
      <c r="DV16" s="547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547"/>
      <c r="EL16" s="547"/>
      <c r="EM16" s="547"/>
      <c r="EN16" s="547"/>
      <c r="EO16" s="547"/>
      <c r="EP16" s="547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547"/>
      <c r="FQ16" s="547"/>
      <c r="FR16" s="547"/>
      <c r="FS16" s="547"/>
      <c r="FT16" s="547"/>
      <c r="FU16" s="547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547"/>
      <c r="GN16" s="547"/>
      <c r="GO16" s="547"/>
      <c r="GP16" s="547"/>
      <c r="GQ16" s="547"/>
      <c r="GR16" s="547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547"/>
      <c r="HI16" s="547"/>
      <c r="HJ16" s="547"/>
      <c r="HK16" s="547"/>
      <c r="HL16" s="547"/>
      <c r="HM16" s="547"/>
      <c r="HN16" s="12"/>
      <c r="HO16" s="12"/>
      <c r="HP16" s="12"/>
      <c r="HQ16" s="12"/>
      <c r="HS16" s="547"/>
      <c r="HT16" s="547"/>
      <c r="HU16" s="547"/>
      <c r="HV16" s="547"/>
      <c r="HW16" s="547"/>
      <c r="HX16" s="547"/>
      <c r="HY16" s="12"/>
      <c r="HZ16" s="12"/>
      <c r="IA16" s="12"/>
      <c r="IB16" s="12"/>
    </row>
    <row r="17" spans="1:236" ht="14.45" customHeight="1" x14ac:dyDescent="0.25">
      <c r="A17" s="58"/>
      <c r="B17" s="14"/>
      <c r="C17" s="704" t="s">
        <v>181</v>
      </c>
      <c r="D17" s="704"/>
      <c r="E17" s="704"/>
      <c r="F17" s="704"/>
      <c r="G17" s="704"/>
      <c r="H17" s="203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546"/>
      <c r="S17" s="546"/>
      <c r="T17" s="546"/>
      <c r="U17" s="12"/>
      <c r="V17" s="12"/>
      <c r="W17" s="12"/>
      <c r="X17" s="12"/>
      <c r="Y17" s="12"/>
      <c r="Z17" s="6"/>
      <c r="AA17" s="547"/>
      <c r="AB17" s="547"/>
      <c r="AC17" s="547"/>
      <c r="AD17" s="547"/>
      <c r="AE17" s="547"/>
      <c r="AF17" s="547"/>
      <c r="AG17" s="12"/>
      <c r="AH17" s="12"/>
      <c r="AI17" s="12"/>
      <c r="AJ17" s="12"/>
      <c r="AL17" s="547"/>
      <c r="AM17" s="547"/>
      <c r="AN17" s="547"/>
      <c r="AO17" s="547"/>
      <c r="AP17" s="547"/>
      <c r="AQ17" s="547"/>
      <c r="AR17" s="12"/>
      <c r="AS17" s="12"/>
      <c r="AT17" s="12"/>
      <c r="AU17" s="12"/>
      <c r="AV17" s="12"/>
      <c r="AW17" s="12"/>
      <c r="AX17" s="12"/>
      <c r="AY17" s="12"/>
      <c r="AZ17" s="547"/>
      <c r="BA17" s="547"/>
      <c r="BB17" s="547"/>
      <c r="BC17" s="547"/>
      <c r="BD17" s="547"/>
      <c r="BE17" s="547"/>
      <c r="BF17" s="12"/>
      <c r="BG17" s="12"/>
      <c r="BH17" s="12"/>
      <c r="BI17" s="12"/>
      <c r="BJ17" s="12"/>
      <c r="BK17" s="12"/>
      <c r="BL17" s="547"/>
      <c r="BM17" s="547"/>
      <c r="BN17" s="547"/>
      <c r="BO17" s="547"/>
      <c r="BP17" s="547"/>
      <c r="BQ17" s="547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547"/>
      <c r="CF17" s="547"/>
      <c r="CG17" s="547"/>
      <c r="CH17" s="547"/>
      <c r="CI17" s="547"/>
      <c r="CJ17" s="547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547"/>
      <c r="CX17" s="547"/>
      <c r="CY17" s="547"/>
      <c r="CZ17" s="547"/>
      <c r="DA17" s="547"/>
      <c r="DB17" s="547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547"/>
      <c r="DR17" s="547"/>
      <c r="DS17" s="547"/>
      <c r="DT17" s="547"/>
      <c r="DU17" s="547"/>
      <c r="DV17" s="547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547"/>
      <c r="EL17" s="547"/>
      <c r="EM17" s="547"/>
      <c r="EN17" s="547"/>
      <c r="EO17" s="547"/>
      <c r="EP17" s="547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547"/>
      <c r="FQ17" s="547"/>
      <c r="FR17" s="547"/>
      <c r="FS17" s="547"/>
      <c r="FT17" s="547"/>
      <c r="FU17" s="547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547"/>
      <c r="GN17" s="547"/>
      <c r="GO17" s="547"/>
      <c r="GP17" s="547"/>
      <c r="GQ17" s="547"/>
      <c r="GR17" s="547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547"/>
      <c r="HI17" s="547"/>
      <c r="HJ17" s="547"/>
      <c r="HK17" s="547"/>
      <c r="HL17" s="547"/>
      <c r="HM17" s="547"/>
      <c r="HN17" s="12"/>
      <c r="HO17" s="12"/>
      <c r="HP17" s="12"/>
      <c r="HQ17" s="12"/>
      <c r="HS17" s="547"/>
      <c r="HT17" s="547"/>
      <c r="HU17" s="547"/>
      <c r="HV17" s="547"/>
      <c r="HW17" s="547"/>
      <c r="HX17" s="547"/>
      <c r="HY17" s="12"/>
      <c r="HZ17" s="12"/>
      <c r="IA17" s="12"/>
      <c r="IB17" s="12"/>
    </row>
    <row r="18" spans="1:236" ht="14.45" customHeight="1" x14ac:dyDescent="0.25">
      <c r="A18" s="58"/>
      <c r="B18" s="14"/>
      <c r="C18" s="704" t="s">
        <v>190</v>
      </c>
      <c r="D18" s="704"/>
      <c r="E18" s="704"/>
      <c r="F18" s="704"/>
      <c r="G18" s="704"/>
      <c r="H18" s="203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546"/>
      <c r="S18" s="546"/>
      <c r="T18" s="546"/>
      <c r="U18" s="12"/>
      <c r="V18" s="12"/>
      <c r="W18" s="12"/>
      <c r="X18" s="12"/>
      <c r="Y18" s="12"/>
      <c r="Z18" s="6"/>
      <c r="AA18" s="547"/>
      <c r="AB18" s="547"/>
      <c r="AC18" s="547"/>
      <c r="AD18" s="547"/>
      <c r="AE18" s="547"/>
      <c r="AF18" s="547"/>
      <c r="AG18" s="12"/>
      <c r="AH18" s="12"/>
      <c r="AI18" s="12"/>
      <c r="AJ18" s="12"/>
      <c r="AL18" s="547"/>
      <c r="AM18" s="547"/>
      <c r="AN18" s="547"/>
      <c r="AO18" s="547"/>
      <c r="AP18" s="547"/>
      <c r="AQ18" s="547"/>
      <c r="AR18" s="12"/>
      <c r="AS18" s="12"/>
      <c r="AT18" s="12"/>
      <c r="AU18" s="12"/>
      <c r="AV18" s="12"/>
      <c r="AW18" s="12"/>
      <c r="AX18" s="12"/>
      <c r="AY18" s="12"/>
      <c r="AZ18" s="547"/>
      <c r="BA18" s="547"/>
      <c r="BB18" s="547"/>
      <c r="BC18" s="547"/>
      <c r="BD18" s="547"/>
      <c r="BE18" s="547"/>
      <c r="BF18" s="12"/>
      <c r="BG18" s="12"/>
      <c r="BH18" s="12"/>
      <c r="BI18" s="12"/>
      <c r="BJ18" s="12"/>
      <c r="BK18" s="12"/>
      <c r="BL18" s="547"/>
      <c r="BM18" s="547"/>
      <c r="BN18" s="547"/>
      <c r="BO18" s="547"/>
      <c r="BP18" s="547"/>
      <c r="BQ18" s="547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547"/>
      <c r="CF18" s="547"/>
      <c r="CG18" s="547"/>
      <c r="CH18" s="547"/>
      <c r="CI18" s="547"/>
      <c r="CJ18" s="547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547"/>
      <c r="CX18" s="547"/>
      <c r="CY18" s="547"/>
      <c r="CZ18" s="547"/>
      <c r="DA18" s="547"/>
      <c r="DB18" s="547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547"/>
      <c r="DR18" s="547"/>
      <c r="DS18" s="547"/>
      <c r="DT18" s="547"/>
      <c r="DU18" s="547"/>
      <c r="DV18" s="547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547"/>
      <c r="EL18" s="547"/>
      <c r="EM18" s="547"/>
      <c r="EN18" s="547"/>
      <c r="EO18" s="547"/>
      <c r="EP18" s="547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547"/>
      <c r="FQ18" s="547"/>
      <c r="FR18" s="547"/>
      <c r="FS18" s="547"/>
      <c r="FT18" s="547"/>
      <c r="FU18" s="547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547"/>
      <c r="GN18" s="547"/>
      <c r="GO18" s="547"/>
      <c r="GP18" s="547"/>
      <c r="GQ18" s="547"/>
      <c r="GR18" s="547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547"/>
      <c r="HI18" s="547"/>
      <c r="HJ18" s="547"/>
      <c r="HK18" s="547"/>
      <c r="HL18" s="547"/>
      <c r="HM18" s="547"/>
      <c r="HN18" s="12"/>
      <c r="HO18" s="12"/>
      <c r="HP18" s="12"/>
      <c r="HQ18" s="12"/>
      <c r="HS18" s="547"/>
      <c r="HT18" s="547"/>
      <c r="HU18" s="547"/>
      <c r="HV18" s="547"/>
      <c r="HW18" s="547"/>
      <c r="HX18" s="547"/>
      <c r="HY18" s="12"/>
      <c r="HZ18" s="12"/>
      <c r="IA18" s="12"/>
      <c r="IB18" s="12"/>
    </row>
    <row r="19" spans="1:236" ht="14.45" customHeight="1" x14ac:dyDescent="0.25">
      <c r="A19" s="58"/>
      <c r="B19" s="14"/>
      <c r="C19" s="704" t="s">
        <v>196</v>
      </c>
      <c r="D19" s="704"/>
      <c r="E19" s="704"/>
      <c r="F19" s="704"/>
      <c r="G19" s="704"/>
      <c r="H19" s="203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546"/>
      <c r="S19" s="546"/>
      <c r="T19" s="546"/>
      <c r="U19" s="12"/>
      <c r="V19" s="12"/>
      <c r="W19" s="12"/>
      <c r="X19" s="12"/>
      <c r="Y19" s="12"/>
      <c r="Z19" s="6"/>
      <c r="AA19" s="547"/>
      <c r="AB19" s="547"/>
      <c r="AC19" s="547"/>
      <c r="AD19" s="547"/>
      <c r="AE19" s="547"/>
      <c r="AF19" s="547"/>
      <c r="AG19" s="12"/>
      <c r="AH19" s="12"/>
      <c r="AI19" s="12"/>
      <c r="AJ19" s="12"/>
      <c r="AL19" s="547"/>
      <c r="AM19" s="547"/>
      <c r="AN19" s="547"/>
      <c r="AO19" s="547"/>
      <c r="AP19" s="547"/>
      <c r="AQ19" s="547"/>
      <c r="AR19" s="12"/>
      <c r="AS19" s="12"/>
      <c r="AT19" s="12"/>
      <c r="AU19" s="12"/>
      <c r="AV19" s="12"/>
      <c r="AW19" s="12"/>
      <c r="AX19" s="12"/>
      <c r="AY19" s="12"/>
      <c r="AZ19" s="547"/>
      <c r="BA19" s="547"/>
      <c r="BB19" s="547"/>
      <c r="BC19" s="547"/>
      <c r="BD19" s="547"/>
      <c r="BE19" s="547"/>
      <c r="BF19" s="12"/>
      <c r="BG19" s="12"/>
      <c r="BH19" s="12"/>
      <c r="BI19" s="12"/>
      <c r="BJ19" s="12"/>
      <c r="BK19" s="12"/>
      <c r="BL19" s="547"/>
      <c r="BM19" s="547"/>
      <c r="BN19" s="547"/>
      <c r="BO19" s="547"/>
      <c r="BP19" s="547"/>
      <c r="BQ19" s="547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547"/>
      <c r="CF19" s="547"/>
      <c r="CG19" s="547"/>
      <c r="CH19" s="547"/>
      <c r="CI19" s="547"/>
      <c r="CJ19" s="547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547"/>
      <c r="CX19" s="547"/>
      <c r="CY19" s="547"/>
      <c r="CZ19" s="547"/>
      <c r="DA19" s="547"/>
      <c r="DB19" s="547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547"/>
      <c r="DR19" s="547"/>
      <c r="DS19" s="547"/>
      <c r="DT19" s="547"/>
      <c r="DU19" s="547"/>
      <c r="DV19" s="547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547"/>
      <c r="EL19" s="547"/>
      <c r="EM19" s="547"/>
      <c r="EN19" s="547"/>
      <c r="EO19" s="547"/>
      <c r="EP19" s="547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547"/>
      <c r="FQ19" s="547"/>
      <c r="FR19" s="547"/>
      <c r="FS19" s="547"/>
      <c r="FT19" s="547"/>
      <c r="FU19" s="547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547"/>
      <c r="GN19" s="547"/>
      <c r="GO19" s="547"/>
      <c r="GP19" s="547"/>
      <c r="GQ19" s="547"/>
      <c r="GR19" s="547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547"/>
      <c r="HI19" s="547"/>
      <c r="HJ19" s="547"/>
      <c r="HK19" s="547"/>
      <c r="HL19" s="547"/>
      <c r="HM19" s="547"/>
      <c r="HN19" s="12"/>
      <c r="HO19" s="12"/>
      <c r="HP19" s="12"/>
      <c r="HQ19" s="12"/>
      <c r="HS19" s="547"/>
      <c r="HT19" s="547"/>
      <c r="HU19" s="547"/>
      <c r="HV19" s="547"/>
      <c r="HW19" s="547"/>
      <c r="HX19" s="547"/>
      <c r="HY19" s="12"/>
      <c r="HZ19" s="12"/>
      <c r="IA19" s="12"/>
      <c r="IB19" s="12"/>
    </row>
    <row r="20" spans="1:236" ht="14.45" customHeight="1" x14ac:dyDescent="0.25">
      <c r="A20" s="58"/>
      <c r="B20" s="14"/>
      <c r="C20" s="704" t="s">
        <v>191</v>
      </c>
      <c r="D20" s="704"/>
      <c r="E20" s="704"/>
      <c r="F20" s="704"/>
      <c r="G20" s="704"/>
      <c r="H20" s="203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546"/>
      <c r="S20" s="546"/>
      <c r="T20" s="546"/>
      <c r="U20" s="12"/>
      <c r="V20" s="12"/>
      <c r="W20" s="12"/>
      <c r="X20" s="12"/>
      <c r="Y20" s="12"/>
      <c r="Z20" s="6"/>
      <c r="AA20" s="547"/>
      <c r="AB20" s="547"/>
      <c r="AC20" s="547"/>
      <c r="AD20" s="547"/>
      <c r="AE20" s="547"/>
      <c r="AF20" s="12"/>
      <c r="AG20" s="12"/>
      <c r="AH20" s="12"/>
      <c r="AI20" s="12"/>
      <c r="AJ20" s="12"/>
      <c r="AL20" s="547"/>
      <c r="AM20" s="547"/>
      <c r="AN20" s="547"/>
      <c r="AO20" s="547"/>
      <c r="AP20" s="547"/>
      <c r="AQ20" s="547"/>
      <c r="AR20" s="12"/>
      <c r="AS20" s="12"/>
      <c r="AT20" s="12"/>
      <c r="AU20" s="12"/>
      <c r="AV20" s="12"/>
      <c r="AW20" s="12"/>
      <c r="AX20" s="12"/>
      <c r="AY20" s="12"/>
      <c r="AZ20" s="547"/>
      <c r="BA20" s="547"/>
      <c r="BB20" s="547"/>
      <c r="BC20" s="547"/>
      <c r="BD20" s="547"/>
      <c r="BE20" s="547"/>
      <c r="BF20" s="12"/>
      <c r="BG20" s="12"/>
      <c r="BH20" s="12"/>
      <c r="BI20" s="12"/>
      <c r="BJ20" s="12"/>
      <c r="BK20" s="12"/>
      <c r="BL20" s="547"/>
      <c r="BM20" s="547"/>
      <c r="BN20" s="547"/>
      <c r="BO20" s="547"/>
      <c r="BP20" s="547"/>
      <c r="BQ20" s="547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547"/>
      <c r="CF20" s="547"/>
      <c r="CG20" s="547"/>
      <c r="CH20" s="547"/>
      <c r="CI20" s="547"/>
      <c r="CJ20" s="547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547"/>
      <c r="CX20" s="547"/>
      <c r="CY20" s="547"/>
      <c r="CZ20" s="547"/>
      <c r="DA20" s="547"/>
      <c r="DB20" s="547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547"/>
      <c r="DR20" s="547"/>
      <c r="DS20" s="547"/>
      <c r="DT20" s="547"/>
      <c r="DU20" s="547"/>
      <c r="DV20" s="547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547"/>
      <c r="EL20" s="547"/>
      <c r="EM20" s="547"/>
      <c r="EN20" s="547"/>
      <c r="EO20" s="547"/>
      <c r="EP20" s="547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547"/>
      <c r="FQ20" s="547"/>
      <c r="FR20" s="547"/>
      <c r="FS20" s="547"/>
      <c r="FT20" s="547"/>
      <c r="FU20" s="547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547"/>
      <c r="GN20" s="547"/>
      <c r="GO20" s="547"/>
      <c r="GP20" s="547"/>
      <c r="GQ20" s="547"/>
      <c r="GR20" s="547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547"/>
      <c r="HI20" s="547"/>
      <c r="HJ20" s="547"/>
      <c r="HK20" s="547"/>
      <c r="HL20" s="547"/>
      <c r="HM20" s="547"/>
      <c r="HN20" s="12"/>
      <c r="HO20" s="12"/>
      <c r="HP20" s="12"/>
      <c r="HQ20" s="12"/>
      <c r="HS20" s="547"/>
      <c r="HT20" s="547"/>
      <c r="HU20" s="547"/>
      <c r="HV20" s="547"/>
      <c r="HW20" s="547"/>
      <c r="HX20" s="547"/>
      <c r="HY20" s="12"/>
      <c r="HZ20" s="12"/>
      <c r="IA20" s="12"/>
      <c r="IB20" s="12"/>
    </row>
    <row r="21" spans="1:236" ht="14.45" customHeight="1" x14ac:dyDescent="0.25">
      <c r="A21" s="58"/>
      <c r="B21" s="14"/>
      <c r="C21" s="704" t="s">
        <v>192</v>
      </c>
      <c r="D21" s="704"/>
      <c r="E21" s="704"/>
      <c r="F21" s="704"/>
      <c r="G21" s="704"/>
      <c r="H21" s="203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546"/>
      <c r="S21" s="546"/>
      <c r="T21" s="546"/>
      <c r="U21" s="12"/>
      <c r="V21" s="12"/>
      <c r="W21" s="12"/>
      <c r="X21" s="12"/>
      <c r="Y21" s="12"/>
      <c r="Z21" s="6"/>
      <c r="AA21" s="547"/>
      <c r="AB21" s="547"/>
      <c r="AC21" s="547"/>
      <c r="AD21" s="547"/>
      <c r="AE21" s="547"/>
      <c r="AF21" s="547"/>
      <c r="AG21" s="12"/>
      <c r="AH21" s="12"/>
      <c r="AI21" s="12"/>
      <c r="AJ21" s="12"/>
      <c r="AL21" s="547"/>
      <c r="AM21" s="547"/>
      <c r="AN21" s="547"/>
      <c r="AO21" s="547"/>
      <c r="AP21" s="547"/>
      <c r="AQ21" s="547"/>
      <c r="AR21" s="12"/>
      <c r="AS21" s="12"/>
      <c r="AT21" s="12"/>
      <c r="AU21" s="12"/>
      <c r="AV21" s="12"/>
      <c r="AW21" s="12"/>
      <c r="AX21" s="12"/>
      <c r="AY21" s="12"/>
      <c r="AZ21" s="547"/>
      <c r="BA21" s="547"/>
      <c r="BB21" s="547"/>
      <c r="BC21" s="547"/>
      <c r="BD21" s="547"/>
      <c r="BE21" s="547"/>
      <c r="BF21" s="12"/>
      <c r="BG21" s="12"/>
      <c r="BH21" s="12"/>
      <c r="BI21" s="12"/>
      <c r="BJ21" s="12"/>
      <c r="BK21" s="12"/>
      <c r="BL21" s="547"/>
      <c r="BM21" s="547"/>
      <c r="BN21" s="547"/>
      <c r="BO21" s="547"/>
      <c r="BP21" s="547"/>
      <c r="BQ21" s="547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547"/>
      <c r="CF21" s="547"/>
      <c r="CG21" s="547"/>
      <c r="CH21" s="547"/>
      <c r="CI21" s="547"/>
      <c r="CJ21" s="547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547"/>
      <c r="CX21" s="547"/>
      <c r="CY21" s="547"/>
      <c r="CZ21" s="547"/>
      <c r="DA21" s="547"/>
      <c r="DB21" s="547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547"/>
      <c r="DR21" s="547"/>
      <c r="DS21" s="547"/>
      <c r="DT21" s="547"/>
      <c r="DU21" s="547"/>
      <c r="DV21" s="547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547"/>
      <c r="EL21" s="547"/>
      <c r="EM21" s="547"/>
      <c r="EN21" s="547"/>
      <c r="EO21" s="547"/>
      <c r="EP21" s="547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547"/>
      <c r="FQ21" s="547"/>
      <c r="FR21" s="547"/>
      <c r="FS21" s="547"/>
      <c r="FT21" s="547"/>
      <c r="FU21" s="547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547"/>
      <c r="GN21" s="547"/>
      <c r="GO21" s="547"/>
      <c r="GP21" s="547"/>
      <c r="GQ21" s="547"/>
      <c r="GR21" s="547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547"/>
      <c r="HI21" s="547"/>
      <c r="HJ21" s="547"/>
      <c r="HK21" s="547"/>
      <c r="HL21" s="547"/>
      <c r="HM21" s="547"/>
      <c r="HN21" s="12"/>
      <c r="HO21" s="12"/>
      <c r="HP21" s="12"/>
      <c r="HQ21" s="12"/>
      <c r="HS21" s="547"/>
      <c r="HT21" s="547"/>
      <c r="HU21" s="547"/>
      <c r="HV21" s="547"/>
      <c r="HW21" s="547"/>
      <c r="HX21" s="547"/>
      <c r="HY21" s="12"/>
      <c r="HZ21" s="12"/>
      <c r="IA21" s="12"/>
      <c r="IB21" s="12"/>
    </row>
    <row r="22" spans="1:236" ht="14.45" customHeight="1" x14ac:dyDescent="0.25">
      <c r="A22" s="58"/>
      <c r="B22" s="14"/>
      <c r="C22" s="704" t="s">
        <v>193</v>
      </c>
      <c r="D22" s="704"/>
      <c r="E22" s="704"/>
      <c r="F22" s="704"/>
      <c r="G22" s="704"/>
      <c r="H22" s="203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546"/>
      <c r="S22" s="546"/>
      <c r="T22" s="546"/>
      <c r="U22" s="12"/>
      <c r="V22" s="12"/>
      <c r="W22" s="12"/>
      <c r="X22" s="12"/>
      <c r="Y22" s="12"/>
      <c r="Z22" s="6"/>
      <c r="AA22" s="547"/>
      <c r="AB22" s="547"/>
      <c r="AC22" s="547"/>
      <c r="AD22" s="547"/>
      <c r="AE22" s="547"/>
      <c r="AF22" s="547"/>
      <c r="AG22" s="12"/>
      <c r="AH22" s="12"/>
      <c r="AI22" s="12"/>
      <c r="AJ22" s="12"/>
      <c r="AL22" s="547"/>
      <c r="AM22" s="547"/>
      <c r="AN22" s="547"/>
      <c r="AO22" s="547"/>
      <c r="AP22" s="547"/>
      <c r="AQ22" s="547"/>
      <c r="AR22" s="12"/>
      <c r="AS22" s="12"/>
      <c r="AT22" s="12"/>
      <c r="AU22" s="12"/>
      <c r="AV22" s="12"/>
      <c r="AW22" s="12"/>
      <c r="AX22" s="12"/>
      <c r="AY22" s="12"/>
      <c r="AZ22" s="547"/>
      <c r="BA22" s="547"/>
      <c r="BB22" s="547"/>
      <c r="BC22" s="547"/>
      <c r="BD22" s="547"/>
      <c r="BE22" s="547"/>
      <c r="BF22" s="12"/>
      <c r="BG22" s="12"/>
      <c r="BH22" s="12"/>
      <c r="BI22" s="12"/>
      <c r="BJ22" s="12"/>
      <c r="BK22" s="12"/>
      <c r="BL22" s="547"/>
      <c r="BM22" s="547"/>
      <c r="BN22" s="547"/>
      <c r="BO22" s="547"/>
      <c r="BP22" s="547"/>
      <c r="BQ22" s="547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547"/>
      <c r="CF22" s="547"/>
      <c r="CG22" s="547"/>
      <c r="CH22" s="547"/>
      <c r="CI22" s="547"/>
      <c r="CJ22" s="547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547"/>
      <c r="CX22" s="547"/>
      <c r="CY22" s="547"/>
      <c r="CZ22" s="547"/>
      <c r="DA22" s="547"/>
      <c r="DB22" s="547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547"/>
      <c r="DR22" s="547"/>
      <c r="DS22" s="547"/>
      <c r="DT22" s="547"/>
      <c r="DU22" s="547"/>
      <c r="DV22" s="547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547"/>
      <c r="EL22" s="547"/>
      <c r="EM22" s="547"/>
      <c r="EN22" s="547"/>
      <c r="EO22" s="547"/>
      <c r="EP22" s="547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547"/>
      <c r="FQ22" s="547"/>
      <c r="FR22" s="547"/>
      <c r="FS22" s="547"/>
      <c r="FT22" s="547"/>
      <c r="FU22" s="547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547"/>
      <c r="GN22" s="547"/>
      <c r="GO22" s="547"/>
      <c r="GP22" s="547"/>
      <c r="GQ22" s="547"/>
      <c r="GR22" s="547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547"/>
      <c r="HI22" s="547"/>
      <c r="HJ22" s="547"/>
      <c r="HK22" s="547"/>
      <c r="HL22" s="547"/>
      <c r="HM22" s="547"/>
      <c r="HN22" s="12"/>
      <c r="HO22" s="12"/>
      <c r="HP22" s="12"/>
      <c r="HQ22" s="12"/>
      <c r="HS22" s="547"/>
      <c r="HT22" s="547"/>
      <c r="HU22" s="547"/>
      <c r="HV22" s="547"/>
      <c r="HW22" s="547"/>
      <c r="HX22" s="547"/>
      <c r="HY22" s="12"/>
      <c r="HZ22" s="12"/>
      <c r="IA22" s="12"/>
      <c r="IB22" s="12"/>
    </row>
    <row r="23" spans="1:236" ht="14.45" customHeight="1" x14ac:dyDescent="0.25">
      <c r="A23" s="58"/>
      <c r="B23" s="14"/>
      <c r="C23" s="704" t="s">
        <v>195</v>
      </c>
      <c r="D23" s="704"/>
      <c r="E23" s="704"/>
      <c r="F23" s="704"/>
      <c r="G23" s="704"/>
      <c r="H23" s="203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546"/>
      <c r="S23" s="546"/>
      <c r="T23" s="546"/>
      <c r="U23" s="12"/>
      <c r="V23" s="12"/>
      <c r="W23" s="12"/>
      <c r="X23" s="12"/>
      <c r="Y23" s="12"/>
      <c r="Z23" s="6"/>
      <c r="AA23" s="547"/>
      <c r="AB23" s="547"/>
      <c r="AC23" s="547"/>
      <c r="AD23" s="547"/>
      <c r="AE23" s="547"/>
      <c r="AF23" s="547"/>
      <c r="AG23" s="12"/>
      <c r="AH23" s="12"/>
      <c r="AI23" s="12"/>
      <c r="AJ23" s="12"/>
      <c r="AL23" s="547"/>
      <c r="AM23" s="547"/>
      <c r="AN23" s="547"/>
      <c r="AO23" s="547"/>
      <c r="AP23" s="547"/>
      <c r="AQ23" s="547"/>
      <c r="AR23" s="12"/>
      <c r="AS23" s="12"/>
      <c r="AT23" s="12"/>
      <c r="AU23" s="12"/>
      <c r="AV23" s="12"/>
      <c r="AW23" s="12"/>
      <c r="AX23" s="12"/>
      <c r="AY23" s="12"/>
      <c r="AZ23" s="547"/>
      <c r="BA23" s="547"/>
      <c r="BB23" s="547"/>
      <c r="BC23" s="547"/>
      <c r="BD23" s="547"/>
      <c r="BE23" s="547"/>
      <c r="BF23" s="12"/>
      <c r="BG23" s="12"/>
      <c r="BH23" s="12"/>
      <c r="BI23" s="12"/>
      <c r="BJ23" s="12"/>
      <c r="BK23" s="12"/>
      <c r="BL23" s="547"/>
      <c r="BM23" s="547"/>
      <c r="BN23" s="547"/>
      <c r="BO23" s="547"/>
      <c r="BP23" s="547"/>
      <c r="BQ23" s="547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547"/>
      <c r="CF23" s="547"/>
      <c r="CG23" s="547"/>
      <c r="CH23" s="547"/>
      <c r="CI23" s="547"/>
      <c r="CJ23" s="547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547"/>
      <c r="CX23" s="547"/>
      <c r="CY23" s="547"/>
      <c r="CZ23" s="547"/>
      <c r="DA23" s="547"/>
      <c r="DB23" s="547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547"/>
      <c r="DR23" s="547"/>
      <c r="DS23" s="547"/>
      <c r="DT23" s="547"/>
      <c r="DU23" s="547"/>
      <c r="DV23" s="547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547"/>
      <c r="EL23" s="547"/>
      <c r="EM23" s="547"/>
      <c r="EN23" s="547"/>
      <c r="EO23" s="547"/>
      <c r="EP23" s="547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547"/>
      <c r="FQ23" s="547"/>
      <c r="FR23" s="547"/>
      <c r="FS23" s="547"/>
      <c r="FT23" s="547"/>
      <c r="FU23" s="547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547"/>
      <c r="GN23" s="547"/>
      <c r="GO23" s="547"/>
      <c r="GP23" s="547"/>
      <c r="GQ23" s="547"/>
      <c r="GR23" s="547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547"/>
      <c r="HI23" s="547"/>
      <c r="HJ23" s="547"/>
      <c r="HK23" s="547"/>
      <c r="HL23" s="547"/>
      <c r="HM23" s="547"/>
      <c r="HN23" s="12"/>
      <c r="HO23" s="12"/>
      <c r="HP23" s="12"/>
      <c r="HQ23" s="12"/>
      <c r="HS23" s="547"/>
      <c r="HT23" s="547"/>
      <c r="HU23" s="547"/>
      <c r="HV23" s="547"/>
      <c r="HW23" s="547"/>
      <c r="HX23" s="547"/>
      <c r="HY23" s="12"/>
      <c r="HZ23" s="12"/>
      <c r="IA23" s="12"/>
      <c r="IB23" s="12"/>
    </row>
    <row r="24" spans="1:236" ht="14.45" customHeight="1" x14ac:dyDescent="0.25">
      <c r="A24" s="58"/>
      <c r="B24" s="14"/>
      <c r="C24" s="704" t="s">
        <v>194</v>
      </c>
      <c r="D24" s="704"/>
      <c r="E24" s="704"/>
      <c r="F24" s="704"/>
      <c r="G24" s="704"/>
      <c r="H24" s="203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546"/>
      <c r="S24" s="546"/>
      <c r="T24" s="546"/>
      <c r="U24" s="12"/>
      <c r="V24" s="12"/>
      <c r="W24" s="12"/>
      <c r="X24" s="12"/>
      <c r="Y24" s="12"/>
      <c r="Z24" s="6"/>
      <c r="AA24" s="547"/>
      <c r="AB24" s="547"/>
      <c r="AC24" s="547"/>
      <c r="AD24" s="547"/>
      <c r="AE24" s="547"/>
      <c r="AF24" s="547"/>
      <c r="AG24" s="12"/>
      <c r="AH24" s="12"/>
      <c r="AI24" s="12"/>
      <c r="AJ24" s="12"/>
      <c r="AL24" s="547"/>
      <c r="AM24" s="547"/>
      <c r="AN24" s="547"/>
      <c r="AO24" s="547"/>
      <c r="AP24" s="547"/>
      <c r="AQ24" s="547"/>
      <c r="AR24" s="12"/>
      <c r="AS24" s="12"/>
      <c r="AT24" s="12"/>
      <c r="AU24" s="12"/>
      <c r="AV24" s="12"/>
      <c r="AW24" s="12"/>
      <c r="AX24" s="12"/>
      <c r="AY24" s="12"/>
      <c r="AZ24" s="547"/>
      <c r="BA24" s="547"/>
      <c r="BB24" s="547"/>
      <c r="BC24" s="547"/>
      <c r="BD24" s="547"/>
      <c r="BE24" s="547"/>
      <c r="BF24" s="12"/>
      <c r="BG24" s="12"/>
      <c r="BH24" s="12"/>
      <c r="BI24" s="12"/>
      <c r="BJ24" s="12"/>
      <c r="BK24" s="12"/>
      <c r="BL24" s="547"/>
      <c r="BM24" s="547"/>
      <c r="BN24" s="547"/>
      <c r="BO24" s="547"/>
      <c r="BP24" s="547"/>
      <c r="BQ24" s="547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547"/>
      <c r="CF24" s="547"/>
      <c r="CG24" s="547"/>
      <c r="CH24" s="547"/>
      <c r="CI24" s="547"/>
      <c r="CJ24" s="547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547"/>
      <c r="CX24" s="547"/>
      <c r="CY24" s="547"/>
      <c r="CZ24" s="547"/>
      <c r="DA24" s="547"/>
      <c r="DB24" s="547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547"/>
      <c r="DR24" s="547"/>
      <c r="DS24" s="547"/>
      <c r="DT24" s="547"/>
      <c r="DU24" s="547"/>
      <c r="DV24" s="547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547"/>
      <c r="EL24" s="547"/>
      <c r="EM24" s="547"/>
      <c r="EN24" s="547"/>
      <c r="EO24" s="547"/>
      <c r="EP24" s="547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547"/>
      <c r="FQ24" s="547"/>
      <c r="FR24" s="547"/>
      <c r="FS24" s="547"/>
      <c r="FT24" s="547"/>
      <c r="FU24" s="547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547"/>
      <c r="GN24" s="547"/>
      <c r="GO24" s="547"/>
      <c r="GP24" s="547"/>
      <c r="GQ24" s="547"/>
      <c r="GR24" s="547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547"/>
      <c r="HI24" s="547"/>
      <c r="HJ24" s="547"/>
      <c r="HK24" s="547"/>
      <c r="HL24" s="547"/>
      <c r="HM24" s="547"/>
      <c r="HN24" s="12"/>
      <c r="HO24" s="12"/>
      <c r="HP24" s="12"/>
      <c r="HQ24" s="12"/>
      <c r="HS24" s="547"/>
      <c r="HT24" s="547"/>
      <c r="HU24" s="547"/>
      <c r="HV24" s="547"/>
      <c r="HW24" s="547"/>
      <c r="HX24" s="547"/>
      <c r="HY24" s="12"/>
      <c r="HZ24" s="12"/>
      <c r="IA24" s="12"/>
      <c r="IB24" s="12"/>
    </row>
    <row r="25" spans="1:236" ht="14.45" customHeight="1" x14ac:dyDescent="0.25">
      <c r="A25" s="58"/>
      <c r="B25" s="14"/>
      <c r="C25" s="704" t="s">
        <v>184</v>
      </c>
      <c r="D25" s="704"/>
      <c r="E25" s="704"/>
      <c r="F25" s="704"/>
      <c r="G25" s="704"/>
      <c r="H25" s="203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546"/>
      <c r="S25" s="546"/>
      <c r="T25" s="546"/>
      <c r="U25" s="12"/>
      <c r="V25" s="12"/>
      <c r="W25" s="12"/>
      <c r="X25" s="12"/>
      <c r="Y25" s="12"/>
      <c r="Z25" s="6"/>
      <c r="AA25" s="518"/>
      <c r="AB25" s="518"/>
      <c r="AC25" s="518"/>
      <c r="AD25" s="518"/>
      <c r="AE25" s="518"/>
      <c r="AF25" s="518"/>
      <c r="AG25" s="12"/>
      <c r="AH25" s="12"/>
      <c r="AI25" s="12"/>
      <c r="AJ25" s="12"/>
      <c r="AL25" s="518"/>
      <c r="AM25" s="518"/>
      <c r="AN25" s="518"/>
      <c r="AO25" s="518"/>
      <c r="AP25" s="518"/>
      <c r="AQ25" s="518"/>
      <c r="AR25" s="12"/>
      <c r="AS25" s="12"/>
      <c r="AT25" s="12"/>
      <c r="AU25" s="12"/>
      <c r="AV25" s="12"/>
      <c r="AW25" s="12"/>
      <c r="AX25" s="12"/>
      <c r="AY25" s="12"/>
      <c r="AZ25" s="518"/>
      <c r="BA25" s="518"/>
      <c r="BB25" s="518"/>
      <c r="BC25" s="518"/>
      <c r="BD25" s="518"/>
      <c r="BE25" s="518"/>
      <c r="BF25" s="12"/>
      <c r="BG25" s="12"/>
      <c r="BH25" s="12"/>
      <c r="BI25" s="12"/>
      <c r="BJ25" s="12"/>
      <c r="BK25" s="12"/>
      <c r="BL25" s="518"/>
      <c r="BM25" s="518"/>
      <c r="BN25" s="518"/>
      <c r="BO25" s="518"/>
      <c r="BP25" s="518"/>
      <c r="BQ25" s="518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518"/>
      <c r="CF25" s="518"/>
      <c r="CG25" s="518"/>
      <c r="CH25" s="518"/>
      <c r="CI25" s="518"/>
      <c r="CJ25" s="518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518"/>
      <c r="CX25" s="518"/>
      <c r="CY25" s="518"/>
      <c r="CZ25" s="518"/>
      <c r="DA25" s="518"/>
      <c r="DB25" s="518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518"/>
      <c r="DR25" s="518"/>
      <c r="DS25" s="518"/>
      <c r="DT25" s="518"/>
      <c r="DU25" s="518"/>
      <c r="DV25" s="518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518"/>
      <c r="EL25" s="518"/>
      <c r="EM25" s="518"/>
      <c r="EN25" s="518"/>
      <c r="EO25" s="518"/>
      <c r="EP25" s="518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518"/>
      <c r="FQ25" s="518"/>
      <c r="FR25" s="518"/>
      <c r="FS25" s="518"/>
      <c r="FT25" s="518"/>
      <c r="FU25" s="518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518"/>
      <c r="GN25" s="518"/>
      <c r="GO25" s="518"/>
      <c r="GP25" s="518"/>
      <c r="GQ25" s="518"/>
      <c r="GR25" s="518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518"/>
      <c r="HI25" s="518"/>
      <c r="HJ25" s="518"/>
      <c r="HK25" s="518"/>
      <c r="HL25" s="518"/>
      <c r="HM25" s="518"/>
      <c r="HO25" s="6"/>
      <c r="HP25" s="12"/>
      <c r="HQ25" s="12"/>
      <c r="HS25" s="518"/>
      <c r="HT25" s="518"/>
      <c r="HU25" s="518"/>
      <c r="HV25" s="518"/>
      <c r="HW25" s="518"/>
      <c r="HX25" s="518"/>
      <c r="HZ25" s="6"/>
      <c r="IA25" s="12"/>
      <c r="IB25" s="12"/>
    </row>
    <row r="26" spans="1:236" ht="14.45" customHeight="1" x14ac:dyDescent="0.25">
      <c r="A26" s="58"/>
      <c r="B26" s="14"/>
      <c r="C26" s="704" t="s">
        <v>217</v>
      </c>
      <c r="D26" s="704"/>
      <c r="E26" s="704"/>
      <c r="F26" s="704"/>
      <c r="G26" s="704"/>
      <c r="H26" s="203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546"/>
      <c r="S26" s="546"/>
      <c r="T26" s="546"/>
      <c r="U26" s="12"/>
      <c r="V26" s="12"/>
      <c r="W26" s="12"/>
      <c r="X26" s="12"/>
      <c r="Y26" s="12"/>
      <c r="Z26" s="6"/>
      <c r="AA26" s="547"/>
      <c r="AB26" s="547"/>
      <c r="AC26" s="547"/>
      <c r="AD26" s="547"/>
      <c r="AE26" s="547"/>
      <c r="AF26" s="547"/>
      <c r="AG26" s="12"/>
      <c r="AH26" s="12"/>
      <c r="AI26" s="12"/>
      <c r="AJ26" s="12"/>
      <c r="AL26" s="547"/>
      <c r="AM26" s="547"/>
      <c r="AN26" s="547"/>
      <c r="AO26" s="547"/>
      <c r="AP26" s="547"/>
      <c r="AQ26" s="547"/>
      <c r="AR26" s="12"/>
      <c r="AS26" s="12"/>
      <c r="AT26" s="12"/>
      <c r="AU26" s="12"/>
      <c r="AV26" s="12"/>
      <c r="AW26" s="12"/>
      <c r="AX26" s="12"/>
      <c r="AY26" s="12"/>
      <c r="AZ26" s="547"/>
      <c r="BA26" s="547"/>
      <c r="BB26" s="547"/>
      <c r="BC26" s="547"/>
      <c r="BD26" s="547"/>
      <c r="BE26" s="547"/>
      <c r="BF26" s="12"/>
      <c r="BG26" s="12"/>
      <c r="BH26" s="12"/>
      <c r="BI26" s="12"/>
      <c r="BJ26" s="12"/>
      <c r="BK26" s="12"/>
      <c r="BL26" s="547"/>
      <c r="BM26" s="547"/>
      <c r="BN26" s="547"/>
      <c r="BO26" s="547"/>
      <c r="BP26" s="547"/>
      <c r="BQ26" s="547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547"/>
      <c r="CF26" s="547"/>
      <c r="CG26" s="547"/>
      <c r="CH26" s="547"/>
      <c r="CI26" s="547"/>
      <c r="CJ26" s="547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547"/>
      <c r="CX26" s="547"/>
      <c r="CY26" s="547"/>
      <c r="CZ26" s="547"/>
      <c r="DA26" s="547"/>
      <c r="DB26" s="547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547"/>
      <c r="DR26" s="547"/>
      <c r="DS26" s="547"/>
      <c r="DT26" s="547"/>
      <c r="DU26" s="547"/>
      <c r="DV26" s="547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547"/>
      <c r="EL26" s="547"/>
      <c r="EM26" s="547"/>
      <c r="EN26" s="547"/>
      <c r="EO26" s="547"/>
      <c r="EP26" s="547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547"/>
      <c r="FQ26" s="547"/>
      <c r="FR26" s="547"/>
      <c r="FS26" s="547"/>
      <c r="FT26" s="547"/>
      <c r="FU26" s="547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547"/>
      <c r="GN26" s="547"/>
      <c r="GO26" s="547"/>
      <c r="GP26" s="547"/>
      <c r="GQ26" s="547"/>
      <c r="GR26" s="547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547"/>
      <c r="HI26" s="547"/>
      <c r="HJ26" s="547"/>
      <c r="HK26" s="547"/>
      <c r="HL26" s="547"/>
      <c r="HM26" s="547"/>
      <c r="HN26" s="6"/>
      <c r="HO26" s="6"/>
      <c r="HP26" s="12"/>
      <c r="HQ26" s="12"/>
      <c r="HS26" s="547"/>
      <c r="HT26" s="547"/>
      <c r="HU26" s="547"/>
      <c r="HV26" s="547"/>
      <c r="HW26" s="547"/>
      <c r="HX26" s="547"/>
      <c r="HY26" s="6"/>
      <c r="HZ26" s="6"/>
      <c r="IA26" s="12"/>
      <c r="IB26" s="12"/>
    </row>
    <row r="27" spans="1:236" ht="14.45" customHeight="1" x14ac:dyDescent="0.25">
      <c r="A27" s="58"/>
      <c r="B27" s="14"/>
      <c r="C27" s="704" t="s">
        <v>182</v>
      </c>
      <c r="D27" s="704"/>
      <c r="E27" s="704"/>
      <c r="F27" s="704"/>
      <c r="G27" s="704"/>
      <c r="H27" s="203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546"/>
      <c r="S27" s="546"/>
      <c r="T27" s="546"/>
      <c r="U27" s="12"/>
      <c r="V27" s="12"/>
      <c r="W27" s="12"/>
      <c r="X27" s="12"/>
      <c r="Y27" s="12"/>
      <c r="Z27" s="6"/>
      <c r="AA27" s="547"/>
      <c r="AB27" s="547"/>
      <c r="AC27" s="547"/>
      <c r="AD27" s="547"/>
      <c r="AE27" s="547"/>
      <c r="AF27" s="547"/>
      <c r="AG27" s="12"/>
      <c r="AH27" s="12"/>
      <c r="AI27" s="12"/>
      <c r="AJ27" s="12"/>
      <c r="AL27" s="547"/>
      <c r="AM27" s="547"/>
      <c r="AN27" s="547"/>
      <c r="AO27" s="547"/>
      <c r="AP27" s="547"/>
      <c r="AQ27" s="547"/>
      <c r="AR27" s="12"/>
      <c r="AS27" s="12"/>
      <c r="AT27" s="12"/>
      <c r="AU27" s="12"/>
      <c r="AV27" s="12"/>
      <c r="AW27" s="12"/>
      <c r="AX27" s="12"/>
      <c r="AY27" s="12"/>
      <c r="AZ27" s="547"/>
      <c r="BA27" s="547"/>
      <c r="BB27" s="547"/>
      <c r="BC27" s="547"/>
      <c r="BD27" s="547"/>
      <c r="BE27" s="547"/>
      <c r="BF27" s="12"/>
      <c r="BG27" s="12"/>
      <c r="BH27" s="12"/>
      <c r="BI27" s="12"/>
      <c r="BJ27" s="12"/>
      <c r="BK27" s="12"/>
      <c r="BL27" s="547"/>
      <c r="BM27" s="547"/>
      <c r="BN27" s="547"/>
      <c r="BO27" s="547"/>
      <c r="BP27" s="547"/>
      <c r="BQ27" s="547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547"/>
      <c r="CF27" s="547"/>
      <c r="CG27" s="547"/>
      <c r="CH27" s="547"/>
      <c r="CI27" s="547"/>
      <c r="CJ27" s="547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547"/>
      <c r="CX27" s="547"/>
      <c r="CY27" s="547"/>
      <c r="CZ27" s="547"/>
      <c r="DA27" s="547"/>
      <c r="DB27" s="547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547"/>
      <c r="DR27" s="547"/>
      <c r="DS27" s="547"/>
      <c r="DT27" s="547"/>
      <c r="DU27" s="547"/>
      <c r="DV27" s="547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547"/>
      <c r="EL27" s="547"/>
      <c r="EM27" s="547"/>
      <c r="EN27" s="547"/>
      <c r="EO27" s="547"/>
      <c r="EP27" s="547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547"/>
      <c r="FQ27" s="547"/>
      <c r="FR27" s="547"/>
      <c r="FS27" s="547"/>
      <c r="FT27" s="547"/>
      <c r="FU27" s="547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547"/>
      <c r="GN27" s="547"/>
      <c r="GO27" s="547"/>
      <c r="GP27" s="547"/>
      <c r="GQ27" s="547"/>
      <c r="GR27" s="547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547"/>
      <c r="HI27" s="547"/>
      <c r="HJ27" s="547"/>
      <c r="HK27" s="547"/>
      <c r="HL27" s="547"/>
      <c r="HM27" s="547"/>
      <c r="HN27" s="6"/>
      <c r="HO27" s="6"/>
      <c r="HP27" s="12"/>
      <c r="HQ27" s="12"/>
      <c r="HS27" s="547"/>
      <c r="HT27" s="547"/>
      <c r="HU27" s="547"/>
      <c r="HV27" s="547"/>
      <c r="HW27" s="547"/>
      <c r="HX27" s="547"/>
      <c r="HY27" s="6"/>
      <c r="HZ27" s="6"/>
      <c r="IA27" s="12"/>
      <c r="IB27" s="12"/>
    </row>
    <row r="28" spans="1:236" ht="14.45" customHeight="1" x14ac:dyDescent="0.25">
      <c r="A28" s="58"/>
      <c r="B28" s="14"/>
      <c r="C28" s="704" t="s">
        <v>183</v>
      </c>
      <c r="D28" s="704"/>
      <c r="E28" s="704"/>
      <c r="F28" s="704"/>
      <c r="G28" s="704"/>
      <c r="H28" s="203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546"/>
      <c r="S28" s="546"/>
      <c r="T28" s="546"/>
      <c r="U28" s="12"/>
      <c r="V28" s="12"/>
      <c r="W28" s="12"/>
      <c r="X28" s="12"/>
      <c r="Y28" s="12"/>
      <c r="Z28" s="6"/>
      <c r="AA28" s="547"/>
      <c r="AB28" s="547"/>
      <c r="AC28" s="547"/>
      <c r="AD28" s="547"/>
      <c r="AE28" s="547"/>
      <c r="AF28" s="547"/>
      <c r="AG28" s="12"/>
      <c r="AH28" s="12"/>
      <c r="AI28" s="12"/>
      <c r="AJ28" s="12"/>
      <c r="AL28" s="547"/>
      <c r="AM28" s="547"/>
      <c r="AN28" s="547"/>
      <c r="AO28" s="547"/>
      <c r="AP28" s="547"/>
      <c r="AQ28" s="547"/>
      <c r="AR28" s="12"/>
      <c r="AS28" s="12"/>
      <c r="AT28" s="12"/>
      <c r="AU28" s="12"/>
      <c r="AV28" s="12"/>
      <c r="AW28" s="12"/>
      <c r="AX28" s="12"/>
      <c r="AY28" s="12"/>
      <c r="AZ28" s="547"/>
      <c r="BA28" s="547"/>
      <c r="BB28" s="547"/>
      <c r="BC28" s="547"/>
      <c r="BD28" s="547"/>
      <c r="BE28" s="547"/>
      <c r="BF28" s="12"/>
      <c r="BG28" s="12"/>
      <c r="BH28" s="12"/>
      <c r="BI28" s="12"/>
      <c r="BJ28" s="12"/>
      <c r="BK28" s="12"/>
      <c r="BL28" s="547"/>
      <c r="BM28" s="547"/>
      <c r="BN28" s="547"/>
      <c r="BO28" s="547"/>
      <c r="BP28" s="547"/>
      <c r="BQ28" s="547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547"/>
      <c r="CF28" s="547"/>
      <c r="CG28" s="547"/>
      <c r="CH28" s="547"/>
      <c r="CI28" s="547"/>
      <c r="CJ28" s="547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547"/>
      <c r="CX28" s="547"/>
      <c r="CY28" s="547"/>
      <c r="CZ28" s="547"/>
      <c r="DA28" s="547"/>
      <c r="DB28" s="547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547"/>
      <c r="DR28" s="547"/>
      <c r="DS28" s="547"/>
      <c r="DT28" s="547"/>
      <c r="DU28" s="547"/>
      <c r="DV28" s="547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547"/>
      <c r="EL28" s="547"/>
      <c r="EM28" s="547"/>
      <c r="EN28" s="547"/>
      <c r="EO28" s="547"/>
      <c r="EP28" s="547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547"/>
      <c r="FQ28" s="547"/>
      <c r="FR28" s="547"/>
      <c r="FS28" s="547"/>
      <c r="FT28" s="547"/>
      <c r="FU28" s="547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547"/>
      <c r="GN28" s="547"/>
      <c r="GO28" s="547"/>
      <c r="GP28" s="547"/>
      <c r="GQ28" s="547"/>
      <c r="GR28" s="547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547"/>
      <c r="HI28" s="547"/>
      <c r="HJ28" s="547"/>
      <c r="HK28" s="547"/>
      <c r="HL28" s="547"/>
      <c r="HM28" s="547"/>
      <c r="HN28" s="6"/>
      <c r="HO28" s="6"/>
      <c r="HP28" s="12"/>
      <c r="HQ28" s="12"/>
      <c r="HS28" s="547"/>
      <c r="HT28" s="547"/>
      <c r="HU28" s="547"/>
      <c r="HV28" s="547"/>
      <c r="HW28" s="547"/>
      <c r="HX28" s="547"/>
      <c r="HY28" s="6"/>
      <c r="HZ28" s="6"/>
      <c r="IA28" s="12"/>
      <c r="IB28" s="12"/>
    </row>
    <row r="29" spans="1:236" ht="14.45" customHeight="1" x14ac:dyDescent="0.25">
      <c r="A29" s="58"/>
      <c r="B29" s="14"/>
      <c r="C29" s="704" t="s">
        <v>218</v>
      </c>
      <c r="D29" s="704"/>
      <c r="E29" s="704"/>
      <c r="F29" s="704"/>
      <c r="G29" s="704"/>
      <c r="H29" s="203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546"/>
      <c r="S29" s="546"/>
      <c r="T29" s="546"/>
      <c r="U29" s="12"/>
      <c r="V29" s="12"/>
      <c r="W29" s="12"/>
      <c r="X29" s="12"/>
      <c r="Y29" s="12"/>
      <c r="Z29" s="6"/>
      <c r="AA29" s="547"/>
      <c r="AB29" s="547"/>
      <c r="AC29" s="547"/>
      <c r="AD29" s="547"/>
      <c r="AE29" s="547"/>
      <c r="AF29" s="547"/>
      <c r="AG29" s="12"/>
      <c r="AH29" s="12"/>
      <c r="AI29" s="12"/>
      <c r="AJ29" s="12"/>
      <c r="AL29" s="547"/>
      <c r="AM29" s="547"/>
      <c r="AN29" s="547"/>
      <c r="AO29" s="547"/>
      <c r="AP29" s="547"/>
      <c r="AQ29" s="547"/>
      <c r="AR29" s="12"/>
      <c r="AS29" s="12"/>
      <c r="AT29" s="12"/>
      <c r="AU29" s="12"/>
      <c r="AV29" s="12"/>
      <c r="AW29" s="12"/>
      <c r="AX29" s="12"/>
      <c r="AY29" s="12"/>
      <c r="AZ29" s="547"/>
      <c r="BA29" s="547"/>
      <c r="BB29" s="547"/>
      <c r="BC29" s="547"/>
      <c r="BD29" s="547"/>
      <c r="BE29" s="547"/>
      <c r="BF29" s="12"/>
      <c r="BG29" s="12"/>
      <c r="BH29" s="12"/>
      <c r="BI29" s="12"/>
      <c r="BJ29" s="12"/>
      <c r="BK29" s="12"/>
      <c r="BL29" s="547"/>
      <c r="BM29" s="547"/>
      <c r="BN29" s="547"/>
      <c r="BO29" s="547"/>
      <c r="BP29" s="547"/>
      <c r="BQ29" s="547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547"/>
      <c r="CF29" s="547"/>
      <c r="CG29" s="547"/>
      <c r="CH29" s="547"/>
      <c r="CI29" s="547"/>
      <c r="CJ29" s="547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547"/>
      <c r="CX29" s="547"/>
      <c r="CY29" s="547"/>
      <c r="CZ29" s="547"/>
      <c r="DA29" s="547"/>
      <c r="DB29" s="547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547"/>
      <c r="DR29" s="547"/>
      <c r="DS29" s="547"/>
      <c r="DT29" s="547"/>
      <c r="DU29" s="547"/>
      <c r="DV29" s="547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547"/>
      <c r="EL29" s="547"/>
      <c r="EM29" s="547"/>
      <c r="EN29" s="547"/>
      <c r="EO29" s="547"/>
      <c r="EP29" s="547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547"/>
      <c r="FQ29" s="547"/>
      <c r="FR29" s="547"/>
      <c r="FS29" s="547"/>
      <c r="FT29" s="547"/>
      <c r="FU29" s="547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547"/>
      <c r="GN29" s="547"/>
      <c r="GO29" s="547"/>
      <c r="GP29" s="547"/>
      <c r="GQ29" s="547"/>
      <c r="GR29" s="547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547"/>
      <c r="HI29" s="547"/>
      <c r="HJ29" s="547"/>
      <c r="HK29" s="547"/>
      <c r="HL29" s="547"/>
      <c r="HM29" s="547"/>
      <c r="HN29" s="6"/>
      <c r="HO29" s="6"/>
      <c r="HP29" s="12"/>
      <c r="HQ29" s="12"/>
      <c r="HS29" s="547"/>
      <c r="HT29" s="547"/>
      <c r="HU29" s="547"/>
      <c r="HV29" s="547"/>
      <c r="HW29" s="547"/>
      <c r="HX29" s="547"/>
      <c r="HY29" s="6"/>
      <c r="HZ29" s="6"/>
      <c r="IA29" s="12"/>
      <c r="IB29" s="12"/>
    </row>
    <row r="30" spans="1:236" ht="14.45" customHeight="1" x14ac:dyDescent="0.25">
      <c r="A30" s="58"/>
      <c r="B30" s="14"/>
      <c r="C30" s="704" t="s">
        <v>185</v>
      </c>
      <c r="D30" s="704"/>
      <c r="E30" s="704"/>
      <c r="F30" s="704"/>
      <c r="G30" s="704"/>
      <c r="H30" s="203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546"/>
      <c r="S30" s="546"/>
      <c r="T30" s="546"/>
      <c r="U30" s="12"/>
      <c r="V30" s="12"/>
      <c r="W30" s="12"/>
      <c r="X30" s="12"/>
      <c r="Y30" s="12"/>
      <c r="Z30" s="6"/>
      <c r="AA30" s="547"/>
      <c r="AB30" s="547"/>
      <c r="AC30" s="547"/>
      <c r="AD30" s="547"/>
      <c r="AE30" s="547"/>
      <c r="AF30" s="547"/>
      <c r="AG30" s="12"/>
      <c r="AH30" s="12"/>
      <c r="AI30" s="12"/>
      <c r="AJ30" s="12"/>
      <c r="AL30" s="547"/>
      <c r="AM30" s="547"/>
      <c r="AN30" s="547"/>
      <c r="AO30" s="547"/>
      <c r="AP30" s="547"/>
      <c r="AQ30" s="547"/>
      <c r="AR30" s="12"/>
      <c r="AS30" s="12"/>
      <c r="AT30" s="12"/>
      <c r="AU30" s="12"/>
      <c r="AV30" s="12"/>
      <c r="AW30" s="12"/>
      <c r="AX30" s="12"/>
      <c r="AY30" s="12"/>
      <c r="AZ30" s="547"/>
      <c r="BA30" s="547"/>
      <c r="BB30" s="547"/>
      <c r="BC30" s="547"/>
      <c r="BD30" s="547"/>
      <c r="BE30" s="547"/>
      <c r="BF30" s="12"/>
      <c r="BG30" s="12"/>
      <c r="BH30" s="12"/>
      <c r="BI30" s="12"/>
      <c r="BJ30" s="12"/>
      <c r="BK30" s="12"/>
      <c r="BL30" s="547"/>
      <c r="BM30" s="547"/>
      <c r="BN30" s="547"/>
      <c r="BO30" s="547"/>
      <c r="BP30" s="547"/>
      <c r="BQ30" s="547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547"/>
      <c r="CF30" s="547"/>
      <c r="CG30" s="547"/>
      <c r="CH30" s="547"/>
      <c r="CI30" s="547"/>
      <c r="CJ30" s="547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547"/>
      <c r="CX30" s="547"/>
      <c r="CY30" s="547"/>
      <c r="CZ30" s="547"/>
      <c r="DA30" s="547"/>
      <c r="DB30" s="547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547"/>
      <c r="DR30" s="547"/>
      <c r="DS30" s="547"/>
      <c r="DT30" s="547"/>
      <c r="DU30" s="547"/>
      <c r="DV30" s="547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547"/>
      <c r="EL30" s="547"/>
      <c r="EM30" s="547"/>
      <c r="EN30" s="547"/>
      <c r="EO30" s="547"/>
      <c r="EP30" s="547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547"/>
      <c r="FQ30" s="547"/>
      <c r="FR30" s="547"/>
      <c r="FS30" s="547"/>
      <c r="FT30" s="547"/>
      <c r="FU30" s="547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547"/>
      <c r="GN30" s="547"/>
      <c r="GO30" s="547"/>
      <c r="GP30" s="547"/>
      <c r="GQ30" s="547"/>
      <c r="GR30" s="547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547"/>
      <c r="HI30" s="547"/>
      <c r="HJ30" s="547"/>
      <c r="HK30" s="547"/>
      <c r="HL30" s="547"/>
      <c r="HM30" s="547"/>
      <c r="HN30" s="6"/>
      <c r="HO30" s="12"/>
      <c r="HP30" s="12"/>
      <c r="HQ30" s="12"/>
      <c r="HS30" s="547"/>
      <c r="HT30" s="547"/>
      <c r="HU30" s="547"/>
      <c r="HV30" s="547"/>
      <c r="HW30" s="547"/>
      <c r="HX30" s="547"/>
      <c r="HY30" s="6"/>
      <c r="HZ30" s="12"/>
      <c r="IA30" s="12"/>
      <c r="IB30" s="12"/>
    </row>
    <row r="31" spans="1:236" ht="14.45" customHeight="1" x14ac:dyDescent="0.25">
      <c r="A31" s="58"/>
      <c r="B31" s="12"/>
      <c r="C31" s="704" t="s">
        <v>186</v>
      </c>
      <c r="D31" s="704"/>
      <c r="E31" s="704"/>
      <c r="F31" s="704"/>
      <c r="G31" s="704"/>
      <c r="H31" s="203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546"/>
      <c r="S31" s="546"/>
      <c r="T31" s="546"/>
      <c r="U31" s="12"/>
      <c r="V31" s="12"/>
      <c r="W31" s="12"/>
      <c r="X31" s="12"/>
      <c r="Y31" s="12"/>
      <c r="Z31" s="6"/>
      <c r="AA31" s="547"/>
      <c r="AB31" s="547"/>
      <c r="AC31" s="547"/>
      <c r="AD31" s="547"/>
      <c r="AE31" s="547"/>
      <c r="AF31" s="547"/>
      <c r="AG31" s="12"/>
      <c r="AH31" s="12"/>
      <c r="AI31" s="12"/>
      <c r="AJ31" s="12"/>
      <c r="AL31" s="547"/>
      <c r="AM31" s="547"/>
      <c r="AN31" s="547"/>
      <c r="AO31" s="547"/>
      <c r="AP31" s="547"/>
      <c r="AQ31" s="547"/>
      <c r="AR31" s="12"/>
      <c r="AS31" s="12"/>
      <c r="AT31" s="12"/>
      <c r="AU31" s="12"/>
      <c r="AV31" s="12"/>
      <c r="AW31" s="12"/>
      <c r="AX31" s="12"/>
      <c r="AY31" s="12"/>
      <c r="AZ31" s="547"/>
      <c r="BA31" s="547"/>
      <c r="BB31" s="547"/>
      <c r="BC31" s="547"/>
      <c r="BD31" s="547"/>
      <c r="BE31" s="547"/>
      <c r="BF31" s="12"/>
      <c r="BG31" s="12"/>
      <c r="BH31" s="12"/>
      <c r="BI31" s="12"/>
      <c r="BJ31" s="12"/>
      <c r="BK31" s="12"/>
      <c r="BL31" s="547"/>
      <c r="BM31" s="547"/>
      <c r="BN31" s="547"/>
      <c r="BO31" s="547"/>
      <c r="BP31" s="547"/>
      <c r="BQ31" s="547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547"/>
      <c r="CF31" s="547"/>
      <c r="CG31" s="547"/>
      <c r="CH31" s="547"/>
      <c r="CI31" s="547"/>
      <c r="CJ31" s="547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547"/>
      <c r="CX31" s="547"/>
      <c r="CY31" s="547"/>
      <c r="CZ31" s="547"/>
      <c r="DA31" s="547"/>
      <c r="DB31" s="547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547"/>
      <c r="DR31" s="547"/>
      <c r="DS31" s="547"/>
      <c r="DT31" s="547"/>
      <c r="DU31" s="547"/>
      <c r="DV31" s="547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547"/>
      <c r="EL31" s="547"/>
      <c r="EM31" s="547"/>
      <c r="EN31" s="547"/>
      <c r="EO31" s="547"/>
      <c r="EP31" s="547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547"/>
      <c r="FQ31" s="547"/>
      <c r="FR31" s="547"/>
      <c r="FS31" s="547"/>
      <c r="FT31" s="547"/>
      <c r="FU31" s="547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547"/>
      <c r="GN31" s="547"/>
      <c r="GO31" s="547"/>
      <c r="GP31" s="547"/>
      <c r="GQ31" s="547"/>
      <c r="GR31" s="547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547"/>
      <c r="HI31" s="547"/>
      <c r="HJ31" s="547"/>
      <c r="HK31" s="547"/>
      <c r="HL31" s="547"/>
      <c r="HM31" s="547"/>
      <c r="HN31" s="12"/>
      <c r="HO31" s="12"/>
      <c r="HP31" s="12"/>
      <c r="HQ31" s="12"/>
      <c r="HS31" s="547"/>
      <c r="HT31" s="547"/>
      <c r="HU31" s="547"/>
      <c r="HV31" s="547"/>
      <c r="HW31" s="547"/>
      <c r="HX31" s="547"/>
      <c r="HY31" s="12"/>
      <c r="HZ31" s="12"/>
      <c r="IA31" s="12"/>
      <c r="IB31" s="12"/>
    </row>
    <row r="32" spans="1:236" ht="14.45" customHeight="1" x14ac:dyDescent="0.25">
      <c r="A32" s="58"/>
      <c r="B32" s="12"/>
      <c r="C32" s="704" t="s">
        <v>187</v>
      </c>
      <c r="D32" s="704"/>
      <c r="E32" s="704"/>
      <c r="F32" s="704"/>
      <c r="G32" s="704"/>
      <c r="H32" s="203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546"/>
      <c r="S32" s="546"/>
      <c r="T32" s="546"/>
      <c r="U32" s="12"/>
      <c r="V32" s="12"/>
      <c r="W32" s="12"/>
      <c r="X32" s="12"/>
      <c r="Y32" s="12"/>
      <c r="Z32" s="6"/>
      <c r="AA32" s="547"/>
      <c r="AB32" s="547"/>
      <c r="AC32" s="547"/>
      <c r="AD32" s="547"/>
      <c r="AE32" s="547"/>
      <c r="AF32" s="547"/>
      <c r="AG32" s="12"/>
      <c r="AH32" s="12"/>
      <c r="AI32" s="12"/>
      <c r="AJ32" s="12"/>
      <c r="AL32" s="547"/>
      <c r="AM32" s="547"/>
      <c r="AN32" s="547"/>
      <c r="AO32" s="547"/>
      <c r="AP32" s="547"/>
      <c r="AQ32" s="547"/>
      <c r="AR32" s="12"/>
      <c r="AS32" s="12"/>
      <c r="AT32" s="12"/>
      <c r="AU32" s="12"/>
      <c r="AV32" s="12"/>
      <c r="AW32" s="12"/>
      <c r="AX32" s="12"/>
      <c r="AY32" s="12"/>
      <c r="AZ32" s="547"/>
      <c r="BA32" s="547"/>
      <c r="BB32" s="547"/>
      <c r="BC32" s="547"/>
      <c r="BD32" s="547"/>
      <c r="BE32" s="547"/>
      <c r="BF32" s="12"/>
      <c r="BG32" s="12"/>
      <c r="BH32" s="12"/>
      <c r="BI32" s="12"/>
      <c r="BJ32" s="12"/>
      <c r="BK32" s="12"/>
      <c r="BL32" s="547"/>
      <c r="BM32" s="547"/>
      <c r="BN32" s="547"/>
      <c r="BO32" s="547"/>
      <c r="BP32" s="547"/>
      <c r="BQ32" s="547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547"/>
      <c r="CF32" s="547"/>
      <c r="CG32" s="547"/>
      <c r="CH32" s="547"/>
      <c r="CI32" s="547"/>
      <c r="CJ32" s="547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547"/>
      <c r="CX32" s="547"/>
      <c r="CY32" s="547"/>
      <c r="CZ32" s="547"/>
      <c r="DA32" s="547"/>
      <c r="DB32" s="547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547"/>
      <c r="DR32" s="547"/>
      <c r="DS32" s="547"/>
      <c r="DT32" s="547"/>
      <c r="DU32" s="547"/>
      <c r="DV32" s="547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547"/>
      <c r="EL32" s="547"/>
      <c r="EM32" s="547"/>
      <c r="EN32" s="547"/>
      <c r="EO32" s="547"/>
      <c r="EP32" s="547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547"/>
      <c r="FQ32" s="547"/>
      <c r="FR32" s="547"/>
      <c r="FS32" s="547"/>
      <c r="FT32" s="547"/>
      <c r="FU32" s="547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547"/>
      <c r="GN32" s="547"/>
      <c r="GO32" s="547"/>
      <c r="GP32" s="547"/>
      <c r="GQ32" s="547"/>
      <c r="GR32" s="547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547"/>
      <c r="HI32" s="547"/>
      <c r="HJ32" s="547"/>
      <c r="HK32" s="547"/>
      <c r="HL32" s="547"/>
      <c r="HM32" s="547"/>
      <c r="HN32" s="12"/>
      <c r="HO32" s="12"/>
      <c r="HP32" s="12"/>
      <c r="HQ32" s="12"/>
      <c r="HS32" s="547"/>
      <c r="HT32" s="547"/>
      <c r="HU32" s="547"/>
      <c r="HV32" s="547"/>
      <c r="HW32" s="547"/>
      <c r="HX32" s="547"/>
      <c r="HY32" s="12"/>
      <c r="HZ32" s="12"/>
      <c r="IA32" s="12"/>
      <c r="IB32" s="12"/>
    </row>
    <row r="33" spans="1:236" ht="14.45" customHeight="1" x14ac:dyDescent="0.25">
      <c r="A33" s="58"/>
      <c r="B33" s="12"/>
      <c r="C33" s="704" t="s">
        <v>197</v>
      </c>
      <c r="D33" s="704"/>
      <c r="E33" s="704"/>
      <c r="F33" s="704"/>
      <c r="G33" s="704"/>
      <c r="H33" s="203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546"/>
      <c r="S33" s="546"/>
      <c r="T33" s="546"/>
      <c r="U33" s="12"/>
      <c r="V33" s="12"/>
      <c r="W33" s="12"/>
      <c r="X33" s="12"/>
      <c r="Y33" s="12"/>
      <c r="Z33" s="6"/>
      <c r="AA33" s="547"/>
      <c r="AB33" s="547"/>
      <c r="AC33" s="547"/>
      <c r="AD33" s="547"/>
      <c r="AE33" s="547"/>
      <c r="AF33" s="547"/>
      <c r="AG33" s="12"/>
      <c r="AH33" s="12"/>
      <c r="AI33" s="12"/>
      <c r="AJ33" s="12"/>
      <c r="AL33" s="547"/>
      <c r="AM33" s="547"/>
      <c r="AN33" s="547"/>
      <c r="AO33" s="547"/>
      <c r="AP33" s="547"/>
      <c r="AQ33" s="547"/>
      <c r="AR33" s="12"/>
      <c r="AS33" s="12"/>
      <c r="AT33" s="12"/>
      <c r="AU33" s="12"/>
      <c r="AV33" s="12"/>
      <c r="AW33" s="12"/>
      <c r="AX33" s="12"/>
      <c r="AY33" s="12"/>
      <c r="AZ33" s="547"/>
      <c r="BA33" s="547"/>
      <c r="BB33" s="547"/>
      <c r="BC33" s="547"/>
      <c r="BD33" s="547"/>
      <c r="BE33" s="547"/>
      <c r="BF33" s="12"/>
      <c r="BG33" s="12"/>
      <c r="BH33" s="12"/>
      <c r="BI33" s="12"/>
      <c r="BJ33" s="12"/>
      <c r="BK33" s="12"/>
      <c r="BL33" s="547"/>
      <c r="BM33" s="547"/>
      <c r="BN33" s="547"/>
      <c r="BO33" s="547"/>
      <c r="BP33" s="547"/>
      <c r="BQ33" s="547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547"/>
      <c r="CF33" s="547"/>
      <c r="CG33" s="547"/>
      <c r="CH33" s="547"/>
      <c r="CI33" s="547"/>
      <c r="CJ33" s="547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547"/>
      <c r="CX33" s="547"/>
      <c r="CY33" s="547"/>
      <c r="CZ33" s="547"/>
      <c r="DA33" s="547"/>
      <c r="DB33" s="547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547"/>
      <c r="DR33" s="547"/>
      <c r="DS33" s="547"/>
      <c r="DT33" s="547"/>
      <c r="DU33" s="547"/>
      <c r="DV33" s="547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547"/>
      <c r="EL33" s="547"/>
      <c r="EM33" s="547"/>
      <c r="EN33" s="547"/>
      <c r="EO33" s="547"/>
      <c r="EP33" s="547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547"/>
      <c r="FQ33" s="547"/>
      <c r="FR33" s="547"/>
      <c r="FS33" s="547"/>
      <c r="FT33" s="547"/>
      <c r="FU33" s="547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547"/>
      <c r="GN33" s="547"/>
      <c r="GO33" s="547"/>
      <c r="GP33" s="547"/>
      <c r="GQ33" s="547"/>
      <c r="GR33" s="547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547"/>
      <c r="HI33" s="547"/>
      <c r="HJ33" s="547"/>
      <c r="HK33" s="547"/>
      <c r="HL33" s="547"/>
      <c r="HM33" s="547"/>
      <c r="HN33" s="12"/>
      <c r="HO33" s="12"/>
      <c r="HP33" s="12"/>
      <c r="HQ33" s="12"/>
      <c r="HS33" s="547"/>
      <c r="HT33" s="547"/>
      <c r="HU33" s="547"/>
      <c r="HV33" s="547"/>
      <c r="HW33" s="547"/>
      <c r="HX33" s="547"/>
      <c r="HY33" s="12"/>
      <c r="HZ33" s="12"/>
      <c r="IA33" s="12"/>
      <c r="IB33" s="12"/>
    </row>
    <row r="34" spans="1:236" ht="14.45" customHeight="1" x14ac:dyDescent="0.25">
      <c r="A34" s="58"/>
      <c r="B34" s="12"/>
      <c r="C34" s="704" t="s">
        <v>230</v>
      </c>
      <c r="D34" s="704"/>
      <c r="E34" s="704"/>
      <c r="F34" s="704"/>
      <c r="G34" s="704"/>
      <c r="H34" s="203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546"/>
      <c r="S34" s="546"/>
      <c r="T34" s="546"/>
      <c r="U34" s="12"/>
      <c r="V34" s="12"/>
      <c r="W34" s="12"/>
      <c r="X34" s="12"/>
      <c r="Y34" s="12"/>
      <c r="Z34" s="6"/>
      <c r="AA34" s="547"/>
      <c r="AB34" s="547"/>
      <c r="AC34" s="547"/>
      <c r="AD34" s="547"/>
      <c r="AE34" s="547"/>
      <c r="AF34" s="547"/>
      <c r="AG34" s="12"/>
      <c r="AH34" s="12"/>
      <c r="AI34" s="12"/>
      <c r="AJ34" s="12"/>
      <c r="AL34" s="547"/>
      <c r="AM34" s="547"/>
      <c r="AN34" s="547"/>
      <c r="AO34" s="547"/>
      <c r="AP34" s="547"/>
      <c r="AQ34" s="547"/>
      <c r="AR34" s="12"/>
      <c r="AS34" s="12"/>
      <c r="AT34" s="12"/>
      <c r="AU34" s="12"/>
      <c r="AV34" s="12"/>
      <c r="AW34" s="12"/>
      <c r="AX34" s="12"/>
      <c r="AY34" s="12"/>
      <c r="AZ34" s="547"/>
      <c r="BA34" s="547"/>
      <c r="BB34" s="547"/>
      <c r="BC34" s="547"/>
      <c r="BD34" s="547"/>
      <c r="BE34" s="547"/>
      <c r="BF34" s="12"/>
      <c r="BG34" s="12"/>
      <c r="BH34" s="12"/>
      <c r="BI34" s="12"/>
      <c r="BJ34" s="12"/>
      <c r="BK34" s="12"/>
      <c r="BL34" s="547"/>
      <c r="BM34" s="547"/>
      <c r="BN34" s="547"/>
      <c r="BO34" s="547"/>
      <c r="BP34" s="547"/>
      <c r="BQ34" s="547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547"/>
      <c r="CF34" s="547"/>
      <c r="CG34" s="547"/>
      <c r="CH34" s="547"/>
      <c r="CI34" s="547"/>
      <c r="CJ34" s="547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547"/>
      <c r="CX34" s="547"/>
      <c r="CY34" s="547"/>
      <c r="CZ34" s="547"/>
      <c r="DA34" s="547"/>
      <c r="DB34" s="547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547"/>
      <c r="DR34" s="547"/>
      <c r="DS34" s="547"/>
      <c r="DT34" s="547"/>
      <c r="DU34" s="547"/>
      <c r="DV34" s="547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547"/>
      <c r="EL34" s="547"/>
      <c r="EM34" s="547"/>
      <c r="EN34" s="547"/>
      <c r="EO34" s="547"/>
      <c r="EP34" s="547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547"/>
      <c r="FQ34" s="547"/>
      <c r="FR34" s="547"/>
      <c r="FS34" s="547"/>
      <c r="FT34" s="547"/>
      <c r="FU34" s="547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547"/>
      <c r="GN34" s="547"/>
      <c r="GO34" s="547"/>
      <c r="GP34" s="547"/>
      <c r="GQ34" s="547"/>
      <c r="GR34" s="547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547"/>
      <c r="HI34" s="547"/>
      <c r="HJ34" s="547"/>
      <c r="HK34" s="547"/>
      <c r="HL34" s="547"/>
      <c r="HM34" s="547"/>
      <c r="HN34" s="12"/>
      <c r="HO34" s="12"/>
      <c r="HP34" s="12"/>
      <c r="HQ34" s="12"/>
      <c r="HS34" s="547"/>
      <c r="HT34" s="547"/>
      <c r="HU34" s="547"/>
      <c r="HV34" s="547"/>
      <c r="HW34" s="547"/>
      <c r="HX34" s="547"/>
      <c r="HY34" s="12"/>
      <c r="HZ34" s="12"/>
      <c r="IA34" s="12"/>
      <c r="IB34" s="12"/>
    </row>
    <row r="35" spans="1:236" ht="14.45" customHeight="1" x14ac:dyDescent="0.25">
      <c r="A35" s="58"/>
      <c r="B35" s="12"/>
      <c r="C35" s="704" t="s">
        <v>276</v>
      </c>
      <c r="D35" s="704"/>
      <c r="E35" s="704"/>
      <c r="F35" s="704"/>
      <c r="G35" s="704"/>
      <c r="H35" s="203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546"/>
      <c r="S35" s="546"/>
      <c r="T35" s="546"/>
      <c r="U35" s="12"/>
      <c r="V35" s="12"/>
      <c r="W35" s="12"/>
      <c r="X35" s="12"/>
      <c r="Y35" s="12"/>
      <c r="Z35" s="6"/>
      <c r="AA35" s="547"/>
      <c r="AB35" s="547"/>
      <c r="AC35" s="547"/>
      <c r="AD35" s="547"/>
      <c r="AE35" s="547"/>
      <c r="AF35" s="547"/>
      <c r="AG35" s="12"/>
      <c r="AH35" s="12"/>
      <c r="AI35" s="12"/>
      <c r="AJ35" s="12"/>
      <c r="AL35" s="547"/>
      <c r="AM35" s="547"/>
      <c r="AN35" s="547"/>
      <c r="AO35" s="547"/>
      <c r="AP35" s="547"/>
      <c r="AQ35" s="547"/>
      <c r="AR35" s="12"/>
      <c r="AS35" s="12"/>
      <c r="AT35" s="12"/>
      <c r="AU35" s="12"/>
      <c r="AV35" s="12"/>
      <c r="AW35" s="12"/>
      <c r="AX35" s="12"/>
      <c r="AY35" s="12"/>
      <c r="AZ35" s="547"/>
      <c r="BA35" s="547"/>
      <c r="BB35" s="547"/>
      <c r="BC35" s="547"/>
      <c r="BD35" s="547"/>
      <c r="BE35" s="547"/>
      <c r="BF35" s="12"/>
      <c r="BG35" s="12"/>
      <c r="BH35" s="12"/>
      <c r="BI35" s="12"/>
      <c r="BJ35" s="12"/>
      <c r="BK35" s="12"/>
      <c r="BL35" s="547"/>
      <c r="BM35" s="547"/>
      <c r="BN35" s="547"/>
      <c r="BO35" s="547"/>
      <c r="BP35" s="547"/>
      <c r="BQ35" s="547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547"/>
      <c r="CF35" s="547"/>
      <c r="CG35" s="547"/>
      <c r="CH35" s="547"/>
      <c r="CI35" s="547"/>
      <c r="CJ35" s="547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547"/>
      <c r="CX35" s="547"/>
      <c r="CY35" s="547"/>
      <c r="CZ35" s="547"/>
      <c r="DA35" s="547"/>
      <c r="DB35" s="547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547"/>
      <c r="DR35" s="547"/>
      <c r="DS35" s="547"/>
      <c r="DT35" s="547"/>
      <c r="DU35" s="547"/>
      <c r="DV35" s="547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547"/>
      <c r="EL35" s="547"/>
      <c r="EM35" s="547"/>
      <c r="EN35" s="547"/>
      <c r="EO35" s="547"/>
      <c r="EP35" s="547"/>
      <c r="EQ35" s="12"/>
      <c r="ER35" s="12"/>
      <c r="ES35" s="244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547"/>
      <c r="FQ35" s="547"/>
      <c r="FR35" s="547"/>
      <c r="FS35" s="547"/>
      <c r="FT35" s="547"/>
      <c r="FU35" s="547"/>
      <c r="FV35" s="12"/>
      <c r="FW35" s="12"/>
      <c r="FX35" s="244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547"/>
      <c r="GN35" s="547"/>
      <c r="GO35" s="547"/>
      <c r="GP35" s="547"/>
      <c r="GQ35" s="547"/>
      <c r="GR35" s="547"/>
      <c r="GS35" s="12"/>
      <c r="GT35" s="244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547"/>
      <c r="HI35" s="547"/>
      <c r="HJ35" s="547"/>
      <c r="HK35" s="547"/>
      <c r="HL35" s="547"/>
      <c r="HM35" s="547"/>
      <c r="HN35" s="12"/>
      <c r="HO35" s="244"/>
      <c r="HP35" s="12"/>
      <c r="HQ35" s="12"/>
      <c r="HS35" s="547"/>
      <c r="HT35" s="547"/>
      <c r="HU35" s="547"/>
      <c r="HV35" s="547"/>
      <c r="HW35" s="547"/>
      <c r="HX35" s="547"/>
      <c r="HY35" s="12"/>
      <c r="HZ35" s="244"/>
      <c r="IA35" s="12"/>
      <c r="IB35" s="12"/>
    </row>
    <row r="36" spans="1:236" ht="14.45" customHeight="1" x14ac:dyDescent="0.25">
      <c r="A36" s="58"/>
      <c r="B36" s="12"/>
      <c r="C36" s="704" t="s">
        <v>198</v>
      </c>
      <c r="D36" s="704"/>
      <c r="E36" s="704"/>
      <c r="F36" s="704"/>
      <c r="G36" s="704"/>
      <c r="H36" s="203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546"/>
      <c r="S36" s="546"/>
      <c r="T36" s="546"/>
      <c r="U36" s="12"/>
      <c r="V36" s="12"/>
      <c r="W36" s="12"/>
      <c r="X36" s="12"/>
      <c r="Y36" s="12"/>
      <c r="Z36" s="6"/>
      <c r="AA36" s="547"/>
      <c r="AB36" s="547"/>
      <c r="AC36" s="547"/>
      <c r="AD36" s="547"/>
      <c r="AE36" s="547"/>
      <c r="AF36" s="547"/>
      <c r="AG36" s="12"/>
      <c r="AH36" s="12"/>
      <c r="AI36" s="12"/>
      <c r="AJ36" s="12"/>
      <c r="AL36" s="547"/>
      <c r="AM36" s="547"/>
      <c r="AN36" s="547"/>
      <c r="AO36" s="547"/>
      <c r="AP36" s="547"/>
      <c r="AQ36" s="547"/>
      <c r="AR36" s="12"/>
      <c r="AS36" s="12"/>
      <c r="AT36" s="12"/>
      <c r="AU36" s="12"/>
      <c r="AV36" s="12"/>
      <c r="AW36" s="12"/>
      <c r="AX36" s="12"/>
      <c r="AY36" s="12"/>
      <c r="AZ36" s="547"/>
      <c r="BA36" s="547"/>
      <c r="BB36" s="547"/>
      <c r="BC36" s="547"/>
      <c r="BD36" s="547"/>
      <c r="BE36" s="547"/>
      <c r="BF36" s="12"/>
      <c r="BG36" s="12"/>
      <c r="BH36" s="12"/>
      <c r="BI36" s="12"/>
      <c r="BJ36" s="12"/>
      <c r="BK36" s="12"/>
      <c r="BL36" s="547"/>
      <c r="BM36" s="547"/>
      <c r="BN36" s="547"/>
      <c r="BO36" s="547"/>
      <c r="BP36" s="547"/>
      <c r="BQ36" s="547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547"/>
      <c r="CF36" s="547"/>
      <c r="CG36" s="547"/>
      <c r="CH36" s="547"/>
      <c r="CI36" s="547"/>
      <c r="CJ36" s="547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547"/>
      <c r="CX36" s="547"/>
      <c r="CY36" s="547"/>
      <c r="CZ36" s="547"/>
      <c r="DA36" s="547"/>
      <c r="DB36" s="547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547"/>
      <c r="DR36" s="547"/>
      <c r="DS36" s="547"/>
      <c r="DT36" s="547"/>
      <c r="DU36" s="547"/>
      <c r="DV36" s="547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547"/>
      <c r="EL36" s="547"/>
      <c r="EM36" s="547"/>
      <c r="EN36" s="547"/>
      <c r="EO36" s="547"/>
      <c r="EP36" s="547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547"/>
      <c r="FQ36" s="547"/>
      <c r="FR36" s="547"/>
      <c r="FS36" s="547"/>
      <c r="FT36" s="547"/>
      <c r="FU36" s="547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547"/>
      <c r="GN36" s="547"/>
      <c r="GO36" s="547"/>
      <c r="GP36" s="547"/>
      <c r="GQ36" s="547"/>
      <c r="GR36" s="547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547"/>
      <c r="HI36" s="547"/>
      <c r="HJ36" s="547"/>
      <c r="HK36" s="547"/>
      <c r="HL36" s="547"/>
      <c r="HM36" s="547"/>
      <c r="HN36" s="12"/>
      <c r="HO36" s="12"/>
      <c r="HP36" s="12"/>
      <c r="HQ36" s="12"/>
      <c r="HS36" s="547"/>
      <c r="HT36" s="547"/>
      <c r="HU36" s="547"/>
      <c r="HV36" s="547"/>
      <c r="HW36" s="547"/>
      <c r="HX36" s="547"/>
      <c r="HY36" s="12"/>
      <c r="HZ36" s="12"/>
      <c r="IA36" s="12"/>
      <c r="IB36" s="12"/>
    </row>
    <row r="37" spans="1:236" ht="14.45" customHeight="1" x14ac:dyDescent="0.25">
      <c r="A37" s="58"/>
      <c r="B37" s="12"/>
      <c r="C37" s="704" t="s">
        <v>219</v>
      </c>
      <c r="D37" s="704"/>
      <c r="E37" s="704"/>
      <c r="F37" s="704"/>
      <c r="G37" s="704"/>
      <c r="H37" s="203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546"/>
      <c r="S37" s="546"/>
      <c r="T37" s="546"/>
      <c r="U37" s="12"/>
      <c r="V37" s="12"/>
      <c r="W37" s="12"/>
      <c r="X37" s="12"/>
      <c r="Y37" s="12"/>
      <c r="Z37" s="6"/>
      <c r="AA37" s="547"/>
      <c r="AB37" s="547"/>
      <c r="AC37" s="547"/>
      <c r="AD37" s="547"/>
      <c r="AE37" s="547"/>
      <c r="AF37" s="547"/>
      <c r="AG37" s="12"/>
      <c r="AH37" s="12"/>
      <c r="AI37" s="12"/>
      <c r="AJ37" s="12"/>
      <c r="AL37" s="547"/>
      <c r="AM37" s="547"/>
      <c r="AN37" s="547"/>
      <c r="AO37" s="547"/>
      <c r="AP37" s="547"/>
      <c r="AQ37" s="547"/>
      <c r="AR37" s="12"/>
      <c r="AS37" s="12"/>
      <c r="AT37" s="12"/>
      <c r="AU37" s="12"/>
      <c r="AV37" s="12"/>
      <c r="AW37" s="12"/>
      <c r="AX37" s="12"/>
      <c r="AY37" s="12"/>
      <c r="AZ37" s="547"/>
      <c r="BA37" s="547"/>
      <c r="BB37" s="547"/>
      <c r="BC37" s="547"/>
      <c r="BD37" s="547"/>
      <c r="BE37" s="547"/>
      <c r="BF37" s="12"/>
      <c r="BG37" s="12"/>
      <c r="BH37" s="12"/>
      <c r="BI37" s="12"/>
      <c r="BJ37" s="12"/>
      <c r="BK37" s="12"/>
      <c r="BL37" s="547"/>
      <c r="BM37" s="547"/>
      <c r="BN37" s="547"/>
      <c r="BO37" s="547"/>
      <c r="BP37" s="547"/>
      <c r="BQ37" s="547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547"/>
      <c r="CF37" s="547"/>
      <c r="CG37" s="547"/>
      <c r="CH37" s="547"/>
      <c r="CI37" s="547"/>
      <c r="CJ37" s="547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547"/>
      <c r="CX37" s="547"/>
      <c r="CY37" s="547"/>
      <c r="CZ37" s="547"/>
      <c r="DA37" s="547"/>
      <c r="DB37" s="547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547"/>
      <c r="DR37" s="547"/>
      <c r="DS37" s="547"/>
      <c r="DT37" s="547"/>
      <c r="DU37" s="547"/>
      <c r="DV37" s="547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547"/>
      <c r="EL37" s="547"/>
      <c r="EM37" s="547"/>
      <c r="EN37" s="547"/>
      <c r="EO37" s="547"/>
      <c r="EP37" s="547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547"/>
      <c r="FQ37" s="547"/>
      <c r="FR37" s="547"/>
      <c r="FS37" s="547"/>
      <c r="FT37" s="547"/>
      <c r="FU37" s="547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547"/>
      <c r="GN37" s="547"/>
      <c r="GO37" s="547"/>
      <c r="GP37" s="547"/>
      <c r="GQ37" s="547"/>
      <c r="GR37" s="547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547"/>
      <c r="HI37" s="547"/>
      <c r="HJ37" s="547"/>
      <c r="HK37" s="547"/>
      <c r="HL37" s="547"/>
      <c r="HM37" s="547"/>
      <c r="HN37" s="12"/>
      <c r="HO37" s="12"/>
      <c r="HP37" s="12"/>
      <c r="HQ37" s="12"/>
      <c r="HS37" s="547"/>
      <c r="HT37" s="547"/>
      <c r="HU37" s="547"/>
      <c r="HV37" s="547"/>
      <c r="HW37" s="547"/>
      <c r="HX37" s="547"/>
      <c r="HY37" s="12"/>
      <c r="HZ37" s="12"/>
      <c r="IA37" s="12"/>
      <c r="IB37" s="12"/>
    </row>
    <row r="38" spans="1:236" ht="14.45" customHeight="1" x14ac:dyDescent="0.25">
      <c r="A38" s="58"/>
      <c r="B38" s="12"/>
      <c r="C38" s="704" t="s">
        <v>206</v>
      </c>
      <c r="D38" s="704"/>
      <c r="E38" s="704"/>
      <c r="F38" s="704"/>
      <c r="G38" s="704"/>
      <c r="H38" s="203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546"/>
      <c r="S38" s="546"/>
      <c r="T38" s="546"/>
      <c r="U38" s="12"/>
      <c r="V38" s="12"/>
      <c r="W38" s="12"/>
      <c r="X38" s="12"/>
      <c r="Y38" s="12"/>
      <c r="Z38" s="6"/>
      <c r="AA38" s="547"/>
      <c r="AB38" s="547"/>
      <c r="AC38" s="547"/>
      <c r="AD38" s="547"/>
      <c r="AE38" s="547"/>
      <c r="AF38" s="547"/>
      <c r="AG38" s="12"/>
      <c r="AH38" s="12"/>
      <c r="AI38" s="12"/>
      <c r="AJ38" s="12"/>
      <c r="AL38" s="547"/>
      <c r="AM38" s="547"/>
      <c r="AN38" s="547"/>
      <c r="AO38" s="547"/>
      <c r="AP38" s="547"/>
      <c r="AQ38" s="547"/>
      <c r="AR38" s="12"/>
      <c r="AS38" s="12"/>
      <c r="AT38" s="12"/>
      <c r="AU38" s="12"/>
      <c r="AV38" s="12"/>
      <c r="AW38" s="12"/>
      <c r="AX38" s="12"/>
      <c r="AY38" s="12"/>
      <c r="AZ38" s="547"/>
      <c r="BA38" s="547"/>
      <c r="BB38" s="547"/>
      <c r="BC38" s="547"/>
      <c r="BD38" s="547"/>
      <c r="BE38" s="547"/>
      <c r="BF38" s="12"/>
      <c r="BG38" s="12"/>
      <c r="BH38" s="12"/>
      <c r="BI38" s="12"/>
      <c r="BJ38" s="12"/>
      <c r="BK38" s="12"/>
      <c r="BL38" s="547"/>
      <c r="BM38" s="547"/>
      <c r="BN38" s="547"/>
      <c r="BO38" s="547"/>
      <c r="BP38" s="547"/>
      <c r="BQ38" s="547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547"/>
      <c r="CF38" s="547"/>
      <c r="CG38" s="547"/>
      <c r="CH38" s="547"/>
      <c r="CI38" s="547"/>
      <c r="CJ38" s="547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547"/>
      <c r="CX38" s="547"/>
      <c r="CY38" s="547"/>
      <c r="CZ38" s="547"/>
      <c r="DA38" s="547"/>
      <c r="DB38" s="547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547"/>
      <c r="DR38" s="547"/>
      <c r="DS38" s="547"/>
      <c r="DT38" s="547"/>
      <c r="DU38" s="547"/>
      <c r="DV38" s="547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547"/>
      <c r="EL38" s="547"/>
      <c r="EM38" s="547"/>
      <c r="EN38" s="547"/>
      <c r="EO38" s="547"/>
      <c r="EP38" s="547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547"/>
      <c r="FQ38" s="547"/>
      <c r="FR38" s="547"/>
      <c r="FS38" s="547"/>
      <c r="FT38" s="547"/>
      <c r="FU38" s="547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547"/>
      <c r="GN38" s="547"/>
      <c r="GO38" s="547"/>
      <c r="GP38" s="547"/>
      <c r="GQ38" s="547"/>
      <c r="GR38" s="547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547"/>
      <c r="HI38" s="547"/>
      <c r="HJ38" s="547"/>
      <c r="HK38" s="547"/>
      <c r="HL38" s="547"/>
      <c r="HM38" s="547"/>
      <c r="HN38" s="12"/>
      <c r="HO38" s="12"/>
      <c r="HP38" s="12"/>
      <c r="HQ38" s="12"/>
      <c r="HS38" s="547"/>
      <c r="HT38" s="547"/>
      <c r="HU38" s="547"/>
      <c r="HV38" s="547"/>
      <c r="HW38" s="547"/>
      <c r="HX38" s="547"/>
      <c r="HY38" s="12"/>
      <c r="HZ38" s="12"/>
      <c r="IA38" s="12"/>
      <c r="IB38" s="12"/>
    </row>
    <row r="39" spans="1:236" ht="14.45" customHeight="1" x14ac:dyDescent="0.25">
      <c r="A39" s="58"/>
      <c r="B39" s="12"/>
      <c r="C39" s="704" t="s">
        <v>200</v>
      </c>
      <c r="D39" s="704"/>
      <c r="E39" s="704"/>
      <c r="F39" s="704"/>
      <c r="G39" s="704"/>
      <c r="H39" s="203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546"/>
      <c r="S39" s="546"/>
      <c r="T39" s="546"/>
      <c r="U39" s="12"/>
      <c r="V39" s="12"/>
      <c r="W39" s="12"/>
      <c r="X39" s="12"/>
      <c r="Y39" s="12"/>
      <c r="Z39" s="6"/>
      <c r="AA39" s="547"/>
      <c r="AB39" s="547"/>
      <c r="AC39" s="547"/>
      <c r="AD39" s="547"/>
      <c r="AE39" s="547"/>
      <c r="AF39" s="547"/>
      <c r="AG39" s="12"/>
      <c r="AH39" s="12"/>
      <c r="AI39" s="12"/>
      <c r="AJ39" s="12"/>
      <c r="AL39" s="547"/>
      <c r="AM39" s="547"/>
      <c r="AN39" s="547"/>
      <c r="AO39" s="547"/>
      <c r="AP39" s="547"/>
      <c r="AQ39" s="547"/>
      <c r="AR39" s="12"/>
      <c r="AS39" s="12"/>
      <c r="AT39" s="12"/>
      <c r="AU39" s="12"/>
      <c r="AV39" s="12"/>
      <c r="AW39" s="12"/>
      <c r="AX39" s="12"/>
      <c r="AY39" s="12"/>
      <c r="AZ39" s="547"/>
      <c r="BA39" s="547"/>
      <c r="BB39" s="547"/>
      <c r="BC39" s="547"/>
      <c r="BD39" s="547"/>
      <c r="BE39" s="547"/>
      <c r="BF39" s="12"/>
      <c r="BG39" s="12"/>
      <c r="BH39" s="12"/>
      <c r="BI39" s="12"/>
      <c r="BJ39" s="12"/>
      <c r="BK39" s="12"/>
      <c r="BL39" s="547"/>
      <c r="BM39" s="547"/>
      <c r="BN39" s="547"/>
      <c r="BO39" s="547"/>
      <c r="BP39" s="547"/>
      <c r="BQ39" s="547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547"/>
      <c r="CF39" s="547"/>
      <c r="CG39" s="547"/>
      <c r="CH39" s="547"/>
      <c r="CI39" s="547"/>
      <c r="CJ39" s="547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547"/>
      <c r="CX39" s="547"/>
      <c r="CY39" s="547"/>
      <c r="CZ39" s="547"/>
      <c r="DA39" s="547"/>
      <c r="DB39" s="547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547"/>
      <c r="DR39" s="547"/>
      <c r="DS39" s="547"/>
      <c r="DT39" s="547"/>
      <c r="DU39" s="547"/>
      <c r="DV39" s="547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547"/>
      <c r="EL39" s="547"/>
      <c r="EM39" s="547"/>
      <c r="EN39" s="547"/>
      <c r="EO39" s="547"/>
      <c r="EP39" s="547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547"/>
      <c r="FQ39" s="547"/>
      <c r="FR39" s="547"/>
      <c r="FS39" s="547"/>
      <c r="FT39" s="547"/>
      <c r="FU39" s="547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547"/>
      <c r="GN39" s="547"/>
      <c r="GO39" s="547"/>
      <c r="GP39" s="547"/>
      <c r="GQ39" s="547"/>
      <c r="GR39" s="547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547"/>
      <c r="HI39" s="547"/>
      <c r="HJ39" s="547"/>
      <c r="HK39" s="547"/>
      <c r="HL39" s="547"/>
      <c r="HM39" s="547"/>
      <c r="HN39" s="12"/>
      <c r="HO39" s="12"/>
      <c r="HP39" s="12"/>
      <c r="HQ39" s="12"/>
      <c r="HS39" s="547"/>
      <c r="HT39" s="547"/>
      <c r="HU39" s="547"/>
      <c r="HV39" s="547"/>
      <c r="HW39" s="547"/>
      <c r="HX39" s="547"/>
      <c r="HY39" s="12"/>
      <c r="HZ39" s="12"/>
      <c r="IA39" s="12"/>
      <c r="IB39" s="12"/>
    </row>
    <row r="40" spans="1:236" ht="14.45" customHeight="1" x14ac:dyDescent="0.25">
      <c r="A40" s="58"/>
      <c r="B40" s="12"/>
      <c r="C40" s="704" t="s">
        <v>199</v>
      </c>
      <c r="D40" s="704"/>
      <c r="E40" s="704"/>
      <c r="F40" s="704"/>
      <c r="G40" s="704"/>
      <c r="H40" s="203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546"/>
      <c r="S40" s="546"/>
      <c r="T40" s="546"/>
      <c r="U40" s="12"/>
      <c r="V40" s="12"/>
      <c r="W40" s="12"/>
      <c r="X40" s="12"/>
      <c r="Y40" s="12"/>
      <c r="Z40" s="6"/>
      <c r="AA40" s="547"/>
      <c r="AB40" s="547"/>
      <c r="AC40" s="547"/>
      <c r="AD40" s="547"/>
      <c r="AE40" s="547"/>
      <c r="AF40" s="547"/>
      <c r="AG40" s="12"/>
      <c r="AH40" s="12"/>
      <c r="AI40" s="12"/>
      <c r="AJ40" s="12"/>
      <c r="AL40" s="547"/>
      <c r="AM40" s="547"/>
      <c r="AN40" s="547"/>
      <c r="AO40" s="547"/>
      <c r="AP40" s="547"/>
      <c r="AQ40" s="547"/>
      <c r="AR40" s="12"/>
      <c r="AS40" s="12"/>
      <c r="AT40" s="12"/>
      <c r="AU40" s="12"/>
      <c r="AV40" s="12"/>
      <c r="AW40" s="12"/>
      <c r="AX40" s="12"/>
      <c r="AY40" s="12"/>
      <c r="AZ40" s="547"/>
      <c r="BA40" s="547"/>
      <c r="BB40" s="547"/>
      <c r="BC40" s="547"/>
      <c r="BD40" s="547"/>
      <c r="BE40" s="547"/>
      <c r="BF40" s="12"/>
      <c r="BG40" s="12"/>
      <c r="BH40" s="12"/>
      <c r="BI40" s="12"/>
      <c r="BJ40" s="12"/>
      <c r="BK40" s="12"/>
      <c r="BL40" s="547"/>
      <c r="BM40" s="547"/>
      <c r="BN40" s="547"/>
      <c r="BO40" s="547"/>
      <c r="BP40" s="547"/>
      <c r="BQ40" s="547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547"/>
      <c r="CF40" s="547"/>
      <c r="CG40" s="547"/>
      <c r="CH40" s="547"/>
      <c r="CI40" s="547"/>
      <c r="CJ40" s="547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547"/>
      <c r="CX40" s="547"/>
      <c r="CY40" s="547"/>
      <c r="CZ40" s="547"/>
      <c r="DA40" s="547"/>
      <c r="DB40" s="547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547"/>
      <c r="DR40" s="547"/>
      <c r="DS40" s="547"/>
      <c r="DT40" s="547"/>
      <c r="DU40" s="547"/>
      <c r="DV40" s="547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547"/>
      <c r="EL40" s="547"/>
      <c r="EM40" s="547"/>
      <c r="EN40" s="547"/>
      <c r="EO40" s="547"/>
      <c r="EP40" s="547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547"/>
      <c r="FQ40" s="547"/>
      <c r="FR40" s="547"/>
      <c r="FS40" s="547"/>
      <c r="FT40" s="547"/>
      <c r="FU40" s="547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547"/>
      <c r="GN40" s="547"/>
      <c r="GO40" s="547"/>
      <c r="GP40" s="547"/>
      <c r="GQ40" s="547"/>
      <c r="GR40" s="547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547"/>
      <c r="HI40" s="547"/>
      <c r="HJ40" s="547"/>
      <c r="HK40" s="547"/>
      <c r="HL40" s="547"/>
      <c r="HM40" s="547"/>
      <c r="HN40" s="12"/>
      <c r="HO40" s="12"/>
      <c r="HP40" s="12"/>
      <c r="HQ40" s="12"/>
      <c r="HS40" s="547"/>
      <c r="HT40" s="547"/>
      <c r="HU40" s="547"/>
      <c r="HV40" s="547"/>
      <c r="HW40" s="547"/>
      <c r="HX40" s="547"/>
      <c r="HY40" s="12"/>
      <c r="HZ40" s="12"/>
      <c r="IA40" s="12"/>
      <c r="IB40" s="12"/>
    </row>
    <row r="41" spans="1:236" ht="14.45" customHeight="1" x14ac:dyDescent="0.25">
      <c r="A41" s="58"/>
      <c r="B41" s="12"/>
      <c r="C41" s="704" t="s">
        <v>201</v>
      </c>
      <c r="D41" s="704"/>
      <c r="E41" s="704"/>
      <c r="F41" s="704"/>
      <c r="G41" s="704"/>
      <c r="H41" s="203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546"/>
      <c r="S41" s="546"/>
      <c r="T41" s="546"/>
      <c r="U41" s="12"/>
      <c r="V41" s="12"/>
      <c r="W41" s="12"/>
      <c r="X41" s="12"/>
      <c r="Y41" s="12"/>
      <c r="Z41" s="6"/>
      <c r="AA41" s="547"/>
      <c r="AB41" s="547"/>
      <c r="AC41" s="547"/>
      <c r="AD41" s="547"/>
      <c r="AE41" s="547"/>
      <c r="AF41" s="547"/>
      <c r="AG41" s="12"/>
      <c r="AH41" s="12"/>
      <c r="AI41" s="12"/>
      <c r="AJ41" s="12"/>
      <c r="AL41" s="547"/>
      <c r="AM41" s="547"/>
      <c r="AN41" s="547"/>
      <c r="AO41" s="547"/>
      <c r="AP41" s="547"/>
      <c r="AQ41" s="547"/>
      <c r="AR41" s="12"/>
      <c r="AS41" s="12"/>
      <c r="AT41" s="12"/>
      <c r="AU41" s="12"/>
      <c r="AV41" s="12"/>
      <c r="AW41" s="12"/>
      <c r="AX41" s="12"/>
      <c r="AY41" s="12"/>
      <c r="AZ41" s="547"/>
      <c r="BA41" s="547"/>
      <c r="BB41" s="547"/>
      <c r="BC41" s="547"/>
      <c r="BD41" s="547"/>
      <c r="BE41" s="547"/>
      <c r="BF41" s="12"/>
      <c r="BG41" s="12"/>
      <c r="BH41" s="12"/>
      <c r="BI41" s="12"/>
      <c r="BJ41" s="12"/>
      <c r="BK41" s="12"/>
      <c r="BL41" s="547"/>
      <c r="BM41" s="547"/>
      <c r="BN41" s="547"/>
      <c r="BO41" s="547"/>
      <c r="BP41" s="547"/>
      <c r="BQ41" s="547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547"/>
      <c r="CF41" s="547"/>
      <c r="CG41" s="547"/>
      <c r="CH41" s="547"/>
      <c r="CI41" s="547"/>
      <c r="CJ41" s="547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547"/>
      <c r="CX41" s="547"/>
      <c r="CY41" s="547"/>
      <c r="CZ41" s="547"/>
      <c r="DA41" s="547"/>
      <c r="DB41" s="547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547"/>
      <c r="DR41" s="547"/>
      <c r="DS41" s="547"/>
      <c r="DT41" s="547"/>
      <c r="DU41" s="547"/>
      <c r="DV41" s="547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547"/>
      <c r="EL41" s="547"/>
      <c r="EM41" s="547"/>
      <c r="EN41" s="547"/>
      <c r="EO41" s="547"/>
      <c r="EP41" s="547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547"/>
      <c r="FQ41" s="547"/>
      <c r="FR41" s="547"/>
      <c r="FS41" s="547"/>
      <c r="FT41" s="547"/>
      <c r="FU41" s="547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547"/>
      <c r="GN41" s="547"/>
      <c r="GO41" s="547"/>
      <c r="GP41" s="547"/>
      <c r="GQ41" s="547"/>
      <c r="GR41" s="547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547"/>
      <c r="HI41" s="547"/>
      <c r="HJ41" s="547"/>
      <c r="HK41" s="547"/>
      <c r="HL41" s="547"/>
      <c r="HM41" s="547"/>
      <c r="HN41" s="12"/>
      <c r="HO41" s="12"/>
      <c r="HP41" s="12"/>
      <c r="HQ41" s="12"/>
      <c r="HS41" s="547"/>
      <c r="HT41" s="547"/>
      <c r="HU41" s="547"/>
      <c r="HV41" s="547"/>
      <c r="HW41" s="547"/>
      <c r="HX41" s="547"/>
      <c r="HY41" s="12"/>
      <c r="HZ41" s="12"/>
      <c r="IA41" s="12"/>
      <c r="IB41" s="12"/>
    </row>
    <row r="42" spans="1:236" ht="14.45" customHeight="1" x14ac:dyDescent="0.25">
      <c r="A42" s="58"/>
      <c r="B42" s="12"/>
      <c r="C42" s="704" t="s">
        <v>228</v>
      </c>
      <c r="D42" s="704"/>
      <c r="E42" s="704"/>
      <c r="F42" s="704"/>
      <c r="G42" s="704"/>
      <c r="H42" s="203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546"/>
      <c r="S42" s="546"/>
      <c r="T42" s="546"/>
      <c r="U42" s="12"/>
      <c r="V42" s="12"/>
      <c r="W42" s="12"/>
      <c r="X42" s="12"/>
      <c r="Y42" s="12"/>
      <c r="Z42" s="6"/>
      <c r="AA42" s="547"/>
      <c r="AB42" s="547"/>
      <c r="AC42" s="547"/>
      <c r="AD42" s="547"/>
      <c r="AE42" s="547"/>
      <c r="AF42" s="547"/>
      <c r="AG42" s="12"/>
      <c r="AH42" s="12"/>
      <c r="AI42" s="12"/>
      <c r="AJ42" s="12"/>
      <c r="AL42" s="547"/>
      <c r="AM42" s="547"/>
      <c r="AN42" s="547"/>
      <c r="AO42" s="547"/>
      <c r="AP42" s="547"/>
      <c r="AQ42" s="547"/>
      <c r="AR42" s="12"/>
      <c r="AS42" s="12"/>
      <c r="AT42" s="12"/>
      <c r="AU42" s="12"/>
      <c r="AV42" s="12"/>
      <c r="AW42" s="12"/>
      <c r="AX42" s="12"/>
      <c r="AY42" s="12"/>
      <c r="AZ42" s="547"/>
      <c r="BA42" s="547"/>
      <c r="BB42" s="547"/>
      <c r="BC42" s="547"/>
      <c r="BD42" s="547"/>
      <c r="BE42" s="547"/>
      <c r="BF42" s="12"/>
      <c r="BG42" s="12"/>
      <c r="BH42" s="12"/>
      <c r="BI42" s="12"/>
      <c r="BJ42" s="12"/>
      <c r="BK42" s="12"/>
      <c r="BL42" s="547"/>
      <c r="BM42" s="547"/>
      <c r="BN42" s="547"/>
      <c r="BO42" s="547"/>
      <c r="BP42" s="547"/>
      <c r="BQ42" s="547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547"/>
      <c r="CF42" s="547"/>
      <c r="CG42" s="547"/>
      <c r="CH42" s="547"/>
      <c r="CI42" s="547"/>
      <c r="CJ42" s="547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547"/>
      <c r="CX42" s="547"/>
      <c r="CY42" s="547"/>
      <c r="CZ42" s="547"/>
      <c r="DA42" s="547"/>
      <c r="DB42" s="547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547"/>
      <c r="DR42" s="547"/>
      <c r="DS42" s="547"/>
      <c r="DT42" s="547"/>
      <c r="DU42" s="547"/>
      <c r="DV42" s="547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547"/>
      <c r="EL42" s="547"/>
      <c r="EM42" s="547"/>
      <c r="EN42" s="547"/>
      <c r="EO42" s="547"/>
      <c r="EP42" s="547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547"/>
      <c r="FQ42" s="547"/>
      <c r="FR42" s="547"/>
      <c r="FS42" s="547"/>
      <c r="FT42" s="547"/>
      <c r="FU42" s="547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547"/>
      <c r="GN42" s="547"/>
      <c r="GO42" s="547"/>
      <c r="GP42" s="547"/>
      <c r="GQ42" s="547"/>
      <c r="GR42" s="547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547"/>
      <c r="HI42" s="547"/>
      <c r="HJ42" s="547"/>
      <c r="HK42" s="547"/>
      <c r="HL42" s="547"/>
      <c r="HM42" s="547"/>
      <c r="HN42" s="12"/>
      <c r="HO42" s="12"/>
      <c r="HP42" s="12"/>
      <c r="HQ42" s="12"/>
      <c r="HS42" s="547"/>
      <c r="HT42" s="547"/>
      <c r="HU42" s="547"/>
      <c r="HV42" s="547"/>
      <c r="HW42" s="547"/>
      <c r="HX42" s="547"/>
      <c r="HY42" s="12"/>
      <c r="HZ42" s="12"/>
      <c r="IA42" s="12"/>
      <c r="IB42" s="12"/>
    </row>
    <row r="43" spans="1:236" ht="14.45" customHeight="1" x14ac:dyDescent="0.25">
      <c r="A43" s="58"/>
      <c r="B43" s="12"/>
      <c r="C43" s="704" t="s">
        <v>229</v>
      </c>
      <c r="D43" s="704"/>
      <c r="E43" s="704"/>
      <c r="F43" s="704"/>
      <c r="G43" s="704"/>
      <c r="H43" s="203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546"/>
      <c r="S43" s="546"/>
      <c r="T43" s="546"/>
      <c r="U43" s="12"/>
      <c r="V43" s="12"/>
      <c r="W43" s="12"/>
      <c r="X43" s="12"/>
      <c r="Y43" s="12"/>
      <c r="Z43" s="6"/>
      <c r="AA43" s="547"/>
      <c r="AB43" s="547"/>
      <c r="AC43" s="547"/>
      <c r="AD43" s="547"/>
      <c r="AE43" s="547"/>
      <c r="AF43" s="547"/>
      <c r="AG43" s="12"/>
      <c r="AH43" s="12"/>
      <c r="AI43" s="12"/>
      <c r="AJ43" s="12"/>
      <c r="AL43" s="547"/>
      <c r="AM43" s="547"/>
      <c r="AN43" s="547"/>
      <c r="AO43" s="547"/>
      <c r="AP43" s="547"/>
      <c r="AQ43" s="547"/>
      <c r="AR43" s="12"/>
      <c r="AS43" s="12"/>
      <c r="AT43" s="12"/>
      <c r="AU43" s="12"/>
      <c r="AV43" s="12"/>
      <c r="AW43" s="12"/>
      <c r="AX43" s="12"/>
      <c r="AY43" s="12"/>
      <c r="AZ43" s="547"/>
      <c r="BA43" s="547"/>
      <c r="BB43" s="547"/>
      <c r="BC43" s="547"/>
      <c r="BD43" s="547"/>
      <c r="BE43" s="547"/>
      <c r="BF43" s="12"/>
      <c r="BG43" s="12"/>
      <c r="BH43" s="12"/>
      <c r="BI43" s="12"/>
      <c r="BJ43" s="12"/>
      <c r="BK43" s="12"/>
      <c r="BL43" s="547"/>
      <c r="BM43" s="547"/>
      <c r="BN43" s="547"/>
      <c r="BO43" s="547"/>
      <c r="BP43" s="547"/>
      <c r="BQ43" s="547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547"/>
      <c r="CF43" s="547"/>
      <c r="CG43" s="547"/>
      <c r="CH43" s="547"/>
      <c r="CI43" s="547"/>
      <c r="CJ43" s="547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547"/>
      <c r="CX43" s="547"/>
      <c r="CY43" s="547"/>
      <c r="CZ43" s="547"/>
      <c r="DA43" s="547"/>
      <c r="DB43" s="547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547"/>
      <c r="DR43" s="547"/>
      <c r="DS43" s="547"/>
      <c r="DT43" s="547"/>
      <c r="DU43" s="547"/>
      <c r="DV43" s="547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547"/>
      <c r="EL43" s="547"/>
      <c r="EM43" s="547"/>
      <c r="EN43" s="547"/>
      <c r="EO43" s="547"/>
      <c r="EP43" s="547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547"/>
      <c r="FQ43" s="547"/>
      <c r="FR43" s="547"/>
      <c r="FS43" s="547"/>
      <c r="FT43" s="547"/>
      <c r="FU43" s="547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547"/>
      <c r="GN43" s="547"/>
      <c r="GO43" s="547"/>
      <c r="GP43" s="547"/>
      <c r="GQ43" s="547"/>
      <c r="GR43" s="547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547"/>
      <c r="HI43" s="547"/>
      <c r="HJ43" s="547"/>
      <c r="HK43" s="547"/>
      <c r="HL43" s="547"/>
      <c r="HM43" s="547"/>
      <c r="HN43" s="12"/>
      <c r="HO43" s="12"/>
      <c r="HP43" s="12"/>
      <c r="HQ43" s="12"/>
      <c r="HS43" s="547"/>
      <c r="HT43" s="547"/>
      <c r="HU43" s="547"/>
      <c r="HV43" s="547"/>
      <c r="HW43" s="547"/>
      <c r="HX43" s="547"/>
      <c r="HY43" s="12"/>
      <c r="HZ43" s="12"/>
      <c r="IA43" s="12"/>
      <c r="IB43" s="12"/>
    </row>
    <row r="44" spans="1:236" ht="14.45" customHeight="1" x14ac:dyDescent="0.25">
      <c r="A44" s="58"/>
      <c r="B44" s="12"/>
      <c r="C44" s="704" t="s">
        <v>205</v>
      </c>
      <c r="D44" s="704"/>
      <c r="E44" s="704"/>
      <c r="F44" s="704"/>
      <c r="G44" s="704"/>
      <c r="H44" s="203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546"/>
      <c r="S44" s="546"/>
      <c r="T44" s="546"/>
      <c r="U44" s="12"/>
      <c r="V44" s="12"/>
      <c r="W44" s="12"/>
      <c r="X44" s="12"/>
      <c r="Y44" s="12"/>
      <c r="Z44" s="6"/>
      <c r="AA44" s="547"/>
      <c r="AB44" s="547"/>
      <c r="AC44" s="547"/>
      <c r="AD44" s="547"/>
      <c r="AE44" s="547"/>
      <c r="AF44" s="547"/>
      <c r="AG44" s="12"/>
      <c r="AH44" s="12"/>
      <c r="AI44" s="12"/>
      <c r="AJ44" s="12"/>
      <c r="AL44" s="547"/>
      <c r="AM44" s="547"/>
      <c r="AN44" s="547"/>
      <c r="AO44" s="547"/>
      <c r="AP44" s="547"/>
      <c r="AQ44" s="547"/>
      <c r="AR44" s="12"/>
      <c r="AS44" s="12"/>
      <c r="AT44" s="12"/>
      <c r="AU44" s="12"/>
      <c r="AV44" s="12"/>
      <c r="AW44" s="12"/>
      <c r="AX44" s="12"/>
      <c r="AY44" s="12"/>
      <c r="AZ44" s="547"/>
      <c r="BA44" s="547"/>
      <c r="BB44" s="547"/>
      <c r="BC44" s="547"/>
      <c r="BD44" s="547"/>
      <c r="BE44" s="547"/>
      <c r="BF44" s="12"/>
      <c r="BG44" s="12"/>
      <c r="BH44" s="12"/>
      <c r="BI44" s="12"/>
      <c r="BJ44" s="12"/>
      <c r="BK44" s="12"/>
      <c r="BL44" s="547"/>
      <c r="BM44" s="547"/>
      <c r="BN44" s="547"/>
      <c r="BO44" s="547"/>
      <c r="BP44" s="547"/>
      <c r="BQ44" s="547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547"/>
      <c r="CF44" s="547"/>
      <c r="CG44" s="547"/>
      <c r="CH44" s="547"/>
      <c r="CI44" s="547"/>
      <c r="CJ44" s="547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547"/>
      <c r="CX44" s="547"/>
      <c r="CY44" s="547"/>
      <c r="CZ44" s="547"/>
      <c r="DA44" s="547"/>
      <c r="DB44" s="547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547"/>
      <c r="DR44" s="547"/>
      <c r="DS44" s="547"/>
      <c r="DT44" s="547"/>
      <c r="DU44" s="547"/>
      <c r="DV44" s="547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547"/>
      <c r="EL44" s="547"/>
      <c r="EM44" s="547"/>
      <c r="EN44" s="547"/>
      <c r="EO44" s="547"/>
      <c r="EP44" s="547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547"/>
      <c r="FQ44" s="547"/>
      <c r="FR44" s="547"/>
      <c r="FS44" s="547"/>
      <c r="FT44" s="547"/>
      <c r="FU44" s="547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547"/>
      <c r="GN44" s="547"/>
      <c r="GO44" s="547"/>
      <c r="GP44" s="547"/>
      <c r="GQ44" s="547"/>
      <c r="GR44" s="547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547"/>
      <c r="HI44" s="547"/>
      <c r="HJ44" s="547"/>
      <c r="HK44" s="547"/>
      <c r="HL44" s="547"/>
      <c r="HM44" s="547"/>
      <c r="HN44" s="12"/>
      <c r="HO44" s="12"/>
      <c r="HP44" s="12"/>
      <c r="HQ44" s="12"/>
      <c r="HS44" s="547"/>
      <c r="HT44" s="547"/>
      <c r="HU44" s="547"/>
      <c r="HV44" s="547"/>
      <c r="HW44" s="547"/>
      <c r="HX44" s="547"/>
      <c r="HY44" s="12"/>
      <c r="HZ44" s="12"/>
      <c r="IA44" s="12"/>
      <c r="IB44" s="12"/>
    </row>
    <row r="45" spans="1:236" ht="14.45" customHeight="1" x14ac:dyDescent="0.25">
      <c r="A45" s="58"/>
      <c r="B45" s="12"/>
      <c r="C45" s="704" t="s">
        <v>202</v>
      </c>
      <c r="D45" s="704"/>
      <c r="E45" s="704"/>
      <c r="F45" s="704"/>
      <c r="G45" s="704"/>
      <c r="H45" s="203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546"/>
      <c r="S45" s="546"/>
      <c r="T45" s="546"/>
      <c r="U45" s="12"/>
      <c r="V45" s="12"/>
      <c r="W45" s="12"/>
      <c r="X45" s="12"/>
      <c r="Y45" s="12"/>
      <c r="Z45" s="6"/>
      <c r="AA45" s="547"/>
      <c r="AB45" s="547"/>
      <c r="AC45" s="547"/>
      <c r="AD45" s="547"/>
      <c r="AE45" s="547"/>
      <c r="AF45" s="547"/>
      <c r="AG45" s="12"/>
      <c r="AH45" s="12"/>
      <c r="AI45" s="12"/>
      <c r="AJ45" s="12"/>
      <c r="AL45" s="547"/>
      <c r="AM45" s="547"/>
      <c r="AN45" s="547"/>
      <c r="AO45" s="547"/>
      <c r="AP45" s="547"/>
      <c r="AQ45" s="547"/>
      <c r="AR45" s="12"/>
      <c r="AS45" s="12"/>
      <c r="AT45" s="12"/>
      <c r="AU45" s="12"/>
      <c r="AV45" s="12"/>
      <c r="AW45" s="12"/>
      <c r="AX45" s="12"/>
      <c r="AY45" s="12"/>
      <c r="AZ45" s="547"/>
      <c r="BA45" s="547"/>
      <c r="BB45" s="547"/>
      <c r="BC45" s="547"/>
      <c r="BD45" s="547"/>
      <c r="BE45" s="547"/>
      <c r="BF45" s="12"/>
      <c r="BG45" s="12"/>
      <c r="BH45" s="12"/>
      <c r="BI45" s="12"/>
      <c r="BJ45" s="12"/>
      <c r="BK45" s="12"/>
      <c r="BL45" s="547"/>
      <c r="BM45" s="547"/>
      <c r="BN45" s="547"/>
      <c r="BO45" s="547"/>
      <c r="BP45" s="547"/>
      <c r="BQ45" s="547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547"/>
      <c r="CF45" s="547"/>
      <c r="CG45" s="547"/>
      <c r="CH45" s="547"/>
      <c r="CI45" s="547"/>
      <c r="CJ45" s="547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547"/>
      <c r="CX45" s="547"/>
      <c r="CY45" s="547"/>
      <c r="CZ45" s="547"/>
      <c r="DA45" s="547"/>
      <c r="DB45" s="547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547"/>
      <c r="DR45" s="547"/>
      <c r="DS45" s="547"/>
      <c r="DT45" s="547"/>
      <c r="DU45" s="547"/>
      <c r="DV45" s="547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547"/>
      <c r="EL45" s="547"/>
      <c r="EM45" s="547"/>
      <c r="EN45" s="547"/>
      <c r="EO45" s="547"/>
      <c r="EP45" s="547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547"/>
      <c r="FQ45" s="547"/>
      <c r="FR45" s="547"/>
      <c r="FS45" s="547"/>
      <c r="FT45" s="547"/>
      <c r="FU45" s="547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547"/>
      <c r="GN45" s="547"/>
      <c r="GO45" s="547"/>
      <c r="GP45" s="547"/>
      <c r="GQ45" s="547"/>
      <c r="GR45" s="547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547"/>
      <c r="HI45" s="547"/>
      <c r="HJ45" s="547"/>
      <c r="HK45" s="547"/>
      <c r="HL45" s="547"/>
      <c r="HM45" s="547"/>
      <c r="HN45" s="12"/>
      <c r="HO45" s="12"/>
      <c r="HP45" s="12"/>
      <c r="HQ45" s="12"/>
      <c r="HS45" s="547"/>
      <c r="HT45" s="547"/>
      <c r="HU45" s="547"/>
      <c r="HV45" s="547"/>
      <c r="HW45" s="547"/>
      <c r="HX45" s="547"/>
      <c r="HY45" s="12"/>
      <c r="HZ45" s="12"/>
      <c r="IA45" s="12"/>
      <c r="IB45" s="12"/>
    </row>
    <row r="46" spans="1:236" ht="14.45" customHeight="1" x14ac:dyDescent="0.25">
      <c r="A46" s="58"/>
      <c r="B46" s="12"/>
      <c r="C46" s="704" t="s">
        <v>203</v>
      </c>
      <c r="D46" s="704"/>
      <c r="E46" s="704"/>
      <c r="F46" s="704"/>
      <c r="G46" s="704"/>
      <c r="H46" s="203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546"/>
      <c r="S46" s="546"/>
      <c r="T46" s="546"/>
      <c r="U46" s="12"/>
      <c r="V46" s="12"/>
      <c r="W46" s="12"/>
      <c r="X46" s="12"/>
      <c r="Y46" s="12"/>
      <c r="Z46" s="6"/>
      <c r="AA46" s="547"/>
      <c r="AB46" s="547"/>
      <c r="AC46" s="547"/>
      <c r="AD46" s="547"/>
      <c r="AE46" s="547"/>
      <c r="AF46" s="547"/>
      <c r="AG46" s="12"/>
      <c r="AH46" s="12"/>
      <c r="AI46" s="12"/>
      <c r="AJ46" s="12"/>
      <c r="AL46" s="547"/>
      <c r="AM46" s="547"/>
      <c r="AN46" s="547"/>
      <c r="AO46" s="547"/>
      <c r="AP46" s="547"/>
      <c r="AQ46" s="547"/>
      <c r="AR46" s="12"/>
      <c r="AS46" s="12"/>
      <c r="AT46" s="12"/>
      <c r="AU46" s="12"/>
      <c r="AV46" s="12"/>
      <c r="AW46" s="12"/>
      <c r="AX46" s="12"/>
      <c r="AY46" s="12"/>
      <c r="AZ46" s="547"/>
      <c r="BA46" s="547"/>
      <c r="BB46" s="547"/>
      <c r="BC46" s="547"/>
      <c r="BD46" s="547"/>
      <c r="BE46" s="547"/>
      <c r="BF46" s="12"/>
      <c r="BG46" s="12"/>
      <c r="BH46" s="12"/>
      <c r="BI46" s="12"/>
      <c r="BJ46" s="12"/>
      <c r="BK46" s="12"/>
      <c r="BL46" s="547"/>
      <c r="BM46" s="547"/>
      <c r="BN46" s="547"/>
      <c r="BO46" s="547"/>
      <c r="BP46" s="547"/>
      <c r="BQ46" s="547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547"/>
      <c r="CF46" s="547"/>
      <c r="CG46" s="547"/>
      <c r="CH46" s="547"/>
      <c r="CI46" s="547"/>
      <c r="CJ46" s="547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547"/>
      <c r="CX46" s="547"/>
      <c r="CY46" s="547"/>
      <c r="CZ46" s="547"/>
      <c r="DA46" s="547"/>
      <c r="DB46" s="547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547"/>
      <c r="DR46" s="547"/>
      <c r="DS46" s="547"/>
      <c r="DT46" s="547"/>
      <c r="DU46" s="547"/>
      <c r="DV46" s="547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547"/>
      <c r="EL46" s="547"/>
      <c r="EM46" s="547"/>
      <c r="EN46" s="547"/>
      <c r="EO46" s="547"/>
      <c r="EP46" s="547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547"/>
      <c r="FQ46" s="547"/>
      <c r="FR46" s="547"/>
      <c r="FS46" s="547"/>
      <c r="FT46" s="547"/>
      <c r="FU46" s="547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547"/>
      <c r="GN46" s="547"/>
      <c r="GO46" s="547"/>
      <c r="GP46" s="547"/>
      <c r="GQ46" s="547"/>
      <c r="GR46" s="547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547"/>
      <c r="HI46" s="547"/>
      <c r="HJ46" s="547"/>
      <c r="HK46" s="547"/>
      <c r="HL46" s="547"/>
      <c r="HM46" s="547"/>
      <c r="HN46" s="12"/>
      <c r="HO46" s="12"/>
      <c r="HP46" s="12"/>
      <c r="HQ46" s="12"/>
      <c r="HS46" s="547"/>
      <c r="HT46" s="547"/>
      <c r="HU46" s="547"/>
      <c r="HV46" s="547"/>
      <c r="HW46" s="547"/>
      <c r="HX46" s="547"/>
      <c r="HY46" s="12"/>
      <c r="HZ46" s="12"/>
      <c r="IA46" s="12"/>
      <c r="IB46" s="12"/>
    </row>
    <row r="47" spans="1:236" ht="14.45" customHeight="1" x14ac:dyDescent="0.25">
      <c r="A47" s="58"/>
      <c r="B47" s="12"/>
      <c r="C47" s="704" t="s">
        <v>204</v>
      </c>
      <c r="D47" s="704"/>
      <c r="E47" s="704"/>
      <c r="F47" s="704"/>
      <c r="G47" s="704"/>
      <c r="H47" s="203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546"/>
      <c r="S47" s="546"/>
      <c r="T47" s="546"/>
      <c r="U47" s="12"/>
      <c r="V47" s="12"/>
      <c r="W47" s="12"/>
      <c r="X47" s="12"/>
      <c r="Y47" s="12"/>
      <c r="Z47" s="6"/>
      <c r="AA47" s="547"/>
      <c r="AB47" s="547"/>
      <c r="AC47" s="547"/>
      <c r="AD47" s="547"/>
      <c r="AE47" s="547"/>
      <c r="AF47" s="547"/>
      <c r="AG47" s="12"/>
      <c r="AH47" s="12"/>
      <c r="AI47" s="12"/>
      <c r="AJ47" s="12"/>
      <c r="AL47" s="547"/>
      <c r="AM47" s="547"/>
      <c r="AN47" s="547"/>
      <c r="AO47" s="547"/>
      <c r="AP47" s="547"/>
      <c r="AQ47" s="547"/>
      <c r="AR47" s="12"/>
      <c r="AS47" s="12"/>
      <c r="AT47" s="12"/>
      <c r="AU47" s="12"/>
      <c r="AV47" s="12"/>
      <c r="AW47" s="12"/>
      <c r="AX47" s="12"/>
      <c r="AY47" s="12"/>
      <c r="AZ47" s="547"/>
      <c r="BA47" s="547"/>
      <c r="BB47" s="547"/>
      <c r="BC47" s="547"/>
      <c r="BD47" s="547"/>
      <c r="BE47" s="547"/>
      <c r="BF47" s="12"/>
      <c r="BG47" s="12"/>
      <c r="BH47" s="12"/>
      <c r="BI47" s="12"/>
      <c r="BJ47" s="12"/>
      <c r="BK47" s="12"/>
      <c r="BL47" s="547"/>
      <c r="BM47" s="547"/>
      <c r="BN47" s="547"/>
      <c r="BO47" s="547"/>
      <c r="BP47" s="547"/>
      <c r="BQ47" s="547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547"/>
      <c r="CF47" s="547"/>
      <c r="CG47" s="547"/>
      <c r="CH47" s="547"/>
      <c r="CI47" s="547"/>
      <c r="CJ47" s="547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547"/>
      <c r="CX47" s="547"/>
      <c r="CY47" s="547"/>
      <c r="CZ47" s="547"/>
      <c r="DA47" s="547"/>
      <c r="DB47" s="547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547"/>
      <c r="DR47" s="547"/>
      <c r="DS47" s="547"/>
      <c r="DT47" s="547"/>
      <c r="DU47" s="547"/>
      <c r="DV47" s="547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547"/>
      <c r="EL47" s="547"/>
      <c r="EM47" s="547"/>
      <c r="EN47" s="547"/>
      <c r="EO47" s="547"/>
      <c r="EP47" s="547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547"/>
      <c r="FQ47" s="547"/>
      <c r="FR47" s="547"/>
      <c r="FS47" s="547"/>
      <c r="FT47" s="547"/>
      <c r="FU47" s="547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547"/>
      <c r="GN47" s="547"/>
      <c r="GO47" s="547"/>
      <c r="GP47" s="547"/>
      <c r="GQ47" s="547"/>
      <c r="GR47" s="547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547"/>
      <c r="HI47" s="547"/>
      <c r="HJ47" s="547"/>
      <c r="HK47" s="547"/>
      <c r="HL47" s="547"/>
      <c r="HM47" s="547"/>
      <c r="HN47" s="12"/>
      <c r="HO47" s="12"/>
      <c r="HP47" s="12"/>
      <c r="HQ47" s="12"/>
      <c r="HS47" s="547"/>
      <c r="HT47" s="547"/>
      <c r="HU47" s="547"/>
      <c r="HV47" s="547"/>
      <c r="HW47" s="547"/>
      <c r="HX47" s="547"/>
      <c r="HY47" s="12"/>
      <c r="HZ47" s="12"/>
      <c r="IA47" s="12"/>
      <c r="IB47" s="12"/>
    </row>
    <row r="48" spans="1:236" ht="14.45" customHeight="1" x14ac:dyDescent="0.25">
      <c r="A48" s="58"/>
      <c r="B48" s="12"/>
      <c r="C48" s="704" t="s">
        <v>221</v>
      </c>
      <c r="D48" s="704"/>
      <c r="E48" s="704"/>
      <c r="F48" s="704"/>
      <c r="G48" s="704"/>
      <c r="H48" s="203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546"/>
      <c r="S48" s="546"/>
      <c r="T48" s="546"/>
      <c r="U48" s="12"/>
      <c r="V48" s="12"/>
      <c r="W48" s="12"/>
      <c r="X48" s="12"/>
      <c r="Y48" s="12"/>
      <c r="Z48" s="6"/>
      <c r="AA48" s="547"/>
      <c r="AB48" s="547"/>
      <c r="AC48" s="547"/>
      <c r="AD48" s="547"/>
      <c r="AE48" s="547"/>
      <c r="AF48" s="547"/>
      <c r="AG48" s="12"/>
      <c r="AH48" s="12"/>
      <c r="AI48" s="12"/>
      <c r="AJ48" s="12"/>
      <c r="AL48" s="547"/>
      <c r="AM48" s="547"/>
      <c r="AN48" s="547"/>
      <c r="AO48" s="547"/>
      <c r="AP48" s="547"/>
      <c r="AQ48" s="547"/>
      <c r="AR48" s="12"/>
      <c r="AS48" s="12"/>
      <c r="AT48" s="12"/>
      <c r="AU48" s="12"/>
      <c r="AV48" s="12"/>
      <c r="AW48" s="12"/>
      <c r="AX48" s="12"/>
      <c r="AY48" s="12"/>
      <c r="AZ48" s="547"/>
      <c r="BA48" s="547"/>
      <c r="BB48" s="547"/>
      <c r="BC48" s="547"/>
      <c r="BD48" s="547"/>
      <c r="BE48" s="547"/>
      <c r="BF48" s="12"/>
      <c r="BG48" s="12"/>
      <c r="BH48" s="12"/>
      <c r="BI48" s="12"/>
      <c r="BJ48" s="12"/>
      <c r="BK48" s="12"/>
      <c r="BL48" s="547"/>
      <c r="BM48" s="547"/>
      <c r="BN48" s="547"/>
      <c r="BO48" s="547"/>
      <c r="BP48" s="547"/>
      <c r="BQ48" s="547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547"/>
      <c r="CF48" s="547"/>
      <c r="CG48" s="547"/>
      <c r="CH48" s="547"/>
      <c r="CI48" s="547"/>
      <c r="CJ48" s="547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547"/>
      <c r="CX48" s="547"/>
      <c r="CY48" s="547"/>
      <c r="CZ48" s="547"/>
      <c r="DA48" s="547"/>
      <c r="DB48" s="547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547"/>
      <c r="DR48" s="547"/>
      <c r="DS48" s="547"/>
      <c r="DT48" s="547"/>
      <c r="DU48" s="547"/>
      <c r="DV48" s="547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547"/>
      <c r="EL48" s="547"/>
      <c r="EM48" s="547"/>
      <c r="EN48" s="547"/>
      <c r="EO48" s="547"/>
      <c r="EP48" s="547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547"/>
      <c r="FQ48" s="547"/>
      <c r="FR48" s="547"/>
      <c r="FS48" s="547"/>
      <c r="FT48" s="547"/>
      <c r="FU48" s="547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547"/>
      <c r="GN48" s="547"/>
      <c r="GO48" s="547"/>
      <c r="GP48" s="547"/>
      <c r="GQ48" s="547"/>
      <c r="GR48" s="547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547"/>
      <c r="HI48" s="547"/>
      <c r="HJ48" s="547"/>
      <c r="HK48" s="547"/>
      <c r="HL48" s="547"/>
      <c r="HM48" s="547"/>
      <c r="HN48" s="12"/>
      <c r="HO48" s="12"/>
      <c r="HP48" s="12"/>
      <c r="HQ48" s="12"/>
      <c r="HS48" s="547"/>
      <c r="HT48" s="547"/>
      <c r="HU48" s="547"/>
      <c r="HV48" s="547"/>
      <c r="HW48" s="547"/>
      <c r="HX48" s="547"/>
      <c r="HY48" s="12"/>
      <c r="HZ48" s="12"/>
      <c r="IA48" s="12"/>
      <c r="IB48" s="12"/>
    </row>
    <row r="49" spans="1:236" ht="14.45" customHeight="1" x14ac:dyDescent="0.25">
      <c r="A49" s="58"/>
      <c r="B49" s="12"/>
      <c r="C49" s="704" t="s">
        <v>222</v>
      </c>
      <c r="D49" s="704"/>
      <c r="E49" s="704"/>
      <c r="F49" s="704"/>
      <c r="G49" s="704"/>
      <c r="H49" s="203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546"/>
      <c r="S49" s="546"/>
      <c r="T49" s="546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547"/>
      <c r="EL49" s="547"/>
      <c r="EM49" s="547"/>
      <c r="EN49" s="547"/>
      <c r="EO49" s="547"/>
      <c r="EP49" s="547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547"/>
      <c r="FQ49" s="547"/>
      <c r="FR49" s="547"/>
      <c r="FS49" s="547"/>
      <c r="FT49" s="547"/>
      <c r="FU49" s="547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547"/>
      <c r="GN49" s="547"/>
      <c r="GO49" s="547"/>
      <c r="GP49" s="547"/>
      <c r="GQ49" s="547"/>
      <c r="GR49" s="547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547"/>
      <c r="HI49" s="547"/>
      <c r="HJ49" s="547"/>
      <c r="HK49" s="547"/>
      <c r="HL49" s="547"/>
      <c r="HM49" s="547"/>
      <c r="HN49" s="12"/>
      <c r="HO49" s="12"/>
      <c r="HP49" s="12"/>
      <c r="HQ49" s="12"/>
      <c r="HS49" s="547"/>
      <c r="HT49" s="547"/>
      <c r="HU49" s="547"/>
      <c r="HV49" s="547"/>
      <c r="HW49" s="547"/>
      <c r="HX49" s="547"/>
      <c r="HY49" s="12"/>
      <c r="HZ49" s="12"/>
      <c r="IA49" s="12"/>
      <c r="IB49" s="12"/>
    </row>
    <row r="50" spans="1:236" ht="14.45" customHeight="1" x14ac:dyDescent="0.25">
      <c r="A50" s="58"/>
      <c r="B50" s="12"/>
      <c r="C50" s="704" t="s">
        <v>277</v>
      </c>
      <c r="D50" s="704"/>
      <c r="E50" s="704"/>
      <c r="F50" s="704"/>
      <c r="G50" s="704"/>
      <c r="H50" s="203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546"/>
      <c r="S50" s="546"/>
      <c r="T50" s="546"/>
      <c r="U50" s="12"/>
      <c r="V50" s="12"/>
      <c r="W50" s="12"/>
      <c r="X50" s="12"/>
      <c r="Y50" s="12"/>
      <c r="Z50" s="6"/>
      <c r="AA50" s="547"/>
      <c r="AB50" s="547"/>
      <c r="AC50" s="547"/>
      <c r="AD50" s="547"/>
      <c r="AE50" s="547"/>
      <c r="AF50" s="547"/>
      <c r="AG50" s="12"/>
      <c r="AH50" s="12"/>
      <c r="AI50" s="12"/>
      <c r="AJ50" s="12"/>
      <c r="AL50" s="547"/>
      <c r="AM50" s="547"/>
      <c r="AN50" s="547"/>
      <c r="AO50" s="547"/>
      <c r="AP50" s="547"/>
      <c r="AQ50" s="547"/>
      <c r="AR50" s="12"/>
      <c r="AS50" s="12"/>
      <c r="AT50" s="12"/>
      <c r="AU50" s="12"/>
      <c r="AV50" s="12"/>
      <c r="AW50" s="12"/>
      <c r="AX50" s="12"/>
      <c r="AY50" s="12"/>
      <c r="AZ50" s="547"/>
      <c r="BA50" s="547"/>
      <c r="BB50" s="547"/>
      <c r="BC50" s="547"/>
      <c r="BD50" s="547"/>
      <c r="BE50" s="547"/>
      <c r="BF50" s="12"/>
      <c r="BG50" s="12"/>
      <c r="BH50" s="12"/>
      <c r="BI50" s="12"/>
      <c r="BJ50" s="12"/>
      <c r="BK50" s="12"/>
      <c r="BL50" s="547"/>
      <c r="BM50" s="547"/>
      <c r="BN50" s="547"/>
      <c r="BO50" s="547"/>
      <c r="BP50" s="547"/>
      <c r="BQ50" s="547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547"/>
      <c r="CF50" s="547"/>
      <c r="CG50" s="547"/>
      <c r="CH50" s="547"/>
      <c r="CI50" s="547"/>
      <c r="CJ50" s="547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547"/>
      <c r="CX50" s="547"/>
      <c r="CY50" s="547"/>
      <c r="CZ50" s="547"/>
      <c r="DA50" s="547"/>
      <c r="DB50" s="547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547"/>
      <c r="DR50" s="547"/>
      <c r="DS50" s="547"/>
      <c r="DT50" s="547"/>
      <c r="DU50" s="547"/>
      <c r="DV50" s="547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547"/>
      <c r="EL50" s="547"/>
      <c r="EM50" s="547"/>
      <c r="EN50" s="547"/>
      <c r="EO50" s="547"/>
      <c r="EP50" s="547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547"/>
      <c r="FQ50" s="547"/>
      <c r="FR50" s="547"/>
      <c r="FS50" s="547"/>
      <c r="FT50" s="547"/>
      <c r="FU50" s="547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547"/>
      <c r="GN50" s="547"/>
      <c r="GO50" s="547"/>
      <c r="GP50" s="547"/>
      <c r="GQ50" s="547"/>
      <c r="GR50" s="547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547"/>
      <c r="HI50" s="547"/>
      <c r="HJ50" s="547"/>
      <c r="HK50" s="547"/>
      <c r="HL50" s="547"/>
      <c r="HM50" s="547"/>
      <c r="HN50" s="12"/>
      <c r="HO50" s="12"/>
      <c r="HP50" s="12"/>
      <c r="HQ50" s="12"/>
      <c r="HS50" s="547"/>
      <c r="HT50" s="547"/>
      <c r="HU50" s="547"/>
      <c r="HV50" s="547"/>
      <c r="HW50" s="547"/>
      <c r="HX50" s="547"/>
      <c r="HY50" s="12"/>
      <c r="HZ50" s="12"/>
      <c r="IA50" s="12"/>
      <c r="IB50" s="12"/>
    </row>
    <row r="51" spans="1:236" ht="14.45" customHeight="1" x14ac:dyDescent="0.25">
      <c r="A51" s="58"/>
      <c r="B51" s="12"/>
      <c r="C51" s="704" t="s">
        <v>278</v>
      </c>
      <c r="D51" s="704"/>
      <c r="E51" s="704"/>
      <c r="F51" s="704"/>
      <c r="G51" s="704"/>
      <c r="H51" s="203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546"/>
      <c r="S51" s="546"/>
      <c r="T51" s="546"/>
      <c r="U51" s="12"/>
      <c r="V51" s="12"/>
      <c r="W51" s="12"/>
      <c r="X51" s="12"/>
      <c r="Y51" s="12"/>
      <c r="Z51" s="6"/>
      <c r="AA51" s="547"/>
      <c r="AB51" s="547"/>
      <c r="AC51" s="547"/>
      <c r="AD51" s="547"/>
      <c r="AE51" s="547"/>
      <c r="AF51" s="547"/>
      <c r="AG51" s="12"/>
      <c r="AH51" s="12"/>
      <c r="AI51" s="12"/>
      <c r="AJ51" s="12"/>
      <c r="AL51" s="547"/>
      <c r="AM51" s="547"/>
      <c r="AN51" s="547"/>
      <c r="AO51" s="547"/>
      <c r="AP51" s="547"/>
      <c r="AQ51" s="547"/>
      <c r="AR51" s="12"/>
      <c r="AS51" s="12"/>
      <c r="AT51" s="12"/>
      <c r="AU51" s="12"/>
      <c r="AV51" s="12"/>
      <c r="AW51" s="12"/>
      <c r="AX51" s="12"/>
      <c r="AY51" s="12"/>
      <c r="AZ51" s="547"/>
      <c r="BA51" s="547"/>
      <c r="BB51" s="547"/>
      <c r="BC51" s="547"/>
      <c r="BD51" s="547"/>
      <c r="BE51" s="547"/>
      <c r="BF51" s="12"/>
      <c r="BG51" s="12"/>
      <c r="BH51" s="12"/>
      <c r="BI51" s="12"/>
      <c r="BJ51" s="12"/>
      <c r="BK51" s="12"/>
      <c r="BL51" s="547"/>
      <c r="BM51" s="547"/>
      <c r="BN51" s="547"/>
      <c r="BO51" s="547"/>
      <c r="BP51" s="547"/>
      <c r="BQ51" s="547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547"/>
      <c r="CF51" s="547"/>
      <c r="CG51" s="547"/>
      <c r="CH51" s="547"/>
      <c r="CI51" s="547"/>
      <c r="CJ51" s="547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547"/>
      <c r="CX51" s="547"/>
      <c r="CY51" s="547"/>
      <c r="CZ51" s="547"/>
      <c r="DA51" s="547"/>
      <c r="DB51" s="547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547"/>
      <c r="DR51" s="547"/>
      <c r="DS51" s="547"/>
      <c r="DT51" s="547"/>
      <c r="DU51" s="547"/>
      <c r="DV51" s="547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547"/>
      <c r="EL51" s="547"/>
      <c r="EM51" s="547"/>
      <c r="EN51" s="547"/>
      <c r="EO51" s="547"/>
      <c r="EP51" s="547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547"/>
      <c r="FQ51" s="547"/>
      <c r="FR51" s="547"/>
      <c r="FS51" s="547"/>
      <c r="FT51" s="547"/>
      <c r="FU51" s="547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547"/>
      <c r="GN51" s="547"/>
      <c r="GO51" s="547"/>
      <c r="GP51" s="547"/>
      <c r="GQ51" s="547"/>
      <c r="GR51" s="547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547"/>
      <c r="HI51" s="547"/>
      <c r="HJ51" s="547"/>
      <c r="HK51" s="547"/>
      <c r="HL51" s="547"/>
      <c r="HM51" s="547"/>
      <c r="HN51" s="12"/>
      <c r="HO51" s="12"/>
      <c r="HP51" s="12"/>
      <c r="HQ51" s="12"/>
      <c r="HS51" s="547"/>
      <c r="HT51" s="547"/>
      <c r="HU51" s="547"/>
      <c r="HV51" s="547"/>
      <c r="HW51" s="547"/>
      <c r="HX51" s="547"/>
      <c r="HY51" s="12"/>
      <c r="HZ51" s="12"/>
      <c r="IA51" s="12"/>
      <c r="IB51" s="12"/>
    </row>
    <row r="52" spans="1:236" ht="14.45" customHeight="1" x14ac:dyDescent="0.25">
      <c r="A52" s="58"/>
      <c r="B52" s="12"/>
      <c r="C52" s="704" t="s">
        <v>237</v>
      </c>
      <c r="D52" s="704"/>
      <c r="E52" s="704"/>
      <c r="F52" s="704"/>
      <c r="G52" s="704"/>
      <c r="H52" s="203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546"/>
      <c r="S52" s="546"/>
      <c r="T52" s="546"/>
      <c r="U52" s="12"/>
      <c r="V52" s="12"/>
      <c r="W52" s="12"/>
      <c r="X52" s="12"/>
      <c r="Y52" s="12"/>
      <c r="Z52" s="6"/>
      <c r="AA52" s="547"/>
      <c r="AB52" s="547"/>
      <c r="AC52" s="547"/>
      <c r="AD52" s="547"/>
      <c r="AE52" s="547"/>
      <c r="AF52" s="547"/>
      <c r="AG52" s="12"/>
      <c r="AH52" s="12"/>
      <c r="AI52" s="12"/>
      <c r="AJ52" s="12"/>
      <c r="AL52" s="547"/>
      <c r="AM52" s="547"/>
      <c r="AN52" s="547"/>
      <c r="AO52" s="547"/>
      <c r="AP52" s="547"/>
      <c r="AQ52" s="547"/>
      <c r="AR52" s="12"/>
      <c r="AS52" s="12"/>
      <c r="AT52" s="12"/>
      <c r="AU52" s="12"/>
      <c r="AV52" s="12"/>
      <c r="AW52" s="12"/>
      <c r="AX52" s="12"/>
      <c r="AY52" s="12"/>
      <c r="AZ52" s="547"/>
      <c r="BA52" s="547"/>
      <c r="BB52" s="547"/>
      <c r="BC52" s="547"/>
      <c r="BD52" s="547"/>
      <c r="BE52" s="547"/>
      <c r="BF52" s="12"/>
      <c r="BG52" s="12"/>
      <c r="BH52" s="12"/>
      <c r="BI52" s="12"/>
      <c r="BJ52" s="12"/>
      <c r="BK52" s="12"/>
      <c r="BL52" s="547"/>
      <c r="BM52" s="547"/>
      <c r="BN52" s="547"/>
      <c r="BO52" s="547"/>
      <c r="BP52" s="547"/>
      <c r="BQ52" s="547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547"/>
      <c r="CF52" s="547"/>
      <c r="CG52" s="547"/>
      <c r="CH52" s="547"/>
      <c r="CI52" s="547"/>
      <c r="CJ52" s="547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547"/>
      <c r="CX52" s="547"/>
      <c r="CY52" s="547"/>
      <c r="CZ52" s="547"/>
      <c r="DA52" s="547"/>
      <c r="DB52" s="547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547"/>
      <c r="DR52" s="547"/>
      <c r="DS52" s="547"/>
      <c r="DT52" s="547"/>
      <c r="DU52" s="547"/>
      <c r="DV52" s="547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547"/>
      <c r="EL52" s="547"/>
      <c r="EM52" s="547"/>
      <c r="EN52" s="547"/>
      <c r="EO52" s="547"/>
      <c r="EP52" s="547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547"/>
      <c r="FQ52" s="547"/>
      <c r="FR52" s="547"/>
      <c r="FS52" s="547"/>
      <c r="FT52" s="547"/>
      <c r="FU52" s="547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547"/>
      <c r="GN52" s="547"/>
      <c r="GO52" s="547"/>
      <c r="GP52" s="547"/>
      <c r="GQ52" s="547"/>
      <c r="GR52" s="547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547"/>
      <c r="HI52" s="547"/>
      <c r="HJ52" s="547"/>
      <c r="HK52" s="547"/>
      <c r="HL52" s="547"/>
      <c r="HM52" s="547"/>
      <c r="HN52" s="12"/>
      <c r="HO52" s="12"/>
      <c r="HP52" s="12"/>
      <c r="HQ52" s="12"/>
      <c r="HS52" s="547"/>
      <c r="HT52" s="547"/>
      <c r="HU52" s="547"/>
      <c r="HV52" s="547"/>
      <c r="HW52" s="547"/>
      <c r="HX52" s="547"/>
      <c r="HY52" s="12"/>
      <c r="HZ52" s="12"/>
      <c r="IA52" s="12"/>
      <c r="IB52" s="12"/>
    </row>
    <row r="53" spans="1:236" ht="14.45" customHeight="1" x14ac:dyDescent="0.25">
      <c r="A53" s="58"/>
      <c r="B53" s="12"/>
      <c r="C53" s="704" t="s">
        <v>235</v>
      </c>
      <c r="D53" s="704"/>
      <c r="E53" s="704"/>
      <c r="F53" s="704"/>
      <c r="G53" s="704"/>
      <c r="H53" s="203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546"/>
      <c r="S53" s="546"/>
      <c r="T53" s="546"/>
      <c r="U53" s="12"/>
      <c r="V53" s="12"/>
      <c r="W53" s="12"/>
      <c r="X53" s="12"/>
      <c r="Y53" s="12"/>
      <c r="Z53" s="6"/>
      <c r="AA53" s="547"/>
      <c r="AB53" s="547"/>
      <c r="AC53" s="547"/>
      <c r="AD53" s="547"/>
      <c r="AE53" s="547"/>
      <c r="AF53" s="547"/>
      <c r="AG53" s="12"/>
      <c r="AH53" s="12"/>
      <c r="AI53" s="12"/>
      <c r="AJ53" s="12"/>
      <c r="AL53" s="547"/>
      <c r="AM53" s="547"/>
      <c r="AN53" s="547"/>
      <c r="AO53" s="547"/>
      <c r="AP53" s="547"/>
      <c r="AQ53" s="547"/>
      <c r="AR53" s="12"/>
      <c r="AS53" s="12"/>
      <c r="AT53" s="12"/>
      <c r="AU53" s="12"/>
      <c r="AV53" s="12"/>
      <c r="AW53" s="12"/>
      <c r="AX53" s="12"/>
      <c r="AY53" s="12"/>
      <c r="AZ53" s="547"/>
      <c r="BA53" s="547"/>
      <c r="BB53" s="547"/>
      <c r="BC53" s="547"/>
      <c r="BD53" s="547"/>
      <c r="BE53" s="547"/>
      <c r="BF53" s="12"/>
      <c r="BG53" s="12"/>
      <c r="BH53" s="12"/>
      <c r="BI53" s="12"/>
      <c r="BJ53" s="12"/>
      <c r="BK53" s="12"/>
      <c r="BL53" s="547"/>
      <c r="BM53" s="547"/>
      <c r="BN53" s="547"/>
      <c r="BO53" s="547"/>
      <c r="BP53" s="547"/>
      <c r="BQ53" s="547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547"/>
      <c r="CF53" s="547"/>
      <c r="CG53" s="547"/>
      <c r="CH53" s="547"/>
      <c r="CI53" s="547"/>
      <c r="CJ53" s="547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547"/>
      <c r="CX53" s="547"/>
      <c r="CY53" s="547"/>
      <c r="CZ53" s="547"/>
      <c r="DA53" s="547"/>
      <c r="DB53" s="547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547"/>
      <c r="DR53" s="547"/>
      <c r="DS53" s="547"/>
      <c r="DT53" s="547"/>
      <c r="DU53" s="547"/>
      <c r="DV53" s="547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547"/>
      <c r="EL53" s="547"/>
      <c r="EM53" s="547"/>
      <c r="EN53" s="547"/>
      <c r="EO53" s="547"/>
      <c r="EP53" s="547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547"/>
      <c r="FQ53" s="547"/>
      <c r="FR53" s="547"/>
      <c r="FS53" s="547"/>
      <c r="FT53" s="547"/>
      <c r="FU53" s="547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547"/>
      <c r="GN53" s="547"/>
      <c r="GO53" s="547"/>
      <c r="GP53" s="547"/>
      <c r="GQ53" s="547"/>
      <c r="GR53" s="547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547"/>
      <c r="HI53" s="547"/>
      <c r="HJ53" s="547"/>
      <c r="HK53" s="547"/>
      <c r="HL53" s="547"/>
      <c r="HM53" s="547"/>
      <c r="HN53" s="12"/>
      <c r="HO53" s="12"/>
      <c r="HP53" s="12"/>
      <c r="HQ53" s="12"/>
      <c r="HS53" s="547"/>
      <c r="HT53" s="547"/>
      <c r="HU53" s="547"/>
      <c r="HV53" s="547"/>
      <c r="HW53" s="547"/>
      <c r="HX53" s="547"/>
      <c r="HY53" s="12"/>
      <c r="HZ53" s="12"/>
      <c r="IA53" s="12"/>
      <c r="IB53" s="12"/>
    </row>
    <row r="54" spans="1:236" ht="14.45" customHeight="1" x14ac:dyDescent="0.25">
      <c r="A54" s="58"/>
      <c r="B54" s="12"/>
      <c r="C54" s="704" t="s">
        <v>236</v>
      </c>
      <c r="D54" s="704"/>
      <c r="E54" s="704"/>
      <c r="F54" s="704"/>
      <c r="G54" s="704"/>
      <c r="H54" s="203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546"/>
      <c r="S54" s="546"/>
      <c r="T54" s="546"/>
      <c r="U54" s="12"/>
      <c r="V54" s="12"/>
      <c r="W54" s="12"/>
      <c r="X54" s="12"/>
      <c r="Y54" s="12"/>
      <c r="Z54" s="6"/>
      <c r="AA54" s="547"/>
      <c r="AB54" s="547"/>
      <c r="AC54" s="547"/>
      <c r="AD54" s="547"/>
      <c r="AE54" s="547"/>
      <c r="AF54" s="547"/>
      <c r="AG54" s="12"/>
      <c r="AH54" s="12"/>
      <c r="AI54" s="12"/>
      <c r="AJ54" s="12"/>
      <c r="AL54" s="547"/>
      <c r="AM54" s="547"/>
      <c r="AN54" s="547"/>
      <c r="AO54" s="547"/>
      <c r="AP54" s="547"/>
      <c r="AQ54" s="547"/>
      <c r="AR54" s="12"/>
      <c r="AS54" s="12"/>
      <c r="AT54" s="12"/>
      <c r="AU54" s="12"/>
      <c r="AV54" s="12"/>
      <c r="AW54" s="12"/>
      <c r="AX54" s="12"/>
      <c r="AY54" s="12"/>
      <c r="AZ54" s="547"/>
      <c r="BA54" s="547"/>
      <c r="BB54" s="547"/>
      <c r="BC54" s="547"/>
      <c r="BD54" s="547"/>
      <c r="BE54" s="547"/>
      <c r="BF54" s="12"/>
      <c r="BG54" s="12"/>
      <c r="BH54" s="12"/>
      <c r="BI54" s="12"/>
      <c r="BJ54" s="12"/>
      <c r="BK54" s="12"/>
      <c r="BL54" s="547"/>
      <c r="BM54" s="547"/>
      <c r="BN54" s="547"/>
      <c r="BO54" s="547"/>
      <c r="BP54" s="547"/>
      <c r="BQ54" s="547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547"/>
      <c r="CF54" s="547"/>
      <c r="CG54" s="547"/>
      <c r="CH54" s="547"/>
      <c r="CI54" s="547"/>
      <c r="CJ54" s="547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547"/>
      <c r="CX54" s="547"/>
      <c r="CY54" s="547"/>
      <c r="CZ54" s="547"/>
      <c r="DA54" s="547"/>
      <c r="DB54" s="547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547"/>
      <c r="DR54" s="547"/>
      <c r="DS54" s="547"/>
      <c r="DT54" s="547"/>
      <c r="DU54" s="547"/>
      <c r="DV54" s="547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547"/>
      <c r="EL54" s="547"/>
      <c r="EM54" s="547"/>
      <c r="EN54" s="547"/>
      <c r="EO54" s="547"/>
      <c r="EP54" s="547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547"/>
      <c r="FQ54" s="547"/>
      <c r="FR54" s="547"/>
      <c r="FS54" s="547"/>
      <c r="FT54" s="547"/>
      <c r="FU54" s="547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547"/>
      <c r="GN54" s="547"/>
      <c r="GO54" s="547"/>
      <c r="GP54" s="547"/>
      <c r="GQ54" s="547"/>
      <c r="GR54" s="547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547"/>
      <c r="HI54" s="547"/>
      <c r="HJ54" s="547"/>
      <c r="HK54" s="547"/>
      <c r="HL54" s="547"/>
      <c r="HM54" s="547"/>
      <c r="HN54" s="12"/>
      <c r="HO54" s="12"/>
      <c r="HP54" s="12"/>
      <c r="HQ54" s="12"/>
      <c r="HS54" s="547"/>
      <c r="HT54" s="547"/>
      <c r="HU54" s="547"/>
      <c r="HV54" s="547"/>
      <c r="HW54" s="547"/>
      <c r="HX54" s="547"/>
      <c r="HY54" s="12"/>
      <c r="HZ54" s="12"/>
      <c r="IA54" s="12"/>
      <c r="IB54" s="12"/>
    </row>
    <row r="55" spans="1:236" ht="14.45" customHeight="1" x14ac:dyDescent="0.25">
      <c r="A55" s="58"/>
      <c r="B55" s="12"/>
      <c r="C55" s="704" t="s">
        <v>188</v>
      </c>
      <c r="D55" s="704"/>
      <c r="E55" s="704"/>
      <c r="F55" s="704"/>
      <c r="G55" s="704"/>
      <c r="H55" s="203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546"/>
      <c r="S55" s="546"/>
      <c r="T55" s="546"/>
      <c r="U55" s="12"/>
      <c r="V55" s="12"/>
      <c r="W55" s="12"/>
      <c r="X55" s="12"/>
      <c r="Y55" s="12"/>
      <c r="Z55" s="6"/>
      <c r="AA55" s="547"/>
      <c r="AB55" s="547"/>
      <c r="AC55" s="547"/>
      <c r="AD55" s="547"/>
      <c r="AE55" s="547"/>
      <c r="AF55" s="547"/>
      <c r="AG55" s="12"/>
      <c r="AH55" s="12"/>
      <c r="AI55" s="12"/>
      <c r="AJ55" s="12"/>
      <c r="AL55" s="547"/>
      <c r="AM55" s="547"/>
      <c r="AN55" s="547"/>
      <c r="AO55" s="547"/>
      <c r="AP55" s="547"/>
      <c r="AQ55" s="547"/>
      <c r="AR55" s="12"/>
      <c r="AS55" s="12"/>
      <c r="AT55" s="12"/>
      <c r="AU55" s="12"/>
      <c r="AV55" s="12"/>
      <c r="AW55" s="12"/>
      <c r="AX55" s="12"/>
      <c r="AY55" s="12"/>
      <c r="AZ55" s="547"/>
      <c r="BA55" s="547"/>
      <c r="BB55" s="547"/>
      <c r="BC55" s="547"/>
      <c r="BD55" s="547"/>
      <c r="BE55" s="547"/>
      <c r="BF55" s="12"/>
      <c r="BG55" s="12"/>
      <c r="BH55" s="12"/>
      <c r="BI55" s="12"/>
      <c r="BJ55" s="12"/>
      <c r="BK55" s="12"/>
      <c r="BL55" s="547"/>
      <c r="BM55" s="547"/>
      <c r="BN55" s="547"/>
      <c r="BO55" s="547"/>
      <c r="BP55" s="547"/>
      <c r="BQ55" s="547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547"/>
      <c r="CF55" s="547"/>
      <c r="CG55" s="547"/>
      <c r="CH55" s="547"/>
      <c r="CI55" s="547"/>
      <c r="CJ55" s="547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547"/>
      <c r="CX55" s="547"/>
      <c r="CY55" s="547"/>
      <c r="CZ55" s="547"/>
      <c r="DA55" s="547"/>
      <c r="DB55" s="547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547"/>
      <c r="DR55" s="547"/>
      <c r="DS55" s="547"/>
      <c r="DT55" s="547"/>
      <c r="DU55" s="547"/>
      <c r="DV55" s="547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547"/>
      <c r="EL55" s="547"/>
      <c r="EM55" s="547"/>
      <c r="EN55" s="547"/>
      <c r="EO55" s="547"/>
      <c r="EP55" s="547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547"/>
      <c r="FQ55" s="547"/>
      <c r="FR55" s="547"/>
      <c r="FS55" s="547"/>
      <c r="FT55" s="547"/>
      <c r="FU55" s="547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547"/>
      <c r="GN55" s="547"/>
      <c r="GO55" s="547"/>
      <c r="GP55" s="547"/>
      <c r="GQ55" s="547"/>
      <c r="GR55" s="547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547"/>
      <c r="HI55" s="547"/>
      <c r="HJ55" s="547"/>
      <c r="HK55" s="547"/>
      <c r="HL55" s="547"/>
      <c r="HM55" s="547"/>
      <c r="HN55" s="12"/>
      <c r="HO55" s="12"/>
      <c r="HP55" s="12"/>
      <c r="HQ55" s="12"/>
      <c r="HS55" s="547"/>
      <c r="HT55" s="547"/>
      <c r="HU55" s="547"/>
      <c r="HV55" s="547"/>
      <c r="HW55" s="547"/>
      <c r="HX55" s="547"/>
      <c r="HY55" s="12"/>
      <c r="HZ55" s="12"/>
      <c r="IA55" s="12"/>
      <c r="IB55" s="12"/>
    </row>
    <row r="56" spans="1:236" ht="14.45" customHeight="1" x14ac:dyDescent="0.25">
      <c r="A56" s="58"/>
      <c r="B56" s="12"/>
      <c r="C56" s="704" t="s">
        <v>189</v>
      </c>
      <c r="D56" s="704"/>
      <c r="E56" s="704"/>
      <c r="F56" s="704"/>
      <c r="G56" s="704"/>
      <c r="H56" s="203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546"/>
      <c r="S56" s="546"/>
      <c r="T56" s="546"/>
      <c r="U56" s="12"/>
      <c r="V56" s="12"/>
      <c r="W56" s="12"/>
      <c r="X56" s="12"/>
      <c r="Y56" s="12"/>
      <c r="Z56" s="6"/>
      <c r="AA56" s="547"/>
      <c r="AB56" s="547"/>
      <c r="AC56" s="547"/>
      <c r="AD56" s="547"/>
      <c r="AE56" s="547"/>
      <c r="AF56" s="547"/>
      <c r="AG56" s="12"/>
      <c r="AH56" s="12"/>
      <c r="AI56" s="12"/>
      <c r="AJ56" s="12"/>
      <c r="AL56" s="547"/>
      <c r="AM56" s="547"/>
      <c r="AN56" s="547"/>
      <c r="AO56" s="547"/>
      <c r="AP56" s="547"/>
      <c r="AQ56" s="547"/>
      <c r="AR56" s="12"/>
      <c r="AS56" s="12"/>
      <c r="AT56" s="12"/>
      <c r="AU56" s="12"/>
      <c r="AV56" s="12"/>
      <c r="AW56" s="12"/>
      <c r="AX56" s="12"/>
      <c r="AY56" s="12"/>
      <c r="AZ56" s="547"/>
      <c r="BA56" s="547"/>
      <c r="BB56" s="547"/>
      <c r="BC56" s="547"/>
      <c r="BD56" s="547"/>
      <c r="BE56" s="547"/>
      <c r="BF56" s="12"/>
      <c r="BG56" s="12"/>
      <c r="BH56" s="12"/>
      <c r="BI56" s="12"/>
      <c r="BJ56" s="12"/>
      <c r="BK56" s="12"/>
      <c r="BL56" s="547"/>
      <c r="BM56" s="547"/>
      <c r="BN56" s="547"/>
      <c r="BO56" s="547"/>
      <c r="BP56" s="547"/>
      <c r="BQ56" s="547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547"/>
      <c r="CF56" s="547"/>
      <c r="CG56" s="547"/>
      <c r="CH56" s="547"/>
      <c r="CI56" s="547"/>
      <c r="CJ56" s="547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547"/>
      <c r="CX56" s="547"/>
      <c r="CY56" s="547"/>
      <c r="CZ56" s="547"/>
      <c r="DA56" s="547"/>
      <c r="DB56" s="547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547"/>
      <c r="DR56" s="547"/>
      <c r="DS56" s="547"/>
      <c r="DT56" s="547"/>
      <c r="DU56" s="547"/>
      <c r="DV56" s="547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547"/>
      <c r="EL56" s="547"/>
      <c r="EM56" s="547"/>
      <c r="EN56" s="547"/>
      <c r="EO56" s="547"/>
      <c r="EP56" s="547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547"/>
      <c r="FQ56" s="547"/>
      <c r="FR56" s="547"/>
      <c r="FS56" s="547"/>
      <c r="FT56" s="547"/>
      <c r="FU56" s="547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547"/>
      <c r="GN56" s="547"/>
      <c r="GO56" s="547"/>
      <c r="GP56" s="547"/>
      <c r="GQ56" s="547"/>
      <c r="GR56" s="547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547"/>
      <c r="HI56" s="547"/>
      <c r="HJ56" s="547"/>
      <c r="HK56" s="547"/>
      <c r="HL56" s="547"/>
      <c r="HM56" s="547"/>
      <c r="HN56" s="12"/>
      <c r="HO56" s="12"/>
      <c r="HP56" s="12"/>
      <c r="HQ56" s="12"/>
      <c r="HS56" s="547"/>
      <c r="HT56" s="547"/>
      <c r="HU56" s="547"/>
      <c r="HV56" s="547"/>
      <c r="HW56" s="547"/>
      <c r="HX56" s="547"/>
      <c r="HY56" s="12"/>
      <c r="HZ56" s="12"/>
      <c r="IA56" s="12"/>
      <c r="IB56" s="12"/>
    </row>
    <row r="57" spans="1:236" ht="14.45" customHeight="1" x14ac:dyDescent="0.25">
      <c r="A57" s="58"/>
      <c r="B57" s="12"/>
      <c r="C57" s="704" t="s">
        <v>216</v>
      </c>
      <c r="D57" s="704"/>
      <c r="E57" s="704"/>
      <c r="F57" s="704"/>
      <c r="G57" s="704"/>
      <c r="H57" s="203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546"/>
      <c r="S57" s="546"/>
      <c r="T57" s="546"/>
      <c r="U57" s="12"/>
      <c r="V57" s="12"/>
      <c r="W57" s="12"/>
      <c r="X57" s="12"/>
      <c r="Y57" s="12"/>
      <c r="Z57" s="6"/>
      <c r="AA57" s="547"/>
      <c r="AB57" s="547"/>
      <c r="AC57" s="547"/>
      <c r="AD57" s="547"/>
      <c r="AE57" s="547"/>
      <c r="AF57" s="547"/>
      <c r="AG57" s="12"/>
      <c r="AH57" s="12"/>
      <c r="AI57" s="12"/>
      <c r="AJ57" s="12"/>
      <c r="AL57" s="547"/>
      <c r="AM57" s="547"/>
      <c r="AN57" s="547"/>
      <c r="AO57" s="547"/>
      <c r="AP57" s="547"/>
      <c r="AQ57" s="547"/>
      <c r="AR57" s="12"/>
      <c r="AS57" s="12"/>
      <c r="AT57" s="12"/>
      <c r="AU57" s="12"/>
      <c r="AV57" s="12"/>
      <c r="AW57" s="12"/>
      <c r="AX57" s="12"/>
      <c r="AY57" s="12"/>
      <c r="AZ57" s="547"/>
      <c r="BA57" s="547"/>
      <c r="BB57" s="547"/>
      <c r="BC57" s="547"/>
      <c r="BD57" s="547"/>
      <c r="BE57" s="547"/>
      <c r="BF57" s="12"/>
      <c r="BG57" s="12"/>
      <c r="BH57" s="12"/>
      <c r="BI57" s="12"/>
      <c r="BJ57" s="12"/>
      <c r="BK57" s="12"/>
      <c r="BL57" s="547"/>
      <c r="BM57" s="547"/>
      <c r="BN57" s="547"/>
      <c r="BO57" s="547"/>
      <c r="BP57" s="547"/>
      <c r="BQ57" s="547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547"/>
      <c r="CF57" s="547"/>
      <c r="CG57" s="547"/>
      <c r="CH57" s="547"/>
      <c r="CI57" s="547"/>
      <c r="CJ57" s="547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547"/>
      <c r="CX57" s="547"/>
      <c r="CY57" s="547"/>
      <c r="CZ57" s="547"/>
      <c r="DA57" s="547"/>
      <c r="DB57" s="547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547"/>
      <c r="DR57" s="547"/>
      <c r="DS57" s="547"/>
      <c r="DT57" s="547"/>
      <c r="DU57" s="547"/>
      <c r="DV57" s="547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547"/>
      <c r="EL57" s="547"/>
      <c r="EM57" s="547"/>
      <c r="EN57" s="547"/>
      <c r="EO57" s="547"/>
      <c r="EP57" s="547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547"/>
      <c r="FQ57" s="547"/>
      <c r="FR57" s="547"/>
      <c r="FS57" s="547"/>
      <c r="FT57" s="547"/>
      <c r="FU57" s="547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547"/>
      <c r="GN57" s="547"/>
      <c r="GO57" s="547"/>
      <c r="GP57" s="547"/>
      <c r="GQ57" s="547"/>
      <c r="GR57" s="547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547"/>
      <c r="HI57" s="547"/>
      <c r="HJ57" s="547"/>
      <c r="HK57" s="547"/>
      <c r="HL57" s="547"/>
      <c r="HM57" s="547"/>
      <c r="HN57" s="12"/>
      <c r="HO57" s="12"/>
      <c r="HP57" s="12"/>
      <c r="HQ57" s="12"/>
      <c r="HS57" s="547"/>
      <c r="HT57" s="547"/>
      <c r="HU57" s="547"/>
      <c r="HV57" s="547"/>
      <c r="HW57" s="547"/>
      <c r="HX57" s="547"/>
      <c r="HY57" s="12"/>
      <c r="HZ57" s="12"/>
      <c r="IA57" s="12"/>
      <c r="IB57" s="12"/>
    </row>
    <row r="58" spans="1:236" ht="14.45" customHeight="1" x14ac:dyDescent="0.25">
      <c r="A58" s="58"/>
      <c r="B58" s="12"/>
      <c r="C58" s="704" t="s">
        <v>176</v>
      </c>
      <c r="D58" s="704"/>
      <c r="E58" s="704"/>
      <c r="F58" s="704"/>
      <c r="G58" s="704"/>
      <c r="H58" s="203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546"/>
      <c r="S58" s="546"/>
      <c r="T58" s="546"/>
      <c r="U58" s="12"/>
      <c r="V58" s="12"/>
      <c r="W58" s="12"/>
      <c r="X58" s="12"/>
      <c r="Y58" s="12"/>
      <c r="Z58" s="6"/>
      <c r="AA58" s="547"/>
      <c r="AB58" s="547"/>
      <c r="AC58" s="547"/>
      <c r="AD58" s="547"/>
      <c r="AE58" s="547"/>
      <c r="AF58" s="547"/>
      <c r="AG58" s="12"/>
      <c r="AH58" s="12"/>
      <c r="AI58" s="12"/>
      <c r="AJ58" s="12"/>
      <c r="AL58" s="547"/>
      <c r="AM58" s="547"/>
      <c r="AN58" s="547"/>
      <c r="AO58" s="547"/>
      <c r="AP58" s="547"/>
      <c r="AQ58" s="547"/>
      <c r="AR58" s="12"/>
      <c r="AS58" s="12"/>
      <c r="AT58" s="12"/>
      <c r="AU58" s="12"/>
      <c r="AV58" s="12"/>
      <c r="AW58" s="12"/>
      <c r="AX58" s="12"/>
      <c r="AY58" s="12"/>
      <c r="AZ58" s="547"/>
      <c r="BA58" s="547"/>
      <c r="BB58" s="547"/>
      <c r="BC58" s="547"/>
      <c r="BD58" s="547"/>
      <c r="BE58" s="547"/>
      <c r="BF58" s="12"/>
      <c r="BG58" s="12"/>
      <c r="BH58" s="12"/>
      <c r="BI58" s="12"/>
      <c r="BJ58" s="12"/>
      <c r="BK58" s="12"/>
      <c r="BL58" s="547"/>
      <c r="BM58" s="547"/>
      <c r="BN58" s="547"/>
      <c r="BO58" s="547"/>
      <c r="BP58" s="547"/>
      <c r="BQ58" s="547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547"/>
      <c r="CF58" s="547"/>
      <c r="CG58" s="547"/>
      <c r="CH58" s="547"/>
      <c r="CI58" s="547"/>
      <c r="CJ58" s="547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547"/>
      <c r="CX58" s="547"/>
      <c r="CY58" s="547"/>
      <c r="CZ58" s="547"/>
      <c r="DA58" s="547"/>
      <c r="DB58" s="547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547"/>
      <c r="DR58" s="547"/>
      <c r="DS58" s="547"/>
      <c r="DT58" s="547"/>
      <c r="DU58" s="547"/>
      <c r="DV58" s="547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547"/>
      <c r="EL58" s="547"/>
      <c r="EM58" s="547"/>
      <c r="EN58" s="547"/>
      <c r="EO58" s="547"/>
      <c r="EP58" s="547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547"/>
      <c r="FQ58" s="547"/>
      <c r="FR58" s="547"/>
      <c r="FS58" s="547"/>
      <c r="FT58" s="547"/>
      <c r="FU58" s="547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547"/>
      <c r="GN58" s="547"/>
      <c r="GO58" s="547"/>
      <c r="GP58" s="547"/>
      <c r="GQ58" s="547"/>
      <c r="GR58" s="547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547"/>
      <c r="HI58" s="547"/>
      <c r="HJ58" s="547"/>
      <c r="HK58" s="547"/>
      <c r="HL58" s="547"/>
      <c r="HM58" s="547"/>
      <c r="HN58" s="12"/>
      <c r="HO58" s="12"/>
      <c r="HP58" s="12"/>
      <c r="HQ58" s="12"/>
      <c r="HS58" s="547"/>
      <c r="HT58" s="547"/>
      <c r="HU58" s="547"/>
      <c r="HV58" s="547"/>
      <c r="HW58" s="547"/>
      <c r="HX58" s="547"/>
      <c r="HY58" s="12"/>
      <c r="HZ58" s="12"/>
      <c r="IA58" s="12"/>
      <c r="IB58" s="12"/>
    </row>
    <row r="59" spans="1:236" ht="14.45" customHeight="1" x14ac:dyDescent="0.25">
      <c r="A59" s="58"/>
      <c r="B59" s="12"/>
      <c r="C59" s="704" t="s">
        <v>177</v>
      </c>
      <c r="D59" s="704"/>
      <c r="E59" s="704"/>
      <c r="F59" s="704"/>
      <c r="G59" s="704"/>
      <c r="H59" s="203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546"/>
      <c r="S59" s="546"/>
      <c r="T59" s="546"/>
      <c r="U59" s="12"/>
      <c r="V59" s="12"/>
      <c r="W59" s="12"/>
      <c r="X59" s="12"/>
      <c r="Y59" s="12"/>
      <c r="Z59" s="6"/>
      <c r="AA59" s="547"/>
      <c r="AB59" s="547"/>
      <c r="AC59" s="547"/>
      <c r="AD59" s="547"/>
      <c r="AE59" s="547"/>
      <c r="AF59" s="547"/>
      <c r="AG59" s="12"/>
      <c r="AH59" s="12"/>
      <c r="AI59" s="12"/>
      <c r="AJ59" s="12"/>
      <c r="AL59" s="547"/>
      <c r="AM59" s="547"/>
      <c r="AN59" s="547"/>
      <c r="AO59" s="547"/>
      <c r="AP59" s="547"/>
      <c r="AQ59" s="547"/>
      <c r="AR59" s="12"/>
      <c r="AS59" s="12"/>
      <c r="AT59" s="12"/>
      <c r="AU59" s="12"/>
      <c r="AV59" s="12"/>
      <c r="AW59" s="12"/>
      <c r="AX59" s="12"/>
      <c r="AY59" s="12"/>
      <c r="AZ59" s="547"/>
      <c r="BA59" s="547"/>
      <c r="BB59" s="547"/>
      <c r="BC59" s="547"/>
      <c r="BD59" s="547"/>
      <c r="BE59" s="547"/>
      <c r="BF59" s="12"/>
      <c r="BG59" s="12"/>
      <c r="BH59" s="12"/>
      <c r="BI59" s="12"/>
      <c r="BJ59" s="12"/>
      <c r="BK59" s="12"/>
      <c r="BL59" s="547"/>
      <c r="BM59" s="547"/>
      <c r="BN59" s="547"/>
      <c r="BO59" s="547"/>
      <c r="BP59" s="547"/>
      <c r="BQ59" s="547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547"/>
      <c r="CF59" s="547"/>
      <c r="CG59" s="547"/>
      <c r="CH59" s="547"/>
      <c r="CI59" s="547"/>
      <c r="CJ59" s="547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547"/>
      <c r="CX59" s="547"/>
      <c r="CY59" s="547"/>
      <c r="CZ59" s="547"/>
      <c r="DA59" s="547"/>
      <c r="DB59" s="547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547"/>
      <c r="DR59" s="547"/>
      <c r="DS59" s="547"/>
      <c r="DT59" s="547"/>
      <c r="DU59" s="547"/>
      <c r="DV59" s="547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547"/>
      <c r="EL59" s="547"/>
      <c r="EM59" s="547"/>
      <c r="EN59" s="547"/>
      <c r="EO59" s="547"/>
      <c r="EP59" s="547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547"/>
      <c r="FQ59" s="547"/>
      <c r="FR59" s="547"/>
      <c r="FS59" s="547"/>
      <c r="FT59" s="547"/>
      <c r="FU59" s="547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547"/>
      <c r="GN59" s="547"/>
      <c r="GO59" s="547"/>
      <c r="GP59" s="547"/>
      <c r="GQ59" s="547"/>
      <c r="GR59" s="547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547"/>
      <c r="HI59" s="547"/>
      <c r="HJ59" s="547"/>
      <c r="HK59" s="547"/>
      <c r="HL59" s="547"/>
      <c r="HM59" s="547"/>
      <c r="HN59" s="12"/>
      <c r="HO59" s="12"/>
      <c r="HP59" s="12"/>
      <c r="HQ59" s="12"/>
      <c r="HS59" s="547"/>
      <c r="HT59" s="547"/>
      <c r="HU59" s="547"/>
      <c r="HV59" s="547"/>
      <c r="HW59" s="547"/>
      <c r="HX59" s="547"/>
      <c r="HY59" s="12"/>
      <c r="HZ59" s="12"/>
      <c r="IA59" s="12"/>
      <c r="IB59" s="12"/>
    </row>
    <row r="60" spans="1:236" ht="14.45" customHeight="1" x14ac:dyDescent="0.25">
      <c r="A60" s="58"/>
      <c r="B60" s="12"/>
      <c r="C60" s="704" t="s">
        <v>211</v>
      </c>
      <c r="D60" s="704"/>
      <c r="E60" s="704"/>
      <c r="F60" s="704"/>
      <c r="G60" s="704"/>
      <c r="H60" s="203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546"/>
      <c r="S60" s="546"/>
      <c r="T60" s="546"/>
      <c r="U60" s="12"/>
      <c r="V60" s="12"/>
      <c r="W60" s="12"/>
      <c r="X60" s="12"/>
      <c r="Y60" s="12"/>
      <c r="Z60" s="6"/>
      <c r="AA60" s="547"/>
      <c r="AB60" s="547"/>
      <c r="AC60" s="547"/>
      <c r="AD60" s="547"/>
      <c r="AE60" s="547"/>
      <c r="AF60" s="547"/>
      <c r="AG60" s="12"/>
      <c r="AH60" s="12"/>
      <c r="AI60" s="12"/>
      <c r="AJ60" s="12"/>
      <c r="AL60" s="547"/>
      <c r="AM60" s="547"/>
      <c r="AN60" s="547"/>
      <c r="AO60" s="547"/>
      <c r="AP60" s="547"/>
      <c r="AQ60" s="547"/>
      <c r="AR60" s="12"/>
      <c r="AS60" s="12"/>
      <c r="AT60" s="12"/>
      <c r="AU60" s="12"/>
      <c r="AV60" s="12"/>
      <c r="AW60" s="12"/>
      <c r="AX60" s="12"/>
      <c r="AY60" s="12"/>
      <c r="AZ60" s="547"/>
      <c r="BA60" s="547"/>
      <c r="BB60" s="547"/>
      <c r="BC60" s="547"/>
      <c r="BD60" s="547"/>
      <c r="BE60" s="547"/>
      <c r="BF60" s="12"/>
      <c r="BG60" s="12"/>
      <c r="BH60" s="12"/>
      <c r="BI60" s="12"/>
      <c r="BJ60" s="12"/>
      <c r="BK60" s="12"/>
      <c r="BL60" s="547"/>
      <c r="BM60" s="547"/>
      <c r="BN60" s="547"/>
      <c r="BO60" s="547"/>
      <c r="BP60" s="547"/>
      <c r="BQ60" s="547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547"/>
      <c r="CF60" s="547"/>
      <c r="CG60" s="547"/>
      <c r="CH60" s="547"/>
      <c r="CI60" s="547"/>
      <c r="CJ60" s="547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547"/>
      <c r="CX60" s="547"/>
      <c r="CY60" s="547"/>
      <c r="CZ60" s="547"/>
      <c r="DA60" s="547"/>
      <c r="DB60" s="547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547"/>
      <c r="DR60" s="547"/>
      <c r="DS60" s="547"/>
      <c r="DT60" s="547"/>
      <c r="DU60" s="547"/>
      <c r="DV60" s="547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547"/>
      <c r="EL60" s="547"/>
      <c r="EM60" s="547"/>
      <c r="EN60" s="547"/>
      <c r="EO60" s="547"/>
      <c r="EP60" s="547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547"/>
      <c r="FQ60" s="547"/>
      <c r="FR60" s="547"/>
      <c r="FS60" s="547"/>
      <c r="FT60" s="547"/>
      <c r="FU60" s="547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547"/>
      <c r="GN60" s="547"/>
      <c r="GO60" s="547"/>
      <c r="GP60" s="547"/>
      <c r="GQ60" s="547"/>
      <c r="GR60" s="547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547"/>
      <c r="HI60" s="547"/>
      <c r="HJ60" s="547"/>
      <c r="HK60" s="547"/>
      <c r="HL60" s="547"/>
      <c r="HM60" s="547"/>
      <c r="HN60" s="12"/>
      <c r="HO60" s="12"/>
      <c r="HP60" s="12"/>
      <c r="HQ60" s="12"/>
      <c r="HS60" s="547"/>
      <c r="HT60" s="547"/>
      <c r="HU60" s="547"/>
      <c r="HV60" s="547"/>
      <c r="HW60" s="547"/>
      <c r="HX60" s="547"/>
      <c r="HY60" s="12"/>
      <c r="HZ60" s="12"/>
      <c r="IA60" s="12"/>
      <c r="IB60" s="12"/>
    </row>
    <row r="61" spans="1:236" ht="14.45" customHeight="1" x14ac:dyDescent="0.25">
      <c r="A61" s="58"/>
      <c r="B61" s="12"/>
      <c r="C61" s="704" t="s">
        <v>212</v>
      </c>
      <c r="D61" s="704"/>
      <c r="E61" s="704"/>
      <c r="F61" s="704"/>
      <c r="G61" s="704"/>
      <c r="H61" s="203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546"/>
      <c r="S61" s="546"/>
      <c r="T61" s="546"/>
      <c r="U61" s="12"/>
      <c r="V61" s="12"/>
      <c r="W61" s="12"/>
      <c r="X61" s="12"/>
      <c r="Y61" s="12"/>
      <c r="Z61" s="6"/>
      <c r="AA61" s="547"/>
      <c r="AB61" s="547"/>
      <c r="AC61" s="547"/>
      <c r="AD61" s="547"/>
      <c r="AE61" s="547"/>
      <c r="AF61" s="547"/>
      <c r="AG61" s="12"/>
      <c r="AH61" s="12"/>
      <c r="AI61" s="12"/>
      <c r="AJ61" s="12"/>
      <c r="AL61" s="547"/>
      <c r="AM61" s="547"/>
      <c r="AN61" s="547"/>
      <c r="AO61" s="547"/>
      <c r="AP61" s="547"/>
      <c r="AQ61" s="547"/>
      <c r="AR61" s="12"/>
      <c r="AS61" s="12"/>
      <c r="AT61" s="12"/>
      <c r="AU61" s="12"/>
      <c r="AV61" s="12"/>
      <c r="AW61" s="12"/>
      <c r="AX61" s="12"/>
      <c r="AY61" s="12"/>
      <c r="AZ61" s="547"/>
      <c r="BA61" s="547"/>
      <c r="BB61" s="547"/>
      <c r="BC61" s="547"/>
      <c r="BD61" s="547"/>
      <c r="BE61" s="547"/>
      <c r="BF61" s="12"/>
      <c r="BG61" s="12"/>
      <c r="BH61" s="12"/>
      <c r="BI61" s="12"/>
      <c r="BJ61" s="12"/>
      <c r="BK61" s="12"/>
      <c r="BL61" s="547"/>
      <c r="BM61" s="547"/>
      <c r="BN61" s="547"/>
      <c r="BO61" s="547"/>
      <c r="BP61" s="547"/>
      <c r="BQ61" s="547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547"/>
      <c r="CF61" s="547"/>
      <c r="CG61" s="547"/>
      <c r="CH61" s="547"/>
      <c r="CI61" s="547"/>
      <c r="CJ61" s="547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547"/>
      <c r="CX61" s="547"/>
      <c r="CY61" s="547"/>
      <c r="CZ61" s="547"/>
      <c r="DA61" s="547"/>
      <c r="DB61" s="547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547"/>
      <c r="DR61" s="547"/>
      <c r="DS61" s="547"/>
      <c r="DT61" s="547"/>
      <c r="DU61" s="547"/>
      <c r="DV61" s="547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547"/>
      <c r="EL61" s="547"/>
      <c r="EM61" s="547"/>
      <c r="EN61" s="547"/>
      <c r="EO61" s="547"/>
      <c r="EP61" s="547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547"/>
      <c r="FQ61" s="547"/>
      <c r="FR61" s="547"/>
      <c r="FS61" s="547"/>
      <c r="FT61" s="547"/>
      <c r="FU61" s="547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547"/>
      <c r="GN61" s="547"/>
      <c r="GO61" s="547"/>
      <c r="GP61" s="547"/>
      <c r="GQ61" s="547"/>
      <c r="GR61" s="547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547"/>
      <c r="HI61" s="547"/>
      <c r="HJ61" s="547"/>
      <c r="HK61" s="547"/>
      <c r="HL61" s="547"/>
      <c r="HM61" s="547"/>
      <c r="HN61" s="12"/>
      <c r="HO61" s="12"/>
      <c r="HP61" s="12"/>
      <c r="HQ61" s="12"/>
      <c r="HS61" s="547"/>
      <c r="HT61" s="547"/>
      <c r="HU61" s="547"/>
      <c r="HV61" s="547"/>
      <c r="HW61" s="547"/>
      <c r="HX61" s="547"/>
      <c r="HY61" s="12"/>
      <c r="HZ61" s="12"/>
      <c r="IA61" s="12"/>
      <c r="IB61" s="12"/>
    </row>
    <row r="62" spans="1:236" ht="14.45" customHeight="1" x14ac:dyDescent="0.25">
      <c r="A62" s="58"/>
      <c r="B62" s="12"/>
      <c r="C62" s="704" t="s">
        <v>213</v>
      </c>
      <c r="D62" s="704"/>
      <c r="E62" s="704"/>
      <c r="F62" s="704"/>
      <c r="G62" s="704"/>
      <c r="H62" s="203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546"/>
      <c r="S62" s="546"/>
      <c r="T62" s="546"/>
      <c r="U62" s="12"/>
      <c r="V62" s="12"/>
      <c r="W62" s="12"/>
      <c r="X62" s="12"/>
      <c r="Y62" s="12"/>
      <c r="Z62" s="6"/>
      <c r="AA62" s="547"/>
      <c r="AB62" s="547"/>
      <c r="AC62" s="547"/>
      <c r="AD62" s="547"/>
      <c r="AE62" s="547"/>
      <c r="AF62" s="547"/>
      <c r="AG62" s="12"/>
      <c r="AH62" s="12"/>
      <c r="AI62" s="12"/>
      <c r="AJ62" s="12"/>
      <c r="AL62" s="547"/>
      <c r="AM62" s="547"/>
      <c r="AN62" s="547"/>
      <c r="AO62" s="547"/>
      <c r="AP62" s="547"/>
      <c r="AQ62" s="547"/>
      <c r="AR62" s="12"/>
      <c r="AS62" s="12"/>
      <c r="AT62" s="12"/>
      <c r="AU62" s="12"/>
      <c r="AV62" s="12"/>
      <c r="AW62" s="12"/>
      <c r="AX62" s="12"/>
      <c r="AY62" s="12"/>
      <c r="AZ62" s="547"/>
      <c r="BA62" s="547"/>
      <c r="BB62" s="547"/>
      <c r="BC62" s="547"/>
      <c r="BD62" s="547"/>
      <c r="BE62" s="547"/>
      <c r="BF62" s="12"/>
      <c r="BG62" s="12"/>
      <c r="BH62" s="12"/>
      <c r="BI62" s="12"/>
      <c r="BJ62" s="12"/>
      <c r="BK62" s="12"/>
      <c r="BL62" s="547"/>
      <c r="BM62" s="547"/>
      <c r="BN62" s="547"/>
      <c r="BO62" s="547"/>
      <c r="BP62" s="547"/>
      <c r="BQ62" s="547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547"/>
      <c r="CF62" s="547"/>
      <c r="CG62" s="547"/>
      <c r="CH62" s="547"/>
      <c r="CI62" s="547"/>
      <c r="CJ62" s="547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547"/>
      <c r="CX62" s="547"/>
      <c r="CY62" s="547"/>
      <c r="CZ62" s="547"/>
      <c r="DA62" s="547"/>
      <c r="DB62" s="547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547"/>
      <c r="DR62" s="547"/>
      <c r="DS62" s="547"/>
      <c r="DT62" s="547"/>
      <c r="DU62" s="547"/>
      <c r="DV62" s="547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547"/>
      <c r="EL62" s="547"/>
      <c r="EM62" s="547"/>
      <c r="EN62" s="547"/>
      <c r="EO62" s="547"/>
      <c r="EP62" s="547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547"/>
      <c r="FQ62" s="547"/>
      <c r="FR62" s="547"/>
      <c r="FS62" s="547"/>
      <c r="FT62" s="547"/>
      <c r="FU62" s="547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547"/>
      <c r="GN62" s="547"/>
      <c r="GO62" s="547"/>
      <c r="GP62" s="547"/>
      <c r="GQ62" s="547"/>
      <c r="GR62" s="547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547"/>
      <c r="HI62" s="547"/>
      <c r="HJ62" s="547"/>
      <c r="HK62" s="547"/>
      <c r="HL62" s="547"/>
      <c r="HM62" s="547"/>
      <c r="HN62" s="12"/>
      <c r="HO62" s="12"/>
      <c r="HP62" s="12"/>
      <c r="HQ62" s="12"/>
      <c r="HS62" s="547"/>
      <c r="HT62" s="547"/>
      <c r="HU62" s="547"/>
      <c r="HV62" s="547"/>
      <c r="HW62" s="547"/>
      <c r="HX62" s="547"/>
      <c r="HY62" s="12"/>
      <c r="HZ62" s="12"/>
      <c r="IA62" s="12"/>
      <c r="IB62" s="12"/>
    </row>
    <row r="63" spans="1:236" ht="14.45" customHeight="1" x14ac:dyDescent="0.25">
      <c r="A63" s="58"/>
      <c r="B63" s="12"/>
      <c r="C63" s="704" t="s">
        <v>208</v>
      </c>
      <c r="D63" s="704"/>
      <c r="E63" s="704"/>
      <c r="F63" s="704"/>
      <c r="G63" s="704"/>
      <c r="H63" s="203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546"/>
      <c r="S63" s="546"/>
      <c r="T63" s="546"/>
      <c r="U63" s="12"/>
      <c r="V63" s="12"/>
      <c r="W63" s="12"/>
      <c r="X63" s="12"/>
      <c r="Y63" s="12"/>
      <c r="Z63" s="6"/>
      <c r="AA63" s="547"/>
      <c r="AB63" s="547"/>
      <c r="AC63" s="547"/>
      <c r="AD63" s="547"/>
      <c r="AE63" s="547"/>
      <c r="AF63" s="547"/>
      <c r="AG63" s="12"/>
      <c r="AH63" s="12"/>
      <c r="AI63" s="12"/>
      <c r="AJ63" s="12"/>
      <c r="AL63" s="547"/>
      <c r="AM63" s="547"/>
      <c r="AN63" s="547"/>
      <c r="AO63" s="547"/>
      <c r="AP63" s="547"/>
      <c r="AQ63" s="547"/>
      <c r="AR63" s="12"/>
      <c r="AS63" s="12"/>
      <c r="AT63" s="12"/>
      <c r="AU63" s="12"/>
      <c r="AV63" s="12"/>
      <c r="AW63" s="12"/>
      <c r="AX63" s="12"/>
      <c r="AY63" s="12"/>
      <c r="AZ63" s="547"/>
      <c r="BA63" s="547"/>
      <c r="BB63" s="547"/>
      <c r="BC63" s="547"/>
      <c r="BD63" s="547"/>
      <c r="BE63" s="547"/>
      <c r="BF63" s="12"/>
      <c r="BG63" s="12"/>
      <c r="BH63" s="12"/>
      <c r="BI63" s="12"/>
      <c r="BJ63" s="12"/>
      <c r="BK63" s="12"/>
      <c r="BL63" s="547"/>
      <c r="BM63" s="547"/>
      <c r="BN63" s="547"/>
      <c r="BO63" s="547"/>
      <c r="BP63" s="547"/>
      <c r="BQ63" s="547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547"/>
      <c r="CF63" s="547"/>
      <c r="CG63" s="547"/>
      <c r="CH63" s="547"/>
      <c r="CI63" s="547"/>
      <c r="CJ63" s="547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547"/>
      <c r="CX63" s="547"/>
      <c r="CY63" s="547"/>
      <c r="CZ63" s="547"/>
      <c r="DA63" s="547"/>
      <c r="DB63" s="547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547"/>
      <c r="DR63" s="547"/>
      <c r="DS63" s="547"/>
      <c r="DT63" s="547"/>
      <c r="DU63" s="547"/>
      <c r="DV63" s="547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547"/>
      <c r="EL63" s="547"/>
      <c r="EM63" s="547"/>
      <c r="EN63" s="547"/>
      <c r="EO63" s="547"/>
      <c r="EP63" s="547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547"/>
      <c r="FQ63" s="547"/>
      <c r="FR63" s="547"/>
      <c r="FS63" s="547"/>
      <c r="FT63" s="547"/>
      <c r="FU63" s="547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547"/>
      <c r="GN63" s="547"/>
      <c r="GO63" s="547"/>
      <c r="GP63" s="547"/>
      <c r="GQ63" s="547"/>
      <c r="GR63" s="547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547"/>
      <c r="HI63" s="547"/>
      <c r="HJ63" s="547"/>
      <c r="HK63" s="547"/>
      <c r="HL63" s="547"/>
      <c r="HM63" s="547"/>
      <c r="HN63" s="12"/>
      <c r="HO63" s="12"/>
      <c r="HP63" s="12"/>
      <c r="HQ63" s="12"/>
      <c r="HS63" s="547"/>
      <c r="HT63" s="547"/>
      <c r="HU63" s="547"/>
      <c r="HV63" s="547"/>
      <c r="HW63" s="547"/>
      <c r="HX63" s="547"/>
      <c r="HY63" s="12"/>
      <c r="HZ63" s="12"/>
      <c r="IA63" s="12"/>
      <c r="IB63" s="12"/>
    </row>
    <row r="64" spans="1:236" ht="14.45" customHeight="1" x14ac:dyDescent="0.25">
      <c r="A64" s="58"/>
      <c r="B64" s="12"/>
      <c r="C64" s="704" t="s">
        <v>210</v>
      </c>
      <c r="D64" s="704"/>
      <c r="E64" s="704"/>
      <c r="F64" s="704"/>
      <c r="G64" s="704"/>
      <c r="H64" s="203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546"/>
      <c r="S64" s="546"/>
      <c r="T64" s="546"/>
      <c r="U64" s="12"/>
      <c r="V64" s="12"/>
      <c r="W64" s="12"/>
      <c r="X64" s="12"/>
      <c r="Y64" s="12"/>
      <c r="Z64" s="6"/>
      <c r="AA64" s="547"/>
      <c r="AB64" s="547"/>
      <c r="AC64" s="547"/>
      <c r="AD64" s="547"/>
      <c r="AE64" s="547"/>
      <c r="AF64" s="547"/>
      <c r="AG64" s="12"/>
      <c r="AH64" s="12"/>
      <c r="AI64" s="12"/>
      <c r="AJ64" s="12"/>
      <c r="AL64" s="547"/>
      <c r="AM64" s="547"/>
      <c r="AN64" s="547"/>
      <c r="AO64" s="547"/>
      <c r="AP64" s="547"/>
      <c r="AQ64" s="547"/>
      <c r="AR64" s="12"/>
      <c r="AS64" s="12"/>
      <c r="AT64" s="12"/>
      <c r="AU64" s="12"/>
      <c r="AV64" s="12"/>
      <c r="AW64" s="12"/>
      <c r="AX64" s="12"/>
      <c r="AY64" s="12"/>
      <c r="AZ64" s="547"/>
      <c r="BA64" s="547"/>
      <c r="BB64" s="547"/>
      <c r="BC64" s="547"/>
      <c r="BD64" s="547"/>
      <c r="BE64" s="547"/>
      <c r="BF64" s="12"/>
      <c r="BG64" s="12"/>
      <c r="BH64" s="12"/>
      <c r="BI64" s="12"/>
      <c r="BJ64" s="12"/>
      <c r="BK64" s="12"/>
      <c r="BL64" s="547"/>
      <c r="BM64" s="547"/>
      <c r="BN64" s="547"/>
      <c r="BO64" s="547"/>
      <c r="BP64" s="547"/>
      <c r="BQ64" s="547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547"/>
      <c r="CF64" s="547"/>
      <c r="CG64" s="547"/>
      <c r="CH64" s="547"/>
      <c r="CI64" s="547"/>
      <c r="CJ64" s="547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547"/>
      <c r="CX64" s="547"/>
      <c r="CY64" s="547"/>
      <c r="CZ64" s="547"/>
      <c r="DA64" s="547"/>
      <c r="DB64" s="547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547"/>
      <c r="DR64" s="547"/>
      <c r="DS64" s="547"/>
      <c r="DT64" s="547"/>
      <c r="DU64" s="547"/>
      <c r="DV64" s="547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547"/>
      <c r="EL64" s="547"/>
      <c r="EM64" s="547"/>
      <c r="EN64" s="547"/>
      <c r="EO64" s="547"/>
      <c r="EP64" s="547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547"/>
      <c r="FQ64" s="547"/>
      <c r="FR64" s="547"/>
      <c r="FS64" s="547"/>
      <c r="FT64" s="547"/>
      <c r="FU64" s="547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547"/>
      <c r="GN64" s="547"/>
      <c r="GO64" s="547"/>
      <c r="GP64" s="547"/>
      <c r="GQ64" s="547"/>
      <c r="GR64" s="547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547"/>
      <c r="HI64" s="547"/>
      <c r="HJ64" s="547"/>
      <c r="HK64" s="547"/>
      <c r="HL64" s="547"/>
      <c r="HM64" s="547"/>
      <c r="HN64" s="12"/>
      <c r="HO64" s="12"/>
      <c r="HP64" s="12"/>
      <c r="HQ64" s="12"/>
      <c r="HS64" s="547"/>
      <c r="HT64" s="547"/>
      <c r="HU64" s="547"/>
      <c r="HV64" s="547"/>
      <c r="HW64" s="547"/>
      <c r="HX64" s="547"/>
      <c r="HY64" s="12"/>
      <c r="HZ64" s="12"/>
      <c r="IA64" s="12"/>
      <c r="IB64" s="12"/>
    </row>
    <row r="65" spans="1:236" ht="14.45" customHeight="1" x14ac:dyDescent="0.25">
      <c r="A65" s="58"/>
      <c r="B65" s="12"/>
      <c r="C65" s="704" t="s">
        <v>207</v>
      </c>
      <c r="D65" s="704"/>
      <c r="E65" s="704"/>
      <c r="F65" s="704"/>
      <c r="G65" s="704"/>
      <c r="H65" s="203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546"/>
      <c r="S65" s="546"/>
      <c r="T65" s="546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547"/>
      <c r="EL65" s="547"/>
      <c r="EM65" s="547"/>
      <c r="EN65" s="547"/>
      <c r="EO65" s="547"/>
      <c r="EP65" s="547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547"/>
      <c r="FQ65" s="547"/>
      <c r="FR65" s="547"/>
      <c r="FS65" s="547"/>
      <c r="FT65" s="547"/>
      <c r="FU65" s="547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547"/>
      <c r="GN65" s="547"/>
      <c r="GO65" s="547"/>
      <c r="GP65" s="547"/>
      <c r="GQ65" s="547"/>
      <c r="GR65" s="547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547"/>
      <c r="HI65" s="547"/>
      <c r="HJ65" s="547"/>
      <c r="HK65" s="547"/>
      <c r="HL65" s="547"/>
      <c r="HM65" s="547"/>
      <c r="HN65" s="12"/>
      <c r="HO65" s="12"/>
      <c r="HP65" s="12"/>
      <c r="HQ65" s="12"/>
      <c r="HS65" s="547"/>
      <c r="HT65" s="547"/>
      <c r="HU65" s="547"/>
      <c r="HV65" s="547"/>
      <c r="HW65" s="547"/>
      <c r="HX65" s="547"/>
      <c r="HY65" s="12"/>
      <c r="HZ65" s="12"/>
      <c r="IA65" s="12"/>
      <c r="IB65" s="12"/>
    </row>
    <row r="66" spans="1:236" ht="14.45" customHeight="1" x14ac:dyDescent="0.25">
      <c r="A66" s="58"/>
      <c r="B66" s="12"/>
      <c r="C66" s="704" t="s">
        <v>209</v>
      </c>
      <c r="D66" s="704"/>
      <c r="E66" s="704"/>
      <c r="F66" s="704"/>
      <c r="G66" s="704"/>
      <c r="H66" s="203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546"/>
      <c r="S66" s="546"/>
      <c r="T66" s="546"/>
      <c r="U66" s="12"/>
      <c r="V66" s="12"/>
      <c r="W66" s="12"/>
      <c r="X66" s="12"/>
      <c r="Y66" s="12"/>
      <c r="Z66" s="6"/>
      <c r="AA66" s="547"/>
      <c r="AB66" s="547"/>
      <c r="AC66" s="547"/>
      <c r="AD66" s="547"/>
      <c r="AE66" s="547"/>
      <c r="AF66" s="547"/>
      <c r="AG66" s="12"/>
      <c r="AH66" s="12"/>
      <c r="AI66" s="12"/>
      <c r="AJ66" s="12"/>
      <c r="AL66" s="547"/>
      <c r="AM66" s="547"/>
      <c r="AN66" s="547"/>
      <c r="AO66" s="547"/>
      <c r="AP66" s="547"/>
      <c r="AQ66" s="547"/>
      <c r="AR66" s="12"/>
      <c r="AS66" s="12"/>
      <c r="AT66" s="12"/>
      <c r="AU66" s="12"/>
      <c r="AV66" s="12"/>
      <c r="AW66" s="12"/>
      <c r="AX66" s="12"/>
      <c r="AY66" s="12"/>
      <c r="AZ66" s="547"/>
      <c r="BA66" s="547"/>
      <c r="BB66" s="547"/>
      <c r="BC66" s="547"/>
      <c r="BD66" s="547"/>
      <c r="BE66" s="547"/>
      <c r="BF66" s="12"/>
      <c r="BG66" s="12"/>
      <c r="BH66" s="12"/>
      <c r="BI66" s="12"/>
      <c r="BJ66" s="12"/>
      <c r="BK66" s="12"/>
      <c r="BL66" s="547"/>
      <c r="BM66" s="547"/>
      <c r="BN66" s="547"/>
      <c r="BO66" s="547"/>
      <c r="BP66" s="547"/>
      <c r="BQ66" s="547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547"/>
      <c r="CF66" s="547"/>
      <c r="CG66" s="547"/>
      <c r="CH66" s="547"/>
      <c r="CI66" s="547"/>
      <c r="CJ66" s="547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547"/>
      <c r="CX66" s="547"/>
      <c r="CY66" s="547"/>
      <c r="CZ66" s="547"/>
      <c r="DA66" s="547"/>
      <c r="DB66" s="547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547"/>
      <c r="DR66" s="547"/>
      <c r="DS66" s="547"/>
      <c r="DT66" s="547"/>
      <c r="DU66" s="547"/>
      <c r="DV66" s="547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547"/>
      <c r="EL66" s="547"/>
      <c r="EM66" s="547"/>
      <c r="EN66" s="547"/>
      <c r="EO66" s="547"/>
      <c r="EP66" s="547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547"/>
      <c r="FQ66" s="547"/>
      <c r="FR66" s="547"/>
      <c r="FS66" s="547"/>
      <c r="FT66" s="547"/>
      <c r="FU66" s="547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547"/>
      <c r="GN66" s="547"/>
      <c r="GO66" s="547"/>
      <c r="GP66" s="547"/>
      <c r="GQ66" s="547"/>
      <c r="GR66" s="547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547"/>
      <c r="HI66" s="547"/>
      <c r="HJ66" s="547"/>
      <c r="HK66" s="547"/>
      <c r="HL66" s="547"/>
      <c r="HM66" s="547"/>
      <c r="HN66" s="12"/>
      <c r="HO66" s="12"/>
      <c r="HP66" s="12"/>
      <c r="HQ66" s="12"/>
      <c r="HS66" s="547"/>
      <c r="HT66" s="547"/>
      <c r="HU66" s="547"/>
      <c r="HV66" s="547"/>
      <c r="HW66" s="547"/>
      <c r="HX66" s="547"/>
      <c r="HY66" s="12"/>
      <c r="HZ66" s="12"/>
      <c r="IA66" s="12"/>
      <c r="IB66" s="12"/>
    </row>
    <row r="67" spans="1:236" ht="14.45" customHeight="1" x14ac:dyDescent="0.25">
      <c r="A67" s="58"/>
      <c r="B67" s="12"/>
      <c r="C67" s="704" t="s">
        <v>214</v>
      </c>
      <c r="D67" s="704"/>
      <c r="E67" s="704"/>
      <c r="F67" s="704"/>
      <c r="G67" s="704"/>
      <c r="H67" s="203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546"/>
      <c r="S67" s="546"/>
      <c r="T67" s="546"/>
      <c r="U67" s="12"/>
      <c r="V67" s="12"/>
      <c r="W67" s="12"/>
      <c r="X67" s="12"/>
      <c r="Y67" s="12"/>
      <c r="Z67" s="6"/>
      <c r="AA67" s="547"/>
      <c r="AB67" s="547"/>
      <c r="AC67" s="547"/>
      <c r="AD67" s="547"/>
      <c r="AE67" s="547"/>
      <c r="AF67" s="547"/>
      <c r="AG67" s="12"/>
      <c r="AH67" s="12"/>
      <c r="AI67" s="12"/>
      <c r="AJ67" s="12"/>
      <c r="AL67" s="547"/>
      <c r="AM67" s="547"/>
      <c r="AN67" s="547"/>
      <c r="AO67" s="547"/>
      <c r="AP67" s="547"/>
      <c r="AQ67" s="547"/>
      <c r="AR67" s="12"/>
      <c r="AS67" s="12"/>
      <c r="AT67" s="12"/>
      <c r="AU67" s="12"/>
      <c r="AV67" s="12"/>
      <c r="AW67" s="12"/>
      <c r="AX67" s="12"/>
      <c r="AY67" s="12"/>
      <c r="AZ67" s="547"/>
      <c r="BA67" s="547"/>
      <c r="BB67" s="547"/>
      <c r="BC67" s="547"/>
      <c r="BD67" s="547"/>
      <c r="BE67" s="547"/>
      <c r="BF67" s="12"/>
      <c r="BG67" s="12"/>
      <c r="BH67" s="12"/>
      <c r="BI67" s="12"/>
      <c r="BJ67" s="12"/>
      <c r="BK67" s="12"/>
      <c r="BL67" s="547"/>
      <c r="BM67" s="547"/>
      <c r="BN67" s="547"/>
      <c r="BO67" s="547"/>
      <c r="BP67" s="547"/>
      <c r="BQ67" s="547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547"/>
      <c r="CF67" s="547"/>
      <c r="CG67" s="547"/>
      <c r="CH67" s="547"/>
      <c r="CI67" s="547"/>
      <c r="CJ67" s="547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547"/>
      <c r="CX67" s="547"/>
      <c r="CY67" s="547"/>
      <c r="CZ67" s="547"/>
      <c r="DA67" s="547"/>
      <c r="DB67" s="547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547"/>
      <c r="DR67" s="547"/>
      <c r="DS67" s="547"/>
      <c r="DT67" s="547"/>
      <c r="DU67" s="547"/>
      <c r="DV67" s="547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547"/>
      <c r="EL67" s="547"/>
      <c r="EM67" s="547"/>
      <c r="EN67" s="547"/>
      <c r="EO67" s="547"/>
      <c r="EP67" s="547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547"/>
      <c r="FQ67" s="547"/>
      <c r="FR67" s="547"/>
      <c r="FS67" s="547"/>
      <c r="FT67" s="547"/>
      <c r="FU67" s="547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547"/>
      <c r="GN67" s="547"/>
      <c r="GO67" s="547"/>
      <c r="GP67" s="547"/>
      <c r="GQ67" s="547"/>
      <c r="GR67" s="547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547"/>
      <c r="HI67" s="547"/>
      <c r="HJ67" s="547"/>
      <c r="HK67" s="547"/>
      <c r="HL67" s="547"/>
      <c r="HM67" s="547"/>
      <c r="HN67" s="12"/>
      <c r="HO67" s="12"/>
      <c r="HP67" s="12"/>
      <c r="HQ67" s="12"/>
      <c r="HS67" s="547"/>
      <c r="HT67" s="547"/>
      <c r="HU67" s="547"/>
      <c r="HV67" s="547"/>
      <c r="HW67" s="547"/>
      <c r="HX67" s="547"/>
      <c r="HY67" s="12"/>
      <c r="HZ67" s="12"/>
      <c r="IA67" s="12"/>
      <c r="IB67" s="12"/>
    </row>
    <row r="68" spans="1:236" ht="14.45" customHeight="1" x14ac:dyDescent="0.25">
      <c r="A68" s="58"/>
      <c r="B68" s="12"/>
      <c r="C68" s="704" t="s">
        <v>215</v>
      </c>
      <c r="D68" s="704"/>
      <c r="E68" s="704"/>
      <c r="F68" s="704"/>
      <c r="G68" s="704"/>
      <c r="H68" s="203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546"/>
      <c r="S68" s="546"/>
      <c r="T68" s="546"/>
      <c r="U68" s="12"/>
      <c r="V68" s="12"/>
      <c r="W68" s="12"/>
      <c r="X68" s="12"/>
      <c r="Y68" s="12"/>
      <c r="Z68" s="6"/>
      <c r="AA68" s="547"/>
      <c r="AB68" s="547"/>
      <c r="AC68" s="547"/>
      <c r="AD68" s="547"/>
      <c r="AE68" s="547"/>
      <c r="AF68" s="547"/>
      <c r="AG68" s="12"/>
      <c r="AH68" s="12"/>
      <c r="AI68" s="12"/>
      <c r="AJ68" s="12"/>
      <c r="AL68" s="547"/>
      <c r="AM68" s="547"/>
      <c r="AN68" s="547"/>
      <c r="AO68" s="547"/>
      <c r="AP68" s="547"/>
      <c r="AQ68" s="547"/>
      <c r="AR68" s="12"/>
      <c r="AS68" s="12"/>
      <c r="AT68" s="12"/>
      <c r="AU68" s="12"/>
      <c r="AV68" s="12"/>
      <c r="AW68" s="12"/>
      <c r="AX68" s="12"/>
      <c r="AY68" s="12"/>
      <c r="AZ68" s="547"/>
      <c r="BA68" s="547"/>
      <c r="BB68" s="547"/>
      <c r="BC68" s="547"/>
      <c r="BD68" s="547"/>
      <c r="BE68" s="547"/>
      <c r="BF68" s="12"/>
      <c r="BG68" s="12"/>
      <c r="BH68" s="12"/>
      <c r="BI68" s="12"/>
      <c r="BJ68" s="12"/>
      <c r="BK68" s="12"/>
      <c r="BL68" s="547"/>
      <c r="BM68" s="547"/>
      <c r="BN68" s="547"/>
      <c r="BO68" s="547"/>
      <c r="BP68" s="547"/>
      <c r="BQ68" s="547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547"/>
      <c r="CF68" s="547"/>
      <c r="CG68" s="547"/>
      <c r="CH68" s="547"/>
      <c r="CI68" s="547"/>
      <c r="CJ68" s="547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547"/>
      <c r="CX68" s="547"/>
      <c r="CY68" s="547"/>
      <c r="CZ68" s="547"/>
      <c r="DA68" s="547"/>
      <c r="DB68" s="547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547"/>
      <c r="DR68" s="547"/>
      <c r="DS68" s="547"/>
      <c r="DT68" s="547"/>
      <c r="DU68" s="547"/>
      <c r="DV68" s="547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547"/>
      <c r="EL68" s="547"/>
      <c r="EM68" s="547"/>
      <c r="EN68" s="547"/>
      <c r="EO68" s="547"/>
      <c r="EP68" s="547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547"/>
      <c r="FQ68" s="547"/>
      <c r="FR68" s="547"/>
      <c r="FS68" s="547"/>
      <c r="FT68" s="547"/>
      <c r="FU68" s="547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547"/>
      <c r="GN68" s="547"/>
      <c r="GO68" s="547"/>
      <c r="GP68" s="547"/>
      <c r="GQ68" s="547"/>
      <c r="GR68" s="547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547"/>
      <c r="HI68" s="547"/>
      <c r="HJ68" s="547"/>
      <c r="HK68" s="547"/>
      <c r="HL68" s="547"/>
      <c r="HM68" s="547"/>
      <c r="HN68" s="12"/>
      <c r="HO68" s="12"/>
      <c r="HP68" s="12"/>
      <c r="HQ68" s="12"/>
      <c r="HS68" s="547"/>
      <c r="HT68" s="547"/>
      <c r="HU68" s="547"/>
      <c r="HV68" s="547"/>
      <c r="HW68" s="547"/>
      <c r="HX68" s="547"/>
      <c r="HY68" s="12"/>
      <c r="HZ68" s="12"/>
      <c r="IA68" s="12"/>
      <c r="IB68" s="12"/>
    </row>
    <row r="69" spans="1:236" ht="14.45" customHeight="1" x14ac:dyDescent="0.25">
      <c r="A69" s="58"/>
      <c r="B69" s="12"/>
      <c r="C69" s="704" t="s">
        <v>169</v>
      </c>
      <c r="D69" s="704"/>
      <c r="E69" s="704"/>
      <c r="F69" s="704"/>
      <c r="G69" s="704"/>
      <c r="H69" s="203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546"/>
      <c r="S69" s="546"/>
      <c r="T69" s="546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547"/>
      <c r="EL69" s="547"/>
      <c r="EM69" s="547"/>
      <c r="EN69" s="547"/>
      <c r="EO69" s="547"/>
      <c r="EP69" s="547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547"/>
      <c r="FQ69" s="547"/>
      <c r="FR69" s="547"/>
      <c r="FS69" s="547"/>
      <c r="FT69" s="547"/>
      <c r="FU69" s="547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547"/>
      <c r="GN69" s="547"/>
      <c r="GO69" s="547"/>
      <c r="GP69" s="547"/>
      <c r="GQ69" s="547"/>
      <c r="GR69" s="547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547"/>
      <c r="HI69" s="547"/>
      <c r="HJ69" s="547"/>
      <c r="HK69" s="547"/>
      <c r="HL69" s="547"/>
      <c r="HM69" s="547"/>
      <c r="HN69" s="12"/>
      <c r="HO69" s="12"/>
      <c r="HP69" s="12"/>
      <c r="HQ69" s="12"/>
      <c r="HS69" s="547"/>
      <c r="HT69" s="547"/>
      <c r="HU69" s="547"/>
      <c r="HV69" s="547"/>
      <c r="HW69" s="547"/>
      <c r="HX69" s="547"/>
      <c r="HY69" s="12"/>
      <c r="HZ69" s="12"/>
      <c r="IA69" s="12"/>
      <c r="IB69" s="12"/>
    </row>
    <row r="70" spans="1:236" ht="14.45" customHeight="1" x14ac:dyDescent="0.25">
      <c r="A70" s="58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546"/>
      <c r="S70" s="546"/>
      <c r="T70" s="546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05"/>
      <c r="BM70" s="705"/>
      <c r="BN70" s="705"/>
      <c r="BO70" s="705"/>
      <c r="BP70" s="705"/>
      <c r="BQ70" s="705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05"/>
      <c r="CF70" s="705"/>
      <c r="CG70" s="705"/>
      <c r="CH70" s="705"/>
      <c r="CI70" s="705"/>
      <c r="CJ70" s="705"/>
      <c r="CK70" s="12"/>
      <c r="CL70" s="5"/>
      <c r="CM70" s="5"/>
      <c r="CN70" s="5"/>
      <c r="CO70" s="5"/>
      <c r="CP70" s="5"/>
      <c r="CQ70" s="5"/>
      <c r="CR70" s="5"/>
      <c r="CS70" s="243"/>
      <c r="CT70" s="12"/>
      <c r="CU70" s="17"/>
      <c r="CV70" s="243"/>
      <c r="CW70" s="12"/>
      <c r="CX70" s="12"/>
      <c r="CY70" s="12"/>
      <c r="CZ70" s="12"/>
      <c r="DA70" s="12"/>
      <c r="DB70" s="12"/>
      <c r="DC70" s="12"/>
      <c r="DD70" s="243"/>
      <c r="DE70" s="243"/>
      <c r="DF70" s="243"/>
      <c r="DG70" s="243"/>
      <c r="DH70" s="243"/>
      <c r="DI70" s="243"/>
      <c r="DJ70" s="243"/>
      <c r="DK70" s="243"/>
      <c r="DL70" s="243"/>
      <c r="DM70" s="243"/>
      <c r="DN70" s="12"/>
      <c r="DO70" s="17"/>
      <c r="EH70" s="12"/>
      <c r="EI70" s="17"/>
      <c r="FM70" s="12"/>
      <c r="FN70" s="17"/>
      <c r="GJ70" s="12"/>
      <c r="GK70" s="17"/>
      <c r="GT70" s="204"/>
      <c r="GU70" s="204"/>
      <c r="GV70" s="204"/>
      <c r="GW70" s="204"/>
      <c r="GX70" s="204"/>
      <c r="GY70" s="204"/>
      <c r="GZ70" s="204"/>
      <c r="HA70" s="204"/>
      <c r="HB70" s="204"/>
      <c r="HC70" s="204"/>
      <c r="HD70" s="204"/>
      <c r="HE70" s="12"/>
      <c r="HF70" s="17"/>
      <c r="HO70" s="204"/>
      <c r="HP70" s="12"/>
      <c r="HQ70" s="17"/>
      <c r="HZ70" s="204"/>
      <c r="IA70" s="12"/>
      <c r="IB70" s="17"/>
    </row>
    <row r="71" spans="1:236" ht="14.45" hidden="1" customHeight="1" x14ac:dyDescent="0.25">
      <c r="A71" s="58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263"/>
      <c r="N71" s="12"/>
      <c r="R71" s="219"/>
      <c r="S71" s="219"/>
      <c r="T71" s="219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256"/>
      <c r="BM71" s="256"/>
      <c r="BN71" s="256"/>
      <c r="BO71" s="256"/>
      <c r="BP71" s="256"/>
      <c r="BQ71" s="256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256"/>
      <c r="CF71" s="256"/>
      <c r="CG71" s="256"/>
      <c r="CH71" s="256"/>
      <c r="CI71" s="256"/>
      <c r="CJ71" s="256"/>
      <c r="CK71" s="12"/>
      <c r="CL71" s="5"/>
      <c r="CM71" s="5"/>
      <c r="CN71" s="5"/>
      <c r="CO71" s="5"/>
      <c r="CP71" s="5"/>
      <c r="CQ71" s="5"/>
      <c r="CR71" s="5"/>
      <c r="CS71" s="243"/>
      <c r="CT71" s="12"/>
      <c r="CU71" s="17"/>
      <c r="CV71" s="243"/>
      <c r="CW71" s="12"/>
      <c r="CX71" s="12"/>
      <c r="CY71" s="12"/>
      <c r="CZ71" s="12"/>
      <c r="DA71" s="12"/>
      <c r="DB71" s="12"/>
      <c r="DC71" s="12"/>
      <c r="DD71" s="243"/>
      <c r="DE71" s="243"/>
      <c r="DF71" s="243"/>
      <c r="DG71" s="243"/>
      <c r="DH71" s="243"/>
      <c r="DI71" s="243"/>
      <c r="DJ71" s="243"/>
      <c r="DK71" s="243"/>
      <c r="DL71" s="243"/>
      <c r="DM71" s="243"/>
      <c r="DN71" s="12"/>
      <c r="DO71" s="17"/>
      <c r="EH71" s="12"/>
      <c r="EI71" s="17"/>
      <c r="FM71" s="12"/>
      <c r="FN71" s="17"/>
      <c r="GJ71" s="12"/>
      <c r="GK71" s="17"/>
      <c r="GT71" s="204"/>
      <c r="GU71" s="204"/>
      <c r="GV71" s="204"/>
      <c r="GW71" s="204"/>
      <c r="GX71" s="204"/>
      <c r="GY71" s="204"/>
      <c r="GZ71" s="204"/>
      <c r="HA71" s="204"/>
      <c r="HB71" s="204"/>
      <c r="HC71" s="204"/>
      <c r="HD71" s="204"/>
      <c r="HE71" s="12"/>
      <c r="HF71" s="17"/>
      <c r="HO71" s="204"/>
      <c r="HP71" s="12"/>
      <c r="HQ71" s="17"/>
      <c r="HZ71" s="204"/>
      <c r="IA71" s="12"/>
      <c r="IB71" s="17"/>
    </row>
    <row r="72" spans="1:236" ht="14.45" hidden="1" customHeight="1" x14ac:dyDescent="0.25">
      <c r="A72" s="58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263"/>
      <c r="N72" s="12"/>
      <c r="R72" s="219"/>
      <c r="S72" s="219"/>
      <c r="T72" s="219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256"/>
      <c r="BM72" s="256"/>
      <c r="BN72" s="256"/>
      <c r="BO72" s="256"/>
      <c r="BP72" s="256"/>
      <c r="BQ72" s="256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256"/>
      <c r="CF72" s="256"/>
      <c r="CG72" s="256"/>
      <c r="CH72" s="256"/>
      <c r="CI72" s="256"/>
      <c r="CJ72" s="256"/>
      <c r="CK72" s="12"/>
      <c r="CL72" s="5"/>
      <c r="CM72" s="5"/>
      <c r="CN72" s="5"/>
      <c r="CO72" s="5"/>
      <c r="CP72" s="5"/>
      <c r="CQ72" s="5"/>
      <c r="CR72" s="5"/>
      <c r="CS72" s="243"/>
      <c r="CT72" s="12"/>
      <c r="CU72" s="17"/>
      <c r="CV72" s="243"/>
      <c r="CW72" s="12"/>
      <c r="CX72" s="12"/>
      <c r="CY72" s="12"/>
      <c r="CZ72" s="12"/>
      <c r="DA72" s="12"/>
      <c r="DB72" s="12"/>
      <c r="DC72" s="12"/>
      <c r="DD72" s="243"/>
      <c r="DE72" s="243"/>
      <c r="DF72" s="243"/>
      <c r="DG72" s="243"/>
      <c r="DH72" s="243"/>
      <c r="DI72" s="243"/>
      <c r="DJ72" s="243"/>
      <c r="DK72" s="243"/>
      <c r="DL72" s="243"/>
      <c r="DM72" s="243"/>
      <c r="DN72" s="12"/>
      <c r="DO72" s="17"/>
      <c r="EH72" s="12"/>
      <c r="EI72" s="17"/>
      <c r="FM72" s="12"/>
      <c r="FN72" s="17"/>
      <c r="GJ72" s="12"/>
      <c r="GK72" s="17"/>
      <c r="GT72" s="204"/>
      <c r="GU72" s="204"/>
      <c r="GV72" s="204"/>
      <c r="GW72" s="204"/>
      <c r="GX72" s="204"/>
      <c r="GY72" s="204"/>
      <c r="GZ72" s="204"/>
      <c r="HA72" s="204"/>
      <c r="HB72" s="204"/>
      <c r="HC72" s="204"/>
      <c r="HD72" s="204"/>
      <c r="HE72" s="12"/>
      <c r="HF72" s="17"/>
      <c r="HO72" s="204"/>
      <c r="HP72" s="12"/>
      <c r="HQ72" s="17"/>
      <c r="HZ72" s="204"/>
      <c r="IA72" s="12"/>
      <c r="IB72" s="17"/>
    </row>
    <row r="73" spans="1:236" ht="14.45" hidden="1" customHeight="1" x14ac:dyDescent="0.25">
      <c r="A73" s="58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263"/>
      <c r="N73" s="12"/>
      <c r="R73" s="219"/>
      <c r="S73" s="219"/>
      <c r="T73" s="219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256"/>
      <c r="BM73" s="256"/>
      <c r="BN73" s="256"/>
      <c r="BO73" s="256"/>
      <c r="BP73" s="256"/>
      <c r="BQ73" s="256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256"/>
      <c r="CF73" s="256"/>
      <c r="CG73" s="256"/>
      <c r="CH73" s="256"/>
      <c r="CI73" s="256"/>
      <c r="CJ73" s="256"/>
      <c r="CK73" s="12"/>
      <c r="CL73" s="5"/>
      <c r="CM73" s="5"/>
      <c r="CN73" s="5"/>
      <c r="CO73" s="5"/>
      <c r="CP73" s="5"/>
      <c r="CQ73" s="5"/>
      <c r="CR73" s="5"/>
      <c r="CS73" s="243"/>
      <c r="CT73" s="12"/>
      <c r="CU73" s="17"/>
      <c r="CV73" s="243"/>
      <c r="CW73" s="12"/>
      <c r="CX73" s="12"/>
      <c r="CY73" s="12"/>
      <c r="CZ73" s="12"/>
      <c r="DA73" s="12"/>
      <c r="DB73" s="12"/>
      <c r="DC73" s="12"/>
      <c r="DD73" s="243"/>
      <c r="DE73" s="243"/>
      <c r="DF73" s="243"/>
      <c r="DG73" s="243"/>
      <c r="DH73" s="243"/>
      <c r="DI73" s="243"/>
      <c r="DJ73" s="243"/>
      <c r="DK73" s="243"/>
      <c r="DL73" s="243"/>
      <c r="DM73" s="243"/>
      <c r="DN73" s="12"/>
      <c r="DO73" s="17"/>
      <c r="EH73" s="12"/>
      <c r="EI73" s="17"/>
      <c r="FM73" s="12"/>
      <c r="FN73" s="17"/>
      <c r="GJ73" s="12"/>
      <c r="GK73" s="17"/>
      <c r="GT73" s="204"/>
      <c r="GU73" s="204"/>
      <c r="GV73" s="204"/>
      <c r="GW73" s="204"/>
      <c r="GX73" s="204"/>
      <c r="GY73" s="204"/>
      <c r="GZ73" s="204"/>
      <c r="HA73" s="204"/>
      <c r="HB73" s="204"/>
      <c r="HC73" s="204"/>
      <c r="HD73" s="204"/>
      <c r="HE73" s="12"/>
      <c r="HF73" s="17"/>
      <c r="HO73" s="204"/>
      <c r="HP73" s="12"/>
      <c r="HQ73" s="17"/>
      <c r="HZ73" s="204"/>
      <c r="IA73" s="12"/>
      <c r="IB73" s="17"/>
    </row>
    <row r="74" spans="1:236" ht="14.45" hidden="1" customHeight="1" x14ac:dyDescent="0.25">
      <c r="A74" s="58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263"/>
      <c r="N74" s="12"/>
      <c r="R74" s="219"/>
      <c r="S74" s="219"/>
      <c r="T74" s="219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256"/>
      <c r="BM74" s="256"/>
      <c r="BN74" s="256"/>
      <c r="BO74" s="256"/>
      <c r="BP74" s="256"/>
      <c r="BQ74" s="256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256"/>
      <c r="CF74" s="256"/>
      <c r="CG74" s="256"/>
      <c r="CH74" s="256"/>
      <c r="CI74" s="256"/>
      <c r="CJ74" s="256"/>
      <c r="CK74" s="12"/>
      <c r="CL74" s="5"/>
      <c r="CM74" s="5"/>
      <c r="CN74" s="5"/>
      <c r="CO74" s="5"/>
      <c r="CP74" s="5"/>
      <c r="CQ74" s="5"/>
      <c r="CR74" s="5"/>
      <c r="CS74" s="243"/>
      <c r="CT74" s="12"/>
      <c r="CU74" s="17"/>
      <c r="CV74" s="243"/>
      <c r="CW74" s="12"/>
      <c r="CX74" s="12"/>
      <c r="CY74" s="12"/>
      <c r="CZ74" s="12"/>
      <c r="DA74" s="12"/>
      <c r="DB74" s="12"/>
      <c r="DC74" s="12"/>
      <c r="DD74" s="243"/>
      <c r="DE74" s="243"/>
      <c r="DF74" s="243"/>
      <c r="DG74" s="243"/>
      <c r="DH74" s="243"/>
      <c r="DI74" s="243"/>
      <c r="DJ74" s="243"/>
      <c r="DK74" s="243"/>
      <c r="DL74" s="243"/>
      <c r="DM74" s="243"/>
      <c r="DN74" s="12"/>
      <c r="DO74" s="17"/>
      <c r="EH74" s="12"/>
      <c r="EI74" s="17"/>
      <c r="FM74" s="12"/>
      <c r="FN74" s="17"/>
      <c r="GJ74" s="12"/>
      <c r="GK74" s="17"/>
      <c r="GT74" s="204"/>
      <c r="GU74" s="204"/>
      <c r="GV74" s="204"/>
      <c r="GW74" s="204"/>
      <c r="GX74" s="204"/>
      <c r="GY74" s="204"/>
      <c r="GZ74" s="204"/>
      <c r="HA74" s="204"/>
      <c r="HB74" s="204"/>
      <c r="HC74" s="204"/>
      <c r="HD74" s="204"/>
      <c r="HE74" s="12"/>
      <c r="HF74" s="17"/>
      <c r="HO74" s="204"/>
      <c r="HP74" s="12"/>
      <c r="HQ74" s="17"/>
      <c r="HZ74" s="204"/>
      <c r="IA74" s="12"/>
      <c r="IB74" s="17"/>
    </row>
    <row r="75" spans="1:236" ht="14.45" hidden="1" customHeight="1" x14ac:dyDescent="0.25">
      <c r="A75" s="58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263"/>
      <c r="N75" s="12"/>
      <c r="R75" s="219"/>
      <c r="S75" s="219"/>
      <c r="T75" s="219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256"/>
      <c r="BM75" s="256"/>
      <c r="BN75" s="256"/>
      <c r="BO75" s="256"/>
      <c r="BP75" s="256"/>
      <c r="BQ75" s="256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256"/>
      <c r="CF75" s="256"/>
      <c r="CG75" s="256"/>
      <c r="CH75" s="256"/>
      <c r="CI75" s="256"/>
      <c r="CJ75" s="256"/>
      <c r="CK75" s="12"/>
      <c r="CL75" s="5"/>
      <c r="CM75" s="5"/>
      <c r="CN75" s="5"/>
      <c r="CO75" s="5"/>
      <c r="CP75" s="5"/>
      <c r="CQ75" s="5"/>
      <c r="CR75" s="5"/>
      <c r="CS75" s="243"/>
      <c r="CT75" s="12"/>
      <c r="CU75" s="17"/>
      <c r="CV75" s="243"/>
      <c r="CW75" s="12"/>
      <c r="CX75" s="12"/>
      <c r="CY75" s="12"/>
      <c r="CZ75" s="12"/>
      <c r="DA75" s="12"/>
      <c r="DB75" s="12"/>
      <c r="DC75" s="12"/>
      <c r="DD75" s="243"/>
      <c r="DE75" s="243"/>
      <c r="DF75" s="243"/>
      <c r="DG75" s="243"/>
      <c r="DH75" s="243"/>
      <c r="DI75" s="243"/>
      <c r="DJ75" s="243"/>
      <c r="DK75" s="243"/>
      <c r="DL75" s="243"/>
      <c r="DM75" s="243"/>
      <c r="DN75" s="12"/>
      <c r="DO75" s="17"/>
      <c r="EH75" s="12"/>
      <c r="EI75" s="17"/>
      <c r="FM75" s="12"/>
      <c r="FN75" s="17"/>
      <c r="GJ75" s="12"/>
      <c r="GK75" s="17"/>
      <c r="GT75" s="204"/>
      <c r="GU75" s="204"/>
      <c r="GV75" s="204"/>
      <c r="GW75" s="204"/>
      <c r="GX75" s="204"/>
      <c r="GY75" s="204"/>
      <c r="GZ75" s="204"/>
      <c r="HA75" s="204"/>
      <c r="HB75" s="204"/>
      <c r="HC75" s="204"/>
      <c r="HD75" s="204"/>
      <c r="HE75" s="12"/>
      <c r="HF75" s="17"/>
      <c r="HO75" s="204"/>
      <c r="HP75" s="12"/>
      <c r="HQ75" s="17"/>
      <c r="HZ75" s="204"/>
      <c r="IA75" s="12"/>
      <c r="IB75" s="17"/>
    </row>
    <row r="76" spans="1:236" ht="14.45" hidden="1" customHeight="1" x14ac:dyDescent="0.25">
      <c r="A76" s="58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263"/>
      <c r="N76" s="12"/>
      <c r="R76" s="219"/>
      <c r="S76" s="219"/>
      <c r="T76" s="219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256"/>
      <c r="BM76" s="256"/>
      <c r="BN76" s="256"/>
      <c r="BO76" s="256"/>
      <c r="BP76" s="256"/>
      <c r="BQ76" s="256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256"/>
      <c r="CF76" s="256"/>
      <c r="CG76" s="256"/>
      <c r="CH76" s="256"/>
      <c r="CI76" s="256"/>
      <c r="CJ76" s="256"/>
      <c r="CK76" s="12"/>
      <c r="CL76" s="5"/>
      <c r="CM76" s="5"/>
      <c r="CN76" s="5"/>
      <c r="CO76" s="5"/>
      <c r="CP76" s="5"/>
      <c r="CQ76" s="5"/>
      <c r="CR76" s="5"/>
      <c r="CS76" s="243"/>
      <c r="CT76" s="12"/>
      <c r="CU76" s="17"/>
      <c r="CV76" s="243"/>
      <c r="CW76" s="12"/>
      <c r="CX76" s="12"/>
      <c r="CY76" s="12"/>
      <c r="CZ76" s="12"/>
      <c r="DA76" s="12"/>
      <c r="DB76" s="12"/>
      <c r="DC76" s="12"/>
      <c r="DD76" s="243"/>
      <c r="DE76" s="243"/>
      <c r="DF76" s="243"/>
      <c r="DG76" s="243"/>
      <c r="DH76" s="243"/>
      <c r="DI76" s="243"/>
      <c r="DJ76" s="243"/>
      <c r="DK76" s="243"/>
      <c r="DL76" s="243"/>
      <c r="DM76" s="243"/>
      <c r="DN76" s="12"/>
      <c r="DO76" s="17"/>
      <c r="EH76" s="12"/>
      <c r="EI76" s="17"/>
      <c r="FM76" s="12"/>
      <c r="FN76" s="17"/>
      <c r="GJ76" s="12"/>
      <c r="GK76" s="17"/>
      <c r="GT76" s="204"/>
      <c r="GU76" s="204"/>
      <c r="GV76" s="204"/>
      <c r="GW76" s="204"/>
      <c r="GX76" s="204"/>
      <c r="GY76" s="204"/>
      <c r="GZ76" s="204"/>
      <c r="HA76" s="204"/>
      <c r="HB76" s="204"/>
      <c r="HC76" s="204"/>
      <c r="HD76" s="204"/>
      <c r="HE76" s="12"/>
      <c r="HF76" s="17"/>
      <c r="HO76" s="204"/>
      <c r="HP76" s="12"/>
      <c r="HQ76" s="17"/>
      <c r="HZ76" s="204"/>
      <c r="IA76" s="12"/>
      <c r="IB76" s="17"/>
    </row>
    <row r="77" spans="1:236" ht="14.45" hidden="1" customHeight="1" x14ac:dyDescent="0.25">
      <c r="A77" s="58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263"/>
      <c r="N77" s="12"/>
      <c r="R77" s="219"/>
      <c r="S77" s="219"/>
      <c r="T77" s="219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256"/>
      <c r="BM77" s="256"/>
      <c r="BN77" s="256"/>
      <c r="BO77" s="256"/>
      <c r="BP77" s="256"/>
      <c r="BQ77" s="256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256"/>
      <c r="CF77" s="256"/>
      <c r="CG77" s="256"/>
      <c r="CH77" s="256"/>
      <c r="CI77" s="256"/>
      <c r="CJ77" s="256"/>
      <c r="CK77" s="12"/>
      <c r="CL77" s="5"/>
      <c r="CM77" s="5"/>
      <c r="CN77" s="5"/>
      <c r="CO77" s="5"/>
      <c r="CP77" s="5"/>
      <c r="CQ77" s="5"/>
      <c r="CR77" s="5"/>
      <c r="CS77" s="243"/>
      <c r="CT77" s="12"/>
      <c r="CU77" s="17"/>
      <c r="CV77" s="243"/>
      <c r="CW77" s="12"/>
      <c r="CX77" s="12"/>
      <c r="CY77" s="12"/>
      <c r="CZ77" s="12"/>
      <c r="DA77" s="12"/>
      <c r="DB77" s="12"/>
      <c r="DC77" s="12"/>
      <c r="DD77" s="243"/>
      <c r="DE77" s="243"/>
      <c r="DF77" s="243"/>
      <c r="DG77" s="243"/>
      <c r="DH77" s="243"/>
      <c r="DI77" s="243"/>
      <c r="DJ77" s="243"/>
      <c r="DK77" s="243"/>
      <c r="DL77" s="243"/>
      <c r="DM77" s="243"/>
      <c r="DN77" s="12"/>
      <c r="DO77" s="17"/>
      <c r="EH77" s="12"/>
      <c r="EI77" s="17"/>
      <c r="FM77" s="12"/>
      <c r="FN77" s="17"/>
      <c r="GJ77" s="12"/>
      <c r="GK77" s="17"/>
      <c r="GT77" s="204"/>
      <c r="GU77" s="204"/>
      <c r="GV77" s="204"/>
      <c r="GW77" s="204"/>
      <c r="GX77" s="204"/>
      <c r="GY77" s="204"/>
      <c r="GZ77" s="204"/>
      <c r="HA77" s="204"/>
      <c r="HB77" s="204"/>
      <c r="HC77" s="204"/>
      <c r="HD77" s="204"/>
      <c r="HE77" s="12"/>
      <c r="HF77" s="17"/>
      <c r="HO77" s="204"/>
      <c r="HP77" s="12"/>
      <c r="HQ77" s="17"/>
      <c r="HZ77" s="204"/>
      <c r="IA77" s="12"/>
      <c r="IB77" s="17"/>
    </row>
    <row r="78" spans="1:236" ht="14.45" hidden="1" customHeight="1" x14ac:dyDescent="0.25">
      <c r="A78" s="58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263"/>
      <c r="N78" s="12"/>
      <c r="R78" s="219"/>
      <c r="S78" s="219"/>
      <c r="T78" s="219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256"/>
      <c r="BM78" s="256"/>
      <c r="BN78" s="256"/>
      <c r="BO78" s="256"/>
      <c r="BP78" s="256"/>
      <c r="BQ78" s="256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256"/>
      <c r="CF78" s="256"/>
      <c r="CG78" s="256"/>
      <c r="CH78" s="256"/>
      <c r="CI78" s="256"/>
      <c r="CJ78" s="256"/>
      <c r="CK78" s="12"/>
      <c r="CL78" s="5"/>
      <c r="CM78" s="5"/>
      <c r="CN78" s="5"/>
      <c r="CO78" s="5"/>
      <c r="CP78" s="5"/>
      <c r="CQ78" s="5"/>
      <c r="CR78" s="5"/>
      <c r="CS78" s="243"/>
      <c r="CT78" s="12"/>
      <c r="CU78" s="17"/>
      <c r="CV78" s="243"/>
      <c r="CW78" s="12"/>
      <c r="CX78" s="12"/>
      <c r="CY78" s="12"/>
      <c r="CZ78" s="12"/>
      <c r="DA78" s="12"/>
      <c r="DB78" s="12"/>
      <c r="DC78" s="12"/>
      <c r="DD78" s="243"/>
      <c r="DE78" s="243"/>
      <c r="DF78" s="243"/>
      <c r="DG78" s="243"/>
      <c r="DH78" s="243"/>
      <c r="DI78" s="243"/>
      <c r="DJ78" s="243"/>
      <c r="DK78" s="243"/>
      <c r="DL78" s="243"/>
      <c r="DM78" s="243"/>
      <c r="DN78" s="12"/>
      <c r="DO78" s="17"/>
      <c r="EH78" s="12"/>
      <c r="EI78" s="17"/>
      <c r="FM78" s="12"/>
      <c r="FN78" s="17"/>
      <c r="GJ78" s="12"/>
      <c r="GK78" s="17"/>
      <c r="GT78" s="204"/>
      <c r="GU78" s="204"/>
      <c r="GV78" s="204"/>
      <c r="GW78" s="204"/>
      <c r="GX78" s="204"/>
      <c r="GY78" s="204"/>
      <c r="GZ78" s="204"/>
      <c r="HA78" s="204"/>
      <c r="HB78" s="204"/>
      <c r="HC78" s="204"/>
      <c r="HD78" s="204"/>
      <c r="HE78" s="12"/>
      <c r="HF78" s="17"/>
      <c r="HO78" s="204"/>
      <c r="HP78" s="12"/>
      <c r="HQ78" s="17"/>
      <c r="HZ78" s="204"/>
      <c r="IA78" s="12"/>
      <c r="IB78" s="17"/>
    </row>
    <row r="79" spans="1:236" ht="14.45" hidden="1" customHeight="1" x14ac:dyDescent="0.25">
      <c r="A79" s="58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263"/>
      <c r="N79" s="12"/>
      <c r="R79" s="219"/>
      <c r="S79" s="219"/>
      <c r="T79" s="219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256"/>
      <c r="BM79" s="256"/>
      <c r="BN79" s="256"/>
      <c r="BO79" s="256"/>
      <c r="BP79" s="256"/>
      <c r="BQ79" s="256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256"/>
      <c r="CF79" s="256"/>
      <c r="CG79" s="256"/>
      <c r="CH79" s="256"/>
      <c r="CI79" s="256"/>
      <c r="CJ79" s="256"/>
      <c r="CK79" s="12"/>
      <c r="CL79" s="5"/>
      <c r="CM79" s="5"/>
      <c r="CN79" s="5"/>
      <c r="CO79" s="5"/>
      <c r="CP79" s="5"/>
      <c r="CQ79" s="5"/>
      <c r="CR79" s="5"/>
      <c r="CS79" s="243"/>
      <c r="CT79" s="12"/>
      <c r="CU79" s="17"/>
      <c r="CV79" s="243"/>
      <c r="CW79" s="12"/>
      <c r="CX79" s="12"/>
      <c r="CY79" s="12"/>
      <c r="CZ79" s="12"/>
      <c r="DA79" s="12"/>
      <c r="DB79" s="12"/>
      <c r="DC79" s="12"/>
      <c r="DD79" s="243"/>
      <c r="DE79" s="243"/>
      <c r="DF79" s="243"/>
      <c r="DG79" s="243"/>
      <c r="DH79" s="243"/>
      <c r="DI79" s="243"/>
      <c r="DJ79" s="243"/>
      <c r="DK79" s="243"/>
      <c r="DL79" s="243"/>
      <c r="DM79" s="243"/>
      <c r="DN79" s="12"/>
      <c r="DO79" s="17"/>
      <c r="EH79" s="12"/>
      <c r="EI79" s="17"/>
      <c r="FM79" s="12"/>
      <c r="FN79" s="17"/>
      <c r="GJ79" s="12"/>
      <c r="GK79" s="17"/>
      <c r="GT79" s="204"/>
      <c r="GU79" s="204"/>
      <c r="GV79" s="204"/>
      <c r="GW79" s="204"/>
      <c r="GX79" s="204"/>
      <c r="GY79" s="204"/>
      <c r="GZ79" s="204"/>
      <c r="HA79" s="204"/>
      <c r="HB79" s="204"/>
      <c r="HC79" s="204"/>
      <c r="HD79" s="204"/>
      <c r="HE79" s="12"/>
      <c r="HF79" s="17"/>
      <c r="HO79" s="204"/>
      <c r="HP79" s="12"/>
      <c r="HQ79" s="17"/>
      <c r="HZ79" s="204"/>
      <c r="IA79" s="12"/>
      <c r="IB79" s="17"/>
    </row>
    <row r="80" spans="1:236" ht="14.45" hidden="1" customHeight="1" x14ac:dyDescent="0.25">
      <c r="A80" s="58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263"/>
      <c r="N80" s="12"/>
      <c r="R80" s="219"/>
      <c r="S80" s="219"/>
      <c r="T80" s="219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256"/>
      <c r="BM80" s="256"/>
      <c r="BN80" s="256"/>
      <c r="BO80" s="256"/>
      <c r="BP80" s="256"/>
      <c r="BQ80" s="256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256"/>
      <c r="CF80" s="256"/>
      <c r="CG80" s="256"/>
      <c r="CH80" s="256"/>
      <c r="CI80" s="256"/>
      <c r="CJ80" s="256"/>
      <c r="CK80" s="12"/>
      <c r="CL80" s="5"/>
      <c r="CM80" s="5"/>
      <c r="CN80" s="5"/>
      <c r="CO80" s="5"/>
      <c r="CP80" s="5"/>
      <c r="CQ80" s="5"/>
      <c r="CR80" s="5"/>
      <c r="CS80" s="243"/>
      <c r="CT80" s="12"/>
      <c r="CU80" s="17"/>
      <c r="CV80" s="243"/>
      <c r="CW80" s="12"/>
      <c r="CX80" s="12"/>
      <c r="CY80" s="12"/>
      <c r="CZ80" s="12"/>
      <c r="DA80" s="12"/>
      <c r="DB80" s="12"/>
      <c r="DC80" s="12"/>
      <c r="DD80" s="243"/>
      <c r="DE80" s="243"/>
      <c r="DF80" s="243"/>
      <c r="DG80" s="243"/>
      <c r="DH80" s="243"/>
      <c r="DI80" s="243"/>
      <c r="DJ80" s="243"/>
      <c r="DK80" s="243"/>
      <c r="DL80" s="243"/>
      <c r="DM80" s="243"/>
      <c r="DN80" s="12"/>
      <c r="DO80" s="17"/>
      <c r="EH80" s="12"/>
      <c r="EI80" s="17"/>
      <c r="FM80" s="12"/>
      <c r="FN80" s="17"/>
      <c r="GJ80" s="12"/>
      <c r="GK80" s="17"/>
      <c r="GT80" s="204"/>
      <c r="GU80" s="204"/>
      <c r="GV80" s="204"/>
      <c r="GW80" s="204"/>
      <c r="GX80" s="204"/>
      <c r="GY80" s="204"/>
      <c r="GZ80" s="204"/>
      <c r="HA80" s="204"/>
      <c r="HB80" s="204"/>
      <c r="HC80" s="204"/>
      <c r="HD80" s="204"/>
      <c r="HE80" s="12"/>
      <c r="HF80" s="17"/>
      <c r="HO80" s="204"/>
      <c r="HP80" s="12"/>
      <c r="HQ80" s="17"/>
      <c r="HZ80" s="204"/>
      <c r="IA80" s="12"/>
      <c r="IB80" s="17"/>
    </row>
    <row r="81" spans="1:236" ht="14.45" hidden="1" customHeight="1" x14ac:dyDescent="0.25">
      <c r="A81" s="58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263"/>
      <c r="N81" s="12"/>
      <c r="R81" s="219"/>
      <c r="S81" s="219"/>
      <c r="T81" s="219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256"/>
      <c r="BM81" s="256"/>
      <c r="BN81" s="256"/>
      <c r="BO81" s="256"/>
      <c r="BP81" s="256"/>
      <c r="BQ81" s="256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256"/>
      <c r="CF81" s="256"/>
      <c r="CG81" s="256"/>
      <c r="CH81" s="256"/>
      <c r="CI81" s="256"/>
      <c r="CJ81" s="256"/>
      <c r="CK81" s="12"/>
      <c r="CL81" s="5"/>
      <c r="CM81" s="5"/>
      <c r="CN81" s="5"/>
      <c r="CO81" s="5"/>
      <c r="CP81" s="5"/>
      <c r="CQ81" s="5"/>
      <c r="CR81" s="5"/>
      <c r="CS81" s="243"/>
      <c r="CT81" s="12"/>
      <c r="CU81" s="17"/>
      <c r="CV81" s="243"/>
      <c r="CW81" s="12"/>
      <c r="CX81" s="12"/>
      <c r="CY81" s="12"/>
      <c r="CZ81" s="12"/>
      <c r="DA81" s="12"/>
      <c r="DB81" s="12"/>
      <c r="DC81" s="12"/>
      <c r="DD81" s="243"/>
      <c r="DE81" s="243"/>
      <c r="DF81" s="243"/>
      <c r="DG81" s="243"/>
      <c r="DH81" s="243"/>
      <c r="DI81" s="243"/>
      <c r="DJ81" s="243"/>
      <c r="DK81" s="243"/>
      <c r="DL81" s="243"/>
      <c r="DM81" s="243"/>
      <c r="DN81" s="12"/>
      <c r="DO81" s="17"/>
      <c r="EH81" s="12"/>
      <c r="EI81" s="17"/>
      <c r="FM81" s="12"/>
      <c r="FN81" s="17"/>
      <c r="GJ81" s="12"/>
      <c r="GK81" s="17"/>
      <c r="GT81" s="204"/>
      <c r="GU81" s="204"/>
      <c r="GV81" s="204"/>
      <c r="GW81" s="204"/>
      <c r="GX81" s="204"/>
      <c r="GY81" s="204"/>
      <c r="GZ81" s="204"/>
      <c r="HA81" s="204"/>
      <c r="HB81" s="204"/>
      <c r="HC81" s="204"/>
      <c r="HD81" s="204"/>
      <c r="HE81" s="12"/>
      <c r="HF81" s="17"/>
      <c r="HO81" s="204"/>
      <c r="HP81" s="12"/>
      <c r="HQ81" s="17"/>
      <c r="HZ81" s="204"/>
      <c r="IA81" s="12"/>
      <c r="IB81" s="17"/>
    </row>
    <row r="82" spans="1:236" ht="14.45" hidden="1" customHeight="1" x14ac:dyDescent="0.25">
      <c r="A82" s="58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263"/>
      <c r="N82" s="12"/>
      <c r="R82" s="219"/>
      <c r="S82" s="219"/>
      <c r="T82" s="219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256"/>
      <c r="BM82" s="256"/>
      <c r="BN82" s="256"/>
      <c r="BO82" s="256"/>
      <c r="BP82" s="256"/>
      <c r="BQ82" s="256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256"/>
      <c r="CF82" s="256"/>
      <c r="CG82" s="256"/>
      <c r="CH82" s="256"/>
      <c r="CI82" s="256"/>
      <c r="CJ82" s="256"/>
      <c r="CK82" s="12"/>
      <c r="CL82" s="5"/>
      <c r="CM82" s="5"/>
      <c r="CN82" s="5"/>
      <c r="CO82" s="5"/>
      <c r="CP82" s="5"/>
      <c r="CQ82" s="5"/>
      <c r="CR82" s="5"/>
      <c r="CS82" s="243"/>
      <c r="CT82" s="12"/>
      <c r="CU82" s="17"/>
      <c r="CV82" s="243"/>
      <c r="CW82" s="12"/>
      <c r="CX82" s="12"/>
      <c r="CY82" s="12"/>
      <c r="CZ82" s="12"/>
      <c r="DA82" s="12"/>
      <c r="DB82" s="12"/>
      <c r="DC82" s="12"/>
      <c r="DD82" s="243"/>
      <c r="DE82" s="243"/>
      <c r="DF82" s="243"/>
      <c r="DG82" s="243"/>
      <c r="DH82" s="243"/>
      <c r="DI82" s="243"/>
      <c r="DJ82" s="243"/>
      <c r="DK82" s="243"/>
      <c r="DL82" s="243"/>
      <c r="DM82" s="243"/>
      <c r="DN82" s="12"/>
      <c r="DO82" s="17"/>
      <c r="EH82" s="12"/>
      <c r="EI82" s="17"/>
      <c r="FM82" s="12"/>
      <c r="FN82" s="17"/>
      <c r="GJ82" s="12"/>
      <c r="GK82" s="17"/>
      <c r="GT82" s="204"/>
      <c r="GU82" s="204"/>
      <c r="GV82" s="204"/>
      <c r="GW82" s="204"/>
      <c r="GX82" s="204"/>
      <c r="GY82" s="204"/>
      <c r="GZ82" s="204"/>
      <c r="HA82" s="204"/>
      <c r="HB82" s="204"/>
      <c r="HC82" s="204"/>
      <c r="HD82" s="204"/>
      <c r="HE82" s="12"/>
      <c r="HF82" s="17"/>
      <c r="HO82" s="204"/>
      <c r="HP82" s="12"/>
      <c r="HQ82" s="17"/>
      <c r="HZ82" s="204"/>
      <c r="IA82" s="12"/>
      <c r="IB82" s="17"/>
    </row>
    <row r="83" spans="1:236" ht="14.45" hidden="1" customHeight="1" x14ac:dyDescent="0.25">
      <c r="A83" s="58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263"/>
      <c r="N83" s="12"/>
      <c r="R83" s="219"/>
      <c r="S83" s="219"/>
      <c r="T83" s="219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256"/>
      <c r="BM83" s="256"/>
      <c r="BN83" s="256"/>
      <c r="BO83" s="256"/>
      <c r="BP83" s="256"/>
      <c r="BQ83" s="256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256"/>
      <c r="CF83" s="256"/>
      <c r="CG83" s="256"/>
      <c r="CH83" s="256"/>
      <c r="CI83" s="256"/>
      <c r="CJ83" s="256"/>
      <c r="CK83" s="12"/>
      <c r="CL83" s="5"/>
      <c r="CM83" s="5"/>
      <c r="CN83" s="5"/>
      <c r="CO83" s="5"/>
      <c r="CP83" s="5"/>
      <c r="CQ83" s="5"/>
      <c r="CR83" s="5"/>
      <c r="CS83" s="243"/>
      <c r="CT83" s="12"/>
      <c r="CU83" s="17"/>
      <c r="CV83" s="243"/>
      <c r="CW83" s="12"/>
      <c r="CX83" s="12"/>
      <c r="CY83" s="12"/>
      <c r="CZ83" s="12"/>
      <c r="DA83" s="12"/>
      <c r="DB83" s="12"/>
      <c r="DC83" s="12"/>
      <c r="DD83" s="243"/>
      <c r="DE83" s="243"/>
      <c r="DF83" s="243"/>
      <c r="DG83" s="243"/>
      <c r="DH83" s="243"/>
      <c r="DI83" s="243"/>
      <c r="DJ83" s="243"/>
      <c r="DK83" s="243"/>
      <c r="DL83" s="243"/>
      <c r="DM83" s="243"/>
      <c r="DN83" s="12"/>
      <c r="DO83" s="17"/>
      <c r="EH83" s="12"/>
      <c r="EI83" s="17"/>
      <c r="FM83" s="12"/>
      <c r="FN83" s="17"/>
      <c r="GJ83" s="12"/>
      <c r="GK83" s="17"/>
      <c r="GT83" s="204"/>
      <c r="GU83" s="204"/>
      <c r="GV83" s="204"/>
      <c r="GW83" s="204"/>
      <c r="GX83" s="204"/>
      <c r="GY83" s="204"/>
      <c r="GZ83" s="204"/>
      <c r="HA83" s="204"/>
      <c r="HB83" s="204"/>
      <c r="HC83" s="204"/>
      <c r="HD83" s="204"/>
      <c r="HE83" s="12"/>
      <c r="HF83" s="17"/>
      <c r="HO83" s="204"/>
      <c r="HP83" s="12"/>
      <c r="HQ83" s="17"/>
      <c r="HZ83" s="204"/>
      <c r="IA83" s="12"/>
      <c r="IB83" s="17"/>
    </row>
    <row r="84" spans="1:236" ht="14.45" hidden="1" customHeight="1" x14ac:dyDescent="0.25">
      <c r="A84" s="58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263"/>
      <c r="N84" s="12"/>
      <c r="R84" s="219"/>
      <c r="S84" s="219"/>
      <c r="T84" s="219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256"/>
      <c r="BM84" s="256"/>
      <c r="BN84" s="256"/>
      <c r="BO84" s="256"/>
      <c r="BP84" s="256"/>
      <c r="BQ84" s="256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256"/>
      <c r="CF84" s="256"/>
      <c r="CG84" s="256"/>
      <c r="CH84" s="256"/>
      <c r="CI84" s="256"/>
      <c r="CJ84" s="256"/>
      <c r="CK84" s="12"/>
      <c r="CL84" s="5"/>
      <c r="CM84" s="5"/>
      <c r="CN84" s="5"/>
      <c r="CO84" s="5"/>
      <c r="CP84" s="5"/>
      <c r="CQ84" s="5"/>
      <c r="CR84" s="5"/>
      <c r="CS84" s="243"/>
      <c r="CT84" s="12"/>
      <c r="CU84" s="17"/>
      <c r="CV84" s="243"/>
      <c r="CW84" s="12"/>
      <c r="CX84" s="12"/>
      <c r="CY84" s="12"/>
      <c r="CZ84" s="12"/>
      <c r="DA84" s="12"/>
      <c r="DB84" s="12"/>
      <c r="DC84" s="12"/>
      <c r="DD84" s="243"/>
      <c r="DE84" s="243"/>
      <c r="DF84" s="243"/>
      <c r="DG84" s="243"/>
      <c r="DH84" s="243"/>
      <c r="DI84" s="243"/>
      <c r="DJ84" s="243"/>
      <c r="DK84" s="243"/>
      <c r="DL84" s="243"/>
      <c r="DM84" s="243"/>
      <c r="DN84" s="12"/>
      <c r="DO84" s="17"/>
      <c r="EH84" s="12"/>
      <c r="EI84" s="17"/>
      <c r="FM84" s="12"/>
      <c r="FN84" s="17"/>
      <c r="GJ84" s="12"/>
      <c r="GK84" s="17"/>
      <c r="GT84" s="204"/>
      <c r="GU84" s="204"/>
      <c r="GV84" s="204"/>
      <c r="GW84" s="204"/>
      <c r="GX84" s="204"/>
      <c r="GY84" s="204"/>
      <c r="GZ84" s="204"/>
      <c r="HA84" s="204"/>
      <c r="HB84" s="204"/>
      <c r="HC84" s="204"/>
      <c r="HD84" s="204"/>
      <c r="HE84" s="12"/>
      <c r="HF84" s="17"/>
      <c r="HO84" s="204"/>
      <c r="HP84" s="12"/>
      <c r="HQ84" s="17"/>
      <c r="HZ84" s="204"/>
      <c r="IA84" s="12"/>
      <c r="IB84" s="17"/>
    </row>
    <row r="85" spans="1:236" ht="14.45" hidden="1" customHeight="1" x14ac:dyDescent="0.25">
      <c r="A85" s="58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263"/>
      <c r="N85" s="12"/>
      <c r="R85" s="219"/>
      <c r="S85" s="219"/>
      <c r="T85" s="219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256"/>
      <c r="BM85" s="256"/>
      <c r="BN85" s="256"/>
      <c r="BO85" s="256"/>
      <c r="BP85" s="256"/>
      <c r="BQ85" s="256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256"/>
      <c r="CF85" s="256"/>
      <c r="CG85" s="256"/>
      <c r="CH85" s="256"/>
      <c r="CI85" s="256"/>
      <c r="CJ85" s="256"/>
      <c r="CK85" s="12"/>
      <c r="CL85" s="5"/>
      <c r="CM85" s="5"/>
      <c r="CN85" s="5"/>
      <c r="CO85" s="5"/>
      <c r="CP85" s="5"/>
      <c r="CQ85" s="5"/>
      <c r="CR85" s="5"/>
      <c r="CS85" s="243"/>
      <c r="CT85" s="12"/>
      <c r="CU85" s="17"/>
      <c r="CV85" s="243"/>
      <c r="CW85" s="12"/>
      <c r="CX85" s="12"/>
      <c r="CY85" s="12"/>
      <c r="CZ85" s="12"/>
      <c r="DA85" s="12"/>
      <c r="DB85" s="12"/>
      <c r="DC85" s="12"/>
      <c r="DD85" s="243"/>
      <c r="DE85" s="243"/>
      <c r="DF85" s="243"/>
      <c r="DG85" s="243"/>
      <c r="DH85" s="243"/>
      <c r="DI85" s="243"/>
      <c r="DJ85" s="243"/>
      <c r="DK85" s="243"/>
      <c r="DL85" s="243"/>
      <c r="DM85" s="243"/>
      <c r="DN85" s="12"/>
      <c r="DO85" s="17"/>
      <c r="EH85" s="12"/>
      <c r="EI85" s="17"/>
      <c r="FM85" s="12"/>
      <c r="FN85" s="17"/>
      <c r="GJ85" s="12"/>
      <c r="GK85" s="17"/>
      <c r="GT85" s="204"/>
      <c r="GU85" s="204"/>
      <c r="GV85" s="204"/>
      <c r="GW85" s="204"/>
      <c r="GX85" s="204"/>
      <c r="GY85" s="204"/>
      <c r="GZ85" s="204"/>
      <c r="HA85" s="204"/>
      <c r="HB85" s="204"/>
      <c r="HC85" s="204"/>
      <c r="HD85" s="204"/>
      <c r="HE85" s="12"/>
      <c r="HF85" s="17"/>
      <c r="HO85" s="204"/>
      <c r="HP85" s="12"/>
      <c r="HQ85" s="17"/>
      <c r="HZ85" s="204"/>
      <c r="IA85" s="12"/>
      <c r="IB85" s="17"/>
    </row>
    <row r="86" spans="1:236" ht="14.45" hidden="1" customHeight="1" x14ac:dyDescent="0.25">
      <c r="A86" s="58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263"/>
      <c r="N86" s="12"/>
      <c r="R86" s="219"/>
      <c r="S86" s="219"/>
      <c r="T86" s="219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256"/>
      <c r="BM86" s="256"/>
      <c r="BN86" s="256"/>
      <c r="BO86" s="256"/>
      <c r="BP86" s="256"/>
      <c r="BQ86" s="256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256"/>
      <c r="CF86" s="256"/>
      <c r="CG86" s="256"/>
      <c r="CH86" s="256"/>
      <c r="CI86" s="256"/>
      <c r="CJ86" s="256"/>
      <c r="CK86" s="12"/>
      <c r="CL86" s="5"/>
      <c r="CM86" s="5"/>
      <c r="CN86" s="5"/>
      <c r="CO86" s="5"/>
      <c r="CP86" s="5"/>
      <c r="CQ86" s="5"/>
      <c r="CR86" s="5"/>
      <c r="CS86" s="243"/>
      <c r="CT86" s="12"/>
      <c r="CU86" s="17"/>
      <c r="CV86" s="243"/>
      <c r="CW86" s="12"/>
      <c r="CX86" s="12"/>
      <c r="CY86" s="12"/>
      <c r="CZ86" s="12"/>
      <c r="DA86" s="12"/>
      <c r="DB86" s="12"/>
      <c r="DC86" s="12"/>
      <c r="DD86" s="243"/>
      <c r="DE86" s="243"/>
      <c r="DF86" s="243"/>
      <c r="DG86" s="243"/>
      <c r="DH86" s="243"/>
      <c r="DI86" s="243"/>
      <c r="DJ86" s="243"/>
      <c r="DK86" s="243"/>
      <c r="DL86" s="243"/>
      <c r="DM86" s="243"/>
      <c r="DN86" s="12"/>
      <c r="DO86" s="17"/>
      <c r="EH86" s="12"/>
      <c r="EI86" s="17"/>
      <c r="FM86" s="12"/>
      <c r="FN86" s="17"/>
      <c r="GJ86" s="12"/>
      <c r="GK86" s="17"/>
      <c r="GT86" s="204"/>
      <c r="GU86" s="204"/>
      <c r="GV86" s="204"/>
      <c r="GW86" s="204"/>
      <c r="GX86" s="204"/>
      <c r="GY86" s="204"/>
      <c r="GZ86" s="204"/>
      <c r="HA86" s="204"/>
      <c r="HB86" s="204"/>
      <c r="HC86" s="204"/>
      <c r="HD86" s="204"/>
      <c r="HE86" s="12"/>
      <c r="HF86" s="17"/>
      <c r="HO86" s="204"/>
      <c r="HP86" s="12"/>
      <c r="HQ86" s="17"/>
      <c r="HZ86" s="204"/>
      <c r="IA86" s="12"/>
      <c r="IB86" s="17"/>
    </row>
    <row r="87" spans="1:236" ht="14.45" hidden="1" customHeight="1" x14ac:dyDescent="0.25">
      <c r="A87" s="58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263"/>
      <c r="N87" s="12"/>
      <c r="R87" s="219"/>
      <c r="S87" s="219"/>
      <c r="T87" s="219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256"/>
      <c r="BM87" s="256"/>
      <c r="BN87" s="256"/>
      <c r="BO87" s="256"/>
      <c r="BP87" s="256"/>
      <c r="BQ87" s="256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256"/>
      <c r="CF87" s="256"/>
      <c r="CG87" s="256"/>
      <c r="CH87" s="256"/>
      <c r="CI87" s="256"/>
      <c r="CJ87" s="256"/>
      <c r="CK87" s="12"/>
      <c r="CL87" s="5"/>
      <c r="CM87" s="5"/>
      <c r="CN87" s="5"/>
      <c r="CO87" s="5"/>
      <c r="CP87" s="5"/>
      <c r="CQ87" s="5"/>
      <c r="CR87" s="5"/>
      <c r="CS87" s="243"/>
      <c r="CT87" s="12"/>
      <c r="CU87" s="17"/>
      <c r="CV87" s="243"/>
      <c r="CW87" s="12"/>
      <c r="CX87" s="12"/>
      <c r="CY87" s="12"/>
      <c r="CZ87" s="12"/>
      <c r="DA87" s="12"/>
      <c r="DB87" s="12"/>
      <c r="DC87" s="12"/>
      <c r="DD87" s="243"/>
      <c r="DE87" s="243"/>
      <c r="DF87" s="243"/>
      <c r="DG87" s="243"/>
      <c r="DH87" s="243"/>
      <c r="DI87" s="243"/>
      <c r="DJ87" s="243"/>
      <c r="DK87" s="243"/>
      <c r="DL87" s="243"/>
      <c r="DM87" s="243"/>
      <c r="DN87" s="12"/>
      <c r="DO87" s="17"/>
      <c r="EH87" s="12"/>
      <c r="EI87" s="17"/>
      <c r="FM87" s="12"/>
      <c r="FN87" s="17"/>
      <c r="GJ87" s="12"/>
      <c r="GK87" s="17"/>
      <c r="GT87" s="204"/>
      <c r="GU87" s="204"/>
      <c r="GV87" s="204"/>
      <c r="GW87" s="204"/>
      <c r="GX87" s="204"/>
      <c r="GY87" s="204"/>
      <c r="GZ87" s="204"/>
      <c r="HA87" s="204"/>
      <c r="HB87" s="204"/>
      <c r="HC87" s="204"/>
      <c r="HD87" s="204"/>
      <c r="HE87" s="12"/>
      <c r="HF87" s="17"/>
      <c r="HO87" s="204"/>
      <c r="HP87" s="12"/>
      <c r="HQ87" s="17"/>
      <c r="HZ87" s="204"/>
      <c r="IA87" s="12"/>
      <c r="IB87" s="17"/>
    </row>
    <row r="88" spans="1:236" ht="14.45" hidden="1" customHeight="1" x14ac:dyDescent="0.25">
      <c r="A88" s="58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263"/>
      <c r="N88" s="12"/>
      <c r="R88" s="219"/>
      <c r="S88" s="219"/>
      <c r="T88" s="219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256"/>
      <c r="BM88" s="256"/>
      <c r="BN88" s="256"/>
      <c r="BO88" s="256"/>
      <c r="BP88" s="256"/>
      <c r="BQ88" s="256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256"/>
      <c r="CF88" s="256"/>
      <c r="CG88" s="256"/>
      <c r="CH88" s="256"/>
      <c r="CI88" s="256"/>
      <c r="CJ88" s="256"/>
      <c r="CK88" s="12"/>
      <c r="CL88" s="5"/>
      <c r="CM88" s="5"/>
      <c r="CN88" s="5"/>
      <c r="CO88" s="5"/>
      <c r="CP88" s="5"/>
      <c r="CQ88" s="5"/>
      <c r="CR88" s="5"/>
      <c r="CS88" s="243"/>
      <c r="CT88" s="12"/>
      <c r="CU88" s="17"/>
      <c r="CV88" s="243"/>
      <c r="CW88" s="12"/>
      <c r="CX88" s="12"/>
      <c r="CY88" s="12"/>
      <c r="CZ88" s="12"/>
      <c r="DA88" s="12"/>
      <c r="DB88" s="12"/>
      <c r="DC88" s="12"/>
      <c r="DD88" s="243"/>
      <c r="DE88" s="243"/>
      <c r="DF88" s="243"/>
      <c r="DG88" s="243"/>
      <c r="DH88" s="243"/>
      <c r="DI88" s="243"/>
      <c r="DJ88" s="243"/>
      <c r="DK88" s="243"/>
      <c r="DL88" s="243"/>
      <c r="DM88" s="243"/>
      <c r="DN88" s="12"/>
      <c r="DO88" s="17"/>
      <c r="EH88" s="12"/>
      <c r="EI88" s="17"/>
      <c r="FM88" s="12"/>
      <c r="FN88" s="17"/>
      <c r="GJ88" s="12"/>
      <c r="GK88" s="17"/>
      <c r="GT88" s="204"/>
      <c r="GU88" s="204"/>
      <c r="GV88" s="204"/>
      <c r="GW88" s="204"/>
      <c r="GX88" s="204"/>
      <c r="GY88" s="204"/>
      <c r="GZ88" s="204"/>
      <c r="HA88" s="204"/>
      <c r="HB88" s="204"/>
      <c r="HC88" s="204"/>
      <c r="HD88" s="204"/>
      <c r="HE88" s="12"/>
      <c r="HF88" s="17"/>
      <c r="HO88" s="204"/>
      <c r="HP88" s="12"/>
      <c r="HQ88" s="17"/>
      <c r="HZ88" s="204"/>
      <c r="IA88" s="12"/>
      <c r="IB88" s="17"/>
    </row>
    <row r="89" spans="1:236" ht="14.45" hidden="1" customHeight="1" x14ac:dyDescent="0.25">
      <c r="A89" s="58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263"/>
      <c r="N89" s="12"/>
      <c r="R89" s="219"/>
      <c r="S89" s="219"/>
      <c r="T89" s="219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256"/>
      <c r="BM89" s="256"/>
      <c r="BN89" s="256"/>
      <c r="BO89" s="256"/>
      <c r="BP89" s="256"/>
      <c r="BQ89" s="256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256"/>
      <c r="CF89" s="256"/>
      <c r="CG89" s="256"/>
      <c r="CH89" s="256"/>
      <c r="CI89" s="256"/>
      <c r="CJ89" s="256"/>
      <c r="CK89" s="12"/>
      <c r="CL89" s="5"/>
      <c r="CM89" s="5"/>
      <c r="CN89" s="5"/>
      <c r="CO89" s="5"/>
      <c r="CP89" s="5"/>
      <c r="CQ89" s="5"/>
      <c r="CR89" s="5"/>
      <c r="CS89" s="243"/>
      <c r="CT89" s="12"/>
      <c r="CU89" s="17"/>
      <c r="CV89" s="243"/>
      <c r="CW89" s="12"/>
      <c r="CX89" s="12"/>
      <c r="CY89" s="12"/>
      <c r="CZ89" s="12"/>
      <c r="DA89" s="12"/>
      <c r="DB89" s="12"/>
      <c r="DC89" s="12"/>
      <c r="DD89" s="243"/>
      <c r="DE89" s="243"/>
      <c r="DF89" s="243"/>
      <c r="DG89" s="243"/>
      <c r="DH89" s="243"/>
      <c r="DI89" s="243"/>
      <c r="DJ89" s="243"/>
      <c r="DK89" s="243"/>
      <c r="DL89" s="243"/>
      <c r="DM89" s="243"/>
      <c r="DN89" s="12"/>
      <c r="DO89" s="17"/>
      <c r="EH89" s="12"/>
      <c r="EI89" s="17"/>
      <c r="FM89" s="12"/>
      <c r="FN89" s="17"/>
      <c r="GJ89" s="12"/>
      <c r="GK89" s="17"/>
      <c r="GT89" s="204"/>
      <c r="GU89" s="204"/>
      <c r="GV89" s="204"/>
      <c r="GW89" s="204"/>
      <c r="GX89" s="204"/>
      <c r="GY89" s="204"/>
      <c r="GZ89" s="204"/>
      <c r="HA89" s="204"/>
      <c r="HB89" s="204"/>
      <c r="HC89" s="204"/>
      <c r="HD89" s="204"/>
      <c r="HE89" s="12"/>
      <c r="HF89" s="17"/>
      <c r="HO89" s="204"/>
      <c r="HP89" s="12"/>
      <c r="HQ89" s="17"/>
      <c r="HZ89" s="204"/>
      <c r="IA89" s="12"/>
      <c r="IB89" s="17"/>
    </row>
    <row r="90" spans="1:236" ht="14.45" hidden="1" customHeight="1" x14ac:dyDescent="0.25">
      <c r="A90" s="58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263"/>
      <c r="N90" s="12"/>
      <c r="R90" s="219"/>
      <c r="S90" s="219"/>
      <c r="T90" s="219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256"/>
      <c r="BM90" s="256"/>
      <c r="BN90" s="256"/>
      <c r="BO90" s="256"/>
      <c r="BP90" s="256"/>
      <c r="BQ90" s="256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256"/>
      <c r="CF90" s="256"/>
      <c r="CG90" s="256"/>
      <c r="CH90" s="256"/>
      <c r="CI90" s="256"/>
      <c r="CJ90" s="256"/>
      <c r="CK90" s="12"/>
      <c r="CL90" s="5"/>
      <c r="CM90" s="5"/>
      <c r="CN90" s="5"/>
      <c r="CO90" s="5"/>
      <c r="CP90" s="5"/>
      <c r="CQ90" s="5"/>
      <c r="CR90" s="5"/>
      <c r="CS90" s="243"/>
      <c r="CT90" s="12"/>
      <c r="CU90" s="17"/>
      <c r="CV90" s="243"/>
      <c r="CW90" s="12"/>
      <c r="CX90" s="12"/>
      <c r="CY90" s="12"/>
      <c r="CZ90" s="12"/>
      <c r="DA90" s="12"/>
      <c r="DB90" s="12"/>
      <c r="DC90" s="12"/>
      <c r="DD90" s="243"/>
      <c r="DE90" s="243"/>
      <c r="DF90" s="243"/>
      <c r="DG90" s="243"/>
      <c r="DH90" s="243"/>
      <c r="DI90" s="243"/>
      <c r="DJ90" s="243"/>
      <c r="DK90" s="243"/>
      <c r="DL90" s="243"/>
      <c r="DM90" s="243"/>
      <c r="DN90" s="12"/>
      <c r="DO90" s="17"/>
      <c r="EH90" s="12"/>
      <c r="EI90" s="17"/>
      <c r="FM90" s="12"/>
      <c r="FN90" s="17"/>
      <c r="GJ90" s="12"/>
      <c r="GK90" s="17"/>
      <c r="GT90" s="204"/>
      <c r="GU90" s="204"/>
      <c r="GV90" s="204"/>
      <c r="GW90" s="204"/>
      <c r="GX90" s="204"/>
      <c r="GY90" s="204"/>
      <c r="GZ90" s="204"/>
      <c r="HA90" s="204"/>
      <c r="HB90" s="204"/>
      <c r="HC90" s="204"/>
      <c r="HD90" s="204"/>
      <c r="HE90" s="12"/>
      <c r="HF90" s="17"/>
      <c r="HO90" s="204"/>
      <c r="HP90" s="12"/>
      <c r="HQ90" s="17"/>
      <c r="HZ90" s="204"/>
      <c r="IA90" s="12"/>
      <c r="IB90" s="17"/>
    </row>
    <row r="91" spans="1:236" ht="14.45" hidden="1" customHeight="1" x14ac:dyDescent="0.25">
      <c r="A91" s="58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263"/>
      <c r="N91" s="12"/>
      <c r="R91" s="219"/>
      <c r="S91" s="219"/>
      <c r="T91" s="219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256"/>
      <c r="BM91" s="256"/>
      <c r="BN91" s="256"/>
      <c r="BO91" s="256"/>
      <c r="BP91" s="256"/>
      <c r="BQ91" s="256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256"/>
      <c r="CF91" s="256"/>
      <c r="CG91" s="256"/>
      <c r="CH91" s="256"/>
      <c r="CI91" s="256"/>
      <c r="CJ91" s="256"/>
      <c r="CK91" s="12"/>
      <c r="CL91" s="5"/>
      <c r="CM91" s="5"/>
      <c r="CN91" s="5"/>
      <c r="CO91" s="5"/>
      <c r="CP91" s="5"/>
      <c r="CQ91" s="5"/>
      <c r="CR91" s="5"/>
      <c r="CS91" s="243"/>
      <c r="CT91" s="12"/>
      <c r="CU91" s="17"/>
      <c r="CV91" s="243"/>
      <c r="CW91" s="12"/>
      <c r="CX91" s="12"/>
      <c r="CY91" s="12"/>
      <c r="CZ91" s="12"/>
      <c r="DA91" s="12"/>
      <c r="DB91" s="12"/>
      <c r="DC91" s="12"/>
      <c r="DD91" s="243"/>
      <c r="DE91" s="243"/>
      <c r="DF91" s="243"/>
      <c r="DG91" s="243"/>
      <c r="DH91" s="243"/>
      <c r="DI91" s="243"/>
      <c r="DJ91" s="243"/>
      <c r="DK91" s="243"/>
      <c r="DL91" s="243"/>
      <c r="DM91" s="243"/>
      <c r="DN91" s="12"/>
      <c r="DO91" s="17"/>
      <c r="EH91" s="12"/>
      <c r="EI91" s="17"/>
      <c r="FM91" s="12"/>
      <c r="FN91" s="17"/>
      <c r="GJ91" s="12"/>
      <c r="GK91" s="17"/>
      <c r="GT91" s="204"/>
      <c r="GU91" s="204"/>
      <c r="GV91" s="204"/>
      <c r="GW91" s="204"/>
      <c r="GX91" s="204"/>
      <c r="GY91" s="204"/>
      <c r="GZ91" s="204"/>
      <c r="HA91" s="204"/>
      <c r="HB91" s="204"/>
      <c r="HC91" s="204"/>
      <c r="HD91" s="204"/>
      <c r="HE91" s="12"/>
      <c r="HF91" s="17"/>
      <c r="HO91" s="204"/>
      <c r="HP91" s="12"/>
      <c r="HQ91" s="17"/>
      <c r="HZ91" s="204"/>
      <c r="IA91" s="12"/>
      <c r="IB91" s="17"/>
    </row>
    <row r="92" spans="1:236" ht="14.45" hidden="1" customHeight="1" x14ac:dyDescent="0.25">
      <c r="A92" s="58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263"/>
      <c r="N92" s="12"/>
      <c r="R92" s="219"/>
      <c r="S92" s="219"/>
      <c r="T92" s="219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256"/>
      <c r="BM92" s="256"/>
      <c r="BN92" s="256"/>
      <c r="BO92" s="256"/>
      <c r="BP92" s="256"/>
      <c r="BQ92" s="256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256"/>
      <c r="CF92" s="256"/>
      <c r="CG92" s="256"/>
      <c r="CH92" s="256"/>
      <c r="CI92" s="256"/>
      <c r="CJ92" s="256"/>
      <c r="CK92" s="12"/>
      <c r="CL92" s="5"/>
      <c r="CM92" s="5"/>
      <c r="CN92" s="5"/>
      <c r="CO92" s="5"/>
      <c r="CP92" s="5"/>
      <c r="CQ92" s="5"/>
      <c r="CR92" s="5"/>
      <c r="CS92" s="243"/>
      <c r="CT92" s="12"/>
      <c r="CU92" s="17"/>
      <c r="CV92" s="243"/>
      <c r="CW92" s="12"/>
      <c r="CX92" s="12"/>
      <c r="CY92" s="12"/>
      <c r="CZ92" s="12"/>
      <c r="DA92" s="12"/>
      <c r="DB92" s="12"/>
      <c r="DC92" s="12"/>
      <c r="DD92" s="243"/>
      <c r="DE92" s="243"/>
      <c r="DF92" s="243"/>
      <c r="DG92" s="243"/>
      <c r="DH92" s="243"/>
      <c r="DI92" s="243"/>
      <c r="DJ92" s="243"/>
      <c r="DK92" s="243"/>
      <c r="DL92" s="243"/>
      <c r="DM92" s="243"/>
      <c r="DN92" s="12"/>
      <c r="DO92" s="17"/>
      <c r="EH92" s="12"/>
      <c r="EI92" s="17"/>
      <c r="FM92" s="12"/>
      <c r="FN92" s="17"/>
      <c r="GJ92" s="12"/>
      <c r="GK92" s="17"/>
      <c r="GT92" s="204"/>
      <c r="GU92" s="204"/>
      <c r="GV92" s="204"/>
      <c r="GW92" s="204"/>
      <c r="GX92" s="204"/>
      <c r="GY92" s="204"/>
      <c r="GZ92" s="204"/>
      <c r="HA92" s="204"/>
      <c r="HB92" s="204"/>
      <c r="HC92" s="204"/>
      <c r="HD92" s="204"/>
      <c r="HE92" s="12"/>
      <c r="HF92" s="17"/>
      <c r="HO92" s="204"/>
      <c r="HP92" s="12"/>
      <c r="HQ92" s="17"/>
      <c r="HZ92" s="204"/>
      <c r="IA92" s="12"/>
      <c r="IB92" s="17"/>
    </row>
    <row r="93" spans="1:236" ht="14.45" hidden="1" customHeight="1" x14ac:dyDescent="0.25">
      <c r="A93" s="58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263"/>
      <c r="N93" s="12"/>
      <c r="R93" s="219"/>
      <c r="S93" s="219"/>
      <c r="T93" s="219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256"/>
      <c r="BM93" s="256"/>
      <c r="BN93" s="256"/>
      <c r="BO93" s="256"/>
      <c r="BP93" s="256"/>
      <c r="BQ93" s="256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256"/>
      <c r="CF93" s="256"/>
      <c r="CG93" s="256"/>
      <c r="CH93" s="256"/>
      <c r="CI93" s="256"/>
      <c r="CJ93" s="256"/>
      <c r="CK93" s="12"/>
      <c r="CL93" s="5"/>
      <c r="CM93" s="5"/>
      <c r="CN93" s="5"/>
      <c r="CO93" s="5"/>
      <c r="CP93" s="5"/>
      <c r="CQ93" s="5"/>
      <c r="CR93" s="5"/>
      <c r="CS93" s="243"/>
      <c r="CT93" s="12"/>
      <c r="CU93" s="17"/>
      <c r="CV93" s="243"/>
      <c r="CW93" s="12"/>
      <c r="CX93" s="12"/>
      <c r="CY93" s="12"/>
      <c r="CZ93" s="12"/>
      <c r="DA93" s="12"/>
      <c r="DB93" s="12"/>
      <c r="DC93" s="12"/>
      <c r="DD93" s="243"/>
      <c r="DE93" s="243"/>
      <c r="DF93" s="243"/>
      <c r="DG93" s="243"/>
      <c r="DH93" s="243"/>
      <c r="DI93" s="243"/>
      <c r="DJ93" s="243"/>
      <c r="DK93" s="243"/>
      <c r="DL93" s="243"/>
      <c r="DM93" s="243"/>
      <c r="DN93" s="12"/>
      <c r="DO93" s="17"/>
      <c r="EH93" s="12"/>
      <c r="EI93" s="17"/>
      <c r="FM93" s="12"/>
      <c r="FN93" s="17"/>
      <c r="GJ93" s="12"/>
      <c r="GK93" s="17"/>
      <c r="GT93" s="204"/>
      <c r="GU93" s="204"/>
      <c r="GV93" s="204"/>
      <c r="GW93" s="204"/>
      <c r="GX93" s="204"/>
      <c r="GY93" s="204"/>
      <c r="GZ93" s="204"/>
      <c r="HA93" s="204"/>
      <c r="HB93" s="204"/>
      <c r="HC93" s="204"/>
      <c r="HD93" s="204"/>
      <c r="HE93" s="12"/>
      <c r="HF93" s="17"/>
      <c r="HO93" s="204"/>
      <c r="HP93" s="12"/>
      <c r="HQ93" s="17"/>
      <c r="HZ93" s="204"/>
      <c r="IA93" s="12"/>
      <c r="IB93" s="17"/>
    </row>
    <row r="94" spans="1:236" ht="14.45" hidden="1" customHeight="1" x14ac:dyDescent="0.25">
      <c r="A94" s="58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263"/>
      <c r="N94" s="12"/>
      <c r="R94" s="219"/>
      <c r="S94" s="219"/>
      <c r="T94" s="219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256"/>
      <c r="BM94" s="256"/>
      <c r="BN94" s="256"/>
      <c r="BO94" s="256"/>
      <c r="BP94" s="256"/>
      <c r="BQ94" s="256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256"/>
      <c r="CF94" s="256"/>
      <c r="CG94" s="256"/>
      <c r="CH94" s="256"/>
      <c r="CI94" s="256"/>
      <c r="CJ94" s="256"/>
      <c r="CK94" s="12"/>
      <c r="CL94" s="5"/>
      <c r="CM94" s="5"/>
      <c r="CN94" s="5"/>
      <c r="CO94" s="5"/>
      <c r="CP94" s="5"/>
      <c r="CQ94" s="5"/>
      <c r="CR94" s="5"/>
      <c r="CS94" s="243"/>
      <c r="CT94" s="12"/>
      <c r="CU94" s="17"/>
      <c r="CV94" s="243"/>
      <c r="CW94" s="12"/>
      <c r="CX94" s="12"/>
      <c r="CY94" s="12"/>
      <c r="CZ94" s="12"/>
      <c r="DA94" s="12"/>
      <c r="DB94" s="12"/>
      <c r="DC94" s="12"/>
      <c r="DD94" s="243"/>
      <c r="DE94" s="243"/>
      <c r="DF94" s="243"/>
      <c r="DG94" s="243"/>
      <c r="DH94" s="243"/>
      <c r="DI94" s="243"/>
      <c r="DJ94" s="243"/>
      <c r="DK94" s="243"/>
      <c r="DL94" s="243"/>
      <c r="DM94" s="243"/>
      <c r="DN94" s="12"/>
      <c r="DO94" s="17"/>
      <c r="EH94" s="12"/>
      <c r="EI94" s="17"/>
      <c r="FM94" s="12"/>
      <c r="FN94" s="17"/>
      <c r="GJ94" s="12"/>
      <c r="GK94" s="17"/>
      <c r="GT94" s="204"/>
      <c r="GU94" s="204"/>
      <c r="GV94" s="204"/>
      <c r="GW94" s="204"/>
      <c r="GX94" s="204"/>
      <c r="GY94" s="204"/>
      <c r="GZ94" s="204"/>
      <c r="HA94" s="204"/>
      <c r="HB94" s="204"/>
      <c r="HC94" s="204"/>
      <c r="HD94" s="204"/>
      <c r="HE94" s="12"/>
      <c r="HF94" s="17"/>
      <c r="HO94" s="204"/>
      <c r="HP94" s="12"/>
      <c r="HQ94" s="17"/>
      <c r="HZ94" s="204"/>
      <c r="IA94" s="12"/>
      <c r="IB94" s="17"/>
    </row>
    <row r="95" spans="1:236" ht="14.45" hidden="1" customHeight="1" x14ac:dyDescent="0.25">
      <c r="A95" s="58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263"/>
      <c r="N95" s="12"/>
      <c r="R95" s="219"/>
      <c r="S95" s="219"/>
      <c r="T95" s="219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256"/>
      <c r="BM95" s="256"/>
      <c r="BN95" s="256"/>
      <c r="BO95" s="256"/>
      <c r="BP95" s="256"/>
      <c r="BQ95" s="256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256"/>
      <c r="CF95" s="256"/>
      <c r="CG95" s="256"/>
      <c r="CH95" s="256"/>
      <c r="CI95" s="256"/>
      <c r="CJ95" s="256"/>
      <c r="CK95" s="12"/>
      <c r="CL95" s="5"/>
      <c r="CM95" s="5"/>
      <c r="CN95" s="5"/>
      <c r="CO95" s="5"/>
      <c r="CP95" s="5"/>
      <c r="CQ95" s="5"/>
      <c r="CR95" s="5"/>
      <c r="CS95" s="243"/>
      <c r="CT95" s="12"/>
      <c r="CU95" s="17"/>
      <c r="CV95" s="243"/>
      <c r="CW95" s="12"/>
      <c r="CX95" s="12"/>
      <c r="CY95" s="12"/>
      <c r="CZ95" s="12"/>
      <c r="DA95" s="12"/>
      <c r="DB95" s="12"/>
      <c r="DC95" s="12"/>
      <c r="DD95" s="243"/>
      <c r="DE95" s="243"/>
      <c r="DF95" s="243"/>
      <c r="DG95" s="243"/>
      <c r="DH95" s="243"/>
      <c r="DI95" s="243"/>
      <c r="DJ95" s="243"/>
      <c r="DK95" s="243"/>
      <c r="DL95" s="243"/>
      <c r="DM95" s="243"/>
      <c r="DN95" s="12"/>
      <c r="DO95" s="17"/>
      <c r="EH95" s="12"/>
      <c r="EI95" s="17"/>
      <c r="FM95" s="12"/>
      <c r="FN95" s="17"/>
      <c r="GJ95" s="12"/>
      <c r="GK95" s="17"/>
      <c r="GT95" s="204"/>
      <c r="GU95" s="204"/>
      <c r="GV95" s="204"/>
      <c r="GW95" s="204"/>
      <c r="GX95" s="204"/>
      <c r="GY95" s="204"/>
      <c r="GZ95" s="204"/>
      <c r="HA95" s="204"/>
      <c r="HB95" s="204"/>
      <c r="HC95" s="204"/>
      <c r="HD95" s="204"/>
      <c r="HE95" s="12"/>
      <c r="HF95" s="17"/>
      <c r="HO95" s="204"/>
      <c r="HP95" s="12"/>
      <c r="HQ95" s="17"/>
      <c r="HZ95" s="204"/>
      <c r="IA95" s="12"/>
      <c r="IB95" s="17"/>
    </row>
    <row r="96" spans="1:236" ht="14.45" hidden="1" customHeight="1" x14ac:dyDescent="0.25">
      <c r="A96" s="58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263"/>
      <c r="N96" s="12"/>
      <c r="R96" s="219"/>
      <c r="S96" s="219"/>
      <c r="T96" s="219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256"/>
      <c r="BM96" s="256"/>
      <c r="BN96" s="256"/>
      <c r="BO96" s="256"/>
      <c r="BP96" s="256"/>
      <c r="BQ96" s="256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256"/>
      <c r="CF96" s="256"/>
      <c r="CG96" s="256"/>
      <c r="CH96" s="256"/>
      <c r="CI96" s="256"/>
      <c r="CJ96" s="256"/>
      <c r="CK96" s="12"/>
      <c r="CL96" s="5"/>
      <c r="CM96" s="5"/>
      <c r="CN96" s="5"/>
      <c r="CO96" s="5"/>
      <c r="CP96" s="5"/>
      <c r="CQ96" s="5"/>
      <c r="CR96" s="5"/>
      <c r="CS96" s="243"/>
      <c r="CT96" s="12"/>
      <c r="CU96" s="17"/>
      <c r="CV96" s="243"/>
      <c r="CW96" s="12"/>
      <c r="CX96" s="12"/>
      <c r="CY96" s="12"/>
      <c r="CZ96" s="12"/>
      <c r="DA96" s="12"/>
      <c r="DB96" s="12"/>
      <c r="DC96" s="12"/>
      <c r="DD96" s="243"/>
      <c r="DE96" s="243"/>
      <c r="DF96" s="243"/>
      <c r="DG96" s="243"/>
      <c r="DH96" s="243"/>
      <c r="DI96" s="243"/>
      <c r="DJ96" s="243"/>
      <c r="DK96" s="243"/>
      <c r="DL96" s="243"/>
      <c r="DM96" s="243"/>
      <c r="DN96" s="12"/>
      <c r="DO96" s="17"/>
      <c r="EH96" s="12"/>
      <c r="EI96" s="17"/>
      <c r="FM96" s="12"/>
      <c r="FN96" s="17"/>
      <c r="GJ96" s="12"/>
      <c r="GK96" s="17"/>
      <c r="GT96" s="204"/>
      <c r="GU96" s="204"/>
      <c r="GV96" s="204"/>
      <c r="GW96" s="204"/>
      <c r="GX96" s="204"/>
      <c r="GY96" s="204"/>
      <c r="GZ96" s="204"/>
      <c r="HA96" s="204"/>
      <c r="HB96" s="204"/>
      <c r="HC96" s="204"/>
      <c r="HD96" s="204"/>
      <c r="HE96" s="12"/>
      <c r="HF96" s="17"/>
      <c r="HO96" s="204"/>
      <c r="HP96" s="12"/>
      <c r="HQ96" s="17"/>
      <c r="HZ96" s="204"/>
      <c r="IA96" s="12"/>
      <c r="IB96" s="17"/>
    </row>
    <row r="97" spans="1:236" ht="14.45" hidden="1" customHeight="1" x14ac:dyDescent="0.25">
      <c r="A97" s="58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263"/>
      <c r="N97" s="12"/>
      <c r="R97" s="219"/>
      <c r="S97" s="219"/>
      <c r="T97" s="219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256"/>
      <c r="BM97" s="256"/>
      <c r="BN97" s="256"/>
      <c r="BO97" s="256"/>
      <c r="BP97" s="256"/>
      <c r="BQ97" s="256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256"/>
      <c r="CF97" s="256"/>
      <c r="CG97" s="256"/>
      <c r="CH97" s="256"/>
      <c r="CI97" s="256"/>
      <c r="CJ97" s="256"/>
      <c r="CK97" s="12"/>
      <c r="CL97" s="5"/>
      <c r="CM97" s="5"/>
      <c r="CN97" s="5"/>
      <c r="CO97" s="5"/>
      <c r="CP97" s="5"/>
      <c r="CQ97" s="5"/>
      <c r="CR97" s="5"/>
      <c r="CS97" s="243"/>
      <c r="CT97" s="12"/>
      <c r="CU97" s="17"/>
      <c r="CV97" s="243"/>
      <c r="CW97" s="12"/>
      <c r="CX97" s="12"/>
      <c r="CY97" s="12"/>
      <c r="CZ97" s="12"/>
      <c r="DA97" s="12"/>
      <c r="DB97" s="12"/>
      <c r="DC97" s="12"/>
      <c r="DD97" s="243"/>
      <c r="DE97" s="243"/>
      <c r="DF97" s="243"/>
      <c r="DG97" s="243"/>
      <c r="DH97" s="243"/>
      <c r="DI97" s="243"/>
      <c r="DJ97" s="243"/>
      <c r="DK97" s="243"/>
      <c r="DL97" s="243"/>
      <c r="DM97" s="243"/>
      <c r="DN97" s="12"/>
      <c r="DO97" s="17"/>
      <c r="EH97" s="12"/>
      <c r="EI97" s="17"/>
      <c r="FM97" s="12"/>
      <c r="FN97" s="17"/>
      <c r="GJ97" s="12"/>
      <c r="GK97" s="17"/>
      <c r="GT97" s="204"/>
      <c r="GU97" s="204"/>
      <c r="GV97" s="204"/>
      <c r="GW97" s="204"/>
      <c r="GX97" s="204"/>
      <c r="GY97" s="204"/>
      <c r="GZ97" s="204"/>
      <c r="HA97" s="204"/>
      <c r="HB97" s="204"/>
      <c r="HC97" s="204"/>
      <c r="HD97" s="204"/>
      <c r="HE97" s="12"/>
      <c r="HF97" s="17"/>
      <c r="HO97" s="204"/>
      <c r="HP97" s="12"/>
      <c r="HQ97" s="17"/>
      <c r="HZ97" s="204"/>
      <c r="IA97" s="12"/>
      <c r="IB97" s="17"/>
    </row>
    <row r="98" spans="1:236" ht="14.45" hidden="1" customHeight="1" x14ac:dyDescent="0.25">
      <c r="A98" s="58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263"/>
      <c r="N98" s="12"/>
      <c r="R98" s="219"/>
      <c r="S98" s="219"/>
      <c r="T98" s="219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256"/>
      <c r="BM98" s="256"/>
      <c r="BN98" s="256"/>
      <c r="BO98" s="256"/>
      <c r="BP98" s="256"/>
      <c r="BQ98" s="256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256"/>
      <c r="CF98" s="256"/>
      <c r="CG98" s="256"/>
      <c r="CH98" s="256"/>
      <c r="CI98" s="256"/>
      <c r="CJ98" s="256"/>
      <c r="CK98" s="12"/>
      <c r="CL98" s="5"/>
      <c r="CM98" s="5"/>
      <c r="CN98" s="5"/>
      <c r="CO98" s="5"/>
      <c r="CP98" s="5"/>
      <c r="CQ98" s="5"/>
      <c r="CR98" s="5"/>
      <c r="CS98" s="243"/>
      <c r="CT98" s="12"/>
      <c r="CU98" s="17"/>
      <c r="CV98" s="243"/>
      <c r="CW98" s="12"/>
      <c r="CX98" s="12"/>
      <c r="CY98" s="12"/>
      <c r="CZ98" s="12"/>
      <c r="DA98" s="12"/>
      <c r="DB98" s="12"/>
      <c r="DC98" s="12"/>
      <c r="DD98" s="243"/>
      <c r="DE98" s="243"/>
      <c r="DF98" s="243"/>
      <c r="DG98" s="243"/>
      <c r="DH98" s="243"/>
      <c r="DI98" s="243"/>
      <c r="DJ98" s="243"/>
      <c r="DK98" s="243"/>
      <c r="DL98" s="243"/>
      <c r="DM98" s="243"/>
      <c r="DN98" s="12"/>
      <c r="DO98" s="17"/>
      <c r="EH98" s="12"/>
      <c r="EI98" s="17"/>
      <c r="FM98" s="12"/>
      <c r="FN98" s="17"/>
      <c r="GJ98" s="12"/>
      <c r="GK98" s="17"/>
      <c r="GT98" s="204"/>
      <c r="GU98" s="204"/>
      <c r="GV98" s="204"/>
      <c r="GW98" s="204"/>
      <c r="GX98" s="204"/>
      <c r="GY98" s="204"/>
      <c r="GZ98" s="204"/>
      <c r="HA98" s="204"/>
      <c r="HB98" s="204"/>
      <c r="HC98" s="204"/>
      <c r="HD98" s="204"/>
      <c r="HE98" s="12"/>
      <c r="HF98" s="17"/>
      <c r="HO98" s="204"/>
      <c r="HP98" s="12"/>
      <c r="HQ98" s="17"/>
      <c r="HZ98" s="204"/>
      <c r="IA98" s="12"/>
      <c r="IB98" s="17"/>
    </row>
    <row r="99" spans="1:236" ht="14.45" hidden="1" customHeight="1" x14ac:dyDescent="0.25">
      <c r="A99" s="58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263"/>
      <c r="N99" s="12"/>
      <c r="R99" s="219"/>
      <c r="S99" s="219"/>
      <c r="T99" s="219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256"/>
      <c r="BM99" s="256"/>
      <c r="BN99" s="256"/>
      <c r="BO99" s="256"/>
      <c r="BP99" s="256"/>
      <c r="BQ99" s="256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256"/>
      <c r="CF99" s="256"/>
      <c r="CG99" s="256"/>
      <c r="CH99" s="256"/>
      <c r="CI99" s="256"/>
      <c r="CJ99" s="256"/>
      <c r="CK99" s="12"/>
      <c r="CL99" s="5"/>
      <c r="CM99" s="5"/>
      <c r="CN99" s="5"/>
      <c r="CO99" s="5"/>
      <c r="CP99" s="5"/>
      <c r="CQ99" s="5"/>
      <c r="CR99" s="5"/>
      <c r="CS99" s="243"/>
      <c r="CT99" s="12"/>
      <c r="CU99" s="17"/>
      <c r="CV99" s="243"/>
      <c r="CW99" s="12"/>
      <c r="CX99" s="12"/>
      <c r="CY99" s="12"/>
      <c r="CZ99" s="12"/>
      <c r="DA99" s="12"/>
      <c r="DB99" s="12"/>
      <c r="DC99" s="12"/>
      <c r="DD99" s="243"/>
      <c r="DE99" s="243"/>
      <c r="DF99" s="243"/>
      <c r="DG99" s="243"/>
      <c r="DH99" s="243"/>
      <c r="DI99" s="243"/>
      <c r="DJ99" s="243"/>
      <c r="DK99" s="243"/>
      <c r="DL99" s="243"/>
      <c r="DM99" s="243"/>
      <c r="DN99" s="12"/>
      <c r="DO99" s="17"/>
      <c r="EH99" s="12"/>
      <c r="EI99" s="17"/>
      <c r="FM99" s="12"/>
      <c r="FN99" s="17"/>
      <c r="GJ99" s="12"/>
      <c r="GK99" s="17"/>
      <c r="GT99" s="204"/>
      <c r="GU99" s="204"/>
      <c r="GV99" s="204"/>
      <c r="GW99" s="204"/>
      <c r="GX99" s="204"/>
      <c r="GY99" s="204"/>
      <c r="GZ99" s="204"/>
      <c r="HA99" s="204"/>
      <c r="HB99" s="204"/>
      <c r="HC99" s="204"/>
      <c r="HD99" s="204"/>
      <c r="HE99" s="12"/>
      <c r="HF99" s="17"/>
      <c r="HO99" s="204"/>
      <c r="HP99" s="12"/>
      <c r="HQ99" s="17"/>
      <c r="HZ99" s="204"/>
      <c r="IA99" s="12"/>
      <c r="IB99" s="17"/>
    </row>
    <row r="100" spans="1:236" ht="14.45" hidden="1" customHeight="1" x14ac:dyDescent="0.25">
      <c r="A100" s="58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263"/>
      <c r="N100" s="12"/>
      <c r="R100" s="219"/>
      <c r="S100" s="219"/>
      <c r="T100" s="219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256"/>
      <c r="BM100" s="256"/>
      <c r="BN100" s="256"/>
      <c r="BO100" s="256"/>
      <c r="BP100" s="256"/>
      <c r="BQ100" s="256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256"/>
      <c r="CF100" s="256"/>
      <c r="CG100" s="256"/>
      <c r="CH100" s="256"/>
      <c r="CI100" s="256"/>
      <c r="CJ100" s="256"/>
      <c r="CK100" s="12"/>
      <c r="CL100" s="5"/>
      <c r="CM100" s="5"/>
      <c r="CN100" s="5"/>
      <c r="CO100" s="5"/>
      <c r="CP100" s="5"/>
      <c r="CQ100" s="5"/>
      <c r="CR100" s="5"/>
      <c r="CS100" s="243"/>
      <c r="CT100" s="12"/>
      <c r="CU100" s="17"/>
      <c r="CV100" s="243"/>
      <c r="CW100" s="12"/>
      <c r="CX100" s="12"/>
      <c r="CY100" s="12"/>
      <c r="CZ100" s="12"/>
      <c r="DA100" s="12"/>
      <c r="DB100" s="12"/>
      <c r="DC100" s="12"/>
      <c r="DD100" s="243"/>
      <c r="DE100" s="243"/>
      <c r="DF100" s="243"/>
      <c r="DG100" s="243"/>
      <c r="DH100" s="243"/>
      <c r="DI100" s="243"/>
      <c r="DJ100" s="243"/>
      <c r="DK100" s="243"/>
      <c r="DL100" s="243"/>
      <c r="DM100" s="243"/>
      <c r="DN100" s="12"/>
      <c r="DO100" s="17"/>
      <c r="EH100" s="12"/>
      <c r="EI100" s="17"/>
      <c r="FM100" s="12"/>
      <c r="FN100" s="17"/>
      <c r="GJ100" s="12"/>
      <c r="GK100" s="17"/>
      <c r="GT100" s="204"/>
      <c r="GU100" s="204"/>
      <c r="GV100" s="204"/>
      <c r="GW100" s="204"/>
      <c r="GX100" s="204"/>
      <c r="GY100" s="204"/>
      <c r="GZ100" s="204"/>
      <c r="HA100" s="204"/>
      <c r="HB100" s="204"/>
      <c r="HC100" s="204"/>
      <c r="HD100" s="204"/>
      <c r="HE100" s="12"/>
      <c r="HF100" s="17"/>
      <c r="HO100" s="204"/>
      <c r="HP100" s="12"/>
      <c r="HQ100" s="17"/>
      <c r="HZ100" s="204"/>
      <c r="IA100" s="12"/>
      <c r="IB100" s="17"/>
    </row>
    <row r="101" spans="1:236" ht="14.45" hidden="1" customHeight="1" x14ac:dyDescent="0.25">
      <c r="A101" s="58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263"/>
      <c r="N101" s="12"/>
      <c r="R101" s="219"/>
      <c r="S101" s="219"/>
      <c r="T101" s="219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256"/>
      <c r="BM101" s="256"/>
      <c r="BN101" s="256"/>
      <c r="BO101" s="256"/>
      <c r="BP101" s="256"/>
      <c r="BQ101" s="256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256"/>
      <c r="CF101" s="256"/>
      <c r="CG101" s="256"/>
      <c r="CH101" s="256"/>
      <c r="CI101" s="256"/>
      <c r="CJ101" s="256"/>
      <c r="CK101" s="12"/>
      <c r="CL101" s="5"/>
      <c r="CM101" s="5"/>
      <c r="CN101" s="5"/>
      <c r="CO101" s="5"/>
      <c r="CP101" s="5"/>
      <c r="CQ101" s="5"/>
      <c r="CR101" s="5"/>
      <c r="CS101" s="243"/>
      <c r="CT101" s="12"/>
      <c r="CU101" s="17"/>
      <c r="CV101" s="243"/>
      <c r="CW101" s="12"/>
      <c r="CX101" s="12"/>
      <c r="CY101" s="12"/>
      <c r="CZ101" s="12"/>
      <c r="DA101" s="12"/>
      <c r="DB101" s="12"/>
      <c r="DC101" s="12"/>
      <c r="DD101" s="243"/>
      <c r="DE101" s="243"/>
      <c r="DF101" s="243"/>
      <c r="DG101" s="243"/>
      <c r="DH101" s="243"/>
      <c r="DI101" s="243"/>
      <c r="DJ101" s="243"/>
      <c r="DK101" s="243"/>
      <c r="DL101" s="243"/>
      <c r="DM101" s="243"/>
      <c r="DN101" s="12"/>
      <c r="DO101" s="17"/>
      <c r="EH101" s="12"/>
      <c r="EI101" s="17"/>
      <c r="FM101" s="12"/>
      <c r="FN101" s="17"/>
      <c r="GJ101" s="12"/>
      <c r="GK101" s="17"/>
      <c r="GT101" s="204"/>
      <c r="GU101" s="204"/>
      <c r="GV101" s="204"/>
      <c r="GW101" s="204"/>
      <c r="GX101" s="204"/>
      <c r="GY101" s="204"/>
      <c r="GZ101" s="204"/>
      <c r="HA101" s="204"/>
      <c r="HB101" s="204"/>
      <c r="HC101" s="204"/>
      <c r="HD101" s="204"/>
      <c r="HE101" s="12"/>
      <c r="HF101" s="17"/>
      <c r="HO101" s="204"/>
      <c r="HP101" s="12"/>
      <c r="HQ101" s="17"/>
      <c r="HZ101" s="204"/>
      <c r="IA101" s="12"/>
      <c r="IB101" s="17"/>
    </row>
    <row r="102" spans="1:236" ht="14.45" hidden="1" customHeight="1" x14ac:dyDescent="0.25">
      <c r="A102" s="58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263"/>
      <c r="N102" s="12"/>
      <c r="R102" s="219"/>
      <c r="S102" s="219"/>
      <c r="T102" s="219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256"/>
      <c r="BM102" s="256"/>
      <c r="BN102" s="256"/>
      <c r="BO102" s="256"/>
      <c r="BP102" s="256"/>
      <c r="BQ102" s="256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256"/>
      <c r="CF102" s="256"/>
      <c r="CG102" s="256"/>
      <c r="CH102" s="256"/>
      <c r="CI102" s="256"/>
      <c r="CJ102" s="256"/>
      <c r="CK102" s="12"/>
      <c r="CL102" s="5"/>
      <c r="CM102" s="5"/>
      <c r="CN102" s="5"/>
      <c r="CO102" s="5"/>
      <c r="CP102" s="5"/>
      <c r="CQ102" s="5"/>
      <c r="CR102" s="5"/>
      <c r="CS102" s="243"/>
      <c r="CT102" s="12"/>
      <c r="CU102" s="17"/>
      <c r="CV102" s="243"/>
      <c r="CW102" s="12"/>
      <c r="CX102" s="12"/>
      <c r="CY102" s="12"/>
      <c r="CZ102" s="12"/>
      <c r="DA102" s="12"/>
      <c r="DB102" s="12"/>
      <c r="DC102" s="12"/>
      <c r="DD102" s="243"/>
      <c r="DE102" s="243"/>
      <c r="DF102" s="243"/>
      <c r="DG102" s="243"/>
      <c r="DH102" s="243"/>
      <c r="DI102" s="243"/>
      <c r="DJ102" s="243"/>
      <c r="DK102" s="243"/>
      <c r="DL102" s="243"/>
      <c r="DM102" s="243"/>
      <c r="DN102" s="12"/>
      <c r="DO102" s="17"/>
      <c r="EH102" s="12"/>
      <c r="EI102" s="17"/>
      <c r="FM102" s="12"/>
      <c r="FN102" s="17"/>
      <c r="GJ102" s="12"/>
      <c r="GK102" s="17"/>
      <c r="GT102" s="204"/>
      <c r="GU102" s="204"/>
      <c r="GV102" s="204"/>
      <c r="GW102" s="204"/>
      <c r="GX102" s="204"/>
      <c r="GY102" s="204"/>
      <c r="GZ102" s="204"/>
      <c r="HA102" s="204"/>
      <c r="HB102" s="204"/>
      <c r="HC102" s="204"/>
      <c r="HD102" s="204"/>
      <c r="HE102" s="12"/>
      <c r="HF102" s="17"/>
      <c r="HO102" s="204"/>
      <c r="HP102" s="12"/>
      <c r="HQ102" s="17"/>
      <c r="HZ102" s="204"/>
      <c r="IA102" s="12"/>
      <c r="IB102" s="17"/>
    </row>
    <row r="103" spans="1:236" ht="14.45" hidden="1" customHeight="1" x14ac:dyDescent="0.25">
      <c r="A103" s="58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263"/>
      <c r="N103" s="12"/>
      <c r="R103" s="219"/>
      <c r="S103" s="219"/>
      <c r="T103" s="219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256"/>
      <c r="BM103" s="256"/>
      <c r="BN103" s="256"/>
      <c r="BO103" s="256"/>
      <c r="BP103" s="256"/>
      <c r="BQ103" s="256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256"/>
      <c r="CF103" s="256"/>
      <c r="CG103" s="256"/>
      <c r="CH103" s="256"/>
      <c r="CI103" s="256"/>
      <c r="CJ103" s="256"/>
      <c r="CK103" s="12"/>
      <c r="CL103" s="5"/>
      <c r="CM103" s="5"/>
      <c r="CN103" s="5"/>
      <c r="CO103" s="5"/>
      <c r="CP103" s="5"/>
      <c r="CQ103" s="5"/>
      <c r="CR103" s="5"/>
      <c r="CS103" s="243"/>
      <c r="CT103" s="12"/>
      <c r="CU103" s="17"/>
      <c r="CV103" s="243"/>
      <c r="CW103" s="12"/>
      <c r="CX103" s="12"/>
      <c r="CY103" s="12"/>
      <c r="CZ103" s="12"/>
      <c r="DA103" s="12"/>
      <c r="DB103" s="12"/>
      <c r="DC103" s="12"/>
      <c r="DD103" s="243"/>
      <c r="DE103" s="243"/>
      <c r="DF103" s="243"/>
      <c r="DG103" s="243"/>
      <c r="DH103" s="243"/>
      <c r="DI103" s="243"/>
      <c r="DJ103" s="243"/>
      <c r="DK103" s="243"/>
      <c r="DL103" s="243"/>
      <c r="DM103" s="243"/>
      <c r="DN103" s="12"/>
      <c r="DO103" s="17"/>
      <c r="EH103" s="12"/>
      <c r="EI103" s="17"/>
      <c r="FM103" s="12"/>
      <c r="FN103" s="17"/>
      <c r="GJ103" s="12"/>
      <c r="GK103" s="17"/>
      <c r="GT103" s="204"/>
      <c r="GU103" s="204"/>
      <c r="GV103" s="204"/>
      <c r="GW103" s="204"/>
      <c r="GX103" s="204"/>
      <c r="GY103" s="204"/>
      <c r="GZ103" s="204"/>
      <c r="HA103" s="204"/>
      <c r="HB103" s="204"/>
      <c r="HC103" s="204"/>
      <c r="HD103" s="204"/>
      <c r="HE103" s="12"/>
      <c r="HF103" s="17"/>
      <c r="HO103" s="204"/>
      <c r="HP103" s="12"/>
      <c r="HQ103" s="17"/>
      <c r="HZ103" s="204"/>
      <c r="IA103" s="12"/>
      <c r="IB103" s="17"/>
    </row>
    <row r="104" spans="1:236" ht="14.45" hidden="1" customHeight="1" x14ac:dyDescent="0.25">
      <c r="A104" s="58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263"/>
      <c r="N104" s="12"/>
      <c r="R104" s="219"/>
      <c r="S104" s="219"/>
      <c r="T104" s="219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256"/>
      <c r="BM104" s="256"/>
      <c r="BN104" s="256"/>
      <c r="BO104" s="256"/>
      <c r="BP104" s="256"/>
      <c r="BQ104" s="256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256"/>
      <c r="CF104" s="256"/>
      <c r="CG104" s="256"/>
      <c r="CH104" s="256"/>
      <c r="CI104" s="256"/>
      <c r="CJ104" s="256"/>
      <c r="CK104" s="12"/>
      <c r="CL104" s="5"/>
      <c r="CM104" s="5"/>
      <c r="CN104" s="5"/>
      <c r="CO104" s="5"/>
      <c r="CP104" s="5"/>
      <c r="CQ104" s="5"/>
      <c r="CR104" s="5"/>
      <c r="CS104" s="243"/>
      <c r="CT104" s="12"/>
      <c r="CU104" s="17"/>
      <c r="CV104" s="243"/>
      <c r="CW104" s="12"/>
      <c r="CX104" s="12"/>
      <c r="CY104" s="12"/>
      <c r="CZ104" s="12"/>
      <c r="DA104" s="12"/>
      <c r="DB104" s="12"/>
      <c r="DC104" s="12"/>
      <c r="DD104" s="243"/>
      <c r="DE104" s="243"/>
      <c r="DF104" s="243"/>
      <c r="DG104" s="243"/>
      <c r="DH104" s="243"/>
      <c r="DI104" s="243"/>
      <c r="DJ104" s="243"/>
      <c r="DK104" s="243"/>
      <c r="DL104" s="243"/>
      <c r="DM104" s="243"/>
      <c r="DN104" s="12"/>
      <c r="DO104" s="17"/>
      <c r="EH104" s="12"/>
      <c r="EI104" s="17"/>
      <c r="FM104" s="12"/>
      <c r="FN104" s="17"/>
      <c r="GJ104" s="12"/>
      <c r="GK104" s="17"/>
      <c r="GT104" s="204"/>
      <c r="GU104" s="204"/>
      <c r="GV104" s="204"/>
      <c r="GW104" s="204"/>
      <c r="GX104" s="204"/>
      <c r="GY104" s="204"/>
      <c r="GZ104" s="204"/>
      <c r="HA104" s="204"/>
      <c r="HB104" s="204"/>
      <c r="HC104" s="204"/>
      <c r="HD104" s="204"/>
      <c r="HE104" s="12"/>
      <c r="HF104" s="17"/>
      <c r="HO104" s="204"/>
      <c r="HP104" s="12"/>
      <c r="HQ104" s="17"/>
      <c r="HZ104" s="204"/>
      <c r="IA104" s="12"/>
      <c r="IB104" s="17"/>
    </row>
    <row r="105" spans="1:236" ht="14.45" hidden="1" customHeight="1" x14ac:dyDescent="0.25">
      <c r="A105" s="58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263"/>
      <c r="N105" s="12"/>
      <c r="R105" s="219"/>
      <c r="S105" s="219"/>
      <c r="T105" s="219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256"/>
      <c r="BM105" s="256"/>
      <c r="BN105" s="256"/>
      <c r="BO105" s="256"/>
      <c r="BP105" s="256"/>
      <c r="BQ105" s="256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256"/>
      <c r="CF105" s="256"/>
      <c r="CG105" s="256"/>
      <c r="CH105" s="256"/>
      <c r="CI105" s="256"/>
      <c r="CJ105" s="256"/>
      <c r="CK105" s="12"/>
      <c r="CL105" s="5"/>
      <c r="CM105" s="5"/>
      <c r="CN105" s="5"/>
      <c r="CO105" s="5"/>
      <c r="CP105" s="5"/>
      <c r="CQ105" s="5"/>
      <c r="CR105" s="5"/>
      <c r="CS105" s="243"/>
      <c r="CT105" s="12"/>
      <c r="CU105" s="17"/>
      <c r="CV105" s="243"/>
      <c r="CW105" s="12"/>
      <c r="CX105" s="12"/>
      <c r="CY105" s="12"/>
      <c r="CZ105" s="12"/>
      <c r="DA105" s="12"/>
      <c r="DB105" s="12"/>
      <c r="DC105" s="12"/>
      <c r="DD105" s="243"/>
      <c r="DE105" s="243"/>
      <c r="DF105" s="243"/>
      <c r="DG105" s="243"/>
      <c r="DH105" s="243"/>
      <c r="DI105" s="243"/>
      <c r="DJ105" s="243"/>
      <c r="DK105" s="243"/>
      <c r="DL105" s="243"/>
      <c r="DM105" s="243"/>
      <c r="DN105" s="12"/>
      <c r="DO105" s="17"/>
      <c r="EH105" s="12"/>
      <c r="EI105" s="17"/>
      <c r="FM105" s="12"/>
      <c r="FN105" s="17"/>
      <c r="GJ105" s="12"/>
      <c r="GK105" s="17"/>
      <c r="GT105" s="204"/>
      <c r="GU105" s="204"/>
      <c r="GV105" s="204"/>
      <c r="GW105" s="204"/>
      <c r="GX105" s="204"/>
      <c r="GY105" s="204"/>
      <c r="GZ105" s="204"/>
      <c r="HA105" s="204"/>
      <c r="HB105" s="204"/>
      <c r="HC105" s="204"/>
      <c r="HD105" s="204"/>
      <c r="HE105" s="12"/>
      <c r="HF105" s="17"/>
      <c r="HO105" s="204"/>
      <c r="HP105" s="12"/>
      <c r="HQ105" s="17"/>
      <c r="HZ105" s="204"/>
      <c r="IA105" s="12"/>
      <c r="IB105" s="17"/>
    </row>
    <row r="106" spans="1:236" ht="14.45" hidden="1" customHeight="1" x14ac:dyDescent="0.25">
      <c r="A106" s="58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263"/>
      <c r="N106" s="12"/>
      <c r="R106" s="219"/>
      <c r="S106" s="219"/>
      <c r="T106" s="219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256"/>
      <c r="BM106" s="256"/>
      <c r="BN106" s="256"/>
      <c r="BO106" s="256"/>
      <c r="BP106" s="256"/>
      <c r="BQ106" s="256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256"/>
      <c r="CF106" s="256"/>
      <c r="CG106" s="256"/>
      <c r="CH106" s="256"/>
      <c r="CI106" s="256"/>
      <c r="CJ106" s="256"/>
      <c r="CK106" s="12"/>
      <c r="CL106" s="5"/>
      <c r="CM106" s="5"/>
      <c r="CN106" s="5"/>
      <c r="CO106" s="5"/>
      <c r="CP106" s="5"/>
      <c r="CQ106" s="5"/>
      <c r="CR106" s="5"/>
      <c r="CS106" s="243"/>
      <c r="CT106" s="12"/>
      <c r="CU106" s="17"/>
      <c r="CV106" s="243"/>
      <c r="CW106" s="12"/>
      <c r="CX106" s="12"/>
      <c r="CY106" s="12"/>
      <c r="CZ106" s="12"/>
      <c r="DA106" s="12"/>
      <c r="DB106" s="12"/>
      <c r="DC106" s="12"/>
      <c r="DD106" s="243"/>
      <c r="DE106" s="243"/>
      <c r="DF106" s="243"/>
      <c r="DG106" s="243"/>
      <c r="DH106" s="243"/>
      <c r="DI106" s="243"/>
      <c r="DJ106" s="243"/>
      <c r="DK106" s="243"/>
      <c r="DL106" s="243"/>
      <c r="DM106" s="243"/>
      <c r="DN106" s="12"/>
      <c r="DO106" s="17"/>
      <c r="EH106" s="12"/>
      <c r="EI106" s="17"/>
      <c r="FM106" s="12"/>
      <c r="FN106" s="17"/>
      <c r="GJ106" s="12"/>
      <c r="GK106" s="17"/>
      <c r="GT106" s="204"/>
      <c r="GU106" s="204"/>
      <c r="GV106" s="204"/>
      <c r="GW106" s="204"/>
      <c r="GX106" s="204"/>
      <c r="GY106" s="204"/>
      <c r="GZ106" s="204"/>
      <c r="HA106" s="204"/>
      <c r="HB106" s="204"/>
      <c r="HC106" s="204"/>
      <c r="HD106" s="204"/>
      <c r="HE106" s="12"/>
      <c r="HF106" s="17"/>
      <c r="HO106" s="204"/>
      <c r="HP106" s="12"/>
      <c r="HQ106" s="17"/>
      <c r="HZ106" s="204"/>
      <c r="IA106" s="12"/>
      <c r="IB106" s="17"/>
    </row>
    <row r="107" spans="1:236" ht="14.45" hidden="1" customHeight="1" x14ac:dyDescent="0.25">
      <c r="A107" s="58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263"/>
      <c r="N107" s="12"/>
      <c r="R107" s="219"/>
      <c r="S107" s="219"/>
      <c r="T107" s="219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256"/>
      <c r="BM107" s="256"/>
      <c r="BN107" s="256"/>
      <c r="BO107" s="256"/>
      <c r="BP107" s="256"/>
      <c r="BQ107" s="256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256"/>
      <c r="CF107" s="256"/>
      <c r="CG107" s="256"/>
      <c r="CH107" s="256"/>
      <c r="CI107" s="256"/>
      <c r="CJ107" s="256"/>
      <c r="CK107" s="12"/>
      <c r="CL107" s="5"/>
      <c r="CM107" s="5"/>
      <c r="CN107" s="5"/>
      <c r="CO107" s="5"/>
      <c r="CP107" s="5"/>
      <c r="CQ107" s="5"/>
      <c r="CR107" s="5"/>
      <c r="CS107" s="243"/>
      <c r="CT107" s="12"/>
      <c r="CU107" s="17"/>
      <c r="CV107" s="243"/>
      <c r="CW107" s="12"/>
      <c r="CX107" s="12"/>
      <c r="CY107" s="12"/>
      <c r="CZ107" s="12"/>
      <c r="DA107" s="12"/>
      <c r="DB107" s="12"/>
      <c r="DC107" s="12"/>
      <c r="DD107" s="243"/>
      <c r="DE107" s="243"/>
      <c r="DF107" s="243"/>
      <c r="DG107" s="243"/>
      <c r="DH107" s="243"/>
      <c r="DI107" s="243"/>
      <c r="DJ107" s="243"/>
      <c r="DK107" s="243"/>
      <c r="DL107" s="243"/>
      <c r="DM107" s="243"/>
      <c r="DN107" s="12"/>
      <c r="DO107" s="17"/>
      <c r="EH107" s="12"/>
      <c r="EI107" s="17"/>
      <c r="FM107" s="12"/>
      <c r="FN107" s="17"/>
      <c r="GJ107" s="12"/>
      <c r="GK107" s="17"/>
      <c r="GT107" s="204"/>
      <c r="GU107" s="204"/>
      <c r="GV107" s="204"/>
      <c r="GW107" s="204"/>
      <c r="GX107" s="204"/>
      <c r="GY107" s="204"/>
      <c r="GZ107" s="204"/>
      <c r="HA107" s="204"/>
      <c r="HB107" s="204"/>
      <c r="HC107" s="204"/>
      <c r="HD107" s="204"/>
      <c r="HE107" s="12"/>
      <c r="HF107" s="17"/>
      <c r="HO107" s="204"/>
      <c r="HP107" s="12"/>
      <c r="HQ107" s="17"/>
      <c r="HZ107" s="204"/>
      <c r="IA107" s="12"/>
      <c r="IB107" s="17"/>
    </row>
    <row r="108" spans="1:236" ht="14.45" hidden="1" customHeight="1" x14ac:dyDescent="0.25">
      <c r="A108" s="58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263"/>
      <c r="N108" s="12"/>
      <c r="R108" s="219"/>
      <c r="S108" s="219"/>
      <c r="T108" s="219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256"/>
      <c r="BM108" s="256"/>
      <c r="BN108" s="256"/>
      <c r="BO108" s="256"/>
      <c r="BP108" s="256"/>
      <c r="BQ108" s="256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256"/>
      <c r="CF108" s="256"/>
      <c r="CG108" s="256"/>
      <c r="CH108" s="256"/>
      <c r="CI108" s="256"/>
      <c r="CJ108" s="256"/>
      <c r="CK108" s="12"/>
      <c r="CL108" s="5"/>
      <c r="CM108" s="5"/>
      <c r="CN108" s="5"/>
      <c r="CO108" s="5"/>
      <c r="CP108" s="5"/>
      <c r="CQ108" s="5"/>
      <c r="CR108" s="5"/>
      <c r="CS108" s="243"/>
      <c r="CT108" s="12"/>
      <c r="CU108" s="17"/>
      <c r="CV108" s="243"/>
      <c r="CW108" s="12"/>
      <c r="CX108" s="12"/>
      <c r="CY108" s="12"/>
      <c r="CZ108" s="12"/>
      <c r="DA108" s="12"/>
      <c r="DB108" s="12"/>
      <c r="DC108" s="12"/>
      <c r="DD108" s="243"/>
      <c r="DE108" s="243"/>
      <c r="DF108" s="243"/>
      <c r="DG108" s="243"/>
      <c r="DH108" s="243"/>
      <c r="DI108" s="243"/>
      <c r="DJ108" s="243"/>
      <c r="DK108" s="243"/>
      <c r="DL108" s="243"/>
      <c r="DM108" s="243"/>
      <c r="DN108" s="12"/>
      <c r="DO108" s="17"/>
      <c r="EH108" s="12"/>
      <c r="EI108" s="17"/>
      <c r="FM108" s="12"/>
      <c r="FN108" s="17"/>
      <c r="GJ108" s="12"/>
      <c r="GK108" s="17"/>
      <c r="GT108" s="204"/>
      <c r="GU108" s="204"/>
      <c r="GV108" s="204"/>
      <c r="GW108" s="204"/>
      <c r="GX108" s="204"/>
      <c r="GY108" s="204"/>
      <c r="GZ108" s="204"/>
      <c r="HA108" s="204"/>
      <c r="HB108" s="204"/>
      <c r="HC108" s="204"/>
      <c r="HD108" s="204"/>
      <c r="HE108" s="12"/>
      <c r="HF108" s="17"/>
      <c r="HO108" s="204"/>
      <c r="HP108" s="12"/>
      <c r="HQ108" s="17"/>
      <c r="HZ108" s="204"/>
      <c r="IA108" s="12"/>
      <c r="IB108" s="17"/>
    </row>
    <row r="109" spans="1:236" ht="14.45" hidden="1" customHeight="1" x14ac:dyDescent="0.25">
      <c r="A109" s="58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263"/>
      <c r="N109" s="12"/>
      <c r="R109" s="219"/>
      <c r="S109" s="219"/>
      <c r="T109" s="219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256"/>
      <c r="BM109" s="256"/>
      <c r="BN109" s="256"/>
      <c r="BO109" s="256"/>
      <c r="BP109" s="256"/>
      <c r="BQ109" s="256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256"/>
      <c r="CF109" s="256"/>
      <c r="CG109" s="256"/>
      <c r="CH109" s="256"/>
      <c r="CI109" s="256"/>
      <c r="CJ109" s="256"/>
      <c r="CK109" s="12"/>
      <c r="CL109" s="5"/>
      <c r="CM109" s="5"/>
      <c r="CN109" s="5"/>
      <c r="CO109" s="5"/>
      <c r="CP109" s="5"/>
      <c r="CQ109" s="5"/>
      <c r="CR109" s="5"/>
      <c r="CS109" s="243"/>
      <c r="CT109" s="12"/>
      <c r="CU109" s="17"/>
      <c r="CV109" s="243"/>
      <c r="CW109" s="12"/>
      <c r="CX109" s="12"/>
      <c r="CY109" s="12"/>
      <c r="CZ109" s="12"/>
      <c r="DA109" s="12"/>
      <c r="DB109" s="12"/>
      <c r="DC109" s="12"/>
      <c r="DD109" s="243"/>
      <c r="DE109" s="243"/>
      <c r="DF109" s="243"/>
      <c r="DG109" s="243"/>
      <c r="DH109" s="243"/>
      <c r="DI109" s="243"/>
      <c r="DJ109" s="243"/>
      <c r="DK109" s="243"/>
      <c r="DL109" s="243"/>
      <c r="DM109" s="243"/>
      <c r="DN109" s="12"/>
      <c r="DO109" s="17"/>
      <c r="EH109" s="12"/>
      <c r="EI109" s="17"/>
      <c r="FM109" s="12"/>
      <c r="FN109" s="17"/>
      <c r="GJ109" s="12"/>
      <c r="GK109" s="17"/>
      <c r="GT109" s="204"/>
      <c r="GU109" s="204"/>
      <c r="GV109" s="204"/>
      <c r="GW109" s="204"/>
      <c r="GX109" s="204"/>
      <c r="GY109" s="204"/>
      <c r="GZ109" s="204"/>
      <c r="HA109" s="204"/>
      <c r="HB109" s="204"/>
      <c r="HC109" s="204"/>
      <c r="HD109" s="204"/>
      <c r="HE109" s="12"/>
      <c r="HF109" s="17"/>
      <c r="HO109" s="204"/>
      <c r="HP109" s="12"/>
      <c r="HQ109" s="17"/>
      <c r="HZ109" s="204"/>
      <c r="IA109" s="12"/>
      <c r="IB109" s="17"/>
    </row>
    <row r="110" spans="1:236" ht="14.45" hidden="1" customHeight="1" x14ac:dyDescent="0.25">
      <c r="A110" s="58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263"/>
      <c r="N110" s="12"/>
      <c r="R110" s="219"/>
      <c r="S110" s="219"/>
      <c r="T110" s="219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256"/>
      <c r="BM110" s="256"/>
      <c r="BN110" s="256"/>
      <c r="BO110" s="256"/>
      <c r="BP110" s="256"/>
      <c r="BQ110" s="256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256"/>
      <c r="CF110" s="256"/>
      <c r="CG110" s="256"/>
      <c r="CH110" s="256"/>
      <c r="CI110" s="256"/>
      <c r="CJ110" s="256"/>
      <c r="CK110" s="12"/>
      <c r="CL110" s="5"/>
      <c r="CM110" s="5"/>
      <c r="CN110" s="5"/>
      <c r="CO110" s="5"/>
      <c r="CP110" s="5"/>
      <c r="CQ110" s="5"/>
      <c r="CR110" s="5"/>
      <c r="CS110" s="243"/>
      <c r="CT110" s="12"/>
      <c r="CU110" s="17"/>
      <c r="CV110" s="243"/>
      <c r="CW110" s="12"/>
      <c r="CX110" s="12"/>
      <c r="CY110" s="12"/>
      <c r="CZ110" s="12"/>
      <c r="DA110" s="12"/>
      <c r="DB110" s="12"/>
      <c r="DC110" s="12"/>
      <c r="DD110" s="243"/>
      <c r="DE110" s="243"/>
      <c r="DF110" s="243"/>
      <c r="DG110" s="243"/>
      <c r="DH110" s="243"/>
      <c r="DI110" s="243"/>
      <c r="DJ110" s="243"/>
      <c r="DK110" s="243"/>
      <c r="DL110" s="243"/>
      <c r="DM110" s="243"/>
      <c r="DN110" s="12"/>
      <c r="DO110" s="17"/>
      <c r="EH110" s="12"/>
      <c r="EI110" s="17"/>
      <c r="FM110" s="12"/>
      <c r="FN110" s="17"/>
      <c r="GJ110" s="12"/>
      <c r="GK110" s="17"/>
      <c r="GT110" s="204"/>
      <c r="GU110" s="204"/>
      <c r="GV110" s="204"/>
      <c r="GW110" s="204"/>
      <c r="GX110" s="204"/>
      <c r="GY110" s="204"/>
      <c r="GZ110" s="204"/>
      <c r="HA110" s="204"/>
      <c r="HB110" s="204"/>
      <c r="HC110" s="204"/>
      <c r="HD110" s="204"/>
      <c r="HE110" s="12"/>
      <c r="HF110" s="17"/>
      <c r="HO110" s="204"/>
      <c r="HP110" s="12"/>
      <c r="HQ110" s="17"/>
      <c r="HZ110" s="204"/>
      <c r="IA110" s="12"/>
      <c r="IB110" s="17"/>
    </row>
    <row r="111" spans="1:236" ht="14.45" hidden="1" customHeight="1" x14ac:dyDescent="0.25">
      <c r="A111" s="58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263"/>
      <c r="N111" s="12"/>
      <c r="R111" s="219"/>
      <c r="S111" s="219"/>
      <c r="T111" s="219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256"/>
      <c r="BM111" s="256"/>
      <c r="BN111" s="256"/>
      <c r="BO111" s="256"/>
      <c r="BP111" s="256"/>
      <c r="BQ111" s="256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256"/>
      <c r="CF111" s="256"/>
      <c r="CG111" s="256"/>
      <c r="CH111" s="256"/>
      <c r="CI111" s="256"/>
      <c r="CJ111" s="256"/>
      <c r="CK111" s="12"/>
      <c r="CL111" s="5"/>
      <c r="CM111" s="5"/>
      <c r="CN111" s="5"/>
      <c r="CO111" s="5"/>
      <c r="CP111" s="5"/>
      <c r="CQ111" s="5"/>
      <c r="CR111" s="5"/>
      <c r="CS111" s="243"/>
      <c r="CT111" s="12"/>
      <c r="CU111" s="17"/>
      <c r="CV111" s="243"/>
      <c r="CW111" s="12"/>
      <c r="CX111" s="12"/>
      <c r="CY111" s="12"/>
      <c r="CZ111" s="12"/>
      <c r="DA111" s="12"/>
      <c r="DB111" s="12"/>
      <c r="DC111" s="12"/>
      <c r="DD111" s="243"/>
      <c r="DE111" s="243"/>
      <c r="DF111" s="243"/>
      <c r="DG111" s="243"/>
      <c r="DH111" s="243"/>
      <c r="DI111" s="243"/>
      <c r="DJ111" s="243"/>
      <c r="DK111" s="243"/>
      <c r="DL111" s="243"/>
      <c r="DM111" s="243"/>
      <c r="DN111" s="12"/>
      <c r="DO111" s="17"/>
      <c r="EH111" s="12"/>
      <c r="EI111" s="17"/>
      <c r="FM111" s="12"/>
      <c r="FN111" s="17"/>
      <c r="GJ111" s="12"/>
      <c r="GK111" s="17"/>
      <c r="GT111" s="204"/>
      <c r="GU111" s="204"/>
      <c r="GV111" s="204"/>
      <c r="GW111" s="204"/>
      <c r="GX111" s="204"/>
      <c r="GY111" s="204"/>
      <c r="GZ111" s="204"/>
      <c r="HA111" s="204"/>
      <c r="HB111" s="204"/>
      <c r="HC111" s="204"/>
      <c r="HD111" s="204"/>
      <c r="HE111" s="12"/>
      <c r="HF111" s="17"/>
      <c r="HO111" s="204"/>
      <c r="HP111" s="12"/>
      <c r="HQ111" s="17"/>
      <c r="HZ111" s="204"/>
      <c r="IA111" s="12"/>
      <c r="IB111" s="17"/>
    </row>
    <row r="112" spans="1:236" ht="14.45" hidden="1" customHeight="1" x14ac:dyDescent="0.25">
      <c r="A112" s="58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263"/>
      <c r="N112" s="12"/>
      <c r="R112" s="219"/>
      <c r="S112" s="219"/>
      <c r="T112" s="219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256"/>
      <c r="BM112" s="256"/>
      <c r="BN112" s="256"/>
      <c r="BO112" s="256"/>
      <c r="BP112" s="256"/>
      <c r="BQ112" s="256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256"/>
      <c r="CF112" s="256"/>
      <c r="CG112" s="256"/>
      <c r="CH112" s="256"/>
      <c r="CI112" s="256"/>
      <c r="CJ112" s="256"/>
      <c r="CK112" s="12"/>
      <c r="CL112" s="5"/>
      <c r="CM112" s="5"/>
      <c r="CN112" s="5"/>
      <c r="CO112" s="5"/>
      <c r="CP112" s="5"/>
      <c r="CQ112" s="5"/>
      <c r="CR112" s="5"/>
      <c r="CS112" s="243"/>
      <c r="CT112" s="12"/>
      <c r="CU112" s="17"/>
      <c r="CV112" s="243"/>
      <c r="CW112" s="12"/>
      <c r="CX112" s="12"/>
      <c r="CY112" s="12"/>
      <c r="CZ112" s="12"/>
      <c r="DA112" s="12"/>
      <c r="DB112" s="12"/>
      <c r="DC112" s="12"/>
      <c r="DD112" s="243"/>
      <c r="DE112" s="243"/>
      <c r="DF112" s="243"/>
      <c r="DG112" s="243"/>
      <c r="DH112" s="243"/>
      <c r="DI112" s="243"/>
      <c r="DJ112" s="243"/>
      <c r="DK112" s="243"/>
      <c r="DL112" s="243"/>
      <c r="DM112" s="243"/>
      <c r="DN112" s="12"/>
      <c r="DO112" s="17"/>
      <c r="EH112" s="12"/>
      <c r="EI112" s="17"/>
      <c r="FM112" s="12"/>
      <c r="FN112" s="17"/>
      <c r="GJ112" s="12"/>
      <c r="GK112" s="17"/>
      <c r="GT112" s="204"/>
      <c r="GU112" s="204"/>
      <c r="GV112" s="204"/>
      <c r="GW112" s="204"/>
      <c r="GX112" s="204"/>
      <c r="GY112" s="204"/>
      <c r="GZ112" s="204"/>
      <c r="HA112" s="204"/>
      <c r="HB112" s="204"/>
      <c r="HC112" s="204"/>
      <c r="HD112" s="204"/>
      <c r="HE112" s="12"/>
      <c r="HF112" s="17"/>
      <c r="HO112" s="204"/>
      <c r="HP112" s="12"/>
      <c r="HQ112" s="17"/>
      <c r="HZ112" s="204"/>
      <c r="IA112" s="12"/>
      <c r="IB112" s="17"/>
    </row>
    <row r="113" spans="1:236" ht="14.45" hidden="1" customHeight="1" x14ac:dyDescent="0.25">
      <c r="A113" s="58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263"/>
      <c r="N113" s="12"/>
      <c r="R113" s="219"/>
      <c r="S113" s="219"/>
      <c r="T113" s="219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256"/>
      <c r="BM113" s="256"/>
      <c r="BN113" s="256"/>
      <c r="BO113" s="256"/>
      <c r="BP113" s="256"/>
      <c r="BQ113" s="256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256"/>
      <c r="CF113" s="256"/>
      <c r="CG113" s="256"/>
      <c r="CH113" s="256"/>
      <c r="CI113" s="256"/>
      <c r="CJ113" s="256"/>
      <c r="CK113" s="12"/>
      <c r="CL113" s="5"/>
      <c r="CM113" s="5"/>
      <c r="CN113" s="5"/>
      <c r="CO113" s="5"/>
      <c r="CP113" s="5"/>
      <c r="CQ113" s="5"/>
      <c r="CR113" s="5"/>
      <c r="CS113" s="243"/>
      <c r="CT113" s="12"/>
      <c r="CU113" s="17"/>
      <c r="CV113" s="243"/>
      <c r="CW113" s="12"/>
      <c r="CX113" s="12"/>
      <c r="CY113" s="12"/>
      <c r="CZ113" s="12"/>
      <c r="DA113" s="12"/>
      <c r="DB113" s="12"/>
      <c r="DC113" s="12"/>
      <c r="DD113" s="243"/>
      <c r="DE113" s="243"/>
      <c r="DF113" s="243"/>
      <c r="DG113" s="243"/>
      <c r="DH113" s="243"/>
      <c r="DI113" s="243"/>
      <c r="DJ113" s="243"/>
      <c r="DK113" s="243"/>
      <c r="DL113" s="243"/>
      <c r="DM113" s="243"/>
      <c r="DN113" s="12"/>
      <c r="DO113" s="17"/>
      <c r="EH113" s="12"/>
      <c r="EI113" s="17"/>
      <c r="FM113" s="12"/>
      <c r="FN113" s="17"/>
      <c r="GJ113" s="12"/>
      <c r="GK113" s="17"/>
      <c r="GT113" s="204"/>
      <c r="GU113" s="204"/>
      <c r="GV113" s="204"/>
      <c r="GW113" s="204"/>
      <c r="GX113" s="204"/>
      <c r="GY113" s="204"/>
      <c r="GZ113" s="204"/>
      <c r="HA113" s="204"/>
      <c r="HB113" s="204"/>
      <c r="HC113" s="204"/>
      <c r="HD113" s="204"/>
      <c r="HE113" s="12"/>
      <c r="HF113" s="17"/>
      <c r="HO113" s="204"/>
      <c r="HP113" s="12"/>
      <c r="HQ113" s="17"/>
      <c r="HZ113" s="204"/>
      <c r="IA113" s="12"/>
      <c r="IB113" s="17"/>
    </row>
    <row r="114" spans="1:236" ht="14.45" hidden="1" customHeight="1" x14ac:dyDescent="0.25">
      <c r="A114" s="58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263"/>
      <c r="N114" s="12"/>
      <c r="R114" s="219"/>
      <c r="S114" s="219"/>
      <c r="T114" s="219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256"/>
      <c r="BM114" s="256"/>
      <c r="BN114" s="256"/>
      <c r="BO114" s="256"/>
      <c r="BP114" s="256"/>
      <c r="BQ114" s="256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256"/>
      <c r="CF114" s="256"/>
      <c r="CG114" s="256"/>
      <c r="CH114" s="256"/>
      <c r="CI114" s="256"/>
      <c r="CJ114" s="256"/>
      <c r="CK114" s="12"/>
      <c r="CL114" s="5"/>
      <c r="CM114" s="5"/>
      <c r="CN114" s="5"/>
      <c r="CO114" s="5"/>
      <c r="CP114" s="5"/>
      <c r="CQ114" s="5"/>
      <c r="CR114" s="5"/>
      <c r="CS114" s="243"/>
      <c r="CT114" s="12"/>
      <c r="CU114" s="17"/>
      <c r="CV114" s="243"/>
      <c r="CW114" s="12"/>
      <c r="CX114" s="12"/>
      <c r="CY114" s="12"/>
      <c r="CZ114" s="12"/>
      <c r="DA114" s="12"/>
      <c r="DB114" s="12"/>
      <c r="DC114" s="12"/>
      <c r="DD114" s="243"/>
      <c r="DE114" s="243"/>
      <c r="DF114" s="243"/>
      <c r="DG114" s="243"/>
      <c r="DH114" s="243"/>
      <c r="DI114" s="243"/>
      <c r="DJ114" s="243"/>
      <c r="DK114" s="243"/>
      <c r="DL114" s="243"/>
      <c r="DM114" s="243"/>
      <c r="DN114" s="12"/>
      <c r="DO114" s="17"/>
      <c r="EH114" s="12"/>
      <c r="EI114" s="17"/>
      <c r="FM114" s="12"/>
      <c r="FN114" s="17"/>
      <c r="GJ114" s="12"/>
      <c r="GK114" s="17"/>
      <c r="GT114" s="204"/>
      <c r="GU114" s="204"/>
      <c r="GV114" s="204"/>
      <c r="GW114" s="204"/>
      <c r="GX114" s="204"/>
      <c r="GY114" s="204"/>
      <c r="GZ114" s="204"/>
      <c r="HA114" s="204"/>
      <c r="HB114" s="204"/>
      <c r="HC114" s="204"/>
      <c r="HD114" s="204"/>
      <c r="HE114" s="12"/>
      <c r="HF114" s="17"/>
      <c r="HO114" s="204"/>
      <c r="HP114" s="12"/>
      <c r="HQ114" s="17"/>
      <c r="HZ114" s="204"/>
      <c r="IA114" s="12"/>
      <c r="IB114" s="17"/>
    </row>
    <row r="115" spans="1:236" ht="14.45" hidden="1" customHeight="1" x14ac:dyDescent="0.25">
      <c r="A115" s="58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263"/>
      <c r="N115" s="12"/>
      <c r="R115" s="219"/>
      <c r="S115" s="219"/>
      <c r="T115" s="219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256"/>
      <c r="BM115" s="256"/>
      <c r="BN115" s="256"/>
      <c r="BO115" s="256"/>
      <c r="BP115" s="256"/>
      <c r="BQ115" s="256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256"/>
      <c r="CF115" s="256"/>
      <c r="CG115" s="256"/>
      <c r="CH115" s="256"/>
      <c r="CI115" s="256"/>
      <c r="CJ115" s="256"/>
      <c r="CK115" s="12"/>
      <c r="CL115" s="5"/>
      <c r="CM115" s="5"/>
      <c r="CN115" s="5"/>
      <c r="CO115" s="5"/>
      <c r="CP115" s="5"/>
      <c r="CQ115" s="5"/>
      <c r="CR115" s="5"/>
      <c r="CS115" s="243"/>
      <c r="CT115" s="12"/>
      <c r="CU115" s="17"/>
      <c r="CV115" s="243"/>
      <c r="CW115" s="12"/>
      <c r="CX115" s="12"/>
      <c r="CY115" s="12"/>
      <c r="CZ115" s="12"/>
      <c r="DA115" s="12"/>
      <c r="DB115" s="12"/>
      <c r="DC115" s="12"/>
      <c r="DD115" s="243"/>
      <c r="DE115" s="243"/>
      <c r="DF115" s="243"/>
      <c r="DG115" s="243"/>
      <c r="DH115" s="243"/>
      <c r="DI115" s="243"/>
      <c r="DJ115" s="243"/>
      <c r="DK115" s="243"/>
      <c r="DL115" s="243"/>
      <c r="DM115" s="243"/>
      <c r="DN115" s="12"/>
      <c r="DO115" s="17"/>
      <c r="EH115" s="12"/>
      <c r="EI115" s="17"/>
      <c r="FM115" s="12"/>
      <c r="FN115" s="17"/>
      <c r="GJ115" s="12"/>
      <c r="GK115" s="17"/>
      <c r="GT115" s="204"/>
      <c r="GU115" s="204"/>
      <c r="GV115" s="204"/>
      <c r="GW115" s="204"/>
      <c r="GX115" s="204"/>
      <c r="GY115" s="204"/>
      <c r="GZ115" s="204"/>
      <c r="HA115" s="204"/>
      <c r="HB115" s="204"/>
      <c r="HC115" s="204"/>
      <c r="HD115" s="204"/>
      <c r="HE115" s="12"/>
      <c r="HF115" s="17"/>
      <c r="HO115" s="204"/>
      <c r="HP115" s="12"/>
      <c r="HQ115" s="17"/>
      <c r="HZ115" s="204"/>
      <c r="IA115" s="12"/>
      <c r="IB115" s="17"/>
    </row>
    <row r="116" spans="1:236" ht="14.45" hidden="1" customHeight="1" x14ac:dyDescent="0.25">
      <c r="A116" s="58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263"/>
      <c r="N116" s="12"/>
      <c r="R116" s="219"/>
      <c r="S116" s="219"/>
      <c r="T116" s="219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256"/>
      <c r="BM116" s="256"/>
      <c r="BN116" s="256"/>
      <c r="BO116" s="256"/>
      <c r="BP116" s="256"/>
      <c r="BQ116" s="256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256"/>
      <c r="CF116" s="256"/>
      <c r="CG116" s="256"/>
      <c r="CH116" s="256"/>
      <c r="CI116" s="256"/>
      <c r="CJ116" s="256"/>
      <c r="CK116" s="12"/>
      <c r="CL116" s="5"/>
      <c r="CM116" s="5"/>
      <c r="CN116" s="5"/>
      <c r="CO116" s="5"/>
      <c r="CP116" s="5"/>
      <c r="CQ116" s="5"/>
      <c r="CR116" s="5"/>
      <c r="CS116" s="243"/>
      <c r="CT116" s="12"/>
      <c r="CU116" s="17"/>
      <c r="CV116" s="243"/>
      <c r="CW116" s="12"/>
      <c r="CX116" s="12"/>
      <c r="CY116" s="12"/>
      <c r="CZ116" s="12"/>
      <c r="DA116" s="12"/>
      <c r="DB116" s="12"/>
      <c r="DC116" s="12"/>
      <c r="DD116" s="243"/>
      <c r="DE116" s="243"/>
      <c r="DF116" s="243"/>
      <c r="DG116" s="243"/>
      <c r="DH116" s="243"/>
      <c r="DI116" s="243"/>
      <c r="DJ116" s="243"/>
      <c r="DK116" s="243"/>
      <c r="DL116" s="243"/>
      <c r="DM116" s="243"/>
      <c r="DN116" s="12"/>
      <c r="DO116" s="17"/>
      <c r="EH116" s="12"/>
      <c r="EI116" s="17"/>
      <c r="FM116" s="12"/>
      <c r="FN116" s="17"/>
      <c r="GJ116" s="12"/>
      <c r="GK116" s="17"/>
      <c r="GT116" s="204"/>
      <c r="GU116" s="204"/>
      <c r="GV116" s="204"/>
      <c r="GW116" s="204"/>
      <c r="GX116" s="204"/>
      <c r="GY116" s="204"/>
      <c r="GZ116" s="204"/>
      <c r="HA116" s="204"/>
      <c r="HB116" s="204"/>
      <c r="HC116" s="204"/>
      <c r="HD116" s="204"/>
      <c r="HE116" s="12"/>
      <c r="HF116" s="17"/>
      <c r="HO116" s="204"/>
      <c r="HP116" s="12"/>
      <c r="HQ116" s="17"/>
      <c r="HZ116" s="204"/>
      <c r="IA116" s="12"/>
      <c r="IB116" s="17"/>
    </row>
    <row r="117" spans="1:236" ht="14.45" hidden="1" customHeight="1" x14ac:dyDescent="0.25">
      <c r="A117" s="58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263"/>
      <c r="N117" s="12"/>
      <c r="R117" s="219"/>
      <c r="S117" s="219"/>
      <c r="T117" s="219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256"/>
      <c r="BM117" s="256"/>
      <c r="BN117" s="256"/>
      <c r="BO117" s="256"/>
      <c r="BP117" s="256"/>
      <c r="BQ117" s="256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256"/>
      <c r="CF117" s="256"/>
      <c r="CG117" s="256"/>
      <c r="CH117" s="256"/>
      <c r="CI117" s="256"/>
      <c r="CJ117" s="256"/>
      <c r="CK117" s="12"/>
      <c r="CL117" s="5"/>
      <c r="CM117" s="5"/>
      <c r="CN117" s="5"/>
      <c r="CO117" s="5"/>
      <c r="CP117" s="5"/>
      <c r="CQ117" s="5"/>
      <c r="CR117" s="5"/>
      <c r="CS117" s="243"/>
      <c r="CT117" s="12"/>
      <c r="CU117" s="17"/>
      <c r="CV117" s="243"/>
      <c r="CW117" s="12"/>
      <c r="CX117" s="12"/>
      <c r="CY117" s="12"/>
      <c r="CZ117" s="12"/>
      <c r="DA117" s="12"/>
      <c r="DB117" s="12"/>
      <c r="DC117" s="12"/>
      <c r="DD117" s="243"/>
      <c r="DE117" s="243"/>
      <c r="DF117" s="243"/>
      <c r="DG117" s="243"/>
      <c r="DH117" s="243"/>
      <c r="DI117" s="243"/>
      <c r="DJ117" s="243"/>
      <c r="DK117" s="243"/>
      <c r="DL117" s="243"/>
      <c r="DM117" s="243"/>
      <c r="DN117" s="12"/>
      <c r="DO117" s="17"/>
      <c r="EH117" s="12"/>
      <c r="EI117" s="17"/>
      <c r="FM117" s="12"/>
      <c r="FN117" s="17"/>
      <c r="GJ117" s="12"/>
      <c r="GK117" s="17"/>
      <c r="GT117" s="204"/>
      <c r="GU117" s="204"/>
      <c r="GV117" s="204"/>
      <c r="GW117" s="204"/>
      <c r="GX117" s="204"/>
      <c r="GY117" s="204"/>
      <c r="GZ117" s="204"/>
      <c r="HA117" s="204"/>
      <c r="HB117" s="204"/>
      <c r="HC117" s="204"/>
      <c r="HD117" s="204"/>
      <c r="HE117" s="12"/>
      <c r="HF117" s="17"/>
      <c r="HO117" s="204"/>
      <c r="HP117" s="12"/>
      <c r="HQ117" s="17"/>
      <c r="HZ117" s="204"/>
      <c r="IA117" s="12"/>
      <c r="IB117" s="17"/>
    </row>
    <row r="118" spans="1:236" ht="14.45" hidden="1" customHeight="1" x14ac:dyDescent="0.25">
      <c r="A118" s="58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263"/>
      <c r="N118" s="12"/>
      <c r="R118" s="219"/>
      <c r="S118" s="219"/>
      <c r="T118" s="219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256"/>
      <c r="BM118" s="256"/>
      <c r="BN118" s="256"/>
      <c r="BO118" s="256"/>
      <c r="BP118" s="256"/>
      <c r="BQ118" s="256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256"/>
      <c r="CF118" s="256"/>
      <c r="CG118" s="256"/>
      <c r="CH118" s="256"/>
      <c r="CI118" s="256"/>
      <c r="CJ118" s="256"/>
      <c r="CK118" s="12"/>
      <c r="CL118" s="5"/>
      <c r="CM118" s="5"/>
      <c r="CN118" s="5"/>
      <c r="CO118" s="5"/>
      <c r="CP118" s="5"/>
      <c r="CQ118" s="5"/>
      <c r="CR118" s="5"/>
      <c r="CS118" s="243"/>
      <c r="CT118" s="12"/>
      <c r="CU118" s="17"/>
      <c r="CV118" s="243"/>
      <c r="CW118" s="12"/>
      <c r="CX118" s="12"/>
      <c r="CY118" s="12"/>
      <c r="CZ118" s="12"/>
      <c r="DA118" s="12"/>
      <c r="DB118" s="12"/>
      <c r="DC118" s="12"/>
      <c r="DD118" s="243"/>
      <c r="DE118" s="243"/>
      <c r="DF118" s="243"/>
      <c r="DG118" s="243"/>
      <c r="DH118" s="243"/>
      <c r="DI118" s="243"/>
      <c r="DJ118" s="243"/>
      <c r="DK118" s="243"/>
      <c r="DL118" s="243"/>
      <c r="DM118" s="243"/>
      <c r="DN118" s="12"/>
      <c r="DO118" s="17"/>
      <c r="EH118" s="12"/>
      <c r="EI118" s="17"/>
      <c r="FM118" s="12"/>
      <c r="FN118" s="17"/>
      <c r="GJ118" s="12"/>
      <c r="GK118" s="17"/>
      <c r="GT118" s="204"/>
      <c r="GU118" s="204"/>
      <c r="GV118" s="204"/>
      <c r="GW118" s="204"/>
      <c r="GX118" s="204"/>
      <c r="GY118" s="204"/>
      <c r="GZ118" s="204"/>
      <c r="HA118" s="204"/>
      <c r="HB118" s="204"/>
      <c r="HC118" s="204"/>
      <c r="HD118" s="204"/>
      <c r="HE118" s="12"/>
      <c r="HF118" s="17"/>
      <c r="HO118" s="204"/>
      <c r="HP118" s="12"/>
      <c r="HQ118" s="17"/>
      <c r="HZ118" s="204"/>
      <c r="IA118" s="12"/>
      <c r="IB118" s="17"/>
    </row>
    <row r="119" spans="1:236" ht="14.45" hidden="1" customHeight="1" x14ac:dyDescent="0.25">
      <c r="A119" s="58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263"/>
      <c r="N119" s="12"/>
      <c r="R119" s="219"/>
      <c r="S119" s="219"/>
      <c r="T119" s="219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256"/>
      <c r="BM119" s="256"/>
      <c r="BN119" s="256"/>
      <c r="BO119" s="256"/>
      <c r="BP119" s="256"/>
      <c r="BQ119" s="256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256"/>
      <c r="CF119" s="256"/>
      <c r="CG119" s="256"/>
      <c r="CH119" s="256"/>
      <c r="CI119" s="256"/>
      <c r="CJ119" s="256"/>
      <c r="CK119" s="12"/>
      <c r="CL119" s="5"/>
      <c r="CM119" s="5"/>
      <c r="CN119" s="5"/>
      <c r="CO119" s="5"/>
      <c r="CP119" s="5"/>
      <c r="CQ119" s="5"/>
      <c r="CR119" s="5"/>
      <c r="CS119" s="243"/>
      <c r="CT119" s="12"/>
      <c r="CU119" s="17"/>
      <c r="CV119" s="243"/>
      <c r="CW119" s="12"/>
      <c r="CX119" s="12"/>
      <c r="CY119" s="12"/>
      <c r="CZ119" s="12"/>
      <c r="DA119" s="12"/>
      <c r="DB119" s="12"/>
      <c r="DC119" s="12"/>
      <c r="DD119" s="243"/>
      <c r="DE119" s="243"/>
      <c r="DF119" s="243"/>
      <c r="DG119" s="243"/>
      <c r="DH119" s="243"/>
      <c r="DI119" s="243"/>
      <c r="DJ119" s="243"/>
      <c r="DK119" s="243"/>
      <c r="DL119" s="243"/>
      <c r="DM119" s="243"/>
      <c r="DN119" s="12"/>
      <c r="DO119" s="17"/>
      <c r="EH119" s="12"/>
      <c r="EI119" s="17"/>
      <c r="FM119" s="12"/>
      <c r="FN119" s="17"/>
      <c r="GJ119" s="12"/>
      <c r="GK119" s="17"/>
      <c r="GT119" s="204"/>
      <c r="GU119" s="204"/>
      <c r="GV119" s="204"/>
      <c r="GW119" s="204"/>
      <c r="GX119" s="204"/>
      <c r="GY119" s="204"/>
      <c r="GZ119" s="204"/>
      <c r="HA119" s="204"/>
      <c r="HB119" s="204"/>
      <c r="HC119" s="204"/>
      <c r="HD119" s="204"/>
      <c r="HE119" s="12"/>
      <c r="HF119" s="17"/>
      <c r="HO119" s="204"/>
      <c r="HP119" s="12"/>
      <c r="HQ119" s="17"/>
      <c r="HZ119" s="204"/>
      <c r="IA119" s="12"/>
      <c r="IB119" s="17"/>
    </row>
    <row r="120" spans="1:236" ht="14.45" hidden="1" customHeight="1" x14ac:dyDescent="0.25">
      <c r="A120" s="58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263"/>
      <c r="N120" s="12"/>
      <c r="R120" s="219"/>
      <c r="S120" s="219"/>
      <c r="T120" s="219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256"/>
      <c r="BM120" s="256"/>
      <c r="BN120" s="256"/>
      <c r="BO120" s="256"/>
      <c r="BP120" s="256"/>
      <c r="BQ120" s="256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256"/>
      <c r="CF120" s="256"/>
      <c r="CG120" s="256"/>
      <c r="CH120" s="256"/>
      <c r="CI120" s="256"/>
      <c r="CJ120" s="256"/>
      <c r="CK120" s="12"/>
      <c r="CL120" s="5"/>
      <c r="CM120" s="5"/>
      <c r="CN120" s="5"/>
      <c r="CO120" s="5"/>
      <c r="CP120" s="5"/>
      <c r="CQ120" s="5"/>
      <c r="CR120" s="5"/>
      <c r="CS120" s="243"/>
      <c r="CT120" s="12"/>
      <c r="CU120" s="17"/>
      <c r="CV120" s="243"/>
      <c r="CW120" s="12"/>
      <c r="CX120" s="12"/>
      <c r="CY120" s="12"/>
      <c r="CZ120" s="12"/>
      <c r="DA120" s="12"/>
      <c r="DB120" s="12"/>
      <c r="DC120" s="12"/>
      <c r="DD120" s="243"/>
      <c r="DE120" s="243"/>
      <c r="DF120" s="243"/>
      <c r="DG120" s="243"/>
      <c r="DH120" s="243"/>
      <c r="DI120" s="243"/>
      <c r="DJ120" s="243"/>
      <c r="DK120" s="243"/>
      <c r="DL120" s="243"/>
      <c r="DM120" s="243"/>
      <c r="DN120" s="12"/>
      <c r="DO120" s="17"/>
      <c r="EH120" s="12"/>
      <c r="EI120" s="17"/>
      <c r="FM120" s="12"/>
      <c r="FN120" s="17"/>
      <c r="GJ120" s="12"/>
      <c r="GK120" s="17"/>
      <c r="GT120" s="204"/>
      <c r="GU120" s="204"/>
      <c r="GV120" s="204"/>
      <c r="GW120" s="204"/>
      <c r="GX120" s="204"/>
      <c r="GY120" s="204"/>
      <c r="GZ120" s="204"/>
      <c r="HA120" s="204"/>
      <c r="HB120" s="204"/>
      <c r="HC120" s="204"/>
      <c r="HD120" s="204"/>
      <c r="HE120" s="12"/>
      <c r="HF120" s="17"/>
      <c r="HO120" s="204"/>
      <c r="HP120" s="12"/>
      <c r="HQ120" s="17"/>
      <c r="HZ120" s="204"/>
      <c r="IA120" s="12"/>
      <c r="IB120" s="17"/>
    </row>
    <row r="121" spans="1:236" ht="14.45" hidden="1" customHeight="1" x14ac:dyDescent="0.25">
      <c r="A121" s="58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263"/>
      <c r="N121" s="12"/>
      <c r="R121" s="219"/>
      <c r="S121" s="219"/>
      <c r="T121" s="219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256"/>
      <c r="BM121" s="256"/>
      <c r="BN121" s="256"/>
      <c r="BO121" s="256"/>
      <c r="BP121" s="256"/>
      <c r="BQ121" s="256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256"/>
      <c r="CF121" s="256"/>
      <c r="CG121" s="256"/>
      <c r="CH121" s="256"/>
      <c r="CI121" s="256"/>
      <c r="CJ121" s="256"/>
      <c r="CK121" s="12"/>
      <c r="CL121" s="5"/>
      <c r="CM121" s="5"/>
      <c r="CN121" s="5"/>
      <c r="CO121" s="5"/>
      <c r="CP121" s="5"/>
      <c r="CQ121" s="5"/>
      <c r="CR121" s="5"/>
      <c r="CS121" s="243"/>
      <c r="CT121" s="12"/>
      <c r="CU121" s="17"/>
      <c r="CV121" s="243"/>
      <c r="CW121" s="12"/>
      <c r="CX121" s="12"/>
      <c r="CY121" s="12"/>
      <c r="CZ121" s="12"/>
      <c r="DA121" s="12"/>
      <c r="DB121" s="12"/>
      <c r="DC121" s="12"/>
      <c r="DD121" s="243"/>
      <c r="DE121" s="243"/>
      <c r="DF121" s="243"/>
      <c r="DG121" s="243"/>
      <c r="DH121" s="243"/>
      <c r="DI121" s="243"/>
      <c r="DJ121" s="243"/>
      <c r="DK121" s="243"/>
      <c r="DL121" s="243"/>
      <c r="DM121" s="243"/>
      <c r="DN121" s="12"/>
      <c r="DO121" s="17"/>
      <c r="EH121" s="12"/>
      <c r="EI121" s="17"/>
      <c r="FM121" s="12"/>
      <c r="FN121" s="17"/>
      <c r="GJ121" s="12"/>
      <c r="GK121" s="17"/>
      <c r="GT121" s="204"/>
      <c r="GU121" s="204"/>
      <c r="GV121" s="204"/>
      <c r="GW121" s="204"/>
      <c r="GX121" s="204"/>
      <c r="GY121" s="204"/>
      <c r="GZ121" s="204"/>
      <c r="HA121" s="204"/>
      <c r="HB121" s="204"/>
      <c r="HC121" s="204"/>
      <c r="HD121" s="204"/>
      <c r="HE121" s="12"/>
      <c r="HF121" s="17"/>
      <c r="HO121" s="204"/>
      <c r="HP121" s="12"/>
      <c r="HQ121" s="17"/>
      <c r="HZ121" s="204"/>
      <c r="IA121" s="12"/>
      <c r="IB121" s="17"/>
    </row>
    <row r="122" spans="1:236" ht="14.45" hidden="1" customHeight="1" x14ac:dyDescent="0.25">
      <c r="A122" s="58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263"/>
      <c r="N122" s="12"/>
      <c r="R122" s="219"/>
      <c r="S122" s="219"/>
      <c r="T122" s="219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256"/>
      <c r="BM122" s="256"/>
      <c r="BN122" s="256"/>
      <c r="BO122" s="256"/>
      <c r="BP122" s="256"/>
      <c r="BQ122" s="256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256"/>
      <c r="CF122" s="256"/>
      <c r="CG122" s="256"/>
      <c r="CH122" s="256"/>
      <c r="CI122" s="256"/>
      <c r="CJ122" s="256"/>
      <c r="CK122" s="12"/>
      <c r="CL122" s="5"/>
      <c r="CM122" s="5"/>
      <c r="CN122" s="5"/>
      <c r="CO122" s="5"/>
      <c r="CP122" s="5"/>
      <c r="CQ122" s="5"/>
      <c r="CR122" s="5"/>
      <c r="CS122" s="243"/>
      <c r="CT122" s="12"/>
      <c r="CU122" s="17"/>
      <c r="CV122" s="243"/>
      <c r="CW122" s="12"/>
      <c r="CX122" s="12"/>
      <c r="CY122" s="12"/>
      <c r="CZ122" s="12"/>
      <c r="DA122" s="12"/>
      <c r="DB122" s="12"/>
      <c r="DC122" s="12"/>
      <c r="DD122" s="243"/>
      <c r="DE122" s="243"/>
      <c r="DF122" s="243"/>
      <c r="DG122" s="243"/>
      <c r="DH122" s="243"/>
      <c r="DI122" s="243"/>
      <c r="DJ122" s="243"/>
      <c r="DK122" s="243"/>
      <c r="DL122" s="243"/>
      <c r="DM122" s="243"/>
      <c r="DN122" s="12"/>
      <c r="DO122" s="17"/>
      <c r="EH122" s="12"/>
      <c r="EI122" s="17"/>
      <c r="FM122" s="12"/>
      <c r="FN122" s="17"/>
      <c r="GJ122" s="12"/>
      <c r="GK122" s="17"/>
      <c r="GT122" s="204"/>
      <c r="GU122" s="204"/>
      <c r="GV122" s="204"/>
      <c r="GW122" s="204"/>
      <c r="GX122" s="204"/>
      <c r="GY122" s="204"/>
      <c r="GZ122" s="204"/>
      <c r="HA122" s="204"/>
      <c r="HB122" s="204"/>
      <c r="HC122" s="204"/>
      <c r="HD122" s="204"/>
      <c r="HE122" s="12"/>
      <c r="HF122" s="17"/>
      <c r="HO122" s="204"/>
      <c r="HP122" s="12"/>
      <c r="HQ122" s="17"/>
      <c r="HZ122" s="204"/>
      <c r="IA122" s="12"/>
      <c r="IB122" s="17"/>
    </row>
    <row r="123" spans="1:236" ht="14.45" hidden="1" customHeight="1" x14ac:dyDescent="0.25">
      <c r="A123" s="58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263"/>
      <c r="N123" s="12"/>
      <c r="R123" s="219"/>
      <c r="S123" s="219"/>
      <c r="T123" s="219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256"/>
      <c r="BM123" s="256"/>
      <c r="BN123" s="256"/>
      <c r="BO123" s="256"/>
      <c r="BP123" s="256"/>
      <c r="BQ123" s="256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256"/>
      <c r="CF123" s="256"/>
      <c r="CG123" s="256"/>
      <c r="CH123" s="256"/>
      <c r="CI123" s="256"/>
      <c r="CJ123" s="256"/>
      <c r="CK123" s="12"/>
      <c r="CL123" s="5"/>
      <c r="CM123" s="5"/>
      <c r="CN123" s="5"/>
      <c r="CO123" s="5"/>
      <c r="CP123" s="5"/>
      <c r="CQ123" s="5"/>
      <c r="CR123" s="5"/>
      <c r="CS123" s="243"/>
      <c r="CT123" s="12"/>
      <c r="CU123" s="17"/>
      <c r="CV123" s="243"/>
      <c r="CW123" s="12"/>
      <c r="CX123" s="12"/>
      <c r="CY123" s="12"/>
      <c r="CZ123" s="12"/>
      <c r="DA123" s="12"/>
      <c r="DB123" s="12"/>
      <c r="DC123" s="12"/>
      <c r="DD123" s="243"/>
      <c r="DE123" s="243"/>
      <c r="DF123" s="243"/>
      <c r="DG123" s="243"/>
      <c r="DH123" s="243"/>
      <c r="DI123" s="243"/>
      <c r="DJ123" s="243"/>
      <c r="DK123" s="243"/>
      <c r="DL123" s="243"/>
      <c r="DM123" s="243"/>
      <c r="DN123" s="12"/>
      <c r="DO123" s="17"/>
      <c r="EH123" s="12"/>
      <c r="EI123" s="17"/>
      <c r="FM123" s="12"/>
      <c r="FN123" s="17"/>
      <c r="GJ123" s="12"/>
      <c r="GK123" s="17"/>
      <c r="GT123" s="204"/>
      <c r="GU123" s="204"/>
      <c r="GV123" s="204"/>
      <c r="GW123" s="204"/>
      <c r="GX123" s="204"/>
      <c r="GY123" s="204"/>
      <c r="GZ123" s="204"/>
      <c r="HA123" s="204"/>
      <c r="HB123" s="204"/>
      <c r="HC123" s="204"/>
      <c r="HD123" s="204"/>
      <c r="HE123" s="12"/>
      <c r="HF123" s="17"/>
      <c r="HO123" s="204"/>
      <c r="HP123" s="12"/>
      <c r="HQ123" s="17"/>
      <c r="HZ123" s="204"/>
      <c r="IA123" s="12"/>
      <c r="IB123" s="17"/>
    </row>
    <row r="124" spans="1:236" ht="14.45" hidden="1" customHeight="1" x14ac:dyDescent="0.25">
      <c r="A124" s="58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263"/>
      <c r="N124" s="12"/>
      <c r="R124" s="219"/>
      <c r="S124" s="219"/>
      <c r="T124" s="219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256"/>
      <c r="BM124" s="256"/>
      <c r="BN124" s="256"/>
      <c r="BO124" s="256"/>
      <c r="BP124" s="256"/>
      <c r="BQ124" s="256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256"/>
      <c r="CF124" s="256"/>
      <c r="CG124" s="256"/>
      <c r="CH124" s="256"/>
      <c r="CI124" s="256"/>
      <c r="CJ124" s="256"/>
      <c r="CK124" s="12"/>
      <c r="CL124" s="5"/>
      <c r="CM124" s="5"/>
      <c r="CN124" s="5"/>
      <c r="CO124" s="5"/>
      <c r="CP124" s="5"/>
      <c r="CQ124" s="5"/>
      <c r="CR124" s="5"/>
      <c r="CS124" s="243"/>
      <c r="CT124" s="12"/>
      <c r="CU124" s="17"/>
      <c r="CV124" s="243"/>
      <c r="CW124" s="12"/>
      <c r="CX124" s="12"/>
      <c r="CY124" s="12"/>
      <c r="CZ124" s="12"/>
      <c r="DA124" s="12"/>
      <c r="DB124" s="12"/>
      <c r="DC124" s="12"/>
      <c r="DD124" s="243"/>
      <c r="DE124" s="243"/>
      <c r="DF124" s="243"/>
      <c r="DG124" s="243"/>
      <c r="DH124" s="243"/>
      <c r="DI124" s="243"/>
      <c r="DJ124" s="243"/>
      <c r="DK124" s="243"/>
      <c r="DL124" s="243"/>
      <c r="DM124" s="243"/>
      <c r="DN124" s="12"/>
      <c r="DO124" s="17"/>
      <c r="EH124" s="12"/>
      <c r="EI124" s="17"/>
      <c r="FM124" s="12"/>
      <c r="FN124" s="17"/>
      <c r="GJ124" s="12"/>
      <c r="GK124" s="17"/>
      <c r="GT124" s="204"/>
      <c r="GU124" s="204"/>
      <c r="GV124" s="204"/>
      <c r="GW124" s="204"/>
      <c r="GX124" s="204"/>
      <c r="GY124" s="204"/>
      <c r="GZ124" s="204"/>
      <c r="HA124" s="204"/>
      <c r="HB124" s="204"/>
      <c r="HC124" s="204"/>
      <c r="HD124" s="204"/>
      <c r="HE124" s="12"/>
      <c r="HF124" s="17"/>
      <c r="HO124" s="204"/>
      <c r="HP124" s="12"/>
      <c r="HQ124" s="17"/>
      <c r="HZ124" s="204"/>
      <c r="IA124" s="12"/>
      <c r="IB124" s="17"/>
    </row>
    <row r="125" spans="1:236" ht="14.45" hidden="1" customHeight="1" x14ac:dyDescent="0.25">
      <c r="A125" s="58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263"/>
      <c r="N125" s="12"/>
      <c r="R125" s="219"/>
      <c r="S125" s="219"/>
      <c r="T125" s="219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256"/>
      <c r="BM125" s="256"/>
      <c r="BN125" s="256"/>
      <c r="BO125" s="256"/>
      <c r="BP125" s="256"/>
      <c r="BQ125" s="256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256"/>
      <c r="CF125" s="256"/>
      <c r="CG125" s="256"/>
      <c r="CH125" s="256"/>
      <c r="CI125" s="256"/>
      <c r="CJ125" s="256"/>
      <c r="CK125" s="12"/>
      <c r="CL125" s="5"/>
      <c r="CM125" s="5"/>
      <c r="CN125" s="5"/>
      <c r="CO125" s="5"/>
      <c r="CP125" s="5"/>
      <c r="CQ125" s="5"/>
      <c r="CR125" s="5"/>
      <c r="CS125" s="243"/>
      <c r="CT125" s="12"/>
      <c r="CU125" s="17"/>
      <c r="CV125" s="243"/>
      <c r="CW125" s="12"/>
      <c r="CX125" s="12"/>
      <c r="CY125" s="12"/>
      <c r="CZ125" s="12"/>
      <c r="DA125" s="12"/>
      <c r="DB125" s="12"/>
      <c r="DC125" s="12"/>
      <c r="DD125" s="243"/>
      <c r="DE125" s="243"/>
      <c r="DF125" s="243"/>
      <c r="DG125" s="243"/>
      <c r="DH125" s="243"/>
      <c r="DI125" s="243"/>
      <c r="DJ125" s="243"/>
      <c r="DK125" s="243"/>
      <c r="DL125" s="243"/>
      <c r="DM125" s="243"/>
      <c r="DN125" s="12"/>
      <c r="DO125" s="17"/>
      <c r="EH125" s="12"/>
      <c r="EI125" s="17"/>
      <c r="FM125" s="12"/>
      <c r="FN125" s="17"/>
      <c r="GJ125" s="12"/>
      <c r="GK125" s="17"/>
      <c r="GT125" s="204"/>
      <c r="GU125" s="204"/>
      <c r="GV125" s="204"/>
      <c r="GW125" s="204"/>
      <c r="GX125" s="204"/>
      <c r="GY125" s="204"/>
      <c r="GZ125" s="204"/>
      <c r="HA125" s="204"/>
      <c r="HB125" s="204"/>
      <c r="HC125" s="204"/>
      <c r="HD125" s="204"/>
      <c r="HE125" s="12"/>
      <c r="HF125" s="17"/>
      <c r="HO125" s="204"/>
      <c r="HP125" s="12"/>
      <c r="HQ125" s="17"/>
      <c r="HZ125" s="204"/>
      <c r="IA125" s="12"/>
      <c r="IB125" s="17"/>
    </row>
    <row r="126" spans="1:236" ht="14.45" hidden="1" customHeight="1" x14ac:dyDescent="0.25">
      <c r="A126" s="58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263"/>
      <c r="N126" s="12"/>
      <c r="R126" s="219"/>
      <c r="S126" s="219"/>
      <c r="T126" s="219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256"/>
      <c r="BM126" s="256"/>
      <c r="BN126" s="256"/>
      <c r="BO126" s="256"/>
      <c r="BP126" s="256"/>
      <c r="BQ126" s="256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256"/>
      <c r="CF126" s="256"/>
      <c r="CG126" s="256"/>
      <c r="CH126" s="256"/>
      <c r="CI126" s="256"/>
      <c r="CJ126" s="256"/>
      <c r="CK126" s="12"/>
      <c r="CL126" s="5"/>
      <c r="CM126" s="5"/>
      <c r="CN126" s="5"/>
      <c r="CO126" s="5"/>
      <c r="CP126" s="5"/>
      <c r="CQ126" s="5"/>
      <c r="CR126" s="5"/>
      <c r="CS126" s="243"/>
      <c r="CT126" s="12"/>
      <c r="CU126" s="17"/>
      <c r="CV126" s="243"/>
      <c r="CW126" s="12"/>
      <c r="CX126" s="12"/>
      <c r="CY126" s="12"/>
      <c r="CZ126" s="12"/>
      <c r="DA126" s="12"/>
      <c r="DB126" s="12"/>
      <c r="DC126" s="12"/>
      <c r="DD126" s="243"/>
      <c r="DE126" s="243"/>
      <c r="DF126" s="243"/>
      <c r="DG126" s="243"/>
      <c r="DH126" s="243"/>
      <c r="DI126" s="243"/>
      <c r="DJ126" s="243"/>
      <c r="DK126" s="243"/>
      <c r="DL126" s="243"/>
      <c r="DM126" s="243"/>
      <c r="DN126" s="12"/>
      <c r="DO126" s="17"/>
      <c r="EH126" s="12"/>
      <c r="EI126" s="17"/>
      <c r="FM126" s="12"/>
      <c r="FN126" s="17"/>
      <c r="GJ126" s="12"/>
      <c r="GK126" s="17"/>
      <c r="GT126" s="204"/>
      <c r="GU126" s="204"/>
      <c r="GV126" s="204"/>
      <c r="GW126" s="204"/>
      <c r="GX126" s="204"/>
      <c r="GY126" s="204"/>
      <c r="GZ126" s="204"/>
      <c r="HA126" s="204"/>
      <c r="HB126" s="204"/>
      <c r="HC126" s="204"/>
      <c r="HD126" s="204"/>
      <c r="HE126" s="12"/>
      <c r="HF126" s="17"/>
      <c r="HO126" s="204"/>
      <c r="HP126" s="12"/>
      <c r="HQ126" s="17"/>
      <c r="HZ126" s="204"/>
      <c r="IA126" s="12"/>
      <c r="IB126" s="17"/>
    </row>
    <row r="127" spans="1:236" ht="14.45" hidden="1" customHeight="1" x14ac:dyDescent="0.25">
      <c r="A127" s="58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263"/>
      <c r="N127" s="12"/>
      <c r="R127" s="219"/>
      <c r="S127" s="219"/>
      <c r="T127" s="219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256"/>
      <c r="BM127" s="256"/>
      <c r="BN127" s="256"/>
      <c r="BO127" s="256"/>
      <c r="BP127" s="256"/>
      <c r="BQ127" s="256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256"/>
      <c r="CF127" s="256"/>
      <c r="CG127" s="256"/>
      <c r="CH127" s="256"/>
      <c r="CI127" s="256"/>
      <c r="CJ127" s="256"/>
      <c r="CK127" s="12"/>
      <c r="CL127" s="5"/>
      <c r="CM127" s="5"/>
      <c r="CN127" s="5"/>
      <c r="CO127" s="5"/>
      <c r="CP127" s="5"/>
      <c r="CQ127" s="5"/>
      <c r="CR127" s="5"/>
      <c r="CS127" s="243"/>
      <c r="CT127" s="12"/>
      <c r="CU127" s="17"/>
      <c r="CV127" s="243"/>
      <c r="CW127" s="12"/>
      <c r="CX127" s="12"/>
      <c r="CY127" s="12"/>
      <c r="CZ127" s="12"/>
      <c r="DA127" s="12"/>
      <c r="DB127" s="12"/>
      <c r="DC127" s="12"/>
      <c r="DD127" s="243"/>
      <c r="DE127" s="243"/>
      <c r="DF127" s="243"/>
      <c r="DG127" s="243"/>
      <c r="DH127" s="243"/>
      <c r="DI127" s="243"/>
      <c r="DJ127" s="243"/>
      <c r="DK127" s="243"/>
      <c r="DL127" s="243"/>
      <c r="DM127" s="243"/>
      <c r="DN127" s="12"/>
      <c r="DO127" s="17"/>
      <c r="EH127" s="12"/>
      <c r="EI127" s="17"/>
      <c r="FM127" s="12"/>
      <c r="FN127" s="17"/>
      <c r="GJ127" s="12"/>
      <c r="GK127" s="17"/>
      <c r="GT127" s="204"/>
      <c r="GU127" s="204"/>
      <c r="GV127" s="204"/>
      <c r="GW127" s="204"/>
      <c r="GX127" s="204"/>
      <c r="GY127" s="204"/>
      <c r="GZ127" s="204"/>
      <c r="HA127" s="204"/>
      <c r="HB127" s="204"/>
      <c r="HC127" s="204"/>
      <c r="HD127" s="204"/>
      <c r="HE127" s="12"/>
      <c r="HF127" s="17"/>
      <c r="HO127" s="204"/>
      <c r="HP127" s="12"/>
      <c r="HQ127" s="17"/>
      <c r="HZ127" s="204"/>
      <c r="IA127" s="12"/>
      <c r="IB127" s="17"/>
    </row>
    <row r="128" spans="1:236" ht="14.45" hidden="1" customHeight="1" x14ac:dyDescent="0.25">
      <c r="A128" s="58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263"/>
      <c r="N128" s="12"/>
      <c r="R128" s="219"/>
      <c r="S128" s="219"/>
      <c r="T128" s="219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256"/>
      <c r="BM128" s="256"/>
      <c r="BN128" s="256"/>
      <c r="BO128" s="256"/>
      <c r="BP128" s="256"/>
      <c r="BQ128" s="256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256"/>
      <c r="CF128" s="256"/>
      <c r="CG128" s="256"/>
      <c r="CH128" s="256"/>
      <c r="CI128" s="256"/>
      <c r="CJ128" s="256"/>
      <c r="CK128" s="12"/>
      <c r="CL128" s="5"/>
      <c r="CM128" s="5"/>
      <c r="CN128" s="5"/>
      <c r="CO128" s="5"/>
      <c r="CP128" s="5"/>
      <c r="CQ128" s="5"/>
      <c r="CR128" s="5"/>
      <c r="CS128" s="243"/>
      <c r="CT128" s="12"/>
      <c r="CU128" s="17"/>
      <c r="CV128" s="243"/>
      <c r="CW128" s="12"/>
      <c r="CX128" s="12"/>
      <c r="CY128" s="12"/>
      <c r="CZ128" s="12"/>
      <c r="DA128" s="12"/>
      <c r="DB128" s="12"/>
      <c r="DC128" s="12"/>
      <c r="DD128" s="243"/>
      <c r="DE128" s="243"/>
      <c r="DF128" s="243"/>
      <c r="DG128" s="243"/>
      <c r="DH128" s="243"/>
      <c r="DI128" s="243"/>
      <c r="DJ128" s="243"/>
      <c r="DK128" s="243"/>
      <c r="DL128" s="243"/>
      <c r="DM128" s="243"/>
      <c r="DN128" s="12"/>
      <c r="DO128" s="17"/>
      <c r="EH128" s="12"/>
      <c r="EI128" s="17"/>
      <c r="FM128" s="12"/>
      <c r="FN128" s="17"/>
      <c r="GJ128" s="12"/>
      <c r="GK128" s="17"/>
      <c r="GT128" s="204"/>
      <c r="GU128" s="204"/>
      <c r="GV128" s="204"/>
      <c r="GW128" s="204"/>
      <c r="GX128" s="204"/>
      <c r="GY128" s="204"/>
      <c r="GZ128" s="204"/>
      <c r="HA128" s="204"/>
      <c r="HB128" s="204"/>
      <c r="HC128" s="204"/>
      <c r="HD128" s="204"/>
      <c r="HE128" s="12"/>
      <c r="HF128" s="17"/>
      <c r="HO128" s="204"/>
      <c r="HP128" s="12"/>
      <c r="HQ128" s="17"/>
      <c r="HZ128" s="204"/>
      <c r="IA128" s="12"/>
      <c r="IB128" s="17"/>
    </row>
    <row r="129" spans="1:236" ht="14.45" hidden="1" customHeight="1" x14ac:dyDescent="0.25">
      <c r="A129" s="58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263"/>
      <c r="N129" s="12"/>
      <c r="R129" s="219"/>
      <c r="S129" s="219"/>
      <c r="T129" s="219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256"/>
      <c r="BM129" s="256"/>
      <c r="BN129" s="256"/>
      <c r="BO129" s="256"/>
      <c r="BP129" s="256"/>
      <c r="BQ129" s="256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256"/>
      <c r="CF129" s="256"/>
      <c r="CG129" s="256"/>
      <c r="CH129" s="256"/>
      <c r="CI129" s="256"/>
      <c r="CJ129" s="256"/>
      <c r="CK129" s="12"/>
      <c r="CL129" s="5"/>
      <c r="CM129" s="5"/>
      <c r="CN129" s="5"/>
      <c r="CO129" s="5"/>
      <c r="CP129" s="5"/>
      <c r="CQ129" s="5"/>
      <c r="CR129" s="5"/>
      <c r="CS129" s="243"/>
      <c r="CT129" s="12"/>
      <c r="CU129" s="17"/>
      <c r="CV129" s="243"/>
      <c r="CW129" s="12"/>
      <c r="CX129" s="12"/>
      <c r="CY129" s="12"/>
      <c r="CZ129" s="12"/>
      <c r="DA129" s="12"/>
      <c r="DB129" s="12"/>
      <c r="DC129" s="12"/>
      <c r="DD129" s="243"/>
      <c r="DE129" s="243"/>
      <c r="DF129" s="243"/>
      <c r="DG129" s="243"/>
      <c r="DH129" s="243"/>
      <c r="DI129" s="243"/>
      <c r="DJ129" s="243"/>
      <c r="DK129" s="243"/>
      <c r="DL129" s="243"/>
      <c r="DM129" s="243"/>
      <c r="DN129" s="12"/>
      <c r="DO129" s="17"/>
      <c r="EH129" s="12"/>
      <c r="EI129" s="17"/>
      <c r="FM129" s="12"/>
      <c r="FN129" s="17"/>
      <c r="GJ129" s="12"/>
      <c r="GK129" s="17"/>
      <c r="GT129" s="204"/>
      <c r="GU129" s="204"/>
      <c r="GV129" s="204"/>
      <c r="GW129" s="204"/>
      <c r="GX129" s="204"/>
      <c r="GY129" s="204"/>
      <c r="GZ129" s="204"/>
      <c r="HA129" s="204"/>
      <c r="HB129" s="204"/>
      <c r="HC129" s="204"/>
      <c r="HD129" s="204"/>
      <c r="HE129" s="12"/>
      <c r="HF129" s="17"/>
      <c r="HO129" s="204"/>
      <c r="HP129" s="12"/>
      <c r="HQ129" s="17"/>
      <c r="HZ129" s="204"/>
      <c r="IA129" s="12"/>
      <c r="IB129" s="17"/>
    </row>
    <row r="130" spans="1:236" ht="14.45" hidden="1" customHeight="1" x14ac:dyDescent="0.25">
      <c r="A130" s="58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263"/>
      <c r="N130" s="12"/>
      <c r="R130" s="219"/>
      <c r="S130" s="219"/>
      <c r="T130" s="219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256"/>
      <c r="BM130" s="256"/>
      <c r="BN130" s="256"/>
      <c r="BO130" s="256"/>
      <c r="BP130" s="256"/>
      <c r="BQ130" s="256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256"/>
      <c r="CF130" s="256"/>
      <c r="CG130" s="256"/>
      <c r="CH130" s="256"/>
      <c r="CI130" s="256"/>
      <c r="CJ130" s="256"/>
      <c r="CK130" s="12"/>
      <c r="CL130" s="5"/>
      <c r="CM130" s="5"/>
      <c r="CN130" s="5"/>
      <c r="CO130" s="5"/>
      <c r="CP130" s="5"/>
      <c r="CQ130" s="5"/>
      <c r="CR130" s="5"/>
      <c r="CS130" s="243"/>
      <c r="CT130" s="12"/>
      <c r="CU130" s="17"/>
      <c r="CV130" s="243"/>
      <c r="CW130" s="12"/>
      <c r="CX130" s="12"/>
      <c r="CY130" s="12"/>
      <c r="CZ130" s="12"/>
      <c r="DA130" s="12"/>
      <c r="DB130" s="12"/>
      <c r="DC130" s="12"/>
      <c r="DD130" s="243"/>
      <c r="DE130" s="243"/>
      <c r="DF130" s="243"/>
      <c r="DG130" s="243"/>
      <c r="DH130" s="243"/>
      <c r="DI130" s="243"/>
      <c r="DJ130" s="243"/>
      <c r="DK130" s="243"/>
      <c r="DL130" s="243"/>
      <c r="DM130" s="243"/>
      <c r="DN130" s="12"/>
      <c r="DO130" s="17"/>
      <c r="EH130" s="12"/>
      <c r="EI130" s="17"/>
      <c r="FM130" s="12"/>
      <c r="FN130" s="17"/>
      <c r="GJ130" s="12"/>
      <c r="GK130" s="17"/>
      <c r="GT130" s="204"/>
      <c r="GU130" s="204"/>
      <c r="GV130" s="204"/>
      <c r="GW130" s="204"/>
      <c r="GX130" s="204"/>
      <c r="GY130" s="204"/>
      <c r="GZ130" s="204"/>
      <c r="HA130" s="204"/>
      <c r="HB130" s="204"/>
      <c r="HC130" s="204"/>
      <c r="HD130" s="204"/>
      <c r="HE130" s="12"/>
      <c r="HF130" s="17"/>
      <c r="HO130" s="204"/>
      <c r="HP130" s="12"/>
      <c r="HQ130" s="17"/>
      <c r="HZ130" s="204"/>
      <c r="IA130" s="12"/>
      <c r="IB130" s="17"/>
    </row>
    <row r="131" spans="1:236" ht="14.45" hidden="1" customHeight="1" x14ac:dyDescent="0.25">
      <c r="A131" s="58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263"/>
      <c r="N131" s="12"/>
      <c r="R131" s="219"/>
      <c r="S131" s="219"/>
      <c r="T131" s="219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256"/>
      <c r="BM131" s="256"/>
      <c r="BN131" s="256"/>
      <c r="BO131" s="256"/>
      <c r="BP131" s="256"/>
      <c r="BQ131" s="256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256"/>
      <c r="CF131" s="256"/>
      <c r="CG131" s="256"/>
      <c r="CH131" s="256"/>
      <c r="CI131" s="256"/>
      <c r="CJ131" s="256"/>
      <c r="CK131" s="12"/>
      <c r="CL131" s="5"/>
      <c r="CM131" s="5"/>
      <c r="CN131" s="5"/>
      <c r="CO131" s="5"/>
      <c r="CP131" s="5"/>
      <c r="CQ131" s="5"/>
      <c r="CR131" s="5"/>
      <c r="CS131" s="243"/>
      <c r="CT131" s="12"/>
      <c r="CU131" s="17"/>
      <c r="CV131" s="243"/>
      <c r="CW131" s="12"/>
      <c r="CX131" s="12"/>
      <c r="CY131" s="12"/>
      <c r="CZ131" s="12"/>
      <c r="DA131" s="12"/>
      <c r="DB131" s="12"/>
      <c r="DC131" s="12"/>
      <c r="DD131" s="243"/>
      <c r="DE131" s="243"/>
      <c r="DF131" s="243"/>
      <c r="DG131" s="243"/>
      <c r="DH131" s="243"/>
      <c r="DI131" s="243"/>
      <c r="DJ131" s="243"/>
      <c r="DK131" s="243"/>
      <c r="DL131" s="243"/>
      <c r="DM131" s="243"/>
      <c r="DN131" s="12"/>
      <c r="DO131" s="17"/>
      <c r="EH131" s="12"/>
      <c r="EI131" s="17"/>
      <c r="FM131" s="12"/>
      <c r="FN131" s="17"/>
      <c r="GJ131" s="12"/>
      <c r="GK131" s="17"/>
      <c r="GT131" s="204"/>
      <c r="GU131" s="204"/>
      <c r="GV131" s="204"/>
      <c r="GW131" s="204"/>
      <c r="GX131" s="204"/>
      <c r="GY131" s="204"/>
      <c r="GZ131" s="204"/>
      <c r="HA131" s="204"/>
      <c r="HB131" s="204"/>
      <c r="HC131" s="204"/>
      <c r="HD131" s="204"/>
      <c r="HE131" s="12"/>
      <c r="HF131" s="17"/>
      <c r="HO131" s="204"/>
      <c r="HP131" s="12"/>
      <c r="HQ131" s="17"/>
      <c r="HZ131" s="204"/>
      <c r="IA131" s="12"/>
      <c r="IB131" s="17"/>
    </row>
    <row r="132" spans="1:236" ht="14.45" hidden="1" customHeight="1" x14ac:dyDescent="0.25">
      <c r="A132" s="58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263"/>
      <c r="N132" s="12"/>
      <c r="R132" s="219"/>
      <c r="S132" s="219"/>
      <c r="T132" s="219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256"/>
      <c r="BM132" s="256"/>
      <c r="BN132" s="256"/>
      <c r="BO132" s="256"/>
      <c r="BP132" s="256"/>
      <c r="BQ132" s="256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256"/>
      <c r="CF132" s="256"/>
      <c r="CG132" s="256"/>
      <c r="CH132" s="256"/>
      <c r="CI132" s="256"/>
      <c r="CJ132" s="256"/>
      <c r="CK132" s="12"/>
      <c r="CL132" s="5"/>
      <c r="CM132" s="5"/>
      <c r="CN132" s="5"/>
      <c r="CO132" s="5"/>
      <c r="CP132" s="5"/>
      <c r="CQ132" s="5"/>
      <c r="CR132" s="5"/>
      <c r="CS132" s="243"/>
      <c r="CT132" s="12"/>
      <c r="CU132" s="17"/>
      <c r="CV132" s="243"/>
      <c r="CW132" s="12"/>
      <c r="CX132" s="12"/>
      <c r="CY132" s="12"/>
      <c r="CZ132" s="12"/>
      <c r="DA132" s="12"/>
      <c r="DB132" s="12"/>
      <c r="DC132" s="12"/>
      <c r="DD132" s="243"/>
      <c r="DE132" s="243"/>
      <c r="DF132" s="243"/>
      <c r="DG132" s="243"/>
      <c r="DH132" s="243"/>
      <c r="DI132" s="243"/>
      <c r="DJ132" s="243"/>
      <c r="DK132" s="243"/>
      <c r="DL132" s="243"/>
      <c r="DM132" s="243"/>
      <c r="DN132" s="12"/>
      <c r="DO132" s="17"/>
      <c r="EH132" s="12"/>
      <c r="EI132" s="17"/>
      <c r="FM132" s="12"/>
      <c r="FN132" s="17"/>
      <c r="GJ132" s="12"/>
      <c r="GK132" s="17"/>
      <c r="GT132" s="204"/>
      <c r="GU132" s="204"/>
      <c r="GV132" s="204"/>
      <c r="GW132" s="204"/>
      <c r="GX132" s="204"/>
      <c r="GY132" s="204"/>
      <c r="GZ132" s="204"/>
      <c r="HA132" s="204"/>
      <c r="HB132" s="204"/>
      <c r="HC132" s="204"/>
      <c r="HD132" s="204"/>
      <c r="HE132" s="12"/>
      <c r="HF132" s="17"/>
      <c r="HO132" s="204"/>
      <c r="HP132" s="12"/>
      <c r="HQ132" s="17"/>
      <c r="HZ132" s="204"/>
      <c r="IA132" s="12"/>
      <c r="IB132" s="17"/>
    </row>
    <row r="133" spans="1:236" ht="14.45" customHeight="1" x14ac:dyDescent="0.25">
      <c r="A133" s="58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263"/>
      <c r="N133" s="12"/>
      <c r="R133" s="219"/>
      <c r="S133" s="219"/>
      <c r="T133" s="219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256"/>
      <c r="BM133" s="256"/>
      <c r="BN133" s="256"/>
      <c r="BO133" s="256"/>
      <c r="BP133" s="256"/>
      <c r="BQ133" s="256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256"/>
      <c r="CF133" s="256"/>
      <c r="CG133" s="256"/>
      <c r="CH133" s="256"/>
      <c r="CI133" s="256"/>
      <c r="CJ133" s="256"/>
      <c r="CK133" s="12"/>
      <c r="CL133" s="5"/>
      <c r="CM133" s="5"/>
      <c r="CN133" s="5"/>
      <c r="CO133" s="5"/>
      <c r="CP133" s="5"/>
      <c r="CQ133" s="5"/>
      <c r="CR133" s="5"/>
      <c r="CS133" s="243"/>
      <c r="CT133" s="12"/>
      <c r="CU133" s="17"/>
      <c r="CV133" s="243"/>
      <c r="CW133" s="12"/>
      <c r="CX133" s="12"/>
      <c r="CY133" s="12"/>
      <c r="CZ133" s="12"/>
      <c r="DA133" s="12"/>
      <c r="DB133" s="12"/>
      <c r="DC133" s="12"/>
      <c r="DD133" s="243"/>
      <c r="DE133" s="243"/>
      <c r="DF133" s="243"/>
      <c r="DG133" s="243"/>
      <c r="DH133" s="243"/>
      <c r="DI133" s="243"/>
      <c r="DJ133" s="243"/>
      <c r="DK133" s="243"/>
      <c r="DL133" s="243"/>
      <c r="DM133" s="243"/>
      <c r="DN133" s="12"/>
      <c r="DO133" s="17"/>
      <c r="EH133" s="12"/>
      <c r="EI133" s="17"/>
      <c r="FM133" s="12"/>
      <c r="FN133" s="17"/>
      <c r="GJ133" s="12"/>
      <c r="GK133" s="17"/>
      <c r="GT133" s="204"/>
      <c r="GU133" s="204"/>
      <c r="GV133" s="204"/>
      <c r="GW133" s="204"/>
      <c r="GX133" s="204"/>
      <c r="GY133" s="204"/>
      <c r="GZ133" s="204"/>
      <c r="HA133" s="204"/>
      <c r="HB133" s="204"/>
      <c r="HC133" s="204"/>
      <c r="HD133" s="204"/>
      <c r="HE133" s="12"/>
      <c r="HF133" s="17"/>
      <c r="HO133" s="204"/>
      <c r="HP133" s="12"/>
      <c r="HQ133" s="17"/>
      <c r="HZ133" s="204"/>
      <c r="IA133" s="12"/>
      <c r="IB133" s="17"/>
    </row>
    <row r="134" spans="1:236" ht="14.45" customHeight="1" x14ac:dyDescent="0.25">
      <c r="A134" s="58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546"/>
      <c r="S134" s="546"/>
      <c r="T134" s="546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06" t="s">
        <v>68</v>
      </c>
      <c r="CF134" s="706"/>
      <c r="CG134" s="706"/>
      <c r="CH134" s="706"/>
      <c r="CI134" s="706"/>
      <c r="CJ134" s="706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249</v>
      </c>
    </row>
    <row r="135" spans="1:236" ht="14.45" customHeight="1" x14ac:dyDescent="0.25">
      <c r="A135" s="630" t="s">
        <v>85</v>
      </c>
      <c r="B135" s="630"/>
      <c r="C135" s="630"/>
      <c r="D135" s="630"/>
      <c r="E135" s="630"/>
      <c r="F135" s="630"/>
      <c r="G135" s="630"/>
      <c r="H135" s="630"/>
      <c r="I135" s="630"/>
      <c r="J135" s="630"/>
      <c r="K135" s="630"/>
      <c r="L135" s="630"/>
      <c r="M135" s="630"/>
      <c r="N135" s="630"/>
      <c r="O135" s="630"/>
      <c r="P135" s="630"/>
      <c r="Q135" s="630"/>
      <c r="R135" s="630"/>
      <c r="S135" s="630"/>
      <c r="T135" s="630"/>
      <c r="U135" s="630"/>
      <c r="V135" s="630"/>
      <c r="W135" s="630"/>
      <c r="X135" s="630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542" t="s">
        <v>250</v>
      </c>
      <c r="FQ135" s="542"/>
      <c r="FR135" s="542"/>
      <c r="FS135" s="542"/>
      <c r="FT135" s="542"/>
      <c r="FU135" s="542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30"/>
      <c r="B136" s="630"/>
      <c r="C136" s="630"/>
      <c r="D136" s="630"/>
      <c r="E136" s="630"/>
      <c r="F136" s="630"/>
      <c r="G136" s="630"/>
      <c r="H136" s="630"/>
      <c r="I136" s="630"/>
      <c r="J136" s="630"/>
      <c r="K136" s="630"/>
      <c r="L136" s="630"/>
      <c r="M136" s="630"/>
      <c r="N136" s="630"/>
      <c r="O136" s="630"/>
      <c r="P136" s="630"/>
      <c r="Q136" s="630"/>
      <c r="R136" s="630"/>
      <c r="S136" s="630"/>
      <c r="T136" s="630"/>
      <c r="U136" s="630"/>
      <c r="V136" s="630"/>
      <c r="W136" s="630"/>
      <c r="X136" s="630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542" t="s">
        <v>251</v>
      </c>
      <c r="FQ136" s="542"/>
      <c r="FR136" s="542"/>
      <c r="FS136" s="542"/>
      <c r="FT136" s="542"/>
      <c r="FU136" s="542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30"/>
      <c r="B137" s="630"/>
      <c r="C137" s="630"/>
      <c r="D137" s="630"/>
      <c r="E137" s="630"/>
      <c r="F137" s="630"/>
      <c r="G137" s="630"/>
      <c r="H137" s="630"/>
      <c r="I137" s="630"/>
      <c r="J137" s="630"/>
      <c r="K137" s="630"/>
      <c r="L137" s="630"/>
      <c r="M137" s="630"/>
      <c r="N137" s="630"/>
      <c r="O137" s="630"/>
      <c r="P137" s="630"/>
      <c r="Q137" s="630"/>
      <c r="R137" s="630"/>
      <c r="S137" s="630"/>
      <c r="T137" s="630"/>
      <c r="U137" s="630"/>
      <c r="V137" s="630"/>
      <c r="W137" s="630"/>
      <c r="X137" s="630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542" t="s">
        <v>252</v>
      </c>
      <c r="FQ137" s="542"/>
      <c r="FR137" s="542"/>
      <c r="FS137" s="542"/>
      <c r="FT137" s="542"/>
      <c r="FU137" s="542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59"/>
      <c r="B138" s="60"/>
      <c r="C138" s="710"/>
      <c r="D138" s="710"/>
      <c r="E138" s="710"/>
      <c r="F138" s="710"/>
      <c r="G138" s="71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542" t="s">
        <v>252</v>
      </c>
      <c r="FQ138" s="542"/>
      <c r="FR138" s="542"/>
      <c r="FS138" s="542"/>
      <c r="FT138" s="542"/>
      <c r="FU138" s="542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55"/>
      <c r="B139" s="9"/>
      <c r="C139" s="612" t="str">
        <f t="shared" ref="C139:C170" si="3">C7</f>
        <v>DESCRIPCION</v>
      </c>
      <c r="D139" s="612"/>
      <c r="E139" s="612"/>
      <c r="F139" s="612"/>
      <c r="G139" s="612"/>
      <c r="H139" s="625" t="s">
        <v>279</v>
      </c>
      <c r="I139" s="625"/>
      <c r="J139" s="625"/>
      <c r="K139" s="625"/>
      <c r="L139" s="628" t="s">
        <v>280</v>
      </c>
      <c r="M139" s="564"/>
      <c r="N139" s="564"/>
      <c r="O139" s="565"/>
      <c r="P139" s="628" t="s">
        <v>281</v>
      </c>
      <c r="Q139" s="564"/>
      <c r="R139" s="564"/>
      <c r="S139" s="565"/>
      <c r="T139" s="628" t="s">
        <v>282</v>
      </c>
      <c r="U139" s="564"/>
      <c r="V139" s="564"/>
      <c r="W139" s="565"/>
      <c r="X139" s="689" t="s">
        <v>72</v>
      </c>
      <c r="Y139" s="690"/>
      <c r="Z139" s="690"/>
      <c r="AA139" s="690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55"/>
      <c r="B140" s="9"/>
      <c r="C140" s="510" t="str">
        <f t="shared" si="3"/>
        <v>BUSH HG 1 1/2" X 1"</v>
      </c>
      <c r="D140" s="510"/>
      <c r="E140" s="510"/>
      <c r="F140" s="510"/>
      <c r="G140" s="510"/>
      <c r="H140" s="617">
        <f t="shared" ref="H140:H171" si="4">L8</f>
        <v>0</v>
      </c>
      <c r="I140" s="617"/>
      <c r="J140" s="619">
        <f t="shared" ref="J140:J171" si="5">M8</f>
        <v>0</v>
      </c>
      <c r="K140" s="619"/>
      <c r="L140" s="617">
        <f t="shared" ref="L140:L171" si="6">BI8+CB8+CT8+DN8</f>
        <v>0</v>
      </c>
      <c r="M140" s="617"/>
      <c r="N140" s="555">
        <f t="shared" ref="N140:N171" si="7">BJ8+CC8+CU8+DO8</f>
        <v>0</v>
      </c>
      <c r="O140" s="556"/>
      <c r="P140" s="617">
        <f t="shared" ref="P140:P171" si="8">EH8+FM8</f>
        <v>0</v>
      </c>
      <c r="Q140" s="617"/>
      <c r="R140" s="555">
        <f t="shared" ref="R140:R171" si="9">EI8+FN8</f>
        <v>0</v>
      </c>
      <c r="S140" s="556"/>
      <c r="T140" s="617">
        <f t="shared" ref="T140:T171" si="10">GJ8+HE8+HP8+IA8</f>
        <v>0</v>
      </c>
      <c r="U140" s="617"/>
      <c r="V140" s="619">
        <f t="shared" ref="V140:V171" si="11">GK8+HF8+HQ8+IB8</f>
        <v>0</v>
      </c>
      <c r="W140" s="619"/>
      <c r="X140" s="688">
        <f>H140+L140+P140+T140</f>
        <v>0</v>
      </c>
      <c r="Y140" s="609"/>
      <c r="Z140" s="610">
        <f>J140+N140+R140+V140</f>
        <v>0</v>
      </c>
      <c r="AA140" s="610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55"/>
      <c r="B141" s="9"/>
      <c r="C141" s="510" t="str">
        <f t="shared" si="3"/>
        <v>BUSH HG 1" X 1/2"</v>
      </c>
      <c r="D141" s="510"/>
      <c r="E141" s="510"/>
      <c r="F141" s="510"/>
      <c r="G141" s="510"/>
      <c r="H141" s="617">
        <f t="shared" si="4"/>
        <v>0</v>
      </c>
      <c r="I141" s="617"/>
      <c r="J141" s="619">
        <f t="shared" si="5"/>
        <v>0</v>
      </c>
      <c r="K141" s="619"/>
      <c r="L141" s="617">
        <f t="shared" si="6"/>
        <v>0</v>
      </c>
      <c r="M141" s="617"/>
      <c r="N141" s="555">
        <f t="shared" si="7"/>
        <v>0</v>
      </c>
      <c r="O141" s="556"/>
      <c r="P141" s="617">
        <f t="shared" si="8"/>
        <v>0</v>
      </c>
      <c r="Q141" s="617"/>
      <c r="R141" s="555">
        <f t="shared" si="9"/>
        <v>0</v>
      </c>
      <c r="S141" s="556"/>
      <c r="T141" s="617">
        <f t="shared" si="10"/>
        <v>0</v>
      </c>
      <c r="U141" s="617"/>
      <c r="V141" s="619">
        <f t="shared" si="11"/>
        <v>0</v>
      </c>
      <c r="W141" s="619"/>
      <c r="X141" s="688">
        <f t="shared" ref="X141:X201" si="12">H141+L141+P141+T141</f>
        <v>0</v>
      </c>
      <c r="Y141" s="609"/>
      <c r="Z141" s="610">
        <f t="shared" ref="Z141:Z201" si="13">J141+N141+R141+V141</f>
        <v>0</v>
      </c>
      <c r="AA141" s="610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55"/>
      <c r="B142" s="9"/>
      <c r="C142" s="510" t="str">
        <f t="shared" si="3"/>
        <v>ANILLO HG 3</v>
      </c>
      <c r="D142" s="510"/>
      <c r="E142" s="510"/>
      <c r="F142" s="510"/>
      <c r="G142" s="510"/>
      <c r="H142" s="617">
        <f t="shared" si="4"/>
        <v>0</v>
      </c>
      <c r="I142" s="617"/>
      <c r="J142" s="619">
        <f t="shared" si="5"/>
        <v>0</v>
      </c>
      <c r="K142" s="619"/>
      <c r="L142" s="617">
        <f t="shared" si="6"/>
        <v>0</v>
      </c>
      <c r="M142" s="617"/>
      <c r="N142" s="555">
        <f t="shared" si="7"/>
        <v>0</v>
      </c>
      <c r="O142" s="556"/>
      <c r="P142" s="617">
        <f t="shared" si="8"/>
        <v>0</v>
      </c>
      <c r="Q142" s="617"/>
      <c r="R142" s="555">
        <f t="shared" si="9"/>
        <v>0</v>
      </c>
      <c r="S142" s="556"/>
      <c r="T142" s="617">
        <f t="shared" si="10"/>
        <v>0</v>
      </c>
      <c r="U142" s="617"/>
      <c r="V142" s="619">
        <f t="shared" si="11"/>
        <v>0</v>
      </c>
      <c r="W142" s="619"/>
      <c r="X142" s="688">
        <f t="shared" si="12"/>
        <v>0</v>
      </c>
      <c r="Y142" s="609"/>
      <c r="Z142" s="610">
        <f t="shared" si="13"/>
        <v>0</v>
      </c>
      <c r="AA142" s="610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55"/>
      <c r="B143" s="9"/>
      <c r="C143" s="510" t="str">
        <f t="shared" si="3"/>
        <v>ANILLO HG 4</v>
      </c>
      <c r="D143" s="510"/>
      <c r="E143" s="510"/>
      <c r="F143" s="510"/>
      <c r="G143" s="510"/>
      <c r="H143" s="617">
        <f t="shared" si="4"/>
        <v>0</v>
      </c>
      <c r="I143" s="617"/>
      <c r="J143" s="619">
        <f t="shared" si="5"/>
        <v>0</v>
      </c>
      <c r="K143" s="619"/>
      <c r="L143" s="617">
        <f t="shared" si="6"/>
        <v>0</v>
      </c>
      <c r="M143" s="617"/>
      <c r="N143" s="555">
        <f t="shared" si="7"/>
        <v>0</v>
      </c>
      <c r="O143" s="556"/>
      <c r="P143" s="617">
        <f t="shared" si="8"/>
        <v>0</v>
      </c>
      <c r="Q143" s="617"/>
      <c r="R143" s="555">
        <f t="shared" si="9"/>
        <v>0</v>
      </c>
      <c r="S143" s="556"/>
      <c r="T143" s="617">
        <f t="shared" si="10"/>
        <v>0</v>
      </c>
      <c r="U143" s="617"/>
      <c r="V143" s="619">
        <f t="shared" si="11"/>
        <v>0</v>
      </c>
      <c r="W143" s="619"/>
      <c r="X143" s="688">
        <f t="shared" si="12"/>
        <v>0</v>
      </c>
      <c r="Y143" s="609"/>
      <c r="Z143" s="610">
        <f t="shared" si="13"/>
        <v>0</v>
      </c>
      <c r="AA143" s="610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55"/>
      <c r="B144" s="9"/>
      <c r="C144" s="510" t="str">
        <f t="shared" si="3"/>
        <v>TAPON HG 1</v>
      </c>
      <c r="D144" s="510"/>
      <c r="E144" s="510"/>
      <c r="F144" s="510"/>
      <c r="G144" s="510"/>
      <c r="H144" s="617">
        <f t="shared" si="4"/>
        <v>0</v>
      </c>
      <c r="I144" s="617"/>
      <c r="J144" s="619">
        <f t="shared" si="5"/>
        <v>0</v>
      </c>
      <c r="K144" s="619"/>
      <c r="L144" s="617">
        <f t="shared" si="6"/>
        <v>0</v>
      </c>
      <c r="M144" s="617"/>
      <c r="N144" s="555">
        <f t="shared" si="7"/>
        <v>0</v>
      </c>
      <c r="O144" s="556"/>
      <c r="P144" s="617">
        <f t="shared" si="8"/>
        <v>0</v>
      </c>
      <c r="Q144" s="617"/>
      <c r="R144" s="555">
        <f t="shared" si="9"/>
        <v>0</v>
      </c>
      <c r="S144" s="556"/>
      <c r="T144" s="617">
        <f t="shared" si="10"/>
        <v>0</v>
      </c>
      <c r="U144" s="617"/>
      <c r="V144" s="619">
        <f t="shared" si="11"/>
        <v>0</v>
      </c>
      <c r="W144" s="619"/>
      <c r="X144" s="688">
        <f t="shared" si="12"/>
        <v>0</v>
      </c>
      <c r="Y144" s="609"/>
      <c r="Z144" s="610">
        <f t="shared" si="13"/>
        <v>0</v>
      </c>
      <c r="AA144" s="610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55"/>
      <c r="B145" s="9"/>
      <c r="C145" s="510" t="str">
        <f t="shared" si="3"/>
        <v>TEE HG 1 1/2</v>
      </c>
      <c r="D145" s="510"/>
      <c r="E145" s="510"/>
      <c r="F145" s="510"/>
      <c r="G145" s="510"/>
      <c r="H145" s="617">
        <f t="shared" si="4"/>
        <v>0</v>
      </c>
      <c r="I145" s="617"/>
      <c r="J145" s="619">
        <f t="shared" si="5"/>
        <v>0</v>
      </c>
      <c r="K145" s="619"/>
      <c r="L145" s="617">
        <f t="shared" si="6"/>
        <v>0</v>
      </c>
      <c r="M145" s="617"/>
      <c r="N145" s="555">
        <f t="shared" si="7"/>
        <v>0</v>
      </c>
      <c r="O145" s="556"/>
      <c r="P145" s="617">
        <f t="shared" si="8"/>
        <v>0</v>
      </c>
      <c r="Q145" s="617"/>
      <c r="R145" s="555">
        <f t="shared" si="9"/>
        <v>0</v>
      </c>
      <c r="S145" s="556"/>
      <c r="T145" s="617">
        <f t="shared" si="10"/>
        <v>0</v>
      </c>
      <c r="U145" s="617"/>
      <c r="V145" s="619">
        <f t="shared" si="11"/>
        <v>0</v>
      </c>
      <c r="W145" s="619"/>
      <c r="X145" s="688">
        <f t="shared" si="12"/>
        <v>0</v>
      </c>
      <c r="Y145" s="609"/>
      <c r="Z145" s="610">
        <f t="shared" si="13"/>
        <v>0</v>
      </c>
      <c r="AA145" s="610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55"/>
      <c r="B146" s="9"/>
      <c r="C146" s="510" t="str">
        <f t="shared" si="3"/>
        <v>CHECK PVC 1/2</v>
      </c>
      <c r="D146" s="510"/>
      <c r="E146" s="510"/>
      <c r="F146" s="510"/>
      <c r="G146" s="510"/>
      <c r="H146" s="617">
        <f t="shared" si="4"/>
        <v>0</v>
      </c>
      <c r="I146" s="617"/>
      <c r="J146" s="619">
        <f t="shared" si="5"/>
        <v>0</v>
      </c>
      <c r="K146" s="619"/>
      <c r="L146" s="617">
        <f t="shared" si="6"/>
        <v>0</v>
      </c>
      <c r="M146" s="617"/>
      <c r="N146" s="555">
        <f t="shared" si="7"/>
        <v>0</v>
      </c>
      <c r="O146" s="556"/>
      <c r="P146" s="617">
        <f t="shared" si="8"/>
        <v>0</v>
      </c>
      <c r="Q146" s="617"/>
      <c r="R146" s="555">
        <f t="shared" si="9"/>
        <v>0</v>
      </c>
      <c r="S146" s="556"/>
      <c r="T146" s="617">
        <f t="shared" si="10"/>
        <v>0</v>
      </c>
      <c r="U146" s="617"/>
      <c r="V146" s="619">
        <f t="shared" si="11"/>
        <v>0</v>
      </c>
      <c r="W146" s="619"/>
      <c r="X146" s="688">
        <f t="shared" si="12"/>
        <v>0</v>
      </c>
      <c r="Y146" s="609"/>
      <c r="Z146" s="610">
        <f t="shared" si="13"/>
        <v>0</v>
      </c>
      <c r="AA146" s="610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55"/>
      <c r="B147" s="9"/>
      <c r="C147" s="510" t="str">
        <f t="shared" si="3"/>
        <v>CHECK PVC 3/4</v>
      </c>
      <c r="D147" s="510"/>
      <c r="E147" s="510"/>
      <c r="F147" s="510"/>
      <c r="G147" s="510"/>
      <c r="H147" s="617">
        <f t="shared" si="4"/>
        <v>0</v>
      </c>
      <c r="I147" s="617"/>
      <c r="J147" s="619">
        <f t="shared" si="5"/>
        <v>0</v>
      </c>
      <c r="K147" s="619"/>
      <c r="L147" s="617">
        <f t="shared" si="6"/>
        <v>0</v>
      </c>
      <c r="M147" s="617"/>
      <c r="N147" s="555">
        <f t="shared" si="7"/>
        <v>0</v>
      </c>
      <c r="O147" s="556"/>
      <c r="P147" s="617">
        <f t="shared" si="8"/>
        <v>0</v>
      </c>
      <c r="Q147" s="617"/>
      <c r="R147" s="555">
        <f t="shared" si="9"/>
        <v>0</v>
      </c>
      <c r="S147" s="556"/>
      <c r="T147" s="617">
        <f t="shared" si="10"/>
        <v>0</v>
      </c>
      <c r="U147" s="617"/>
      <c r="V147" s="619">
        <f t="shared" si="11"/>
        <v>0</v>
      </c>
      <c r="W147" s="619"/>
      <c r="X147" s="688">
        <f t="shared" si="12"/>
        <v>0</v>
      </c>
      <c r="Y147" s="609"/>
      <c r="Z147" s="610">
        <f t="shared" si="13"/>
        <v>0</v>
      </c>
      <c r="AA147" s="610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55"/>
      <c r="B148" s="9"/>
      <c r="C148" s="510" t="str">
        <f t="shared" si="3"/>
        <v>CHECK PVC 1</v>
      </c>
      <c r="D148" s="510"/>
      <c r="E148" s="510"/>
      <c r="F148" s="510"/>
      <c r="G148" s="510"/>
      <c r="H148" s="617">
        <f t="shared" si="4"/>
        <v>0</v>
      </c>
      <c r="I148" s="617"/>
      <c r="J148" s="619">
        <f t="shared" si="5"/>
        <v>0</v>
      </c>
      <c r="K148" s="619"/>
      <c r="L148" s="617">
        <f t="shared" si="6"/>
        <v>0</v>
      </c>
      <c r="M148" s="617"/>
      <c r="N148" s="555">
        <f t="shared" si="7"/>
        <v>0</v>
      </c>
      <c r="O148" s="556"/>
      <c r="P148" s="617">
        <f t="shared" si="8"/>
        <v>0</v>
      </c>
      <c r="Q148" s="617"/>
      <c r="R148" s="555">
        <f t="shared" si="9"/>
        <v>0</v>
      </c>
      <c r="S148" s="556"/>
      <c r="T148" s="617">
        <f t="shared" si="10"/>
        <v>0</v>
      </c>
      <c r="U148" s="617"/>
      <c r="V148" s="619">
        <f t="shared" si="11"/>
        <v>0</v>
      </c>
      <c r="W148" s="619"/>
      <c r="X148" s="688">
        <f t="shared" si="12"/>
        <v>0</v>
      </c>
      <c r="Y148" s="609"/>
      <c r="Z148" s="610">
        <f t="shared" si="13"/>
        <v>0</v>
      </c>
      <c r="AA148" s="610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55"/>
      <c r="B149" s="9"/>
      <c r="C149" s="510" t="str">
        <f t="shared" si="3"/>
        <v>CHECK PVC 1 1/2</v>
      </c>
      <c r="D149" s="510"/>
      <c r="E149" s="510"/>
      <c r="F149" s="510"/>
      <c r="G149" s="510"/>
      <c r="H149" s="617">
        <f t="shared" si="4"/>
        <v>0</v>
      </c>
      <c r="I149" s="617"/>
      <c r="J149" s="619">
        <f t="shared" si="5"/>
        <v>0</v>
      </c>
      <c r="K149" s="619"/>
      <c r="L149" s="617">
        <f t="shared" si="6"/>
        <v>0</v>
      </c>
      <c r="M149" s="617"/>
      <c r="N149" s="555">
        <f t="shared" si="7"/>
        <v>0</v>
      </c>
      <c r="O149" s="556"/>
      <c r="P149" s="617">
        <f t="shared" si="8"/>
        <v>0</v>
      </c>
      <c r="Q149" s="617"/>
      <c r="R149" s="555">
        <f t="shared" si="9"/>
        <v>0</v>
      </c>
      <c r="S149" s="556"/>
      <c r="T149" s="617">
        <f t="shared" si="10"/>
        <v>0</v>
      </c>
      <c r="U149" s="617"/>
      <c r="V149" s="619">
        <f t="shared" si="11"/>
        <v>0</v>
      </c>
      <c r="W149" s="619"/>
      <c r="X149" s="688">
        <f t="shared" si="12"/>
        <v>0</v>
      </c>
      <c r="Y149" s="609"/>
      <c r="Z149" s="610">
        <f t="shared" si="13"/>
        <v>0</v>
      </c>
      <c r="AA149" s="610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55"/>
      <c r="B150" s="9"/>
      <c r="C150" s="510" t="str">
        <f t="shared" si="3"/>
        <v>ANILLO A/F C/R 3/4 PVC</v>
      </c>
      <c r="D150" s="510"/>
      <c r="E150" s="510"/>
      <c r="F150" s="510"/>
      <c r="G150" s="510"/>
      <c r="H150" s="617">
        <f t="shared" si="4"/>
        <v>0</v>
      </c>
      <c r="I150" s="617"/>
      <c r="J150" s="619">
        <f t="shared" si="5"/>
        <v>0</v>
      </c>
      <c r="K150" s="619"/>
      <c r="L150" s="617">
        <f t="shared" si="6"/>
        <v>0</v>
      </c>
      <c r="M150" s="617"/>
      <c r="N150" s="555">
        <f t="shared" si="7"/>
        <v>0</v>
      </c>
      <c r="O150" s="556"/>
      <c r="P150" s="617">
        <f t="shared" si="8"/>
        <v>0</v>
      </c>
      <c r="Q150" s="617"/>
      <c r="R150" s="555">
        <f t="shared" si="9"/>
        <v>0</v>
      </c>
      <c r="S150" s="556"/>
      <c r="T150" s="617">
        <f t="shared" si="10"/>
        <v>0</v>
      </c>
      <c r="U150" s="617"/>
      <c r="V150" s="619">
        <f t="shared" si="11"/>
        <v>0</v>
      </c>
      <c r="W150" s="619"/>
      <c r="X150" s="688">
        <f t="shared" si="12"/>
        <v>0</v>
      </c>
      <c r="Y150" s="609"/>
      <c r="Z150" s="610">
        <f t="shared" si="13"/>
        <v>0</v>
      </c>
      <c r="AA150" s="610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55"/>
      <c r="B151" s="9"/>
      <c r="C151" s="510" t="str">
        <f t="shared" si="3"/>
        <v>ANILLO A/F C/R 1/2 PVC</v>
      </c>
      <c r="D151" s="510"/>
      <c r="E151" s="510"/>
      <c r="F151" s="510"/>
      <c r="G151" s="510"/>
      <c r="H151" s="617">
        <f t="shared" si="4"/>
        <v>0</v>
      </c>
      <c r="I151" s="617"/>
      <c r="J151" s="619">
        <f t="shared" si="5"/>
        <v>0</v>
      </c>
      <c r="K151" s="619"/>
      <c r="L151" s="617">
        <f t="shared" si="6"/>
        <v>0</v>
      </c>
      <c r="M151" s="617"/>
      <c r="N151" s="555">
        <f t="shared" si="7"/>
        <v>0</v>
      </c>
      <c r="O151" s="556"/>
      <c r="P151" s="617">
        <f t="shared" si="8"/>
        <v>0</v>
      </c>
      <c r="Q151" s="617"/>
      <c r="R151" s="555">
        <f t="shared" si="9"/>
        <v>0</v>
      </c>
      <c r="S151" s="556"/>
      <c r="T151" s="617">
        <f t="shared" si="10"/>
        <v>0</v>
      </c>
      <c r="U151" s="617"/>
      <c r="V151" s="619">
        <f t="shared" si="11"/>
        <v>0</v>
      </c>
      <c r="W151" s="619"/>
      <c r="X151" s="688">
        <f t="shared" si="12"/>
        <v>0</v>
      </c>
      <c r="Y151" s="609"/>
      <c r="Z151" s="610">
        <f t="shared" si="13"/>
        <v>0</v>
      </c>
      <c r="AA151" s="610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55"/>
      <c r="B152" s="9"/>
      <c r="C152" s="510" t="str">
        <f t="shared" si="3"/>
        <v>TEE A/F C/R 1/2 PVC</v>
      </c>
      <c r="D152" s="510"/>
      <c r="E152" s="510"/>
      <c r="F152" s="510"/>
      <c r="G152" s="510"/>
      <c r="H152" s="617">
        <f t="shared" si="4"/>
        <v>0</v>
      </c>
      <c r="I152" s="617"/>
      <c r="J152" s="619">
        <f t="shared" si="5"/>
        <v>0</v>
      </c>
      <c r="K152" s="619"/>
      <c r="L152" s="617">
        <f t="shared" si="6"/>
        <v>0</v>
      </c>
      <c r="M152" s="617"/>
      <c r="N152" s="555">
        <f t="shared" si="7"/>
        <v>0</v>
      </c>
      <c r="O152" s="556"/>
      <c r="P152" s="617">
        <f t="shared" si="8"/>
        <v>0</v>
      </c>
      <c r="Q152" s="617"/>
      <c r="R152" s="555">
        <f t="shared" si="9"/>
        <v>0</v>
      </c>
      <c r="S152" s="556"/>
      <c r="T152" s="617">
        <f t="shared" si="10"/>
        <v>0</v>
      </c>
      <c r="U152" s="617"/>
      <c r="V152" s="619">
        <f t="shared" si="11"/>
        <v>0</v>
      </c>
      <c r="W152" s="619"/>
      <c r="X152" s="688">
        <f t="shared" si="12"/>
        <v>0</v>
      </c>
      <c r="Y152" s="609"/>
      <c r="Z152" s="610">
        <f t="shared" si="13"/>
        <v>0</v>
      </c>
      <c r="AA152" s="610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55"/>
      <c r="B153" s="9"/>
      <c r="C153" s="510" t="str">
        <f t="shared" si="3"/>
        <v>TEE A/F C/R 3/4 PVC</v>
      </c>
      <c r="D153" s="510"/>
      <c r="E153" s="510"/>
      <c r="F153" s="510"/>
      <c r="G153" s="510"/>
      <c r="H153" s="617">
        <f t="shared" si="4"/>
        <v>0</v>
      </c>
      <c r="I153" s="617"/>
      <c r="J153" s="619">
        <f t="shared" si="5"/>
        <v>0</v>
      </c>
      <c r="K153" s="619"/>
      <c r="L153" s="617">
        <f t="shared" si="6"/>
        <v>0</v>
      </c>
      <c r="M153" s="617"/>
      <c r="N153" s="555">
        <f t="shared" si="7"/>
        <v>0</v>
      </c>
      <c r="O153" s="556"/>
      <c r="P153" s="617">
        <f t="shared" si="8"/>
        <v>0</v>
      </c>
      <c r="Q153" s="617"/>
      <c r="R153" s="555">
        <f t="shared" si="9"/>
        <v>0</v>
      </c>
      <c r="S153" s="556"/>
      <c r="T153" s="617">
        <f t="shared" si="10"/>
        <v>0</v>
      </c>
      <c r="U153" s="617"/>
      <c r="V153" s="619">
        <f t="shared" si="11"/>
        <v>0</v>
      </c>
      <c r="W153" s="619"/>
      <c r="X153" s="688">
        <f t="shared" si="12"/>
        <v>0</v>
      </c>
      <c r="Y153" s="609"/>
      <c r="Z153" s="610">
        <f t="shared" si="13"/>
        <v>0</v>
      </c>
      <c r="AA153" s="610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55"/>
      <c r="B154" s="9"/>
      <c r="C154" s="510" t="str">
        <f t="shared" si="3"/>
        <v>CODO A/F C/R 1/2 X 90 PVC</v>
      </c>
      <c r="D154" s="510"/>
      <c r="E154" s="510"/>
      <c r="F154" s="510"/>
      <c r="G154" s="510"/>
      <c r="H154" s="617">
        <f t="shared" si="4"/>
        <v>0</v>
      </c>
      <c r="I154" s="617"/>
      <c r="J154" s="619">
        <f t="shared" si="5"/>
        <v>0</v>
      </c>
      <c r="K154" s="619"/>
      <c r="L154" s="617">
        <f t="shared" si="6"/>
        <v>0</v>
      </c>
      <c r="M154" s="617"/>
      <c r="N154" s="555">
        <f t="shared" si="7"/>
        <v>0</v>
      </c>
      <c r="O154" s="556"/>
      <c r="P154" s="617">
        <f t="shared" si="8"/>
        <v>0</v>
      </c>
      <c r="Q154" s="617"/>
      <c r="R154" s="555">
        <f t="shared" si="9"/>
        <v>0</v>
      </c>
      <c r="S154" s="556"/>
      <c r="T154" s="617">
        <f t="shared" si="10"/>
        <v>0</v>
      </c>
      <c r="U154" s="617"/>
      <c r="V154" s="619">
        <f t="shared" si="11"/>
        <v>0</v>
      </c>
      <c r="W154" s="619"/>
      <c r="X154" s="688">
        <f t="shared" si="12"/>
        <v>0</v>
      </c>
      <c r="Y154" s="609"/>
      <c r="Z154" s="610">
        <f t="shared" si="13"/>
        <v>0</v>
      </c>
      <c r="AA154" s="610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55"/>
      <c r="B155" s="9"/>
      <c r="C155" s="510" t="str">
        <f t="shared" si="3"/>
        <v>TAPA A/F C/R 1/2 PVC</v>
      </c>
      <c r="D155" s="510"/>
      <c r="E155" s="510"/>
      <c r="F155" s="510"/>
      <c r="G155" s="510"/>
      <c r="H155" s="617">
        <f t="shared" si="4"/>
        <v>0</v>
      </c>
      <c r="I155" s="617"/>
      <c r="J155" s="619">
        <f t="shared" si="5"/>
        <v>0</v>
      </c>
      <c r="K155" s="619"/>
      <c r="L155" s="617">
        <f t="shared" si="6"/>
        <v>0</v>
      </c>
      <c r="M155" s="617"/>
      <c r="N155" s="555">
        <f t="shared" si="7"/>
        <v>0</v>
      </c>
      <c r="O155" s="556"/>
      <c r="P155" s="617">
        <f t="shared" si="8"/>
        <v>0</v>
      </c>
      <c r="Q155" s="617"/>
      <c r="R155" s="555">
        <f t="shared" si="9"/>
        <v>0</v>
      </c>
      <c r="S155" s="556"/>
      <c r="T155" s="617">
        <f t="shared" si="10"/>
        <v>0</v>
      </c>
      <c r="U155" s="617"/>
      <c r="V155" s="619">
        <f t="shared" si="11"/>
        <v>0</v>
      </c>
      <c r="W155" s="619"/>
      <c r="X155" s="688">
        <f t="shared" si="12"/>
        <v>0</v>
      </c>
      <c r="Y155" s="609"/>
      <c r="Z155" s="610">
        <f t="shared" si="13"/>
        <v>0</v>
      </c>
      <c r="AA155" s="610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55"/>
      <c r="B156" s="9"/>
      <c r="C156" s="510" t="str">
        <f t="shared" si="3"/>
        <v>TAPA A/F C/R 3/4 PVC</v>
      </c>
      <c r="D156" s="510"/>
      <c r="E156" s="510"/>
      <c r="F156" s="510"/>
      <c r="G156" s="510"/>
      <c r="H156" s="617">
        <f t="shared" si="4"/>
        <v>0</v>
      </c>
      <c r="I156" s="617"/>
      <c r="J156" s="619">
        <f t="shared" si="5"/>
        <v>0</v>
      </c>
      <c r="K156" s="619"/>
      <c r="L156" s="617">
        <f t="shared" si="6"/>
        <v>0</v>
      </c>
      <c r="M156" s="617"/>
      <c r="N156" s="555">
        <f t="shared" si="7"/>
        <v>0</v>
      </c>
      <c r="O156" s="556"/>
      <c r="P156" s="617">
        <f t="shared" si="8"/>
        <v>0</v>
      </c>
      <c r="Q156" s="617"/>
      <c r="R156" s="555">
        <f t="shared" si="9"/>
        <v>0</v>
      </c>
      <c r="S156" s="556"/>
      <c r="T156" s="617">
        <f t="shared" si="10"/>
        <v>0</v>
      </c>
      <c r="U156" s="617"/>
      <c r="V156" s="619">
        <f t="shared" si="11"/>
        <v>0</v>
      </c>
      <c r="W156" s="619"/>
      <c r="X156" s="688">
        <f t="shared" si="12"/>
        <v>0</v>
      </c>
      <c r="Y156" s="609"/>
      <c r="Z156" s="610">
        <f t="shared" si="13"/>
        <v>0</v>
      </c>
      <c r="AA156" s="610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55"/>
      <c r="B157" s="9"/>
      <c r="C157" s="510" t="str">
        <f t="shared" si="3"/>
        <v>FLANCHE PVC 3/4 ECON</v>
      </c>
      <c r="D157" s="510"/>
      <c r="E157" s="510"/>
      <c r="F157" s="510"/>
      <c r="G157" s="510"/>
      <c r="H157" s="617">
        <f t="shared" si="4"/>
        <v>0</v>
      </c>
      <c r="I157" s="617"/>
      <c r="J157" s="619">
        <f t="shared" si="5"/>
        <v>0</v>
      </c>
      <c r="K157" s="619"/>
      <c r="L157" s="617">
        <f t="shared" si="6"/>
        <v>0</v>
      </c>
      <c r="M157" s="617"/>
      <c r="N157" s="555">
        <f t="shared" si="7"/>
        <v>0</v>
      </c>
      <c r="O157" s="556"/>
      <c r="P157" s="617">
        <f t="shared" si="8"/>
        <v>0</v>
      </c>
      <c r="Q157" s="617"/>
      <c r="R157" s="555">
        <f t="shared" si="9"/>
        <v>0</v>
      </c>
      <c r="S157" s="556"/>
      <c r="T157" s="617">
        <f t="shared" si="10"/>
        <v>0</v>
      </c>
      <c r="U157" s="617"/>
      <c r="V157" s="619">
        <f t="shared" si="11"/>
        <v>0</v>
      </c>
      <c r="W157" s="619"/>
      <c r="X157" s="688">
        <f t="shared" si="12"/>
        <v>0</v>
      </c>
      <c r="Y157" s="609"/>
      <c r="Z157" s="610">
        <f t="shared" si="13"/>
        <v>0</v>
      </c>
      <c r="AA157" s="610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55"/>
      <c r="B158" s="9"/>
      <c r="C158" s="510" t="str">
        <f t="shared" si="3"/>
        <v>UNION PAT A/F 1 1/2 P/P ECON</v>
      </c>
      <c r="D158" s="510"/>
      <c r="E158" s="510"/>
      <c r="F158" s="510"/>
      <c r="G158" s="510"/>
      <c r="H158" s="617">
        <f t="shared" si="4"/>
        <v>0</v>
      </c>
      <c r="I158" s="617"/>
      <c r="J158" s="619">
        <f t="shared" si="5"/>
        <v>0</v>
      </c>
      <c r="K158" s="619"/>
      <c r="L158" s="617">
        <f t="shared" si="6"/>
        <v>0</v>
      </c>
      <c r="M158" s="617"/>
      <c r="N158" s="555">
        <f t="shared" si="7"/>
        <v>0</v>
      </c>
      <c r="O158" s="556"/>
      <c r="P158" s="617">
        <f t="shared" si="8"/>
        <v>0</v>
      </c>
      <c r="Q158" s="617"/>
      <c r="R158" s="555">
        <f t="shared" si="9"/>
        <v>0</v>
      </c>
      <c r="S158" s="556"/>
      <c r="T158" s="617">
        <f t="shared" si="10"/>
        <v>0</v>
      </c>
      <c r="U158" s="617"/>
      <c r="V158" s="619">
        <f t="shared" si="11"/>
        <v>0</v>
      </c>
      <c r="W158" s="619"/>
      <c r="X158" s="688">
        <f t="shared" si="12"/>
        <v>0</v>
      </c>
      <c r="Y158" s="609"/>
      <c r="Z158" s="610">
        <f t="shared" si="13"/>
        <v>0</v>
      </c>
      <c r="AA158" s="610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55"/>
      <c r="B159" s="9"/>
      <c r="C159" s="510" t="str">
        <f t="shared" si="3"/>
        <v>UNION PAT A/F 1/2 P/P ECON</v>
      </c>
      <c r="D159" s="510"/>
      <c r="E159" s="510"/>
      <c r="F159" s="510"/>
      <c r="G159" s="510"/>
      <c r="H159" s="617">
        <f t="shared" si="4"/>
        <v>0</v>
      </c>
      <c r="I159" s="617"/>
      <c r="J159" s="619">
        <f t="shared" si="5"/>
        <v>0</v>
      </c>
      <c r="K159" s="619"/>
      <c r="L159" s="617">
        <f t="shared" si="6"/>
        <v>0</v>
      </c>
      <c r="M159" s="617"/>
      <c r="N159" s="555">
        <f t="shared" si="7"/>
        <v>0</v>
      </c>
      <c r="O159" s="556"/>
      <c r="P159" s="617">
        <f t="shared" si="8"/>
        <v>0</v>
      </c>
      <c r="Q159" s="617"/>
      <c r="R159" s="555">
        <f t="shared" si="9"/>
        <v>0</v>
      </c>
      <c r="S159" s="556"/>
      <c r="T159" s="617">
        <f t="shared" si="10"/>
        <v>0</v>
      </c>
      <c r="U159" s="617"/>
      <c r="V159" s="619">
        <f t="shared" si="11"/>
        <v>0</v>
      </c>
      <c r="W159" s="619"/>
      <c r="X159" s="688">
        <f t="shared" si="12"/>
        <v>0</v>
      </c>
      <c r="Y159" s="609"/>
      <c r="Z159" s="610">
        <f t="shared" si="13"/>
        <v>0</v>
      </c>
      <c r="AA159" s="610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55"/>
      <c r="B160" s="9"/>
      <c r="C160" s="510" t="str">
        <f t="shared" si="3"/>
        <v>TEE A/F 1 1/2 P/P</v>
      </c>
      <c r="D160" s="510"/>
      <c r="E160" s="510"/>
      <c r="F160" s="510"/>
      <c r="G160" s="510"/>
      <c r="H160" s="617">
        <f t="shared" si="4"/>
        <v>0</v>
      </c>
      <c r="I160" s="617"/>
      <c r="J160" s="619">
        <f t="shared" si="5"/>
        <v>0</v>
      </c>
      <c r="K160" s="619"/>
      <c r="L160" s="617">
        <f t="shared" si="6"/>
        <v>0</v>
      </c>
      <c r="M160" s="617"/>
      <c r="N160" s="555">
        <f t="shared" si="7"/>
        <v>0</v>
      </c>
      <c r="O160" s="556"/>
      <c r="P160" s="617">
        <f t="shared" si="8"/>
        <v>0</v>
      </c>
      <c r="Q160" s="617"/>
      <c r="R160" s="555">
        <f t="shared" si="9"/>
        <v>0</v>
      </c>
      <c r="S160" s="556"/>
      <c r="T160" s="617">
        <f t="shared" si="10"/>
        <v>0</v>
      </c>
      <c r="U160" s="617"/>
      <c r="V160" s="619">
        <f t="shared" si="11"/>
        <v>0</v>
      </c>
      <c r="W160" s="619"/>
      <c r="X160" s="688">
        <f t="shared" si="12"/>
        <v>0</v>
      </c>
      <c r="Y160" s="609"/>
      <c r="Z160" s="610">
        <f t="shared" si="13"/>
        <v>0</v>
      </c>
      <c r="AA160" s="610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55"/>
      <c r="B161" s="9"/>
      <c r="C161" s="510" t="str">
        <f t="shared" si="3"/>
        <v>TEE A/F 2 P/P</v>
      </c>
      <c r="D161" s="510"/>
      <c r="E161" s="510"/>
      <c r="F161" s="510"/>
      <c r="G161" s="510"/>
      <c r="H161" s="617">
        <f t="shared" si="4"/>
        <v>0</v>
      </c>
      <c r="I161" s="617"/>
      <c r="J161" s="619">
        <f t="shared" si="5"/>
        <v>0</v>
      </c>
      <c r="K161" s="619"/>
      <c r="L161" s="617">
        <f t="shared" si="6"/>
        <v>0</v>
      </c>
      <c r="M161" s="617"/>
      <c r="N161" s="555">
        <f t="shared" si="7"/>
        <v>0</v>
      </c>
      <c r="O161" s="556"/>
      <c r="P161" s="617">
        <f t="shared" si="8"/>
        <v>0</v>
      </c>
      <c r="Q161" s="617"/>
      <c r="R161" s="555">
        <f t="shared" si="9"/>
        <v>0</v>
      </c>
      <c r="S161" s="556"/>
      <c r="T161" s="617">
        <f t="shared" si="10"/>
        <v>0</v>
      </c>
      <c r="U161" s="617"/>
      <c r="V161" s="619">
        <f t="shared" si="11"/>
        <v>0</v>
      </c>
      <c r="W161" s="619"/>
      <c r="X161" s="688">
        <f t="shared" si="12"/>
        <v>0</v>
      </c>
      <c r="Y161" s="609"/>
      <c r="Z161" s="610">
        <f t="shared" si="13"/>
        <v>0</v>
      </c>
      <c r="AA161" s="610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55"/>
      <c r="B162" s="9"/>
      <c r="C162" s="510" t="str">
        <f t="shared" si="3"/>
        <v>BUJE A/F 3/4 X 1/2</v>
      </c>
      <c r="D162" s="510"/>
      <c r="E162" s="510"/>
      <c r="F162" s="510"/>
      <c r="G162" s="510"/>
      <c r="H162" s="617">
        <f t="shared" si="4"/>
        <v>0</v>
      </c>
      <c r="I162" s="617"/>
      <c r="J162" s="619">
        <f t="shared" si="5"/>
        <v>0</v>
      </c>
      <c r="K162" s="619"/>
      <c r="L162" s="617">
        <f t="shared" si="6"/>
        <v>0</v>
      </c>
      <c r="M162" s="617"/>
      <c r="N162" s="555">
        <f t="shared" si="7"/>
        <v>0</v>
      </c>
      <c r="O162" s="556"/>
      <c r="P162" s="617">
        <f t="shared" si="8"/>
        <v>0</v>
      </c>
      <c r="Q162" s="617"/>
      <c r="R162" s="555">
        <f t="shared" si="9"/>
        <v>0</v>
      </c>
      <c r="S162" s="556"/>
      <c r="T162" s="617">
        <f t="shared" si="10"/>
        <v>0</v>
      </c>
      <c r="U162" s="617"/>
      <c r="V162" s="619">
        <f t="shared" si="11"/>
        <v>0</v>
      </c>
      <c r="W162" s="619"/>
      <c r="X162" s="688">
        <f t="shared" si="12"/>
        <v>0</v>
      </c>
      <c r="Y162" s="609"/>
      <c r="Z162" s="610">
        <f t="shared" si="13"/>
        <v>0</v>
      </c>
      <c r="AA162" s="610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55"/>
      <c r="B163" s="9"/>
      <c r="C163" s="510" t="str">
        <f t="shared" si="3"/>
        <v>BUJE A/F 1 X 3/4</v>
      </c>
      <c r="D163" s="510"/>
      <c r="E163" s="510"/>
      <c r="F163" s="510"/>
      <c r="G163" s="510"/>
      <c r="H163" s="617">
        <f t="shared" si="4"/>
        <v>0</v>
      </c>
      <c r="I163" s="617"/>
      <c r="J163" s="619">
        <f t="shared" si="5"/>
        <v>0</v>
      </c>
      <c r="K163" s="619"/>
      <c r="L163" s="617">
        <f t="shared" si="6"/>
        <v>0</v>
      </c>
      <c r="M163" s="617"/>
      <c r="N163" s="555">
        <f t="shared" si="7"/>
        <v>0</v>
      </c>
      <c r="O163" s="556"/>
      <c r="P163" s="617">
        <f t="shared" si="8"/>
        <v>0</v>
      </c>
      <c r="Q163" s="617"/>
      <c r="R163" s="555">
        <f t="shared" si="9"/>
        <v>0</v>
      </c>
      <c r="S163" s="556"/>
      <c r="T163" s="617">
        <f t="shared" si="10"/>
        <v>0</v>
      </c>
      <c r="U163" s="617"/>
      <c r="V163" s="619">
        <f t="shared" si="11"/>
        <v>0</v>
      </c>
      <c r="W163" s="619"/>
      <c r="X163" s="688">
        <f t="shared" si="12"/>
        <v>0</v>
      </c>
      <c r="Y163" s="609"/>
      <c r="Z163" s="610">
        <f t="shared" si="13"/>
        <v>0</v>
      </c>
      <c r="AA163" s="610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55"/>
      <c r="B164" s="9"/>
      <c r="C164" s="510" t="str">
        <f t="shared" si="3"/>
        <v>ADAPT HEM A/F 1 1/2</v>
      </c>
      <c r="D164" s="510"/>
      <c r="E164" s="510"/>
      <c r="F164" s="510"/>
      <c r="G164" s="510"/>
      <c r="H164" s="617">
        <f t="shared" si="4"/>
        <v>0</v>
      </c>
      <c r="I164" s="617"/>
      <c r="J164" s="619">
        <f t="shared" si="5"/>
        <v>0</v>
      </c>
      <c r="K164" s="619"/>
      <c r="L164" s="617">
        <f t="shared" si="6"/>
        <v>0</v>
      </c>
      <c r="M164" s="617"/>
      <c r="N164" s="555">
        <f t="shared" si="7"/>
        <v>0</v>
      </c>
      <c r="O164" s="556"/>
      <c r="P164" s="617">
        <f t="shared" si="8"/>
        <v>0</v>
      </c>
      <c r="Q164" s="617"/>
      <c r="R164" s="555">
        <f t="shared" si="9"/>
        <v>0</v>
      </c>
      <c r="S164" s="556"/>
      <c r="T164" s="617">
        <f t="shared" si="10"/>
        <v>0</v>
      </c>
      <c r="U164" s="617"/>
      <c r="V164" s="619">
        <f t="shared" si="11"/>
        <v>0</v>
      </c>
      <c r="W164" s="619"/>
      <c r="X164" s="688">
        <f t="shared" si="12"/>
        <v>0</v>
      </c>
      <c r="Y164" s="609"/>
      <c r="Z164" s="610">
        <f t="shared" si="13"/>
        <v>0</v>
      </c>
      <c r="AA164" s="610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55"/>
      <c r="B165" s="9"/>
      <c r="C165" s="510" t="str">
        <f t="shared" si="3"/>
        <v>CHECK PVC A/N 4</v>
      </c>
      <c r="D165" s="510"/>
      <c r="E165" s="510"/>
      <c r="F165" s="510"/>
      <c r="G165" s="510"/>
      <c r="H165" s="617">
        <f t="shared" si="4"/>
        <v>0</v>
      </c>
      <c r="I165" s="617"/>
      <c r="J165" s="619">
        <f t="shared" si="5"/>
        <v>0</v>
      </c>
      <c r="K165" s="619"/>
      <c r="L165" s="617">
        <f t="shared" si="6"/>
        <v>0</v>
      </c>
      <c r="M165" s="617"/>
      <c r="N165" s="555">
        <f t="shared" si="7"/>
        <v>0</v>
      </c>
      <c r="O165" s="556"/>
      <c r="P165" s="617">
        <f t="shared" si="8"/>
        <v>0</v>
      </c>
      <c r="Q165" s="617"/>
      <c r="R165" s="555">
        <f t="shared" si="9"/>
        <v>0</v>
      </c>
      <c r="S165" s="556"/>
      <c r="T165" s="617">
        <f t="shared" si="10"/>
        <v>0</v>
      </c>
      <c r="U165" s="617"/>
      <c r="V165" s="619">
        <f t="shared" si="11"/>
        <v>0</v>
      </c>
      <c r="W165" s="619"/>
      <c r="X165" s="688">
        <f t="shared" si="12"/>
        <v>0</v>
      </c>
      <c r="Y165" s="609"/>
      <c r="Z165" s="610">
        <f t="shared" si="13"/>
        <v>0</v>
      </c>
      <c r="AA165" s="610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55"/>
      <c r="B166" s="9"/>
      <c r="C166" s="510" t="str">
        <f t="shared" si="3"/>
        <v>YEE 2 IMPLAVEN</v>
      </c>
      <c r="D166" s="510"/>
      <c r="E166" s="510"/>
      <c r="F166" s="510"/>
      <c r="G166" s="510"/>
      <c r="H166" s="617">
        <f t="shared" si="4"/>
        <v>0</v>
      </c>
      <c r="I166" s="617"/>
      <c r="J166" s="619">
        <f t="shared" si="5"/>
        <v>0</v>
      </c>
      <c r="K166" s="619"/>
      <c r="L166" s="617">
        <f t="shared" si="6"/>
        <v>0</v>
      </c>
      <c r="M166" s="617"/>
      <c r="N166" s="555">
        <f t="shared" si="7"/>
        <v>0</v>
      </c>
      <c r="O166" s="556"/>
      <c r="P166" s="617">
        <f t="shared" si="8"/>
        <v>0</v>
      </c>
      <c r="Q166" s="617"/>
      <c r="R166" s="555">
        <f t="shared" si="9"/>
        <v>0</v>
      </c>
      <c r="S166" s="556"/>
      <c r="T166" s="617">
        <f t="shared" si="10"/>
        <v>0</v>
      </c>
      <c r="U166" s="617"/>
      <c r="V166" s="619">
        <f t="shared" si="11"/>
        <v>0</v>
      </c>
      <c r="W166" s="619"/>
      <c r="X166" s="688">
        <f t="shared" si="12"/>
        <v>0</v>
      </c>
      <c r="Y166" s="609"/>
      <c r="Z166" s="610">
        <f t="shared" si="13"/>
        <v>0</v>
      </c>
      <c r="AA166" s="610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55"/>
      <c r="B167" s="9"/>
      <c r="C167" s="510" t="str">
        <f t="shared" si="3"/>
        <v>YEE 3</v>
      </c>
      <c r="D167" s="510"/>
      <c r="E167" s="510"/>
      <c r="F167" s="510"/>
      <c r="G167" s="510"/>
      <c r="H167" s="617">
        <f t="shared" si="4"/>
        <v>0</v>
      </c>
      <c r="I167" s="617"/>
      <c r="J167" s="619">
        <f t="shared" si="5"/>
        <v>0</v>
      </c>
      <c r="K167" s="619"/>
      <c r="L167" s="617">
        <f t="shared" si="6"/>
        <v>0</v>
      </c>
      <c r="M167" s="617"/>
      <c r="N167" s="555">
        <f t="shared" si="7"/>
        <v>0</v>
      </c>
      <c r="O167" s="556"/>
      <c r="P167" s="617">
        <f t="shared" si="8"/>
        <v>0</v>
      </c>
      <c r="Q167" s="617"/>
      <c r="R167" s="555">
        <f t="shared" si="9"/>
        <v>0</v>
      </c>
      <c r="S167" s="556"/>
      <c r="T167" s="617">
        <f t="shared" si="10"/>
        <v>0</v>
      </c>
      <c r="U167" s="617"/>
      <c r="V167" s="619">
        <f t="shared" si="11"/>
        <v>0</v>
      </c>
      <c r="W167" s="619"/>
      <c r="X167" s="688">
        <f t="shared" si="12"/>
        <v>0</v>
      </c>
      <c r="Y167" s="609"/>
      <c r="Z167" s="610">
        <f t="shared" si="13"/>
        <v>0</v>
      </c>
      <c r="AA167" s="610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55"/>
      <c r="B168" s="9"/>
      <c r="C168" s="510" t="str">
        <f t="shared" si="3"/>
        <v>YEE A/N 4X2</v>
      </c>
      <c r="D168" s="510"/>
      <c r="E168" s="510"/>
      <c r="F168" s="510"/>
      <c r="G168" s="510"/>
      <c r="H168" s="617">
        <f t="shared" si="4"/>
        <v>15</v>
      </c>
      <c r="I168" s="617"/>
      <c r="J168" s="619">
        <f t="shared" si="5"/>
        <v>68.25</v>
      </c>
      <c r="K168" s="619"/>
      <c r="L168" s="617">
        <f t="shared" si="6"/>
        <v>0</v>
      </c>
      <c r="M168" s="617"/>
      <c r="N168" s="555">
        <f t="shared" si="7"/>
        <v>0</v>
      </c>
      <c r="O168" s="556"/>
      <c r="P168" s="617">
        <f t="shared" si="8"/>
        <v>0</v>
      </c>
      <c r="Q168" s="617"/>
      <c r="R168" s="555">
        <f t="shared" si="9"/>
        <v>0</v>
      </c>
      <c r="S168" s="556"/>
      <c r="T168" s="617">
        <f t="shared" si="10"/>
        <v>0</v>
      </c>
      <c r="U168" s="617"/>
      <c r="V168" s="619">
        <f t="shared" si="11"/>
        <v>0</v>
      </c>
      <c r="W168" s="619"/>
      <c r="X168" s="688">
        <f t="shared" si="12"/>
        <v>15</v>
      </c>
      <c r="Y168" s="609"/>
      <c r="Z168" s="610">
        <f t="shared" si="13"/>
        <v>68.25</v>
      </c>
      <c r="AA168" s="610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55"/>
      <c r="B169" s="9"/>
      <c r="C169" s="510" t="str">
        <f t="shared" si="3"/>
        <v>YEE A/N 4</v>
      </c>
      <c r="D169" s="510"/>
      <c r="E169" s="510"/>
      <c r="F169" s="510"/>
      <c r="G169" s="510"/>
      <c r="H169" s="617">
        <f t="shared" si="4"/>
        <v>15</v>
      </c>
      <c r="I169" s="617"/>
      <c r="J169" s="619">
        <f t="shared" si="5"/>
        <v>88.949999999999989</v>
      </c>
      <c r="K169" s="619"/>
      <c r="L169" s="617">
        <f t="shared" si="6"/>
        <v>0</v>
      </c>
      <c r="M169" s="617"/>
      <c r="N169" s="555">
        <f t="shared" si="7"/>
        <v>0</v>
      </c>
      <c r="O169" s="556"/>
      <c r="P169" s="617">
        <f t="shared" si="8"/>
        <v>0</v>
      </c>
      <c r="Q169" s="617"/>
      <c r="R169" s="555">
        <f t="shared" si="9"/>
        <v>0</v>
      </c>
      <c r="S169" s="556"/>
      <c r="T169" s="617">
        <f t="shared" si="10"/>
        <v>0</v>
      </c>
      <c r="U169" s="617"/>
      <c r="V169" s="619">
        <f t="shared" si="11"/>
        <v>0</v>
      </c>
      <c r="W169" s="619"/>
      <c r="X169" s="688">
        <f t="shared" si="12"/>
        <v>15</v>
      </c>
      <c r="Y169" s="609"/>
      <c r="Z169" s="610">
        <f t="shared" si="13"/>
        <v>88.949999999999989</v>
      </c>
      <c r="AA169" s="610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55"/>
      <c r="B170" s="9"/>
      <c r="C170" s="510" t="str">
        <f t="shared" si="3"/>
        <v>TEE A/N 2</v>
      </c>
      <c r="D170" s="510"/>
      <c r="E170" s="510"/>
      <c r="F170" s="510"/>
      <c r="G170" s="510"/>
      <c r="H170" s="617">
        <f t="shared" si="4"/>
        <v>0</v>
      </c>
      <c r="I170" s="617"/>
      <c r="J170" s="619">
        <f t="shared" si="5"/>
        <v>0</v>
      </c>
      <c r="K170" s="619"/>
      <c r="L170" s="617">
        <f t="shared" si="6"/>
        <v>0</v>
      </c>
      <c r="M170" s="617"/>
      <c r="N170" s="555">
        <f t="shared" si="7"/>
        <v>0</v>
      </c>
      <c r="O170" s="556"/>
      <c r="P170" s="617">
        <f t="shared" si="8"/>
        <v>0</v>
      </c>
      <c r="Q170" s="617"/>
      <c r="R170" s="555">
        <f t="shared" si="9"/>
        <v>0</v>
      </c>
      <c r="S170" s="556"/>
      <c r="T170" s="617">
        <f t="shared" si="10"/>
        <v>0</v>
      </c>
      <c r="U170" s="617"/>
      <c r="V170" s="619">
        <f t="shared" si="11"/>
        <v>0</v>
      </c>
      <c r="W170" s="619"/>
      <c r="X170" s="688">
        <f t="shared" si="12"/>
        <v>0</v>
      </c>
      <c r="Y170" s="609"/>
      <c r="Z170" s="610">
        <f t="shared" si="13"/>
        <v>0</v>
      </c>
      <c r="AA170" s="610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55"/>
      <c r="B171" s="9"/>
      <c r="C171" s="510" t="str">
        <f t="shared" ref="C171:C201" si="14">C39</f>
        <v>TEE A/N 3</v>
      </c>
      <c r="D171" s="510"/>
      <c r="E171" s="510"/>
      <c r="F171" s="510"/>
      <c r="G171" s="510"/>
      <c r="H171" s="617">
        <f t="shared" si="4"/>
        <v>0</v>
      </c>
      <c r="I171" s="617"/>
      <c r="J171" s="619">
        <f t="shared" si="5"/>
        <v>0</v>
      </c>
      <c r="K171" s="619"/>
      <c r="L171" s="617">
        <f t="shared" si="6"/>
        <v>0</v>
      </c>
      <c r="M171" s="617"/>
      <c r="N171" s="555">
        <f t="shared" si="7"/>
        <v>0</v>
      </c>
      <c r="O171" s="556"/>
      <c r="P171" s="617">
        <f t="shared" si="8"/>
        <v>0</v>
      </c>
      <c r="Q171" s="617"/>
      <c r="R171" s="555">
        <f t="shared" si="9"/>
        <v>0</v>
      </c>
      <c r="S171" s="556"/>
      <c r="T171" s="617">
        <f t="shared" si="10"/>
        <v>0</v>
      </c>
      <c r="U171" s="617"/>
      <c r="V171" s="619">
        <f t="shared" si="11"/>
        <v>0</v>
      </c>
      <c r="W171" s="619"/>
      <c r="X171" s="688">
        <f t="shared" si="12"/>
        <v>0</v>
      </c>
      <c r="Y171" s="609"/>
      <c r="Z171" s="610">
        <f t="shared" si="13"/>
        <v>0</v>
      </c>
      <c r="AA171" s="610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55"/>
      <c r="B172" s="9"/>
      <c r="C172" s="510" t="str">
        <f t="shared" si="14"/>
        <v>TEE A/N 4</v>
      </c>
      <c r="D172" s="510"/>
      <c r="E172" s="510"/>
      <c r="F172" s="510"/>
      <c r="G172" s="510"/>
      <c r="H172" s="617">
        <f t="shared" ref="H172:H201" si="15">L40</f>
        <v>10</v>
      </c>
      <c r="I172" s="617"/>
      <c r="J172" s="619">
        <f t="shared" ref="J172:J201" si="16">M40</f>
        <v>55.4</v>
      </c>
      <c r="K172" s="619"/>
      <c r="L172" s="617">
        <f t="shared" ref="L172:L201" si="17">BI40+CB40+CT40+DN40</f>
        <v>0</v>
      </c>
      <c r="M172" s="617"/>
      <c r="N172" s="555">
        <f t="shared" ref="N172:N201" si="18">BJ40+CC40+CU40+DO40</f>
        <v>0</v>
      </c>
      <c r="O172" s="556"/>
      <c r="P172" s="617">
        <f t="shared" ref="P172:P201" si="19">EH40+FM40</f>
        <v>0</v>
      </c>
      <c r="Q172" s="617"/>
      <c r="R172" s="555">
        <f t="shared" ref="R172:R201" si="20">EI40+FN40</f>
        <v>0</v>
      </c>
      <c r="S172" s="556"/>
      <c r="T172" s="617">
        <f t="shared" ref="T172:T201" si="21">GJ40+HE40+HP40+IA40</f>
        <v>0</v>
      </c>
      <c r="U172" s="617"/>
      <c r="V172" s="619">
        <f t="shared" ref="V172:V201" si="22">GK40+HF40+HQ40+IB40</f>
        <v>0</v>
      </c>
      <c r="W172" s="619"/>
      <c r="X172" s="688">
        <f t="shared" si="12"/>
        <v>10</v>
      </c>
      <c r="Y172" s="609"/>
      <c r="Z172" s="610">
        <f t="shared" si="13"/>
        <v>55.4</v>
      </c>
      <c r="AA172" s="610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55"/>
      <c r="B173" s="9"/>
      <c r="C173" s="510" t="str">
        <f t="shared" si="14"/>
        <v>TEE A/N 4X2</v>
      </c>
      <c r="D173" s="510"/>
      <c r="E173" s="510"/>
      <c r="F173" s="510"/>
      <c r="G173" s="510"/>
      <c r="H173" s="617">
        <f t="shared" si="15"/>
        <v>10</v>
      </c>
      <c r="I173" s="617"/>
      <c r="J173" s="619">
        <f t="shared" si="16"/>
        <v>38.1</v>
      </c>
      <c r="K173" s="619"/>
      <c r="L173" s="617">
        <f t="shared" si="17"/>
        <v>0</v>
      </c>
      <c r="M173" s="617"/>
      <c r="N173" s="555">
        <f t="shared" si="18"/>
        <v>0</v>
      </c>
      <c r="O173" s="556"/>
      <c r="P173" s="617">
        <f t="shared" si="19"/>
        <v>0</v>
      </c>
      <c r="Q173" s="617"/>
      <c r="R173" s="555">
        <f t="shared" si="20"/>
        <v>0</v>
      </c>
      <c r="S173" s="556"/>
      <c r="T173" s="617">
        <f t="shared" si="21"/>
        <v>0</v>
      </c>
      <c r="U173" s="617"/>
      <c r="V173" s="619">
        <f t="shared" si="22"/>
        <v>0</v>
      </c>
      <c r="W173" s="619"/>
      <c r="X173" s="688">
        <f t="shared" si="12"/>
        <v>10</v>
      </c>
      <c r="Y173" s="609"/>
      <c r="Z173" s="610">
        <f t="shared" si="13"/>
        <v>38.1</v>
      </c>
      <c r="AA173" s="610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55"/>
      <c r="B174" s="9"/>
      <c r="C174" s="510" t="str">
        <f t="shared" si="14"/>
        <v>TEE 3X2 UNIPLAST</v>
      </c>
      <c r="D174" s="510"/>
      <c r="E174" s="510"/>
      <c r="F174" s="510"/>
      <c r="G174" s="510"/>
      <c r="H174" s="617">
        <f t="shared" si="15"/>
        <v>0</v>
      </c>
      <c r="I174" s="617"/>
      <c r="J174" s="619">
        <f t="shared" si="16"/>
        <v>0</v>
      </c>
      <c r="K174" s="619"/>
      <c r="L174" s="617">
        <f t="shared" si="17"/>
        <v>0</v>
      </c>
      <c r="M174" s="617"/>
      <c r="N174" s="555">
        <f t="shared" si="18"/>
        <v>0</v>
      </c>
      <c r="O174" s="556"/>
      <c r="P174" s="617">
        <f t="shared" si="19"/>
        <v>0</v>
      </c>
      <c r="Q174" s="617"/>
      <c r="R174" s="555">
        <f t="shared" si="20"/>
        <v>0</v>
      </c>
      <c r="S174" s="556"/>
      <c r="T174" s="617">
        <f t="shared" si="21"/>
        <v>0</v>
      </c>
      <c r="U174" s="617"/>
      <c r="V174" s="619">
        <f t="shared" si="22"/>
        <v>0</v>
      </c>
      <c r="W174" s="619"/>
      <c r="X174" s="688">
        <f t="shared" si="12"/>
        <v>0</v>
      </c>
      <c r="Y174" s="609"/>
      <c r="Z174" s="610">
        <f t="shared" si="13"/>
        <v>0</v>
      </c>
      <c r="AA174" s="610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55"/>
      <c r="B175" s="9"/>
      <c r="C175" s="510" t="str">
        <f t="shared" si="14"/>
        <v>TEE 4X3 PAVCO</v>
      </c>
      <c r="D175" s="510"/>
      <c r="E175" s="510"/>
      <c r="F175" s="510"/>
      <c r="G175" s="510"/>
      <c r="H175" s="617">
        <f t="shared" si="15"/>
        <v>0</v>
      </c>
      <c r="I175" s="617"/>
      <c r="J175" s="619">
        <f t="shared" si="16"/>
        <v>0</v>
      </c>
      <c r="K175" s="619"/>
      <c r="L175" s="617">
        <f t="shared" si="17"/>
        <v>0</v>
      </c>
      <c r="M175" s="617"/>
      <c r="N175" s="555">
        <f t="shared" si="18"/>
        <v>0</v>
      </c>
      <c r="O175" s="556"/>
      <c r="P175" s="617">
        <f t="shared" si="19"/>
        <v>0</v>
      </c>
      <c r="Q175" s="617"/>
      <c r="R175" s="555">
        <f t="shared" si="20"/>
        <v>0</v>
      </c>
      <c r="S175" s="556"/>
      <c r="T175" s="617">
        <f t="shared" si="21"/>
        <v>0</v>
      </c>
      <c r="U175" s="617"/>
      <c r="V175" s="619">
        <f t="shared" si="22"/>
        <v>0</v>
      </c>
      <c r="W175" s="619"/>
      <c r="X175" s="688">
        <f t="shared" si="12"/>
        <v>0</v>
      </c>
      <c r="Y175" s="609"/>
      <c r="Z175" s="610">
        <f t="shared" si="13"/>
        <v>0</v>
      </c>
      <c r="AA175" s="610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55"/>
      <c r="B176" s="9"/>
      <c r="C176" s="510" t="str">
        <f t="shared" si="14"/>
        <v>TAPA A/N 2 REGISTRO</v>
      </c>
      <c r="D176" s="510"/>
      <c r="E176" s="510"/>
      <c r="F176" s="510"/>
      <c r="G176" s="510"/>
      <c r="H176" s="617">
        <f t="shared" si="15"/>
        <v>0</v>
      </c>
      <c r="I176" s="617"/>
      <c r="J176" s="619">
        <f t="shared" si="16"/>
        <v>0</v>
      </c>
      <c r="K176" s="619"/>
      <c r="L176" s="617">
        <f t="shared" si="17"/>
        <v>0</v>
      </c>
      <c r="M176" s="617"/>
      <c r="N176" s="555">
        <f t="shared" si="18"/>
        <v>0</v>
      </c>
      <c r="O176" s="556"/>
      <c r="P176" s="617">
        <f t="shared" si="19"/>
        <v>0</v>
      </c>
      <c r="Q176" s="617"/>
      <c r="R176" s="555">
        <f t="shared" si="20"/>
        <v>0</v>
      </c>
      <c r="S176" s="556"/>
      <c r="T176" s="617">
        <f t="shared" si="21"/>
        <v>0</v>
      </c>
      <c r="U176" s="617"/>
      <c r="V176" s="619">
        <f t="shared" si="22"/>
        <v>0</v>
      </c>
      <c r="W176" s="619"/>
      <c r="X176" s="688">
        <f t="shared" si="12"/>
        <v>0</v>
      </c>
      <c r="Y176" s="609"/>
      <c r="Z176" s="610">
        <f t="shared" si="13"/>
        <v>0</v>
      </c>
      <c r="AA176" s="610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55"/>
      <c r="B177" s="9"/>
      <c r="C177" s="510" t="str">
        <f t="shared" si="14"/>
        <v>TAPA A/N 3 REGISTRO</v>
      </c>
      <c r="D177" s="510"/>
      <c r="E177" s="510"/>
      <c r="F177" s="510"/>
      <c r="G177" s="510"/>
      <c r="H177" s="617">
        <f t="shared" si="15"/>
        <v>0</v>
      </c>
      <c r="I177" s="617"/>
      <c r="J177" s="619">
        <f t="shared" si="16"/>
        <v>0</v>
      </c>
      <c r="K177" s="619"/>
      <c r="L177" s="617">
        <f t="shared" si="17"/>
        <v>0</v>
      </c>
      <c r="M177" s="617"/>
      <c r="N177" s="555">
        <f t="shared" si="18"/>
        <v>0</v>
      </c>
      <c r="O177" s="556"/>
      <c r="P177" s="617">
        <f t="shared" si="19"/>
        <v>0</v>
      </c>
      <c r="Q177" s="617"/>
      <c r="R177" s="555">
        <f t="shared" si="20"/>
        <v>0</v>
      </c>
      <c r="S177" s="556"/>
      <c r="T177" s="617">
        <f t="shared" si="21"/>
        <v>0</v>
      </c>
      <c r="U177" s="617"/>
      <c r="V177" s="619">
        <f t="shared" si="22"/>
        <v>0</v>
      </c>
      <c r="W177" s="619"/>
      <c r="X177" s="688">
        <f t="shared" si="12"/>
        <v>0</v>
      </c>
      <c r="Y177" s="609"/>
      <c r="Z177" s="610">
        <f t="shared" si="13"/>
        <v>0</v>
      </c>
      <c r="AA177" s="610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55"/>
      <c r="B178" s="9"/>
      <c r="C178" s="510" t="str">
        <f t="shared" si="14"/>
        <v>ANILLO A/N 2</v>
      </c>
      <c r="D178" s="510"/>
      <c r="E178" s="510"/>
      <c r="F178" s="510"/>
      <c r="G178" s="510"/>
      <c r="H178" s="617">
        <f t="shared" si="15"/>
        <v>0</v>
      </c>
      <c r="I178" s="617"/>
      <c r="J178" s="619">
        <f t="shared" si="16"/>
        <v>0</v>
      </c>
      <c r="K178" s="619"/>
      <c r="L178" s="617">
        <f t="shared" si="17"/>
        <v>0</v>
      </c>
      <c r="M178" s="617"/>
      <c r="N178" s="555">
        <f t="shared" si="18"/>
        <v>0</v>
      </c>
      <c r="O178" s="556"/>
      <c r="P178" s="617">
        <f t="shared" si="19"/>
        <v>0</v>
      </c>
      <c r="Q178" s="617"/>
      <c r="R178" s="555">
        <f t="shared" si="20"/>
        <v>0</v>
      </c>
      <c r="S178" s="556"/>
      <c r="T178" s="617">
        <f t="shared" si="21"/>
        <v>0</v>
      </c>
      <c r="U178" s="617"/>
      <c r="V178" s="619">
        <f t="shared" si="22"/>
        <v>0</v>
      </c>
      <c r="W178" s="619"/>
      <c r="X178" s="688">
        <f t="shared" si="12"/>
        <v>0</v>
      </c>
      <c r="Y178" s="609"/>
      <c r="Z178" s="610">
        <f t="shared" si="13"/>
        <v>0</v>
      </c>
      <c r="AA178" s="610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55"/>
      <c r="B179" s="9"/>
      <c r="C179" s="510" t="str">
        <f t="shared" si="14"/>
        <v>RED A/N 3X2</v>
      </c>
      <c r="D179" s="510"/>
      <c r="E179" s="510"/>
      <c r="F179" s="510"/>
      <c r="G179" s="510"/>
      <c r="H179" s="617">
        <f t="shared" si="15"/>
        <v>0</v>
      </c>
      <c r="I179" s="617"/>
      <c r="J179" s="619">
        <f t="shared" si="16"/>
        <v>0</v>
      </c>
      <c r="K179" s="619"/>
      <c r="L179" s="617">
        <f t="shared" si="17"/>
        <v>0</v>
      </c>
      <c r="M179" s="617"/>
      <c r="N179" s="555">
        <f t="shared" si="18"/>
        <v>0</v>
      </c>
      <c r="O179" s="556"/>
      <c r="P179" s="617">
        <f t="shared" si="19"/>
        <v>0</v>
      </c>
      <c r="Q179" s="617"/>
      <c r="R179" s="555">
        <f t="shared" si="20"/>
        <v>0</v>
      </c>
      <c r="S179" s="556"/>
      <c r="T179" s="617">
        <f t="shared" si="21"/>
        <v>0</v>
      </c>
      <c r="U179" s="617"/>
      <c r="V179" s="619">
        <f t="shared" si="22"/>
        <v>0</v>
      </c>
      <c r="W179" s="619"/>
      <c r="X179" s="688">
        <f t="shared" si="12"/>
        <v>0</v>
      </c>
      <c r="Y179" s="609"/>
      <c r="Z179" s="610">
        <f t="shared" si="13"/>
        <v>0</v>
      </c>
      <c r="AA179" s="610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55"/>
      <c r="B180" s="9"/>
      <c r="C180" s="510" t="str">
        <f t="shared" si="14"/>
        <v>CODO 3X45 TUBRICA</v>
      </c>
      <c r="D180" s="510"/>
      <c r="E180" s="510"/>
      <c r="F180" s="510"/>
      <c r="G180" s="510"/>
      <c r="H180" s="617">
        <f t="shared" si="15"/>
        <v>0</v>
      </c>
      <c r="I180" s="617"/>
      <c r="J180" s="619">
        <f t="shared" si="16"/>
        <v>0</v>
      </c>
      <c r="K180" s="619"/>
      <c r="L180" s="617">
        <f t="shared" si="17"/>
        <v>0</v>
      </c>
      <c r="M180" s="617"/>
      <c r="N180" s="555">
        <f t="shared" si="18"/>
        <v>0</v>
      </c>
      <c r="O180" s="556"/>
      <c r="P180" s="617">
        <f t="shared" si="19"/>
        <v>0</v>
      </c>
      <c r="Q180" s="617"/>
      <c r="R180" s="555">
        <f t="shared" si="20"/>
        <v>0</v>
      </c>
      <c r="S180" s="556"/>
      <c r="T180" s="617">
        <f t="shared" si="21"/>
        <v>0</v>
      </c>
      <c r="U180" s="617"/>
      <c r="V180" s="619">
        <f t="shared" si="22"/>
        <v>0</v>
      </c>
      <c r="W180" s="619"/>
      <c r="X180" s="688">
        <f t="shared" si="12"/>
        <v>0</v>
      </c>
      <c r="Y180" s="609"/>
      <c r="Z180" s="610">
        <f t="shared" si="13"/>
        <v>0</v>
      </c>
      <c r="AA180" s="610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55"/>
      <c r="B181" s="9"/>
      <c r="C181" s="510" t="str">
        <f t="shared" si="14"/>
        <v>CODO 4X45 BETAPLAST</v>
      </c>
      <c r="D181" s="510"/>
      <c r="E181" s="510"/>
      <c r="F181" s="510"/>
      <c r="G181" s="510"/>
      <c r="H181" s="617">
        <f t="shared" si="15"/>
        <v>0</v>
      </c>
      <c r="I181" s="617"/>
      <c r="J181" s="619">
        <f t="shared" si="16"/>
        <v>0</v>
      </c>
      <c r="K181" s="619"/>
      <c r="L181" s="617">
        <f t="shared" si="17"/>
        <v>0</v>
      </c>
      <c r="M181" s="617"/>
      <c r="N181" s="555">
        <f t="shared" si="18"/>
        <v>0</v>
      </c>
      <c r="O181" s="556"/>
      <c r="P181" s="617">
        <f t="shared" si="19"/>
        <v>0</v>
      </c>
      <c r="Q181" s="617"/>
      <c r="R181" s="555">
        <f t="shared" si="20"/>
        <v>0</v>
      </c>
      <c r="S181" s="556"/>
      <c r="T181" s="617">
        <f t="shared" si="21"/>
        <v>0</v>
      </c>
      <c r="U181" s="617"/>
      <c r="V181" s="619">
        <f t="shared" si="22"/>
        <v>0</v>
      </c>
      <c r="W181" s="619"/>
      <c r="X181" s="688">
        <f t="shared" si="12"/>
        <v>0</v>
      </c>
      <c r="Y181" s="609"/>
      <c r="Z181" s="610">
        <f t="shared" si="13"/>
        <v>0</v>
      </c>
      <c r="AA181" s="610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55"/>
      <c r="B182" s="9"/>
      <c r="C182" s="510" t="str">
        <f t="shared" si="14"/>
        <v>CODO 4X90</v>
      </c>
      <c r="D182" s="510"/>
      <c r="E182" s="510"/>
      <c r="F182" s="510"/>
      <c r="G182" s="510"/>
      <c r="H182" s="617">
        <f t="shared" si="15"/>
        <v>0</v>
      </c>
      <c r="I182" s="617"/>
      <c r="J182" s="619">
        <f t="shared" si="16"/>
        <v>0</v>
      </c>
      <c r="K182" s="619"/>
      <c r="L182" s="617">
        <f t="shared" si="17"/>
        <v>0</v>
      </c>
      <c r="M182" s="617"/>
      <c r="N182" s="555">
        <f t="shared" si="18"/>
        <v>0</v>
      </c>
      <c r="O182" s="556"/>
      <c r="P182" s="617">
        <f t="shared" si="19"/>
        <v>0</v>
      </c>
      <c r="Q182" s="617"/>
      <c r="R182" s="555">
        <f t="shared" si="20"/>
        <v>0</v>
      </c>
      <c r="S182" s="556"/>
      <c r="T182" s="617">
        <f t="shared" si="21"/>
        <v>0</v>
      </c>
      <c r="U182" s="617"/>
      <c r="V182" s="619">
        <f t="shared" si="22"/>
        <v>0</v>
      </c>
      <c r="W182" s="619"/>
      <c r="X182" s="688">
        <f t="shared" si="12"/>
        <v>0</v>
      </c>
      <c r="Y182" s="609"/>
      <c r="Z182" s="610">
        <f t="shared" si="13"/>
        <v>0</v>
      </c>
      <c r="AA182" s="610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55"/>
      <c r="B183" s="9"/>
      <c r="C183" s="510" t="str">
        <f t="shared" si="14"/>
        <v>SIFON COMPLETO 2"</v>
      </c>
      <c r="D183" s="510"/>
      <c r="E183" s="510"/>
      <c r="F183" s="510"/>
      <c r="G183" s="510"/>
      <c r="H183" s="617">
        <f t="shared" si="15"/>
        <v>0</v>
      </c>
      <c r="I183" s="617"/>
      <c r="J183" s="619">
        <f t="shared" si="16"/>
        <v>0</v>
      </c>
      <c r="K183" s="619"/>
      <c r="L183" s="617">
        <f t="shared" si="17"/>
        <v>0</v>
      </c>
      <c r="M183" s="617"/>
      <c r="N183" s="555">
        <f t="shared" si="18"/>
        <v>0</v>
      </c>
      <c r="O183" s="556"/>
      <c r="P183" s="617">
        <f t="shared" si="19"/>
        <v>0</v>
      </c>
      <c r="Q183" s="617"/>
      <c r="R183" s="555">
        <f t="shared" si="20"/>
        <v>0</v>
      </c>
      <c r="S183" s="556"/>
      <c r="T183" s="617">
        <f t="shared" si="21"/>
        <v>0</v>
      </c>
      <c r="U183" s="617"/>
      <c r="V183" s="619">
        <f t="shared" si="22"/>
        <v>0</v>
      </c>
      <c r="W183" s="619"/>
      <c r="X183" s="688">
        <f t="shared" si="12"/>
        <v>0</v>
      </c>
      <c r="Y183" s="609"/>
      <c r="Z183" s="610">
        <f t="shared" si="13"/>
        <v>0</v>
      </c>
      <c r="AA183" s="610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55"/>
      <c r="B184" s="9"/>
      <c r="C184" s="510" t="str">
        <f t="shared" si="14"/>
        <v>SIFON 4 COMPLETO BETAPLAST</v>
      </c>
      <c r="D184" s="510"/>
      <c r="E184" s="510"/>
      <c r="F184" s="510"/>
      <c r="G184" s="510"/>
      <c r="H184" s="617">
        <f t="shared" si="15"/>
        <v>0</v>
      </c>
      <c r="I184" s="617"/>
      <c r="J184" s="619">
        <f t="shared" si="16"/>
        <v>0</v>
      </c>
      <c r="K184" s="619"/>
      <c r="L184" s="617">
        <f t="shared" si="17"/>
        <v>0</v>
      </c>
      <c r="M184" s="617"/>
      <c r="N184" s="555">
        <f t="shared" si="18"/>
        <v>0</v>
      </c>
      <c r="O184" s="556"/>
      <c r="P184" s="617">
        <f t="shared" si="19"/>
        <v>0</v>
      </c>
      <c r="Q184" s="617"/>
      <c r="R184" s="555">
        <f t="shared" si="20"/>
        <v>0</v>
      </c>
      <c r="S184" s="556"/>
      <c r="T184" s="617">
        <f t="shared" si="21"/>
        <v>0</v>
      </c>
      <c r="U184" s="617"/>
      <c r="V184" s="619">
        <f t="shared" si="22"/>
        <v>0</v>
      </c>
      <c r="W184" s="619"/>
      <c r="X184" s="688">
        <f t="shared" si="12"/>
        <v>0</v>
      </c>
      <c r="Y184" s="609"/>
      <c r="Z184" s="610">
        <f t="shared" si="13"/>
        <v>0</v>
      </c>
      <c r="AA184" s="610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55"/>
      <c r="B185" s="9"/>
      <c r="C185" s="510" t="str">
        <f t="shared" si="14"/>
        <v>SIFON CORTO 3" DERIVADO</v>
      </c>
      <c r="D185" s="510"/>
      <c r="E185" s="510"/>
      <c r="F185" s="510"/>
      <c r="G185" s="510"/>
      <c r="H185" s="617">
        <f t="shared" si="15"/>
        <v>0</v>
      </c>
      <c r="I185" s="617"/>
      <c r="J185" s="619">
        <f t="shared" si="16"/>
        <v>0</v>
      </c>
      <c r="K185" s="619"/>
      <c r="L185" s="617">
        <f t="shared" si="17"/>
        <v>0</v>
      </c>
      <c r="M185" s="617"/>
      <c r="N185" s="555">
        <f t="shared" si="18"/>
        <v>0</v>
      </c>
      <c r="O185" s="556"/>
      <c r="P185" s="617">
        <f t="shared" si="19"/>
        <v>0</v>
      </c>
      <c r="Q185" s="617"/>
      <c r="R185" s="555">
        <f t="shared" si="20"/>
        <v>0</v>
      </c>
      <c r="S185" s="556"/>
      <c r="T185" s="617">
        <f t="shared" si="21"/>
        <v>0</v>
      </c>
      <c r="U185" s="617"/>
      <c r="V185" s="619">
        <f t="shared" si="22"/>
        <v>0</v>
      </c>
      <c r="W185" s="619"/>
      <c r="X185" s="688">
        <f t="shared" si="12"/>
        <v>0</v>
      </c>
      <c r="Y185" s="609"/>
      <c r="Z185" s="610">
        <f t="shared" si="13"/>
        <v>0</v>
      </c>
      <c r="AA185" s="610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55"/>
      <c r="B186" s="9"/>
      <c r="C186" s="510" t="str">
        <f t="shared" si="14"/>
        <v>SIFON 4 CORTO DERIVADOS</v>
      </c>
      <c r="D186" s="510"/>
      <c r="E186" s="510"/>
      <c r="F186" s="510"/>
      <c r="G186" s="510"/>
      <c r="H186" s="617">
        <f t="shared" si="15"/>
        <v>0</v>
      </c>
      <c r="I186" s="617"/>
      <c r="J186" s="619">
        <f t="shared" si="16"/>
        <v>0</v>
      </c>
      <c r="K186" s="619"/>
      <c r="L186" s="617">
        <f t="shared" si="17"/>
        <v>0</v>
      </c>
      <c r="M186" s="617"/>
      <c r="N186" s="555">
        <f t="shared" si="18"/>
        <v>0</v>
      </c>
      <c r="O186" s="556"/>
      <c r="P186" s="617">
        <f t="shared" si="19"/>
        <v>0</v>
      </c>
      <c r="Q186" s="617"/>
      <c r="R186" s="555">
        <f t="shared" si="20"/>
        <v>0</v>
      </c>
      <c r="S186" s="556"/>
      <c r="T186" s="617">
        <f t="shared" si="21"/>
        <v>0</v>
      </c>
      <c r="U186" s="617"/>
      <c r="V186" s="619">
        <f t="shared" si="22"/>
        <v>0</v>
      </c>
      <c r="W186" s="619"/>
      <c r="X186" s="688">
        <f t="shared" si="12"/>
        <v>0</v>
      </c>
      <c r="Y186" s="609"/>
      <c r="Z186" s="610">
        <f t="shared" si="13"/>
        <v>0</v>
      </c>
      <c r="AA186" s="610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55"/>
      <c r="B187" s="9"/>
      <c r="C187" s="510" t="str">
        <f t="shared" si="14"/>
        <v>MANG 1/2 X 5/8 PLAST ECON</v>
      </c>
      <c r="D187" s="510"/>
      <c r="E187" s="510"/>
      <c r="F187" s="510"/>
      <c r="G187" s="510"/>
      <c r="H187" s="617">
        <f t="shared" si="15"/>
        <v>0</v>
      </c>
      <c r="I187" s="617"/>
      <c r="J187" s="619">
        <f t="shared" si="16"/>
        <v>0</v>
      </c>
      <c r="K187" s="619"/>
      <c r="L187" s="617">
        <f t="shared" si="17"/>
        <v>0</v>
      </c>
      <c r="M187" s="617"/>
      <c r="N187" s="555">
        <f t="shared" si="18"/>
        <v>0</v>
      </c>
      <c r="O187" s="556"/>
      <c r="P187" s="617">
        <f t="shared" si="19"/>
        <v>0</v>
      </c>
      <c r="Q187" s="617"/>
      <c r="R187" s="555">
        <f t="shared" si="20"/>
        <v>0</v>
      </c>
      <c r="S187" s="556"/>
      <c r="T187" s="617">
        <f t="shared" si="21"/>
        <v>0</v>
      </c>
      <c r="U187" s="617"/>
      <c r="V187" s="619">
        <f t="shared" si="22"/>
        <v>0</v>
      </c>
      <c r="W187" s="619"/>
      <c r="X187" s="688">
        <f t="shared" si="12"/>
        <v>0</v>
      </c>
      <c r="Y187" s="609"/>
      <c r="Z187" s="610">
        <f t="shared" si="13"/>
        <v>0</v>
      </c>
      <c r="AA187" s="610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55"/>
      <c r="B188" s="9"/>
      <c r="C188" s="510" t="str">
        <f t="shared" si="14"/>
        <v>MANG 1/2 X 1/2 PLAST ECON</v>
      </c>
      <c r="D188" s="510"/>
      <c r="E188" s="510"/>
      <c r="F188" s="510"/>
      <c r="G188" s="510"/>
      <c r="H188" s="617">
        <f t="shared" si="15"/>
        <v>0</v>
      </c>
      <c r="I188" s="617"/>
      <c r="J188" s="619">
        <f t="shared" si="16"/>
        <v>0</v>
      </c>
      <c r="K188" s="619"/>
      <c r="L188" s="617">
        <f t="shared" si="17"/>
        <v>0</v>
      </c>
      <c r="M188" s="617"/>
      <c r="N188" s="555">
        <f t="shared" si="18"/>
        <v>0</v>
      </c>
      <c r="O188" s="556"/>
      <c r="P188" s="617">
        <f t="shared" si="19"/>
        <v>0</v>
      </c>
      <c r="Q188" s="617"/>
      <c r="R188" s="555">
        <f t="shared" si="20"/>
        <v>0</v>
      </c>
      <c r="S188" s="556"/>
      <c r="T188" s="617">
        <f t="shared" si="21"/>
        <v>0</v>
      </c>
      <c r="U188" s="617"/>
      <c r="V188" s="619">
        <f t="shared" si="22"/>
        <v>0</v>
      </c>
      <c r="W188" s="619"/>
      <c r="X188" s="688">
        <f t="shared" si="12"/>
        <v>0</v>
      </c>
      <c r="Y188" s="609"/>
      <c r="Z188" s="610">
        <f t="shared" si="13"/>
        <v>0</v>
      </c>
      <c r="AA188" s="610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55"/>
      <c r="B189" s="9"/>
      <c r="C189" s="510" t="str">
        <f t="shared" si="14"/>
        <v>TUBO COBRE 3/16</v>
      </c>
      <c r="D189" s="510"/>
      <c r="E189" s="510"/>
      <c r="F189" s="510"/>
      <c r="G189" s="510"/>
      <c r="H189" s="617">
        <f t="shared" si="15"/>
        <v>0</v>
      </c>
      <c r="I189" s="617"/>
      <c r="J189" s="619">
        <f t="shared" si="16"/>
        <v>0</v>
      </c>
      <c r="K189" s="619"/>
      <c r="L189" s="617">
        <f t="shared" si="17"/>
        <v>0</v>
      </c>
      <c r="M189" s="617"/>
      <c r="N189" s="555">
        <f t="shared" si="18"/>
        <v>0</v>
      </c>
      <c r="O189" s="556"/>
      <c r="P189" s="617">
        <f t="shared" si="19"/>
        <v>0</v>
      </c>
      <c r="Q189" s="617"/>
      <c r="R189" s="555">
        <f t="shared" si="20"/>
        <v>0</v>
      </c>
      <c r="S189" s="556"/>
      <c r="T189" s="617">
        <f t="shared" si="21"/>
        <v>0</v>
      </c>
      <c r="U189" s="617"/>
      <c r="V189" s="619">
        <f t="shared" si="22"/>
        <v>0</v>
      </c>
      <c r="W189" s="619"/>
      <c r="X189" s="688">
        <f t="shared" si="12"/>
        <v>0</v>
      </c>
      <c r="Y189" s="609"/>
      <c r="Z189" s="610">
        <f t="shared" si="13"/>
        <v>0</v>
      </c>
      <c r="AA189" s="610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55"/>
      <c r="B190" s="9"/>
      <c r="C190" s="510" t="str">
        <f t="shared" si="14"/>
        <v>DISCO C/M 4 1/2 WINONE</v>
      </c>
      <c r="D190" s="510"/>
      <c r="E190" s="510"/>
      <c r="F190" s="510"/>
      <c r="G190" s="510"/>
      <c r="H190" s="617">
        <f t="shared" si="15"/>
        <v>0</v>
      </c>
      <c r="I190" s="617"/>
      <c r="J190" s="619">
        <f t="shared" si="16"/>
        <v>0</v>
      </c>
      <c r="K190" s="619"/>
      <c r="L190" s="617">
        <f t="shared" si="17"/>
        <v>0</v>
      </c>
      <c r="M190" s="617"/>
      <c r="N190" s="555">
        <f t="shared" si="18"/>
        <v>0</v>
      </c>
      <c r="O190" s="556"/>
      <c r="P190" s="617">
        <f t="shared" si="19"/>
        <v>0</v>
      </c>
      <c r="Q190" s="617"/>
      <c r="R190" s="555">
        <f t="shared" si="20"/>
        <v>0</v>
      </c>
      <c r="S190" s="556"/>
      <c r="T190" s="617">
        <f t="shared" si="21"/>
        <v>0</v>
      </c>
      <c r="U190" s="617"/>
      <c r="V190" s="619">
        <f t="shared" si="22"/>
        <v>0</v>
      </c>
      <c r="W190" s="619"/>
      <c r="X190" s="688">
        <f t="shared" si="12"/>
        <v>0</v>
      </c>
      <c r="Y190" s="609"/>
      <c r="Z190" s="610">
        <f t="shared" si="13"/>
        <v>0</v>
      </c>
      <c r="AA190" s="610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55"/>
      <c r="B191" s="9"/>
      <c r="C191" s="510" t="str">
        <f t="shared" si="14"/>
        <v>DISCO R/M 4 1/2 WINONE</v>
      </c>
      <c r="D191" s="510"/>
      <c r="E191" s="510"/>
      <c r="F191" s="510"/>
      <c r="G191" s="510"/>
      <c r="H191" s="617">
        <f t="shared" si="15"/>
        <v>0</v>
      </c>
      <c r="I191" s="617"/>
      <c r="J191" s="619">
        <f t="shared" si="16"/>
        <v>0</v>
      </c>
      <c r="K191" s="619"/>
      <c r="L191" s="617">
        <f t="shared" si="17"/>
        <v>0</v>
      </c>
      <c r="M191" s="617"/>
      <c r="N191" s="555">
        <f t="shared" si="18"/>
        <v>0</v>
      </c>
      <c r="O191" s="556"/>
      <c r="P191" s="617">
        <f t="shared" si="19"/>
        <v>0</v>
      </c>
      <c r="Q191" s="617"/>
      <c r="R191" s="555">
        <f t="shared" si="20"/>
        <v>0</v>
      </c>
      <c r="S191" s="556"/>
      <c r="T191" s="617">
        <f t="shared" si="21"/>
        <v>0</v>
      </c>
      <c r="U191" s="617"/>
      <c r="V191" s="619">
        <f t="shared" si="22"/>
        <v>0</v>
      </c>
      <c r="W191" s="619"/>
      <c r="X191" s="688">
        <f t="shared" si="12"/>
        <v>0</v>
      </c>
      <c r="Y191" s="609"/>
      <c r="Z191" s="610">
        <f t="shared" si="13"/>
        <v>0</v>
      </c>
      <c r="AA191" s="610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55"/>
      <c r="B192" s="9"/>
      <c r="C192" s="510" t="str">
        <f t="shared" si="14"/>
        <v>LLAVERO GANCHO GRANDE</v>
      </c>
      <c r="D192" s="510"/>
      <c r="E192" s="510"/>
      <c r="F192" s="510"/>
      <c r="G192" s="510"/>
      <c r="H192" s="617">
        <f t="shared" si="15"/>
        <v>0</v>
      </c>
      <c r="I192" s="617"/>
      <c r="J192" s="619">
        <f t="shared" si="16"/>
        <v>0</v>
      </c>
      <c r="K192" s="619"/>
      <c r="L192" s="617">
        <f t="shared" si="17"/>
        <v>0</v>
      </c>
      <c r="M192" s="617"/>
      <c r="N192" s="555">
        <f t="shared" si="18"/>
        <v>0</v>
      </c>
      <c r="O192" s="556"/>
      <c r="P192" s="617">
        <f t="shared" si="19"/>
        <v>0</v>
      </c>
      <c r="Q192" s="617"/>
      <c r="R192" s="555">
        <f t="shared" si="20"/>
        <v>0</v>
      </c>
      <c r="S192" s="556"/>
      <c r="T192" s="617">
        <f t="shared" si="21"/>
        <v>0</v>
      </c>
      <c r="U192" s="617"/>
      <c r="V192" s="619">
        <f t="shared" si="22"/>
        <v>0</v>
      </c>
      <c r="W192" s="619"/>
      <c r="X192" s="688">
        <f t="shared" si="12"/>
        <v>0</v>
      </c>
      <c r="Y192" s="609"/>
      <c r="Z192" s="610">
        <f t="shared" si="13"/>
        <v>0</v>
      </c>
      <c r="AA192" s="610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55"/>
      <c r="B193" s="9"/>
      <c r="C193" s="510" t="str">
        <f t="shared" si="14"/>
        <v>LLAVERO GANCHO MEDIANO</v>
      </c>
      <c r="D193" s="510"/>
      <c r="E193" s="510"/>
      <c r="F193" s="510"/>
      <c r="G193" s="510"/>
      <c r="H193" s="617">
        <f t="shared" si="15"/>
        <v>0</v>
      </c>
      <c r="I193" s="617"/>
      <c r="J193" s="619">
        <f t="shared" si="16"/>
        <v>0</v>
      </c>
      <c r="K193" s="619"/>
      <c r="L193" s="617">
        <f t="shared" si="17"/>
        <v>0</v>
      </c>
      <c r="M193" s="617"/>
      <c r="N193" s="555">
        <f t="shared" si="18"/>
        <v>0</v>
      </c>
      <c r="O193" s="556"/>
      <c r="P193" s="617">
        <f t="shared" si="19"/>
        <v>0</v>
      </c>
      <c r="Q193" s="617"/>
      <c r="R193" s="555">
        <f t="shared" si="20"/>
        <v>0</v>
      </c>
      <c r="S193" s="556"/>
      <c r="T193" s="617">
        <f t="shared" si="21"/>
        <v>0</v>
      </c>
      <c r="U193" s="617"/>
      <c r="V193" s="619">
        <f t="shared" si="22"/>
        <v>0</v>
      </c>
      <c r="W193" s="619"/>
      <c r="X193" s="688">
        <f t="shared" si="12"/>
        <v>0</v>
      </c>
      <c r="Y193" s="609"/>
      <c r="Z193" s="610">
        <f t="shared" si="13"/>
        <v>0</v>
      </c>
      <c r="AA193" s="610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55"/>
      <c r="B194" s="9"/>
      <c r="C194" s="510" t="str">
        <f t="shared" si="14"/>
        <v>LLAVERO SECURITY</v>
      </c>
      <c r="D194" s="510"/>
      <c r="E194" s="510"/>
      <c r="F194" s="510"/>
      <c r="G194" s="510"/>
      <c r="H194" s="617">
        <f t="shared" si="15"/>
        <v>0</v>
      </c>
      <c r="I194" s="617"/>
      <c r="J194" s="619">
        <f t="shared" si="16"/>
        <v>0</v>
      </c>
      <c r="K194" s="619"/>
      <c r="L194" s="617">
        <f t="shared" si="17"/>
        <v>0</v>
      </c>
      <c r="M194" s="617"/>
      <c r="N194" s="555">
        <f t="shared" si="18"/>
        <v>0</v>
      </c>
      <c r="O194" s="556"/>
      <c r="P194" s="617">
        <f t="shared" si="19"/>
        <v>0</v>
      </c>
      <c r="Q194" s="617"/>
      <c r="R194" s="555">
        <f t="shared" si="20"/>
        <v>0</v>
      </c>
      <c r="S194" s="556"/>
      <c r="T194" s="617">
        <f t="shared" si="21"/>
        <v>0</v>
      </c>
      <c r="U194" s="617"/>
      <c r="V194" s="619">
        <f t="shared" si="22"/>
        <v>0</v>
      </c>
      <c r="W194" s="619"/>
      <c r="X194" s="688">
        <f t="shared" si="12"/>
        <v>0</v>
      </c>
      <c r="Y194" s="609"/>
      <c r="Z194" s="610">
        <f t="shared" si="13"/>
        <v>0</v>
      </c>
      <c r="AA194" s="610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55"/>
      <c r="B195" s="9"/>
      <c r="C195" s="510" t="str">
        <f t="shared" si="14"/>
        <v>GRIFERIA LAVAPLATO INDIVIDUAL</v>
      </c>
      <c r="D195" s="510"/>
      <c r="E195" s="510"/>
      <c r="F195" s="510"/>
      <c r="G195" s="510"/>
      <c r="H195" s="617">
        <f t="shared" si="15"/>
        <v>0</v>
      </c>
      <c r="I195" s="617"/>
      <c r="J195" s="619">
        <f t="shared" si="16"/>
        <v>0</v>
      </c>
      <c r="K195" s="619"/>
      <c r="L195" s="617">
        <f t="shared" si="17"/>
        <v>0</v>
      </c>
      <c r="M195" s="617"/>
      <c r="N195" s="555">
        <f t="shared" si="18"/>
        <v>0</v>
      </c>
      <c r="O195" s="556"/>
      <c r="P195" s="617">
        <f t="shared" si="19"/>
        <v>0</v>
      </c>
      <c r="Q195" s="617"/>
      <c r="R195" s="555">
        <f t="shared" si="20"/>
        <v>0</v>
      </c>
      <c r="S195" s="556"/>
      <c r="T195" s="617">
        <f t="shared" si="21"/>
        <v>0</v>
      </c>
      <c r="U195" s="617"/>
      <c r="V195" s="619">
        <f t="shared" si="22"/>
        <v>0</v>
      </c>
      <c r="W195" s="619"/>
      <c r="X195" s="688">
        <f t="shared" si="12"/>
        <v>0</v>
      </c>
      <c r="Y195" s="609"/>
      <c r="Z195" s="610">
        <f t="shared" si="13"/>
        <v>0</v>
      </c>
      <c r="AA195" s="610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55"/>
      <c r="B196" s="9"/>
      <c r="C196" s="510" t="str">
        <f t="shared" si="14"/>
        <v>LLAVE SENCILLA LAVAPLATO GRIVEN</v>
      </c>
      <c r="D196" s="510"/>
      <c r="E196" s="510"/>
      <c r="F196" s="510"/>
      <c r="G196" s="510"/>
      <c r="H196" s="617">
        <f t="shared" si="15"/>
        <v>0</v>
      </c>
      <c r="I196" s="617"/>
      <c r="J196" s="619">
        <f t="shared" si="16"/>
        <v>0</v>
      </c>
      <c r="K196" s="619"/>
      <c r="L196" s="617">
        <f t="shared" si="17"/>
        <v>0</v>
      </c>
      <c r="M196" s="617"/>
      <c r="N196" s="555">
        <f t="shared" si="18"/>
        <v>0</v>
      </c>
      <c r="O196" s="556"/>
      <c r="P196" s="617">
        <f t="shared" si="19"/>
        <v>0</v>
      </c>
      <c r="Q196" s="617"/>
      <c r="R196" s="555">
        <f t="shared" si="20"/>
        <v>0</v>
      </c>
      <c r="S196" s="556"/>
      <c r="T196" s="617">
        <f t="shared" si="21"/>
        <v>0</v>
      </c>
      <c r="U196" s="617"/>
      <c r="V196" s="619">
        <f t="shared" si="22"/>
        <v>0</v>
      </c>
      <c r="W196" s="619"/>
      <c r="X196" s="688">
        <f t="shared" si="12"/>
        <v>0</v>
      </c>
      <c r="Y196" s="609"/>
      <c r="Z196" s="610">
        <f t="shared" si="13"/>
        <v>0</v>
      </c>
      <c r="AA196" s="610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55"/>
      <c r="B197" s="9"/>
      <c r="C197" s="510" t="str">
        <f t="shared" si="14"/>
        <v>CODO 75MM X 90 RIEGO</v>
      </c>
      <c r="D197" s="510"/>
      <c r="E197" s="510"/>
      <c r="F197" s="510"/>
      <c r="G197" s="510"/>
      <c r="H197" s="617">
        <f t="shared" si="15"/>
        <v>0</v>
      </c>
      <c r="I197" s="617"/>
      <c r="J197" s="619">
        <f t="shared" si="16"/>
        <v>0</v>
      </c>
      <c r="K197" s="619"/>
      <c r="L197" s="617">
        <f t="shared" si="17"/>
        <v>0</v>
      </c>
      <c r="M197" s="617"/>
      <c r="N197" s="555">
        <f t="shared" si="18"/>
        <v>0</v>
      </c>
      <c r="O197" s="556"/>
      <c r="P197" s="617">
        <f t="shared" si="19"/>
        <v>0</v>
      </c>
      <c r="Q197" s="617"/>
      <c r="R197" s="555">
        <f t="shared" si="20"/>
        <v>0</v>
      </c>
      <c r="S197" s="556"/>
      <c r="T197" s="617">
        <f t="shared" si="21"/>
        <v>0</v>
      </c>
      <c r="U197" s="617"/>
      <c r="V197" s="619">
        <f t="shared" si="22"/>
        <v>0</v>
      </c>
      <c r="W197" s="619"/>
      <c r="X197" s="688">
        <f t="shared" si="12"/>
        <v>0</v>
      </c>
      <c r="Y197" s="609"/>
      <c r="Z197" s="610">
        <f t="shared" si="13"/>
        <v>0</v>
      </c>
      <c r="AA197" s="610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55"/>
      <c r="B198" s="9"/>
      <c r="C198" s="510" t="str">
        <f t="shared" si="14"/>
        <v>INFLADOR P/CAUCHOS</v>
      </c>
      <c r="D198" s="510"/>
      <c r="E198" s="510"/>
      <c r="F198" s="510"/>
      <c r="G198" s="510"/>
      <c r="H198" s="617">
        <f t="shared" si="15"/>
        <v>36</v>
      </c>
      <c r="I198" s="617"/>
      <c r="J198" s="619">
        <f t="shared" si="16"/>
        <v>288</v>
      </c>
      <c r="K198" s="619"/>
      <c r="L198" s="617">
        <f t="shared" si="17"/>
        <v>0</v>
      </c>
      <c r="M198" s="617"/>
      <c r="N198" s="555">
        <f t="shared" si="18"/>
        <v>0</v>
      </c>
      <c r="O198" s="556"/>
      <c r="P198" s="617">
        <f t="shared" si="19"/>
        <v>0</v>
      </c>
      <c r="Q198" s="617"/>
      <c r="R198" s="555">
        <f t="shared" si="20"/>
        <v>0</v>
      </c>
      <c r="S198" s="556"/>
      <c r="T198" s="617">
        <f t="shared" si="21"/>
        <v>0</v>
      </c>
      <c r="U198" s="617"/>
      <c r="V198" s="619">
        <f t="shared" si="22"/>
        <v>0</v>
      </c>
      <c r="W198" s="619"/>
      <c r="X198" s="688">
        <f t="shared" si="12"/>
        <v>36</v>
      </c>
      <c r="Y198" s="609"/>
      <c r="Z198" s="610">
        <f t="shared" si="13"/>
        <v>288</v>
      </c>
      <c r="AA198" s="610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55"/>
      <c r="B199" s="9"/>
      <c r="C199" s="510" t="str">
        <f t="shared" si="14"/>
        <v>SERRUCHO SECURITY 14" DE PODAR</v>
      </c>
      <c r="D199" s="510"/>
      <c r="E199" s="510"/>
      <c r="F199" s="510"/>
      <c r="G199" s="510"/>
      <c r="H199" s="617">
        <f t="shared" si="15"/>
        <v>0</v>
      </c>
      <c r="I199" s="617"/>
      <c r="J199" s="619">
        <f t="shared" si="16"/>
        <v>0</v>
      </c>
      <c r="K199" s="619"/>
      <c r="L199" s="617">
        <f t="shared" si="17"/>
        <v>0</v>
      </c>
      <c r="M199" s="617"/>
      <c r="N199" s="555">
        <f t="shared" si="18"/>
        <v>0</v>
      </c>
      <c r="O199" s="556"/>
      <c r="P199" s="617">
        <f t="shared" si="19"/>
        <v>0</v>
      </c>
      <c r="Q199" s="617"/>
      <c r="R199" s="555">
        <f t="shared" si="20"/>
        <v>0</v>
      </c>
      <c r="S199" s="556"/>
      <c r="T199" s="617">
        <f t="shared" si="21"/>
        <v>0</v>
      </c>
      <c r="U199" s="617"/>
      <c r="V199" s="619">
        <f t="shared" si="22"/>
        <v>0</v>
      </c>
      <c r="W199" s="619"/>
      <c r="X199" s="688">
        <f t="shared" si="12"/>
        <v>0</v>
      </c>
      <c r="Y199" s="609"/>
      <c r="Z199" s="610">
        <f t="shared" si="13"/>
        <v>0</v>
      </c>
      <c r="AA199" s="610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55"/>
      <c r="B200" s="9"/>
      <c r="C200" s="510" t="str">
        <f t="shared" si="14"/>
        <v>SPLINTER ORIG 2 VIAS</v>
      </c>
      <c r="D200" s="510"/>
      <c r="E200" s="510"/>
      <c r="F200" s="510"/>
      <c r="G200" s="510"/>
      <c r="H200" s="617">
        <f t="shared" si="15"/>
        <v>0</v>
      </c>
      <c r="I200" s="617"/>
      <c r="J200" s="619">
        <f t="shared" si="16"/>
        <v>0</v>
      </c>
      <c r="K200" s="619"/>
      <c r="L200" s="617">
        <f t="shared" si="17"/>
        <v>0</v>
      </c>
      <c r="M200" s="617"/>
      <c r="N200" s="555">
        <f t="shared" si="18"/>
        <v>0</v>
      </c>
      <c r="O200" s="556"/>
      <c r="P200" s="617">
        <f t="shared" si="19"/>
        <v>0</v>
      </c>
      <c r="Q200" s="617"/>
      <c r="R200" s="555">
        <f t="shared" si="20"/>
        <v>0</v>
      </c>
      <c r="S200" s="556"/>
      <c r="T200" s="617">
        <f t="shared" si="21"/>
        <v>0</v>
      </c>
      <c r="U200" s="617"/>
      <c r="V200" s="619">
        <f t="shared" si="22"/>
        <v>0</v>
      </c>
      <c r="W200" s="619"/>
      <c r="X200" s="688">
        <f t="shared" si="12"/>
        <v>0</v>
      </c>
      <c r="Y200" s="609"/>
      <c r="Z200" s="610">
        <f t="shared" si="13"/>
        <v>0</v>
      </c>
      <c r="AA200" s="610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55"/>
      <c r="B201" s="9"/>
      <c r="C201" s="510" t="str">
        <f t="shared" si="14"/>
        <v>LAMPARA DE NOCHE</v>
      </c>
      <c r="D201" s="510"/>
      <c r="E201" s="510"/>
      <c r="F201" s="510"/>
      <c r="G201" s="510"/>
      <c r="H201" s="617">
        <f t="shared" si="15"/>
        <v>0</v>
      </c>
      <c r="I201" s="617"/>
      <c r="J201" s="619">
        <f t="shared" si="16"/>
        <v>0</v>
      </c>
      <c r="K201" s="619"/>
      <c r="L201" s="617">
        <f t="shared" si="17"/>
        <v>0</v>
      </c>
      <c r="M201" s="617"/>
      <c r="N201" s="555">
        <f t="shared" si="18"/>
        <v>0</v>
      </c>
      <c r="O201" s="556"/>
      <c r="P201" s="617">
        <f t="shared" si="19"/>
        <v>0</v>
      </c>
      <c r="Q201" s="617"/>
      <c r="R201" s="555">
        <f t="shared" si="20"/>
        <v>0</v>
      </c>
      <c r="S201" s="556"/>
      <c r="T201" s="617">
        <f t="shared" si="21"/>
        <v>0</v>
      </c>
      <c r="U201" s="617"/>
      <c r="V201" s="619">
        <f t="shared" si="22"/>
        <v>0</v>
      </c>
      <c r="W201" s="619"/>
      <c r="X201" s="688">
        <f t="shared" si="12"/>
        <v>0</v>
      </c>
      <c r="Y201" s="609"/>
      <c r="Z201" s="610">
        <f t="shared" si="13"/>
        <v>0</v>
      </c>
      <c r="AA201" s="610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55"/>
      <c r="C202" s="26"/>
      <c r="D202" s="26"/>
      <c r="E202" s="26"/>
      <c r="F202" s="26"/>
      <c r="G202" s="26"/>
      <c r="H202" s="590">
        <f>SUM(J140:K201)</f>
        <v>538.70000000000005</v>
      </c>
      <c r="I202" s="591"/>
      <c r="J202" s="591"/>
      <c r="K202" s="591"/>
      <c r="L202" s="591">
        <f>SUM(N140:O201)</f>
        <v>0</v>
      </c>
      <c r="M202" s="591"/>
      <c r="N202" s="591"/>
      <c r="O202" s="592"/>
      <c r="P202" s="591">
        <f>SUM(R140:S201)</f>
        <v>0</v>
      </c>
      <c r="Q202" s="591"/>
      <c r="R202" s="591"/>
      <c r="S202" s="592"/>
      <c r="T202" s="591">
        <f>SUM(V140:W201)</f>
        <v>0</v>
      </c>
      <c r="U202" s="591"/>
      <c r="V202" s="591"/>
      <c r="W202" s="592"/>
      <c r="X202" s="590">
        <f>SUM(Z140:AA201)</f>
        <v>538.70000000000005</v>
      </c>
      <c r="Y202" s="591"/>
      <c r="Z202" s="591"/>
      <c r="AA202" s="591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55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55"/>
      <c r="B204" s="55"/>
      <c r="C204" s="56"/>
      <c r="D204" s="56"/>
      <c r="E204" s="56"/>
      <c r="F204" s="56"/>
      <c r="G204" s="56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4"/>
      <c r="X204" s="54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55"/>
      <c r="B205" s="55"/>
      <c r="C205" s="56"/>
      <c r="D205" s="56"/>
      <c r="E205" s="56"/>
      <c r="F205" s="56"/>
      <c r="G205" s="56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4"/>
      <c r="X205" s="54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8"/>
      <c r="B207" s="648" t="s">
        <v>93</v>
      </c>
      <c r="C207" s="648"/>
      <c r="D207" s="648"/>
      <c r="E207" s="648"/>
      <c r="F207" s="648"/>
      <c r="G207" s="648"/>
      <c r="H207" s="648"/>
      <c r="I207" s="648"/>
      <c r="J207" s="648"/>
      <c r="K207" s="648"/>
      <c r="L207" s="648"/>
      <c r="M207" s="648"/>
      <c r="N207" s="648"/>
      <c r="O207" s="648"/>
      <c r="P207" s="648"/>
      <c r="Q207" s="648"/>
      <c r="R207" s="648"/>
      <c r="S207" s="648"/>
      <c r="T207" s="648"/>
      <c r="U207" s="648"/>
      <c r="V207" s="648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8"/>
      <c r="B208" s="648"/>
      <c r="C208" s="648"/>
      <c r="D208" s="648"/>
      <c r="E208" s="648"/>
      <c r="F208" s="648"/>
      <c r="G208" s="648"/>
      <c r="H208" s="648"/>
      <c r="I208" s="648"/>
      <c r="J208" s="648"/>
      <c r="K208" s="648"/>
      <c r="L208" s="648"/>
      <c r="M208" s="648"/>
      <c r="N208" s="648"/>
      <c r="O208" s="648"/>
      <c r="P208" s="648"/>
      <c r="Q208" s="648"/>
      <c r="R208" s="648"/>
      <c r="S208" s="648"/>
      <c r="T208" s="648"/>
      <c r="U208" s="648"/>
      <c r="V208" s="648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8"/>
      <c r="B209" s="648"/>
      <c r="C209" s="648"/>
      <c r="D209" s="648"/>
      <c r="E209" s="648"/>
      <c r="F209" s="648"/>
      <c r="G209" s="648"/>
      <c r="H209" s="648"/>
      <c r="I209" s="648"/>
      <c r="J209" s="648"/>
      <c r="K209" s="648"/>
      <c r="L209" s="648"/>
      <c r="M209" s="648"/>
      <c r="N209" s="648"/>
      <c r="O209" s="648"/>
      <c r="P209" s="648"/>
      <c r="Q209" s="648"/>
      <c r="R209" s="648"/>
      <c r="S209" s="648"/>
      <c r="T209" s="648"/>
      <c r="U209" s="648"/>
      <c r="V209" s="648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8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82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8"/>
      <c r="C211" s="682" t="s">
        <v>283</v>
      </c>
      <c r="D211" s="682"/>
      <c r="E211" s="682"/>
      <c r="F211" s="682"/>
      <c r="G211" s="682"/>
      <c r="H211" s="682"/>
      <c r="I211" s="682"/>
      <c r="J211" s="682"/>
      <c r="K211" s="682"/>
      <c r="L211" s="682"/>
      <c r="M211" s="682"/>
      <c r="N211" s="682"/>
      <c r="O211" s="133"/>
      <c r="P211" s="8"/>
      <c r="Q211" s="8"/>
      <c r="R211" s="8"/>
      <c r="S211" s="8"/>
    </row>
    <row r="212" spans="1:31" ht="26.25" x14ac:dyDescent="0.25">
      <c r="A212" s="48"/>
      <c r="C212" s="683" t="s">
        <v>2</v>
      </c>
      <c r="D212" s="645"/>
      <c r="E212" s="645"/>
      <c r="F212" s="645"/>
      <c r="G212" s="707"/>
      <c r="H212" s="29">
        <v>1</v>
      </c>
      <c r="I212" s="39" t="s">
        <v>91</v>
      </c>
      <c r="J212" s="259" t="s">
        <v>89</v>
      </c>
      <c r="K212" s="15" t="s">
        <v>77</v>
      </c>
      <c r="L212" s="15" t="s">
        <v>78</v>
      </c>
      <c r="M212" s="15" t="s">
        <v>79</v>
      </c>
      <c r="N212" s="13" t="s">
        <v>102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8"/>
      <c r="C213" s="634" t="str">
        <f>C140</f>
        <v>BUSH HG 1 1/2" X 1"</v>
      </c>
      <c r="D213" s="510"/>
      <c r="E213" s="510"/>
      <c r="F213" s="510"/>
      <c r="G213" s="566"/>
      <c r="H213" s="63">
        <v>4500</v>
      </c>
      <c r="I213" s="63"/>
      <c r="J213" s="39"/>
      <c r="K213" s="64">
        <f>H213</f>
        <v>4500</v>
      </c>
      <c r="L213" s="15">
        <f>X140</f>
        <v>0</v>
      </c>
      <c r="M213" s="94">
        <f>K213-L213</f>
        <v>4500</v>
      </c>
      <c r="N213" s="206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8"/>
      <c r="C214" s="634" t="str">
        <f t="shared" ref="C214:C274" si="23">C141</f>
        <v>BUSH HG 1" X 1/2"</v>
      </c>
      <c r="D214" s="510"/>
      <c r="E214" s="510"/>
      <c r="F214" s="510"/>
      <c r="G214" s="566"/>
      <c r="H214" s="63">
        <v>1023</v>
      </c>
      <c r="I214" s="63"/>
      <c r="J214" s="260"/>
      <c r="K214" s="64">
        <f t="shared" ref="K214:K234" si="24">H214</f>
        <v>1023</v>
      </c>
      <c r="L214" s="15">
        <f t="shared" ref="L214:L234" si="25">X141</f>
        <v>0</v>
      </c>
      <c r="M214" s="94">
        <f t="shared" ref="M214:M234" si="26">K214-L214</f>
        <v>1023</v>
      </c>
      <c r="N214" s="206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8"/>
      <c r="C215" s="634" t="str">
        <f t="shared" si="23"/>
        <v>ANILLO HG 3</v>
      </c>
      <c r="D215" s="510"/>
      <c r="E215" s="510"/>
      <c r="F215" s="510"/>
      <c r="G215" s="566"/>
      <c r="H215" s="63">
        <v>27</v>
      </c>
      <c r="I215" s="63"/>
      <c r="J215" s="260"/>
      <c r="K215" s="64">
        <f t="shared" si="24"/>
        <v>27</v>
      </c>
      <c r="L215" s="15">
        <f t="shared" si="25"/>
        <v>0</v>
      </c>
      <c r="M215" s="94">
        <f t="shared" si="26"/>
        <v>27</v>
      </c>
      <c r="N215" s="206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8"/>
      <c r="C216" s="634" t="str">
        <f t="shared" si="23"/>
        <v>ANILLO HG 4</v>
      </c>
      <c r="D216" s="510"/>
      <c r="E216" s="510"/>
      <c r="F216" s="510"/>
      <c r="G216" s="566"/>
      <c r="H216" s="63">
        <v>12</v>
      </c>
      <c r="I216" s="63"/>
      <c r="J216" s="39"/>
      <c r="K216" s="64">
        <f t="shared" si="24"/>
        <v>12</v>
      </c>
      <c r="L216" s="15">
        <f t="shared" si="25"/>
        <v>0</v>
      </c>
      <c r="M216" s="94">
        <f t="shared" si="26"/>
        <v>12</v>
      </c>
      <c r="N216" s="206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8"/>
      <c r="C217" s="634" t="str">
        <f t="shared" si="23"/>
        <v>TAPON HG 1</v>
      </c>
      <c r="D217" s="510"/>
      <c r="E217" s="510"/>
      <c r="F217" s="510"/>
      <c r="G217" s="566"/>
      <c r="H217" s="63">
        <v>237</v>
      </c>
      <c r="I217" s="63"/>
      <c r="J217" s="39"/>
      <c r="K217" s="64">
        <f t="shared" si="24"/>
        <v>237</v>
      </c>
      <c r="L217" s="15">
        <f t="shared" si="25"/>
        <v>0</v>
      </c>
      <c r="M217" s="94">
        <f t="shared" si="26"/>
        <v>237</v>
      </c>
      <c r="N217" s="206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8"/>
      <c r="C218" s="634" t="str">
        <f t="shared" si="23"/>
        <v>TEE HG 1 1/2</v>
      </c>
      <c r="D218" s="510"/>
      <c r="E218" s="510"/>
      <c r="F218" s="510"/>
      <c r="G218" s="566"/>
      <c r="H218" s="63">
        <v>70</v>
      </c>
      <c r="I218" s="63"/>
      <c r="J218" s="39"/>
      <c r="K218" s="64">
        <f t="shared" si="24"/>
        <v>70</v>
      </c>
      <c r="L218" s="15">
        <f t="shared" si="25"/>
        <v>0</v>
      </c>
      <c r="M218" s="94">
        <f t="shared" si="26"/>
        <v>70</v>
      </c>
      <c r="N218" s="206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8"/>
      <c r="C219" s="634" t="str">
        <f t="shared" si="23"/>
        <v>CHECK PVC 1/2</v>
      </c>
      <c r="D219" s="510"/>
      <c r="E219" s="510"/>
      <c r="F219" s="510"/>
      <c r="G219" s="566"/>
      <c r="H219" s="63">
        <v>300</v>
      </c>
      <c r="I219" s="63"/>
      <c r="J219" s="260"/>
      <c r="K219" s="64">
        <f t="shared" si="24"/>
        <v>300</v>
      </c>
      <c r="L219" s="15">
        <f t="shared" si="25"/>
        <v>0</v>
      </c>
      <c r="M219" s="94">
        <f t="shared" si="26"/>
        <v>300</v>
      </c>
      <c r="N219" s="206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8"/>
      <c r="C220" s="634" t="str">
        <f t="shared" si="23"/>
        <v>CHECK PVC 3/4</v>
      </c>
      <c r="D220" s="510"/>
      <c r="E220" s="510"/>
      <c r="F220" s="510"/>
      <c r="G220" s="566"/>
      <c r="H220" s="63">
        <v>97</v>
      </c>
      <c r="I220" s="63"/>
      <c r="J220" s="260"/>
      <c r="K220" s="64">
        <f t="shared" si="24"/>
        <v>97</v>
      </c>
      <c r="L220" s="15">
        <f t="shared" si="25"/>
        <v>0</v>
      </c>
      <c r="M220" s="94">
        <f t="shared" si="26"/>
        <v>97</v>
      </c>
      <c r="N220" s="206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8"/>
      <c r="C221" s="634" t="str">
        <f t="shared" si="23"/>
        <v>CHECK PVC 1</v>
      </c>
      <c r="D221" s="510"/>
      <c r="E221" s="510"/>
      <c r="F221" s="510"/>
      <c r="G221" s="566"/>
      <c r="H221" s="63">
        <v>40</v>
      </c>
      <c r="I221" s="63"/>
      <c r="J221" s="261"/>
      <c r="K221" s="64">
        <f t="shared" si="24"/>
        <v>40</v>
      </c>
      <c r="L221" s="15">
        <f t="shared" si="25"/>
        <v>0</v>
      </c>
      <c r="M221" s="94">
        <f t="shared" si="26"/>
        <v>40</v>
      </c>
      <c r="N221" s="206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8"/>
      <c r="C222" s="634" t="str">
        <f t="shared" si="23"/>
        <v>CHECK PVC 1 1/2</v>
      </c>
      <c r="D222" s="510"/>
      <c r="E222" s="510"/>
      <c r="F222" s="510"/>
      <c r="G222" s="566"/>
      <c r="H222" s="63">
        <v>20</v>
      </c>
      <c r="I222" s="63"/>
      <c r="J222" s="260"/>
      <c r="K222" s="64">
        <f t="shared" si="24"/>
        <v>20</v>
      </c>
      <c r="L222" s="15">
        <f t="shared" si="25"/>
        <v>0</v>
      </c>
      <c r="M222" s="94">
        <f t="shared" si="26"/>
        <v>20</v>
      </c>
      <c r="N222" s="206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8"/>
      <c r="C223" s="634" t="str">
        <f t="shared" si="23"/>
        <v>ANILLO A/F C/R 3/4 PVC</v>
      </c>
      <c r="D223" s="510"/>
      <c r="E223" s="510"/>
      <c r="F223" s="510"/>
      <c r="G223" s="566"/>
      <c r="H223" s="63">
        <v>500</v>
      </c>
      <c r="I223" s="63"/>
      <c r="J223" s="260"/>
      <c r="K223" s="64">
        <f t="shared" si="24"/>
        <v>500</v>
      </c>
      <c r="L223" s="15">
        <f t="shared" si="25"/>
        <v>0</v>
      </c>
      <c r="M223" s="94">
        <f t="shared" si="26"/>
        <v>500</v>
      </c>
      <c r="N223" s="206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8"/>
      <c r="C224" s="634" t="str">
        <f t="shared" si="23"/>
        <v>ANILLO A/F C/R 1/2 PVC</v>
      </c>
      <c r="D224" s="510"/>
      <c r="E224" s="510"/>
      <c r="F224" s="510"/>
      <c r="G224" s="566"/>
      <c r="H224" s="63">
        <v>86</v>
      </c>
      <c r="I224" s="63"/>
      <c r="J224" s="260"/>
      <c r="K224" s="64">
        <f t="shared" si="24"/>
        <v>86</v>
      </c>
      <c r="L224" s="15">
        <f t="shared" si="25"/>
        <v>0</v>
      </c>
      <c r="M224" s="94">
        <f t="shared" si="26"/>
        <v>86</v>
      </c>
      <c r="N224" s="206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8"/>
      <c r="C225" s="634" t="str">
        <f t="shared" si="23"/>
        <v>TEE A/F C/R 1/2 PVC</v>
      </c>
      <c r="D225" s="510"/>
      <c r="E225" s="510"/>
      <c r="F225" s="510"/>
      <c r="G225" s="566"/>
      <c r="H225" s="63">
        <v>255</v>
      </c>
      <c r="I225" s="63"/>
      <c r="J225" s="39"/>
      <c r="K225" s="64">
        <f t="shared" si="24"/>
        <v>255</v>
      </c>
      <c r="L225" s="15">
        <f t="shared" si="25"/>
        <v>0</v>
      </c>
      <c r="M225" s="94">
        <f t="shared" si="26"/>
        <v>255</v>
      </c>
      <c r="N225" s="206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8"/>
      <c r="C226" s="634" t="str">
        <f t="shared" si="23"/>
        <v>TEE A/F C/R 3/4 PVC</v>
      </c>
      <c r="D226" s="510"/>
      <c r="E226" s="510"/>
      <c r="F226" s="510"/>
      <c r="G226" s="566"/>
      <c r="H226" s="63">
        <v>226</v>
      </c>
      <c r="I226" s="63"/>
      <c r="J226" s="39"/>
      <c r="K226" s="64">
        <f t="shared" si="24"/>
        <v>226</v>
      </c>
      <c r="L226" s="15">
        <f t="shared" si="25"/>
        <v>0</v>
      </c>
      <c r="M226" s="94">
        <f t="shared" si="26"/>
        <v>226</v>
      </c>
      <c r="N226" s="206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8"/>
      <c r="C227" s="634" t="str">
        <f t="shared" si="23"/>
        <v>CODO A/F C/R 1/2 X 90 PVC</v>
      </c>
      <c r="D227" s="510"/>
      <c r="E227" s="510"/>
      <c r="F227" s="510"/>
      <c r="G227" s="566"/>
      <c r="H227" s="63">
        <v>180</v>
      </c>
      <c r="I227" s="63"/>
      <c r="J227" s="39"/>
      <c r="K227" s="64">
        <f t="shared" si="24"/>
        <v>180</v>
      </c>
      <c r="L227" s="15">
        <f t="shared" si="25"/>
        <v>0</v>
      </c>
      <c r="M227" s="94">
        <f t="shared" si="26"/>
        <v>180</v>
      </c>
      <c r="N227" s="206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8"/>
      <c r="C228" s="634" t="str">
        <f t="shared" si="23"/>
        <v>TAPA A/F C/R 1/2 PVC</v>
      </c>
      <c r="D228" s="510"/>
      <c r="E228" s="510"/>
      <c r="F228" s="510"/>
      <c r="G228" s="566"/>
      <c r="H228" s="63">
        <v>300</v>
      </c>
      <c r="I228" s="63"/>
      <c r="J228" s="260"/>
      <c r="K228" s="64">
        <f t="shared" si="24"/>
        <v>300</v>
      </c>
      <c r="L228" s="15">
        <f t="shared" si="25"/>
        <v>0</v>
      </c>
      <c r="M228" s="94">
        <f t="shared" si="26"/>
        <v>300</v>
      </c>
      <c r="N228" s="206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8"/>
      <c r="C229" s="634" t="str">
        <f t="shared" si="23"/>
        <v>TAPA A/F C/R 3/4 PVC</v>
      </c>
      <c r="D229" s="510"/>
      <c r="E229" s="510"/>
      <c r="F229" s="510"/>
      <c r="G229" s="566"/>
      <c r="H229" s="63">
        <v>388</v>
      </c>
      <c r="I229" s="63"/>
      <c r="J229" s="260"/>
      <c r="K229" s="64">
        <f t="shared" si="24"/>
        <v>388</v>
      </c>
      <c r="L229" s="15">
        <f t="shared" si="25"/>
        <v>0</v>
      </c>
      <c r="M229" s="94">
        <f t="shared" si="26"/>
        <v>388</v>
      </c>
      <c r="N229" s="206">
        <f t="shared" si="27"/>
        <v>0</v>
      </c>
      <c r="O229" s="12"/>
      <c r="P229" s="256"/>
      <c r="Q229" s="256"/>
      <c r="R229" s="256"/>
      <c r="S229" s="256"/>
      <c r="T229" s="256"/>
      <c r="U229" s="256"/>
      <c r="V229" s="256"/>
      <c r="W229" s="256"/>
      <c r="X229" s="256"/>
      <c r="Y229" s="256"/>
      <c r="Z229" s="256"/>
      <c r="AA229" s="256"/>
    </row>
    <row r="230" spans="1:30" ht="15.75" x14ac:dyDescent="0.25">
      <c r="A230" s="48"/>
      <c r="C230" s="634" t="str">
        <f t="shared" si="23"/>
        <v>FLANCHE PVC 3/4 ECON</v>
      </c>
      <c r="D230" s="510"/>
      <c r="E230" s="510"/>
      <c r="F230" s="510"/>
      <c r="G230" s="566"/>
      <c r="H230" s="63">
        <v>113</v>
      </c>
      <c r="I230" s="63"/>
      <c r="J230" s="260"/>
      <c r="K230" s="64">
        <f t="shared" si="24"/>
        <v>113</v>
      </c>
      <c r="L230" s="15">
        <f t="shared" si="25"/>
        <v>0</v>
      </c>
      <c r="M230" s="94">
        <f t="shared" si="26"/>
        <v>113</v>
      </c>
      <c r="N230" s="206">
        <f t="shared" si="27"/>
        <v>0</v>
      </c>
      <c r="O230" s="12"/>
      <c r="P230" s="256"/>
      <c r="Q230" s="256"/>
      <c r="R230" s="256"/>
      <c r="S230" s="256"/>
      <c r="T230" s="256"/>
      <c r="U230" s="256"/>
      <c r="V230" s="256"/>
      <c r="W230" s="256"/>
      <c r="X230" s="256"/>
      <c r="Y230" s="256"/>
      <c r="Z230" s="256"/>
      <c r="AA230" s="256"/>
    </row>
    <row r="231" spans="1:30" ht="15.75" x14ac:dyDescent="0.25">
      <c r="A231" s="48"/>
      <c r="C231" s="634" t="str">
        <f t="shared" si="23"/>
        <v>UNION PAT A/F 1 1/2 P/P ECON</v>
      </c>
      <c r="D231" s="510"/>
      <c r="E231" s="510"/>
      <c r="F231" s="510"/>
      <c r="G231" s="566"/>
      <c r="H231" s="63">
        <v>8</v>
      </c>
      <c r="I231" s="63"/>
      <c r="J231" s="260"/>
      <c r="K231" s="64">
        <f t="shared" si="24"/>
        <v>8</v>
      </c>
      <c r="L231" s="15">
        <f t="shared" si="25"/>
        <v>0</v>
      </c>
      <c r="M231" s="94">
        <f t="shared" si="26"/>
        <v>8</v>
      </c>
      <c r="N231" s="206">
        <f t="shared" si="27"/>
        <v>0</v>
      </c>
      <c r="O231" s="12"/>
      <c r="P231" s="256"/>
      <c r="Q231" s="256"/>
      <c r="R231" s="256"/>
      <c r="S231" s="256"/>
      <c r="T231" s="256"/>
      <c r="U231" s="256"/>
      <c r="V231" s="256"/>
      <c r="W231" s="256"/>
      <c r="X231" s="256"/>
      <c r="Y231" s="256"/>
      <c r="Z231" s="256"/>
      <c r="AA231" s="256"/>
    </row>
    <row r="232" spans="1:30" ht="15.75" x14ac:dyDescent="0.25">
      <c r="A232" s="48"/>
      <c r="C232" s="634" t="str">
        <f t="shared" si="23"/>
        <v>UNION PAT A/F 1/2 P/P ECON</v>
      </c>
      <c r="D232" s="510"/>
      <c r="E232" s="510"/>
      <c r="F232" s="510"/>
      <c r="G232" s="566"/>
      <c r="H232" s="63">
        <v>101</v>
      </c>
      <c r="I232" s="63"/>
      <c r="J232" s="260"/>
      <c r="K232" s="64">
        <f t="shared" si="24"/>
        <v>101</v>
      </c>
      <c r="L232" s="15">
        <f t="shared" si="25"/>
        <v>0</v>
      </c>
      <c r="M232" s="94">
        <f t="shared" si="26"/>
        <v>101</v>
      </c>
      <c r="N232" s="206">
        <f t="shared" si="27"/>
        <v>0</v>
      </c>
      <c r="O232" s="12"/>
      <c r="P232" s="256"/>
      <c r="Q232" s="256"/>
      <c r="R232" s="256"/>
      <c r="S232" s="256"/>
      <c r="T232" s="256"/>
      <c r="U232" s="256"/>
      <c r="V232" s="256"/>
      <c r="W232" s="256"/>
      <c r="X232" s="256"/>
      <c r="Y232" s="256"/>
      <c r="Z232" s="256"/>
      <c r="AA232" s="256"/>
    </row>
    <row r="233" spans="1:30" ht="15.75" x14ac:dyDescent="0.25">
      <c r="A233" s="48"/>
      <c r="C233" s="634" t="str">
        <f t="shared" si="23"/>
        <v>TEE A/F 1 1/2 P/P</v>
      </c>
      <c r="D233" s="510"/>
      <c r="E233" s="510"/>
      <c r="F233" s="510"/>
      <c r="G233" s="566"/>
      <c r="H233" s="63">
        <v>200</v>
      </c>
      <c r="I233" s="63"/>
      <c r="J233" s="260"/>
      <c r="K233" s="64">
        <f t="shared" si="24"/>
        <v>200</v>
      </c>
      <c r="L233" s="15">
        <f t="shared" si="25"/>
        <v>0</v>
      </c>
      <c r="M233" s="94">
        <f t="shared" si="26"/>
        <v>200</v>
      </c>
      <c r="N233" s="206">
        <f t="shared" si="27"/>
        <v>0</v>
      </c>
      <c r="O233" s="12"/>
      <c r="P233" s="256"/>
      <c r="Q233" s="256"/>
      <c r="R233" s="256"/>
      <c r="S233" s="256"/>
      <c r="T233" s="256"/>
      <c r="U233" s="256"/>
      <c r="V233" s="256"/>
      <c r="W233" s="256"/>
      <c r="X233" s="256"/>
      <c r="Y233" s="256"/>
      <c r="Z233" s="256"/>
      <c r="AA233" s="256"/>
    </row>
    <row r="234" spans="1:30" ht="15.75" x14ac:dyDescent="0.25">
      <c r="A234" s="48"/>
      <c r="C234" s="634" t="str">
        <f t="shared" si="23"/>
        <v>TEE A/F 2 P/P</v>
      </c>
      <c r="D234" s="510"/>
      <c r="E234" s="510"/>
      <c r="F234" s="510"/>
      <c r="G234" s="566"/>
      <c r="H234" s="63">
        <v>25</v>
      </c>
      <c r="I234" s="63"/>
      <c r="J234" s="39"/>
      <c r="K234" s="64">
        <f t="shared" si="24"/>
        <v>25</v>
      </c>
      <c r="L234" s="15">
        <f t="shared" si="25"/>
        <v>0</v>
      </c>
      <c r="M234" s="94">
        <f t="shared" si="26"/>
        <v>25</v>
      </c>
      <c r="N234" s="206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8"/>
      <c r="C235" s="634" t="str">
        <f t="shared" si="23"/>
        <v>BUJE A/F 3/4 X 1/2</v>
      </c>
      <c r="D235" s="510"/>
      <c r="E235" s="510"/>
      <c r="F235" s="510"/>
      <c r="G235" s="566"/>
      <c r="H235" s="63">
        <v>361</v>
      </c>
      <c r="I235" s="28"/>
      <c r="J235" s="28"/>
      <c r="K235" s="64">
        <f t="shared" ref="K235:K274" si="28">H235</f>
        <v>361</v>
      </c>
      <c r="L235" s="15">
        <f t="shared" ref="L235:L274" si="29">X162</f>
        <v>0</v>
      </c>
      <c r="M235" s="94">
        <f t="shared" ref="M235:M274" si="30">K235-L235</f>
        <v>361</v>
      </c>
      <c r="N235" s="206">
        <f t="shared" ref="N235:N274" si="31">M235*I235</f>
        <v>0</v>
      </c>
    </row>
    <row r="236" spans="1:30" ht="15.75" x14ac:dyDescent="0.25">
      <c r="A236" s="48"/>
      <c r="C236" s="634" t="str">
        <f t="shared" si="23"/>
        <v>BUJE A/F 1 X 3/4</v>
      </c>
      <c r="D236" s="510"/>
      <c r="E236" s="510"/>
      <c r="F236" s="510"/>
      <c r="G236" s="566"/>
      <c r="H236" s="63">
        <v>53</v>
      </c>
      <c r="I236" s="28"/>
      <c r="J236" s="28"/>
      <c r="K236" s="64">
        <f t="shared" si="28"/>
        <v>53</v>
      </c>
      <c r="L236" s="15">
        <f t="shared" si="29"/>
        <v>0</v>
      </c>
      <c r="M236" s="94">
        <f t="shared" si="30"/>
        <v>53</v>
      </c>
      <c r="N236" s="206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8"/>
      <c r="C237" s="634" t="str">
        <f t="shared" si="23"/>
        <v>ADAPT HEM A/F 1 1/2</v>
      </c>
      <c r="D237" s="510"/>
      <c r="E237" s="510"/>
      <c r="F237" s="510"/>
      <c r="G237" s="566"/>
      <c r="H237" s="63">
        <v>50</v>
      </c>
      <c r="I237" s="262"/>
      <c r="J237" s="262"/>
      <c r="K237" s="64">
        <f t="shared" si="28"/>
        <v>50</v>
      </c>
      <c r="L237" s="15">
        <f t="shared" si="29"/>
        <v>0</v>
      </c>
      <c r="M237" s="94">
        <f t="shared" si="30"/>
        <v>50</v>
      </c>
      <c r="N237" s="206">
        <f t="shared" si="31"/>
        <v>0</v>
      </c>
      <c r="O237" s="248"/>
      <c r="P237" s="248"/>
      <c r="Q237" s="248"/>
      <c r="R237" s="248"/>
      <c r="S237" s="248"/>
      <c r="T237" s="248"/>
      <c r="U237" s="248"/>
      <c r="V237" s="12"/>
      <c r="W237" s="12"/>
      <c r="X237" s="12"/>
      <c r="Y237" s="12"/>
      <c r="Z237" s="12"/>
    </row>
    <row r="238" spans="1:30" ht="15.75" x14ac:dyDescent="0.25">
      <c r="A238" s="48"/>
      <c r="C238" s="634" t="str">
        <f t="shared" si="23"/>
        <v>CHECK PVC A/N 4</v>
      </c>
      <c r="D238" s="510"/>
      <c r="E238" s="510"/>
      <c r="F238" s="510"/>
      <c r="G238" s="566"/>
      <c r="H238" s="63">
        <v>1</v>
      </c>
      <c r="I238" s="39"/>
      <c r="J238" s="259"/>
      <c r="K238" s="64">
        <f t="shared" si="28"/>
        <v>1</v>
      </c>
      <c r="L238" s="15">
        <f t="shared" si="29"/>
        <v>0</v>
      </c>
      <c r="M238" s="94">
        <f t="shared" si="30"/>
        <v>1</v>
      </c>
      <c r="N238" s="206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8"/>
      <c r="C239" s="634" t="str">
        <f t="shared" si="23"/>
        <v>YEE 2 IMPLAVEN</v>
      </c>
      <c r="D239" s="510"/>
      <c r="E239" s="510"/>
      <c r="F239" s="510"/>
      <c r="G239" s="566"/>
      <c r="H239" s="63">
        <v>20</v>
      </c>
      <c r="I239" s="28"/>
      <c r="J239" s="118"/>
      <c r="K239" s="64">
        <f t="shared" si="28"/>
        <v>20</v>
      </c>
      <c r="L239" s="15">
        <f t="shared" si="29"/>
        <v>0</v>
      </c>
      <c r="M239" s="94">
        <f t="shared" si="30"/>
        <v>20</v>
      </c>
      <c r="N239" s="206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8"/>
      <c r="C240" s="634" t="str">
        <f t="shared" si="23"/>
        <v>YEE 3</v>
      </c>
      <c r="D240" s="510"/>
      <c r="E240" s="510"/>
      <c r="F240" s="510"/>
      <c r="G240" s="566"/>
      <c r="H240" s="63">
        <v>24</v>
      </c>
      <c r="I240" s="28"/>
      <c r="J240" s="119"/>
      <c r="K240" s="64">
        <f t="shared" si="28"/>
        <v>24</v>
      </c>
      <c r="L240" s="15">
        <f t="shared" si="29"/>
        <v>0</v>
      </c>
      <c r="M240" s="94">
        <f t="shared" si="30"/>
        <v>24</v>
      </c>
      <c r="N240" s="206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8"/>
      <c r="C241" s="634" t="str">
        <f t="shared" si="23"/>
        <v>YEE A/N 4X2</v>
      </c>
      <c r="D241" s="510"/>
      <c r="E241" s="510"/>
      <c r="F241" s="510"/>
      <c r="G241" s="566"/>
      <c r="H241" s="63">
        <v>36</v>
      </c>
      <c r="I241" s="28"/>
      <c r="J241" s="118"/>
      <c r="K241" s="64">
        <f t="shared" si="28"/>
        <v>36</v>
      </c>
      <c r="L241" s="15">
        <f t="shared" si="29"/>
        <v>15</v>
      </c>
      <c r="M241" s="94">
        <f>K241-L241</f>
        <v>21</v>
      </c>
      <c r="N241" s="206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8"/>
      <c r="C242" s="634" t="str">
        <f t="shared" si="23"/>
        <v>YEE A/N 4</v>
      </c>
      <c r="D242" s="510"/>
      <c r="E242" s="510"/>
      <c r="F242" s="510"/>
      <c r="G242" s="566"/>
      <c r="H242" s="63">
        <v>39</v>
      </c>
      <c r="I242" s="28"/>
      <c r="J242" s="118"/>
      <c r="K242" s="64">
        <f t="shared" si="28"/>
        <v>39</v>
      </c>
      <c r="L242" s="15">
        <f t="shared" si="29"/>
        <v>15</v>
      </c>
      <c r="M242" s="94">
        <f t="shared" si="30"/>
        <v>24</v>
      </c>
      <c r="N242" s="206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8"/>
      <c r="C243" s="634" t="str">
        <f t="shared" si="23"/>
        <v>TEE A/N 2</v>
      </c>
      <c r="D243" s="510"/>
      <c r="E243" s="510"/>
      <c r="F243" s="510"/>
      <c r="G243" s="566"/>
      <c r="H243" s="63">
        <v>180</v>
      </c>
      <c r="I243" s="28"/>
      <c r="J243" s="118"/>
      <c r="K243" s="64">
        <f t="shared" si="28"/>
        <v>180</v>
      </c>
      <c r="L243" s="15">
        <f t="shared" si="29"/>
        <v>0</v>
      </c>
      <c r="M243" s="94">
        <f t="shared" si="30"/>
        <v>180</v>
      </c>
      <c r="N243" s="206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8"/>
      <c r="C244" s="634" t="str">
        <f t="shared" si="23"/>
        <v>TEE A/N 3</v>
      </c>
      <c r="D244" s="510"/>
      <c r="E244" s="510"/>
      <c r="F244" s="510"/>
      <c r="G244" s="566"/>
      <c r="H244" s="63">
        <v>170</v>
      </c>
      <c r="I244" s="28"/>
      <c r="J244" s="118"/>
      <c r="K244" s="64">
        <f t="shared" si="28"/>
        <v>170</v>
      </c>
      <c r="L244" s="15">
        <f t="shared" si="29"/>
        <v>0</v>
      </c>
      <c r="M244" s="94">
        <f t="shared" si="30"/>
        <v>170</v>
      </c>
      <c r="N244" s="206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8"/>
      <c r="C245" s="634" t="str">
        <f t="shared" si="23"/>
        <v>TEE A/N 4</v>
      </c>
      <c r="D245" s="510"/>
      <c r="E245" s="510"/>
      <c r="F245" s="510"/>
      <c r="G245" s="566"/>
      <c r="H245" s="63">
        <v>57</v>
      </c>
      <c r="I245" s="28"/>
      <c r="J245" s="28"/>
      <c r="K245" s="64">
        <f t="shared" si="28"/>
        <v>57</v>
      </c>
      <c r="L245" s="15">
        <f t="shared" si="29"/>
        <v>10</v>
      </c>
      <c r="M245" s="94">
        <f t="shared" si="30"/>
        <v>47</v>
      </c>
      <c r="N245" s="206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8"/>
      <c r="C246" s="634" t="str">
        <f t="shared" si="23"/>
        <v>TEE A/N 4X2</v>
      </c>
      <c r="D246" s="510"/>
      <c r="E246" s="510"/>
      <c r="F246" s="510"/>
      <c r="G246" s="566"/>
      <c r="H246" s="63">
        <v>25</v>
      </c>
      <c r="I246" s="28"/>
      <c r="J246" s="28"/>
      <c r="K246" s="64">
        <f t="shared" si="28"/>
        <v>25</v>
      </c>
      <c r="L246" s="15">
        <f t="shared" si="29"/>
        <v>10</v>
      </c>
      <c r="M246" s="94">
        <f t="shared" si="30"/>
        <v>15</v>
      </c>
      <c r="N246" s="206">
        <f t="shared" si="31"/>
        <v>0</v>
      </c>
      <c r="O246" s="253"/>
      <c r="P246" s="12"/>
      <c r="Q246" s="12"/>
      <c r="R246" s="12"/>
      <c r="S246" s="12"/>
      <c r="T246" s="12"/>
      <c r="U246" s="12"/>
    </row>
    <row r="247" spans="1:31" ht="15.75" x14ac:dyDescent="0.25">
      <c r="A247" s="48"/>
      <c r="C247" s="634" t="str">
        <f t="shared" si="23"/>
        <v>TEE 3X2 UNIPLAST</v>
      </c>
      <c r="D247" s="510"/>
      <c r="E247" s="510"/>
      <c r="F247" s="510"/>
      <c r="G247" s="566"/>
      <c r="H247" s="63">
        <v>18</v>
      </c>
      <c r="I247" s="28"/>
      <c r="J247" s="28"/>
      <c r="K247" s="64">
        <f t="shared" si="28"/>
        <v>18</v>
      </c>
      <c r="L247" s="15">
        <f t="shared" si="29"/>
        <v>0</v>
      </c>
      <c r="M247" s="94">
        <f t="shared" si="30"/>
        <v>18</v>
      </c>
      <c r="N247" s="206">
        <f t="shared" si="31"/>
        <v>0</v>
      </c>
      <c r="O247" s="12"/>
      <c r="P247" s="12"/>
      <c r="Q247" s="12"/>
      <c r="R247" s="12"/>
      <c r="S247" s="12"/>
      <c r="T247" s="12"/>
      <c r="U247" s="12"/>
      <c r="V247" s="253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8"/>
      <c r="C248" s="634" t="str">
        <f t="shared" si="23"/>
        <v>TEE 4X3 PAVCO</v>
      </c>
      <c r="D248" s="510"/>
      <c r="E248" s="510"/>
      <c r="F248" s="510"/>
      <c r="G248" s="566"/>
      <c r="H248" s="63">
        <v>23</v>
      </c>
      <c r="I248" s="28"/>
      <c r="J248" s="28"/>
      <c r="K248" s="64">
        <f t="shared" si="28"/>
        <v>23</v>
      </c>
      <c r="L248" s="15">
        <f t="shared" si="29"/>
        <v>0</v>
      </c>
      <c r="M248" s="94">
        <f t="shared" si="30"/>
        <v>23</v>
      </c>
      <c r="N248" s="206">
        <f t="shared" si="31"/>
        <v>0</v>
      </c>
      <c r="O248" s="12"/>
      <c r="P248" s="12"/>
      <c r="Q248" s="12"/>
      <c r="R248" s="12"/>
      <c r="S248" s="12"/>
      <c r="T248" s="12"/>
      <c r="U248" s="12"/>
      <c r="V248" s="253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8"/>
      <c r="C249" s="634" t="str">
        <f t="shared" si="23"/>
        <v>TAPA A/N 2 REGISTRO</v>
      </c>
      <c r="D249" s="510"/>
      <c r="E249" s="510"/>
      <c r="F249" s="510"/>
      <c r="G249" s="566"/>
      <c r="H249" s="63">
        <v>50</v>
      </c>
      <c r="I249" s="262"/>
      <c r="J249" s="262"/>
      <c r="K249" s="64">
        <f t="shared" si="28"/>
        <v>50</v>
      </c>
      <c r="L249" s="15">
        <f t="shared" si="29"/>
        <v>0</v>
      </c>
      <c r="M249" s="94">
        <f t="shared" si="30"/>
        <v>50</v>
      </c>
      <c r="N249" s="206">
        <f t="shared" si="31"/>
        <v>0</v>
      </c>
      <c r="O249" s="248"/>
      <c r="P249" s="248"/>
      <c r="Q249" s="248"/>
      <c r="R249" s="248"/>
      <c r="S249" s="248"/>
      <c r="T249" s="248"/>
      <c r="U249" s="248"/>
      <c r="V249" s="253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8"/>
      <c r="C250" s="634" t="str">
        <f t="shared" si="23"/>
        <v>TAPA A/N 3 REGISTRO</v>
      </c>
      <c r="D250" s="510"/>
      <c r="E250" s="510"/>
      <c r="F250" s="510"/>
      <c r="G250" s="566"/>
      <c r="H250" s="63">
        <v>63</v>
      </c>
      <c r="I250" s="39"/>
      <c r="J250" s="259"/>
      <c r="K250" s="64">
        <f t="shared" si="28"/>
        <v>63</v>
      </c>
      <c r="L250" s="15">
        <f t="shared" si="29"/>
        <v>0</v>
      </c>
      <c r="M250" s="94">
        <f t="shared" si="30"/>
        <v>63</v>
      </c>
      <c r="N250" s="206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8"/>
      <c r="C251" s="634" t="str">
        <f t="shared" si="23"/>
        <v>ANILLO A/N 2</v>
      </c>
      <c r="D251" s="510"/>
      <c r="E251" s="510"/>
      <c r="F251" s="510"/>
      <c r="G251" s="566"/>
      <c r="H251" s="63">
        <v>118</v>
      </c>
      <c r="I251" s="28"/>
      <c r="J251" s="118"/>
      <c r="K251" s="64">
        <f t="shared" si="28"/>
        <v>118</v>
      </c>
      <c r="L251" s="15">
        <f t="shared" si="29"/>
        <v>0</v>
      </c>
      <c r="M251" s="94">
        <f t="shared" si="30"/>
        <v>118</v>
      </c>
      <c r="N251" s="206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8"/>
      <c r="C252" s="634" t="str">
        <f t="shared" si="23"/>
        <v>RED A/N 3X2</v>
      </c>
      <c r="D252" s="510"/>
      <c r="E252" s="510"/>
      <c r="F252" s="510"/>
      <c r="G252" s="566"/>
      <c r="H252" s="63">
        <v>25</v>
      </c>
      <c r="I252" s="28"/>
      <c r="J252" s="118"/>
      <c r="K252" s="64">
        <f t="shared" si="28"/>
        <v>25</v>
      </c>
      <c r="L252" s="15">
        <f t="shared" si="29"/>
        <v>0</v>
      </c>
      <c r="M252" s="94">
        <f t="shared" si="30"/>
        <v>25</v>
      </c>
      <c r="N252" s="206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8"/>
      <c r="C253" s="634" t="str">
        <f t="shared" si="23"/>
        <v>CODO 3X45 TUBRICA</v>
      </c>
      <c r="D253" s="510"/>
      <c r="E253" s="510"/>
      <c r="F253" s="510"/>
      <c r="G253" s="566"/>
      <c r="H253" s="63">
        <v>50</v>
      </c>
      <c r="I253" s="28"/>
      <c r="J253" s="28"/>
      <c r="K253" s="64">
        <f t="shared" si="28"/>
        <v>50</v>
      </c>
      <c r="L253" s="15">
        <f t="shared" si="29"/>
        <v>0</v>
      </c>
      <c r="M253" s="94">
        <f t="shared" si="30"/>
        <v>50</v>
      </c>
      <c r="N253" s="206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8"/>
      <c r="C254" s="634" t="str">
        <f t="shared" si="23"/>
        <v>CODO 4X45 BETAPLAST</v>
      </c>
      <c r="D254" s="510"/>
      <c r="E254" s="510"/>
      <c r="F254" s="510"/>
      <c r="G254" s="566"/>
      <c r="H254" s="63">
        <v>19</v>
      </c>
      <c r="I254" s="28"/>
      <c r="J254" s="28"/>
      <c r="K254" s="64">
        <f t="shared" si="28"/>
        <v>19</v>
      </c>
      <c r="L254" s="15">
        <f t="shared" si="29"/>
        <v>0</v>
      </c>
      <c r="M254" s="94">
        <f t="shared" si="30"/>
        <v>19</v>
      </c>
      <c r="N254" s="206">
        <f t="shared" si="31"/>
        <v>0</v>
      </c>
      <c r="O254" s="253"/>
      <c r="P254" s="12"/>
      <c r="Q254" s="12"/>
      <c r="R254" s="12"/>
      <c r="S254" s="12"/>
      <c r="T254" s="12"/>
      <c r="U254" s="12"/>
    </row>
    <row r="255" spans="1:31" ht="15.75" x14ac:dyDescent="0.25">
      <c r="A255" s="48"/>
      <c r="C255" s="634" t="str">
        <f t="shared" si="23"/>
        <v>CODO 4X90</v>
      </c>
      <c r="D255" s="510"/>
      <c r="E255" s="510"/>
      <c r="F255" s="510"/>
      <c r="G255" s="566"/>
      <c r="H255" s="63">
        <v>30</v>
      </c>
      <c r="I255" s="28"/>
      <c r="J255" s="28"/>
      <c r="K255" s="64">
        <f t="shared" si="28"/>
        <v>30</v>
      </c>
      <c r="L255" s="15">
        <f t="shared" si="29"/>
        <v>0</v>
      </c>
      <c r="M255" s="94">
        <f t="shared" si="30"/>
        <v>30</v>
      </c>
      <c r="N255" s="206">
        <f t="shared" si="31"/>
        <v>0</v>
      </c>
      <c r="O255" s="12"/>
      <c r="P255" s="12"/>
      <c r="Q255" s="12"/>
      <c r="R255" s="12"/>
      <c r="S255" s="12"/>
      <c r="T255" s="12"/>
      <c r="U255" s="12"/>
      <c r="V255" s="253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8"/>
      <c r="C256" s="634" t="str">
        <f t="shared" si="23"/>
        <v>SIFON COMPLETO 2"</v>
      </c>
      <c r="D256" s="510"/>
      <c r="E256" s="510"/>
      <c r="F256" s="510"/>
      <c r="G256" s="566"/>
      <c r="H256" s="63">
        <v>45</v>
      </c>
      <c r="I256" s="28"/>
      <c r="J256" s="28"/>
      <c r="K256" s="64">
        <f t="shared" si="28"/>
        <v>45</v>
      </c>
      <c r="L256" s="15">
        <f t="shared" si="29"/>
        <v>0</v>
      </c>
      <c r="M256" s="94">
        <f t="shared" si="30"/>
        <v>45</v>
      </c>
      <c r="N256" s="206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8"/>
      <c r="C257" s="634" t="str">
        <f t="shared" si="23"/>
        <v>SIFON 4 COMPLETO BETAPLAST</v>
      </c>
      <c r="D257" s="510"/>
      <c r="E257" s="510"/>
      <c r="F257" s="510"/>
      <c r="G257" s="566"/>
      <c r="H257" s="63">
        <v>10</v>
      </c>
      <c r="I257" s="262"/>
      <c r="J257" s="262"/>
      <c r="K257" s="64">
        <f t="shared" si="28"/>
        <v>10</v>
      </c>
      <c r="L257" s="15">
        <f t="shared" si="29"/>
        <v>0</v>
      </c>
      <c r="M257" s="94">
        <f t="shared" si="30"/>
        <v>10</v>
      </c>
      <c r="N257" s="206">
        <f t="shared" si="31"/>
        <v>0</v>
      </c>
      <c r="O257" s="248"/>
      <c r="P257" s="248"/>
      <c r="Q257" s="248"/>
      <c r="R257" s="248"/>
      <c r="S257" s="248"/>
      <c r="T257" s="248"/>
      <c r="U257" s="248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8"/>
      <c r="C258" s="634" t="str">
        <f t="shared" si="23"/>
        <v>SIFON CORTO 3" DERIVADO</v>
      </c>
      <c r="D258" s="510"/>
      <c r="E258" s="510"/>
      <c r="F258" s="510"/>
      <c r="G258" s="566"/>
      <c r="H258" s="63">
        <v>10</v>
      </c>
      <c r="I258" s="39"/>
      <c r="J258" s="259"/>
      <c r="K258" s="64">
        <f t="shared" si="28"/>
        <v>10</v>
      </c>
      <c r="L258" s="15">
        <f t="shared" si="29"/>
        <v>0</v>
      </c>
      <c r="M258" s="94">
        <f t="shared" si="30"/>
        <v>10</v>
      </c>
      <c r="N258" s="206">
        <f t="shared" si="31"/>
        <v>0</v>
      </c>
      <c r="O258" s="251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8"/>
      <c r="C259" s="634" t="str">
        <f t="shared" si="23"/>
        <v>SIFON 4 CORTO DERIVADOS</v>
      </c>
      <c r="D259" s="510"/>
      <c r="E259" s="510"/>
      <c r="F259" s="510"/>
      <c r="G259" s="566"/>
      <c r="H259" s="63">
        <v>7</v>
      </c>
      <c r="I259" s="28"/>
      <c r="J259" s="118"/>
      <c r="K259" s="64">
        <f t="shared" si="28"/>
        <v>7</v>
      </c>
      <c r="L259" s="15">
        <f t="shared" si="29"/>
        <v>0</v>
      </c>
      <c r="M259" s="94">
        <f t="shared" si="30"/>
        <v>7</v>
      </c>
      <c r="N259" s="206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8"/>
      <c r="C260" s="634" t="str">
        <f t="shared" si="23"/>
        <v>MANG 1/2 X 5/8 PLAST ECON</v>
      </c>
      <c r="D260" s="510"/>
      <c r="E260" s="510"/>
      <c r="F260" s="510"/>
      <c r="G260" s="566"/>
      <c r="H260" s="63">
        <v>376</v>
      </c>
      <c r="I260" s="28"/>
      <c r="J260" s="118"/>
      <c r="K260" s="64">
        <f t="shared" si="28"/>
        <v>376</v>
      </c>
      <c r="L260" s="15">
        <f t="shared" si="29"/>
        <v>0</v>
      </c>
      <c r="M260" s="94">
        <f t="shared" si="30"/>
        <v>376</v>
      </c>
      <c r="N260" s="206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8"/>
      <c r="C261" s="634" t="str">
        <f t="shared" si="23"/>
        <v>MANG 1/2 X 1/2 PLAST ECON</v>
      </c>
      <c r="D261" s="510"/>
      <c r="E261" s="510"/>
      <c r="F261" s="510"/>
      <c r="G261" s="566"/>
      <c r="H261" s="63">
        <v>295</v>
      </c>
      <c r="I261" s="28"/>
      <c r="J261" s="118"/>
      <c r="K261" s="64">
        <f t="shared" si="28"/>
        <v>295</v>
      </c>
      <c r="L261" s="15">
        <f t="shared" si="29"/>
        <v>0</v>
      </c>
      <c r="M261" s="94">
        <f t="shared" si="30"/>
        <v>295</v>
      </c>
      <c r="N261" s="206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8"/>
      <c r="C262" s="634" t="str">
        <f t="shared" si="23"/>
        <v>TUBO COBRE 3/16</v>
      </c>
      <c r="D262" s="510"/>
      <c r="E262" s="510"/>
      <c r="F262" s="510"/>
      <c r="G262" s="566"/>
      <c r="H262" s="63">
        <v>30</v>
      </c>
      <c r="I262" s="28"/>
      <c r="J262" s="118"/>
      <c r="K262" s="64">
        <f t="shared" si="28"/>
        <v>30</v>
      </c>
      <c r="L262" s="15">
        <f t="shared" si="29"/>
        <v>0</v>
      </c>
      <c r="M262" s="94">
        <f t="shared" si="30"/>
        <v>30</v>
      </c>
      <c r="N262" s="206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8"/>
      <c r="C263" s="634" t="str">
        <f t="shared" si="23"/>
        <v>DISCO C/M 4 1/2 WINONE</v>
      </c>
      <c r="D263" s="510"/>
      <c r="E263" s="510"/>
      <c r="F263" s="510"/>
      <c r="G263" s="566"/>
      <c r="H263" s="63">
        <v>600</v>
      </c>
      <c r="I263" s="28"/>
      <c r="J263" s="118"/>
      <c r="K263" s="64">
        <f t="shared" si="28"/>
        <v>600</v>
      </c>
      <c r="L263" s="15">
        <f t="shared" si="29"/>
        <v>0</v>
      </c>
      <c r="M263" s="94">
        <f t="shared" si="30"/>
        <v>600</v>
      </c>
      <c r="N263" s="206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8"/>
      <c r="C264" s="634" t="str">
        <f t="shared" si="23"/>
        <v>DISCO R/M 4 1/2 WINONE</v>
      </c>
      <c r="D264" s="510"/>
      <c r="E264" s="510"/>
      <c r="F264" s="510"/>
      <c r="G264" s="566"/>
      <c r="H264" s="63">
        <v>275</v>
      </c>
      <c r="I264" s="28"/>
      <c r="J264" s="118"/>
      <c r="K264" s="64">
        <f t="shared" si="28"/>
        <v>275</v>
      </c>
      <c r="L264" s="15">
        <f t="shared" si="29"/>
        <v>0</v>
      </c>
      <c r="M264" s="94">
        <f t="shared" si="30"/>
        <v>275</v>
      </c>
      <c r="N264" s="206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8"/>
      <c r="C265" s="634" t="str">
        <f t="shared" si="23"/>
        <v>LLAVERO GANCHO GRANDE</v>
      </c>
      <c r="D265" s="510"/>
      <c r="E265" s="510"/>
      <c r="F265" s="510"/>
      <c r="G265" s="566"/>
      <c r="H265" s="63">
        <v>40</v>
      </c>
      <c r="I265" s="28"/>
      <c r="J265" s="118"/>
      <c r="K265" s="64">
        <f t="shared" si="28"/>
        <v>40</v>
      </c>
      <c r="L265" s="15">
        <f t="shared" si="29"/>
        <v>0</v>
      </c>
      <c r="M265" s="94">
        <f t="shared" si="30"/>
        <v>40</v>
      </c>
      <c r="N265" s="206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8"/>
      <c r="C266" s="634" t="str">
        <f t="shared" si="23"/>
        <v>LLAVERO GANCHO MEDIANO</v>
      </c>
      <c r="D266" s="510"/>
      <c r="E266" s="510"/>
      <c r="F266" s="510"/>
      <c r="G266" s="566"/>
      <c r="H266" s="63">
        <v>42</v>
      </c>
      <c r="I266" s="28"/>
      <c r="J266" s="118"/>
      <c r="K266" s="64">
        <f t="shared" si="28"/>
        <v>42</v>
      </c>
      <c r="L266" s="15">
        <f t="shared" si="29"/>
        <v>0</v>
      </c>
      <c r="M266" s="94">
        <f t="shared" si="30"/>
        <v>42</v>
      </c>
      <c r="N266" s="206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8"/>
      <c r="C267" s="634" t="str">
        <f t="shared" si="23"/>
        <v>LLAVERO SECURITY</v>
      </c>
      <c r="D267" s="510"/>
      <c r="E267" s="510"/>
      <c r="F267" s="510"/>
      <c r="G267" s="566"/>
      <c r="H267" s="63">
        <v>41</v>
      </c>
      <c r="I267" s="28"/>
      <c r="J267" s="119"/>
      <c r="K267" s="64">
        <f t="shared" si="28"/>
        <v>41</v>
      </c>
      <c r="L267" s="15">
        <f t="shared" si="29"/>
        <v>0</v>
      </c>
      <c r="M267" s="94">
        <f t="shared" si="30"/>
        <v>41</v>
      </c>
      <c r="N267" s="206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8"/>
      <c r="C268" s="634" t="str">
        <f t="shared" si="23"/>
        <v>GRIFERIA LAVAPLATO INDIVIDUAL</v>
      </c>
      <c r="D268" s="510"/>
      <c r="E268" s="510"/>
      <c r="F268" s="510"/>
      <c r="G268" s="566"/>
      <c r="H268" s="63">
        <v>40</v>
      </c>
      <c r="I268" s="28"/>
      <c r="J268" s="118"/>
      <c r="K268" s="64">
        <f t="shared" si="28"/>
        <v>40</v>
      </c>
      <c r="L268" s="15">
        <f t="shared" si="29"/>
        <v>0</v>
      </c>
      <c r="M268" s="94">
        <f t="shared" si="30"/>
        <v>40</v>
      </c>
      <c r="N268" s="206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8"/>
      <c r="C269" s="634" t="str">
        <f t="shared" si="23"/>
        <v>LLAVE SENCILLA LAVAPLATO GRIVEN</v>
      </c>
      <c r="D269" s="510"/>
      <c r="E269" s="510"/>
      <c r="F269" s="510"/>
      <c r="G269" s="566"/>
      <c r="H269" s="63">
        <v>59</v>
      </c>
      <c r="I269" s="28"/>
      <c r="J269" s="118"/>
      <c r="K269" s="64">
        <f t="shared" si="28"/>
        <v>59</v>
      </c>
      <c r="L269" s="15">
        <f t="shared" si="29"/>
        <v>0</v>
      </c>
      <c r="M269" s="94">
        <f t="shared" si="30"/>
        <v>59</v>
      </c>
      <c r="N269" s="206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8"/>
      <c r="C270" s="634" t="str">
        <f t="shared" si="23"/>
        <v>CODO 75MM X 90 RIEGO</v>
      </c>
      <c r="D270" s="510"/>
      <c r="E270" s="510"/>
      <c r="F270" s="510"/>
      <c r="G270" s="566"/>
      <c r="H270" s="63">
        <v>11</v>
      </c>
      <c r="I270" s="28"/>
      <c r="J270" s="119"/>
      <c r="K270" s="64">
        <f t="shared" si="28"/>
        <v>11</v>
      </c>
      <c r="L270" s="15">
        <f t="shared" si="29"/>
        <v>0</v>
      </c>
      <c r="M270" s="94">
        <f t="shared" si="30"/>
        <v>11</v>
      </c>
      <c r="N270" s="206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8"/>
      <c r="C271" s="634" t="str">
        <f t="shared" si="23"/>
        <v>INFLADOR P/CAUCHOS</v>
      </c>
      <c r="D271" s="510"/>
      <c r="E271" s="510"/>
      <c r="F271" s="510"/>
      <c r="G271" s="566"/>
      <c r="H271" s="63">
        <v>164</v>
      </c>
      <c r="I271" s="28"/>
      <c r="J271" s="118"/>
      <c r="K271" s="64">
        <f t="shared" si="28"/>
        <v>164</v>
      </c>
      <c r="L271" s="15">
        <f t="shared" si="29"/>
        <v>36</v>
      </c>
      <c r="M271" s="94">
        <f t="shared" si="30"/>
        <v>128</v>
      </c>
      <c r="N271" s="206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8"/>
      <c r="C272" s="634" t="str">
        <f t="shared" si="23"/>
        <v>SERRUCHO SECURITY 14" DE PODAR</v>
      </c>
      <c r="D272" s="510"/>
      <c r="E272" s="510"/>
      <c r="F272" s="510"/>
      <c r="G272" s="566"/>
      <c r="H272" s="63">
        <v>74</v>
      </c>
      <c r="I272" s="28"/>
      <c r="J272" s="118"/>
      <c r="K272" s="64">
        <f t="shared" si="28"/>
        <v>74</v>
      </c>
      <c r="L272" s="15">
        <f t="shared" si="29"/>
        <v>0</v>
      </c>
      <c r="M272" s="94">
        <f t="shared" si="30"/>
        <v>74</v>
      </c>
      <c r="N272" s="206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8"/>
      <c r="C273" s="634" t="str">
        <f t="shared" si="23"/>
        <v>SPLINTER ORIG 2 VIAS</v>
      </c>
      <c r="D273" s="510"/>
      <c r="E273" s="510"/>
      <c r="F273" s="510"/>
      <c r="G273" s="566"/>
      <c r="H273" s="63">
        <v>435</v>
      </c>
      <c r="I273" s="28"/>
      <c r="J273" s="118"/>
      <c r="K273" s="64">
        <f t="shared" si="28"/>
        <v>435</v>
      </c>
      <c r="L273" s="15">
        <f t="shared" si="29"/>
        <v>0</v>
      </c>
      <c r="M273" s="94">
        <f t="shared" si="30"/>
        <v>435</v>
      </c>
      <c r="N273" s="206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8"/>
      <c r="C274" s="634" t="str">
        <f t="shared" si="23"/>
        <v>LAMPARA DE NOCHE</v>
      </c>
      <c r="D274" s="510"/>
      <c r="E274" s="510"/>
      <c r="F274" s="510"/>
      <c r="G274" s="566"/>
      <c r="H274" s="63">
        <v>648</v>
      </c>
      <c r="I274" s="28"/>
      <c r="J274" s="118"/>
      <c r="K274" s="64">
        <f t="shared" si="28"/>
        <v>648</v>
      </c>
      <c r="L274" s="15">
        <f t="shared" si="29"/>
        <v>0</v>
      </c>
      <c r="M274" s="94">
        <f t="shared" si="30"/>
        <v>648</v>
      </c>
      <c r="N274" s="206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8"/>
      <c r="C275" s="547"/>
      <c r="D275" s="547"/>
      <c r="E275" s="547"/>
      <c r="F275" s="547"/>
      <c r="G275" s="547"/>
      <c r="H275" s="12"/>
      <c r="I275" s="12"/>
      <c r="J275" s="252"/>
      <c r="K275" s="12"/>
      <c r="L275" s="12"/>
      <c r="M275" s="209"/>
      <c r="N275" s="187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8"/>
      <c r="C276" s="547"/>
      <c r="D276" s="547"/>
      <c r="E276" s="547"/>
      <c r="F276" s="547"/>
      <c r="G276" s="547"/>
      <c r="H276" s="12"/>
      <c r="I276" s="12"/>
      <c r="J276" s="252"/>
      <c r="K276" s="12"/>
      <c r="L276" s="12"/>
      <c r="M276" s="209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8"/>
      <c r="C277" s="547"/>
      <c r="D277" s="547"/>
      <c r="E277" s="547"/>
      <c r="F277" s="547"/>
      <c r="G277" s="547"/>
      <c r="H277" s="12"/>
      <c r="I277" s="12"/>
      <c r="J277" s="252"/>
      <c r="K277" s="12"/>
      <c r="L277" s="12"/>
      <c r="M277" s="209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8"/>
      <c r="C278" s="547"/>
      <c r="D278" s="547"/>
      <c r="E278" s="547"/>
      <c r="F278" s="547"/>
      <c r="G278" s="547"/>
      <c r="H278" s="12"/>
      <c r="I278" s="12"/>
      <c r="J278" s="252"/>
      <c r="K278" s="12"/>
      <c r="L278" s="12"/>
      <c r="M278" s="209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8"/>
      <c r="C279" s="547"/>
      <c r="D279" s="547"/>
      <c r="E279" s="547"/>
      <c r="F279" s="547"/>
      <c r="G279" s="547"/>
      <c r="H279" s="12"/>
      <c r="I279" s="12"/>
      <c r="J279" s="252"/>
      <c r="K279" s="12"/>
      <c r="L279" s="12"/>
      <c r="M279" s="209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8"/>
      <c r="C280" s="547"/>
      <c r="D280" s="547"/>
      <c r="E280" s="547"/>
      <c r="F280" s="547"/>
      <c r="G280" s="547"/>
      <c r="H280" s="12"/>
      <c r="I280" s="12"/>
      <c r="J280" s="252"/>
      <c r="K280" s="12"/>
      <c r="L280" s="12"/>
      <c r="M280" s="209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8"/>
      <c r="C281" s="547"/>
      <c r="D281" s="547"/>
      <c r="E281" s="547"/>
      <c r="F281" s="547"/>
      <c r="G281" s="547"/>
      <c r="H281" s="12"/>
      <c r="I281" s="12"/>
      <c r="J281" s="252"/>
      <c r="K281" s="12"/>
      <c r="L281" s="12"/>
      <c r="M281" s="209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8"/>
      <c r="C282" s="547"/>
      <c r="D282" s="547"/>
      <c r="E282" s="547"/>
      <c r="F282" s="547"/>
      <c r="G282" s="547"/>
      <c r="H282" s="12"/>
      <c r="I282" s="12"/>
      <c r="J282" s="252"/>
      <c r="K282" s="12"/>
      <c r="L282" s="12"/>
      <c r="M282" s="209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8"/>
      <c r="C283" s="547"/>
      <c r="D283" s="547"/>
      <c r="E283" s="547"/>
      <c r="F283" s="547"/>
      <c r="G283" s="547"/>
      <c r="H283" s="12"/>
      <c r="I283" s="12"/>
      <c r="J283" s="252"/>
      <c r="K283" s="12"/>
      <c r="L283" s="12"/>
      <c r="M283" s="209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8"/>
      <c r="C284" s="547"/>
      <c r="D284" s="547"/>
      <c r="E284" s="547"/>
      <c r="F284" s="547"/>
      <c r="G284" s="547"/>
      <c r="H284" s="12"/>
      <c r="I284" s="12"/>
      <c r="J284" s="252"/>
      <c r="K284" s="12"/>
      <c r="L284" s="12"/>
      <c r="M284" s="209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8"/>
      <c r="C285" s="547"/>
      <c r="D285" s="547"/>
      <c r="E285" s="547"/>
      <c r="F285" s="547"/>
      <c r="G285" s="547"/>
      <c r="H285" s="12"/>
      <c r="I285" s="12"/>
      <c r="J285" s="252"/>
      <c r="K285" s="12"/>
      <c r="L285" s="12"/>
      <c r="M285" s="209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8"/>
      <c r="C286" s="547"/>
      <c r="D286" s="547"/>
      <c r="E286" s="547"/>
      <c r="F286" s="547"/>
      <c r="G286" s="547"/>
      <c r="H286" s="6"/>
      <c r="I286" s="6"/>
      <c r="J286" s="252"/>
      <c r="K286" s="12"/>
      <c r="L286" s="6"/>
      <c r="M286" s="209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8"/>
      <c r="C287" s="547"/>
      <c r="D287" s="547"/>
      <c r="E287" s="547"/>
      <c r="F287" s="547"/>
      <c r="G287" s="547"/>
      <c r="H287" s="12"/>
      <c r="I287" s="12"/>
      <c r="J287" s="252"/>
      <c r="K287" s="12"/>
      <c r="L287" s="6"/>
      <c r="M287" s="209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8"/>
      <c r="C288" s="547"/>
      <c r="D288" s="547"/>
      <c r="E288" s="547"/>
      <c r="F288" s="547"/>
      <c r="G288" s="547"/>
      <c r="H288" s="12"/>
      <c r="I288" s="12"/>
      <c r="J288" s="252"/>
      <c r="K288" s="12"/>
      <c r="L288" s="6"/>
      <c r="M288" s="209"/>
      <c r="N288" s="6"/>
      <c r="O288" s="6"/>
      <c r="P288" s="12"/>
      <c r="Q288" s="12"/>
      <c r="R288" s="12"/>
      <c r="S288" s="12"/>
    </row>
    <row r="289" spans="1:27" x14ac:dyDescent="0.25">
      <c r="A289" s="48"/>
      <c r="C289" s="547"/>
      <c r="D289" s="547"/>
      <c r="E289" s="547"/>
      <c r="F289" s="547"/>
      <c r="G289" s="547"/>
      <c r="H289" s="12"/>
      <c r="I289" s="12"/>
      <c r="J289" s="252"/>
      <c r="K289" s="12"/>
      <c r="L289" s="6"/>
      <c r="M289" s="209"/>
      <c r="N289" s="6"/>
      <c r="O289" s="6"/>
      <c r="P289" s="12"/>
      <c r="Q289" s="12"/>
      <c r="R289" s="12"/>
      <c r="S289" s="12"/>
    </row>
    <row r="290" spans="1:27" x14ac:dyDescent="0.25">
      <c r="A290" s="48"/>
      <c r="C290" s="547"/>
      <c r="D290" s="547"/>
      <c r="E290" s="547"/>
      <c r="F290" s="547"/>
      <c r="G290" s="547"/>
      <c r="H290" s="12"/>
      <c r="I290" s="12"/>
      <c r="J290" s="252"/>
      <c r="K290" s="12"/>
      <c r="L290" s="6"/>
      <c r="M290" s="209"/>
      <c r="N290" s="6"/>
      <c r="O290" s="6"/>
      <c r="P290" s="12"/>
      <c r="Q290" s="12"/>
      <c r="R290" s="12"/>
      <c r="S290" s="12"/>
    </row>
    <row r="291" spans="1:27" x14ac:dyDescent="0.25">
      <c r="A291" s="48"/>
      <c r="C291" s="254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8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8"/>
      <c r="C293" s="708"/>
      <c r="D293" s="708"/>
      <c r="E293" s="708"/>
      <c r="F293" s="708"/>
      <c r="G293" s="708"/>
      <c r="H293" s="708"/>
      <c r="I293" s="708"/>
      <c r="J293" s="708"/>
      <c r="K293" s="708"/>
      <c r="L293" s="708"/>
      <c r="M293" s="708"/>
      <c r="N293" s="708"/>
      <c r="O293" s="708"/>
      <c r="P293" s="708"/>
      <c r="Q293" s="708"/>
      <c r="R293" s="708"/>
      <c r="S293" s="708"/>
      <c r="T293" s="708"/>
    </row>
    <row r="294" spans="1:27" ht="21" x14ac:dyDescent="0.25">
      <c r="A294" s="48"/>
      <c r="C294" s="709"/>
      <c r="D294" s="709"/>
      <c r="E294" s="709"/>
      <c r="F294" s="709"/>
      <c r="G294" s="709"/>
      <c r="H294" s="249"/>
      <c r="I294" s="17"/>
      <c r="J294" s="250"/>
      <c r="K294" s="251"/>
      <c r="L294" s="12"/>
      <c r="M294" s="249"/>
      <c r="N294" s="17"/>
      <c r="O294" s="250"/>
      <c r="P294" s="251"/>
      <c r="Q294" s="12"/>
      <c r="R294" s="12"/>
      <c r="S294" s="12"/>
      <c r="T294" s="12"/>
    </row>
    <row r="295" spans="1:27" x14ac:dyDescent="0.25">
      <c r="A295" s="48"/>
      <c r="C295" s="547"/>
      <c r="D295" s="547"/>
      <c r="E295" s="547"/>
      <c r="F295" s="547"/>
      <c r="G295" s="547"/>
      <c r="H295" s="12"/>
      <c r="I295" s="12"/>
      <c r="J295" s="253"/>
      <c r="K295" s="12"/>
      <c r="L295" s="12"/>
      <c r="M295" s="12"/>
      <c r="N295" s="12"/>
      <c r="O295" s="255"/>
      <c r="P295" s="12"/>
      <c r="Q295" s="12"/>
      <c r="R295" s="12"/>
      <c r="S295" s="12"/>
      <c r="T295" s="12"/>
      <c r="V295" s="256"/>
      <c r="W295" s="256"/>
      <c r="X295" s="256"/>
      <c r="Y295" s="256"/>
      <c r="Z295" s="256"/>
      <c r="AA295" s="256"/>
    </row>
    <row r="296" spans="1:27" x14ac:dyDescent="0.25">
      <c r="A296" s="48"/>
      <c r="C296" s="547"/>
      <c r="D296" s="547"/>
      <c r="E296" s="547"/>
      <c r="F296" s="547"/>
      <c r="G296" s="547"/>
      <c r="H296" s="12"/>
      <c r="I296" s="12"/>
      <c r="J296" s="255"/>
      <c r="K296" s="12"/>
      <c r="L296" s="12"/>
      <c r="M296" s="12"/>
      <c r="N296" s="12"/>
      <c r="O296" s="255"/>
      <c r="P296" s="12"/>
      <c r="Q296" s="12"/>
      <c r="R296" s="12"/>
      <c r="S296" s="12"/>
      <c r="T296" s="12"/>
      <c r="V296" s="256"/>
      <c r="W296" s="256"/>
      <c r="X296" s="256"/>
      <c r="Y296" s="256"/>
      <c r="Z296" s="256"/>
      <c r="AA296" s="256"/>
    </row>
    <row r="297" spans="1:27" x14ac:dyDescent="0.25">
      <c r="A297" s="48"/>
      <c r="C297" s="254"/>
      <c r="T297" s="12"/>
    </row>
    <row r="298" spans="1:27" x14ac:dyDescent="0.25">
      <c r="A298" s="48"/>
    </row>
    <row r="299" spans="1:27" ht="21" x14ac:dyDescent="0.35">
      <c r="A299" s="48"/>
      <c r="C299" s="708"/>
      <c r="D299" s="708"/>
      <c r="E299" s="708"/>
      <c r="F299" s="708"/>
      <c r="G299" s="708"/>
      <c r="H299" s="708"/>
      <c r="I299" s="708"/>
      <c r="J299" s="708"/>
      <c r="K299" s="708"/>
      <c r="L299" s="708"/>
      <c r="M299" s="708"/>
      <c r="N299" s="708"/>
      <c r="O299" s="708"/>
      <c r="P299" s="237"/>
      <c r="Q299" s="237"/>
    </row>
    <row r="300" spans="1:27" ht="21" x14ac:dyDescent="0.25">
      <c r="A300" s="48"/>
      <c r="C300" s="709"/>
      <c r="D300" s="709"/>
      <c r="E300" s="709"/>
      <c r="F300" s="709"/>
      <c r="G300" s="709"/>
      <c r="H300" s="249"/>
      <c r="I300" s="17"/>
      <c r="J300" s="250"/>
      <c r="K300" s="251"/>
      <c r="L300" s="12"/>
      <c r="M300" s="12"/>
      <c r="N300" s="12"/>
      <c r="O300" s="12"/>
    </row>
    <row r="301" spans="1:27" x14ac:dyDescent="0.25">
      <c r="A301" s="48"/>
      <c r="C301" s="547"/>
      <c r="D301" s="547"/>
      <c r="E301" s="547"/>
      <c r="F301" s="547"/>
      <c r="G301" s="547"/>
      <c r="H301" s="12"/>
      <c r="I301" s="12"/>
      <c r="J301" s="253"/>
      <c r="K301" s="12"/>
      <c r="L301" s="12"/>
      <c r="M301" s="12"/>
      <c r="N301" s="12"/>
      <c r="O301" s="12"/>
    </row>
    <row r="302" spans="1:27" x14ac:dyDescent="0.25">
      <c r="A302" s="48"/>
      <c r="C302" s="254"/>
      <c r="O302" s="12"/>
    </row>
    <row r="303" spans="1:27" x14ac:dyDescent="0.25">
      <c r="A303" s="48"/>
    </row>
    <row r="304" spans="1:27" x14ac:dyDescent="0.25">
      <c r="A304" s="48"/>
    </row>
    <row r="305" spans="1:22" x14ac:dyDescent="0.25">
      <c r="A305" s="48"/>
    </row>
    <row r="306" spans="1:22" x14ac:dyDescent="0.25">
      <c r="A306" s="48"/>
      <c r="B306" s="8"/>
      <c r="C306" s="518"/>
      <c r="D306" s="518"/>
      <c r="E306" s="518"/>
      <c r="F306" s="518"/>
      <c r="G306" s="518"/>
      <c r="H306" s="518"/>
    </row>
    <row r="307" spans="1:22" x14ac:dyDescent="0.25">
      <c r="A307" s="48"/>
      <c r="B307" s="8"/>
      <c r="C307" s="6"/>
      <c r="D307" s="6"/>
      <c r="E307" s="6"/>
      <c r="F307" s="6"/>
      <c r="G307" s="6"/>
      <c r="H307" s="6"/>
    </row>
    <row r="308" spans="1:22" x14ac:dyDescent="0.25">
      <c r="A308" s="48"/>
      <c r="B308" s="8"/>
      <c r="C308" s="6"/>
      <c r="D308" s="6"/>
      <c r="E308" s="6"/>
      <c r="F308" s="6"/>
      <c r="G308" s="257"/>
      <c r="H308" s="6"/>
    </row>
    <row r="309" spans="1:22" x14ac:dyDescent="0.25">
      <c r="A309" s="8"/>
      <c r="C309" s="6"/>
      <c r="D309" s="6"/>
      <c r="E309" s="6"/>
      <c r="F309" s="6"/>
      <c r="G309" s="257"/>
      <c r="H309" s="6"/>
    </row>
    <row r="310" spans="1:22" x14ac:dyDescent="0.25">
      <c r="A310" s="8"/>
      <c r="C310" s="6"/>
      <c r="D310" s="6"/>
      <c r="E310" s="6"/>
      <c r="F310" s="6"/>
      <c r="G310" s="257"/>
      <c r="H310" s="6"/>
    </row>
    <row r="311" spans="1:22" x14ac:dyDescent="0.25">
      <c r="A311" s="8"/>
      <c r="C311" s="6"/>
      <c r="D311" s="6"/>
      <c r="E311" s="6"/>
      <c r="F311" s="6"/>
      <c r="G311" s="257"/>
      <c r="H311" s="6"/>
    </row>
    <row r="312" spans="1:22" x14ac:dyDescent="0.25">
      <c r="A312" s="8"/>
      <c r="C312" s="6"/>
      <c r="D312" s="6"/>
      <c r="E312" s="6"/>
      <c r="F312" s="6"/>
      <c r="G312" s="257"/>
      <c r="H312" s="6"/>
    </row>
    <row r="313" spans="1:22" ht="15.75" x14ac:dyDescent="0.25">
      <c r="A313" s="8"/>
      <c r="C313" s="204"/>
      <c r="D313" s="204"/>
      <c r="E313" s="204"/>
      <c r="F313" s="229"/>
      <c r="G313" s="258"/>
      <c r="H313" s="231"/>
    </row>
    <row r="314" spans="1:22" x14ac:dyDescent="0.25">
      <c r="A314" s="8"/>
      <c r="C314" s="254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14"/>
  <sheetViews>
    <sheetView zoomScaleNormal="100" workbookViewId="0">
      <selection activeCell="C3" sqref="C3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695" t="s">
        <v>2</v>
      </c>
      <c r="C1" s="695" t="s">
        <v>243</v>
      </c>
      <c r="D1" s="695"/>
      <c r="E1" s="134"/>
      <c r="F1" s="134"/>
    </row>
    <row r="2" spans="2:16" ht="30" customHeight="1" x14ac:dyDescent="0.25">
      <c r="B2" s="695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VENTAS'!Y108</f>
        <v>27</v>
      </c>
      <c r="D3" s="164">
        <f>'DETALLE DE VENTAS'!AA108</f>
        <v>216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VENTAS'!Y109</f>
        <v>91</v>
      </c>
      <c r="D4" s="164">
        <f>'DETALLE DE VENTAS'!AA109</f>
        <v>1371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VENTAS'!Y110</f>
        <v>41</v>
      </c>
      <c r="D5" s="164">
        <f>'DETALLE DE VENTAS'!AA110</f>
        <v>1701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VENTAS'!Y111</f>
        <v>13</v>
      </c>
      <c r="D6" s="164">
        <f>'DETALLE DE VENTAS'!AA111</f>
        <v>169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VENTAS'!Y112</f>
        <v>42</v>
      </c>
      <c r="D7" s="164">
        <f>'DETALLE DE VENTAS'!AA112</f>
        <v>1160</v>
      </c>
      <c r="E7" s="134"/>
      <c r="F7" s="134"/>
      <c r="L7" s="696"/>
      <c r="M7" s="696"/>
      <c r="N7" s="696"/>
      <c r="O7" s="696"/>
      <c r="P7" s="696"/>
    </row>
    <row r="8" spans="2:16" ht="24" x14ac:dyDescent="0.25">
      <c r="B8" s="163" t="str">
        <f>'DETALLE DE VENTAS'!C113</f>
        <v>ASFALTO PLASTICO 1/4 GLN BITUPLAST</v>
      </c>
      <c r="C8" s="164">
        <f>'DETALLE DE VENTAS'!Y113</f>
        <v>14</v>
      </c>
      <c r="D8" s="164">
        <f>'DETALLE DE VENTAS'!AA113</f>
        <v>98</v>
      </c>
      <c r="E8" s="134"/>
      <c r="F8" s="134"/>
      <c r="L8" s="696"/>
      <c r="M8" s="696"/>
      <c r="N8" s="696"/>
      <c r="O8" s="696"/>
      <c r="P8" s="696"/>
    </row>
    <row r="9" spans="2:16" x14ac:dyDescent="0.25">
      <c r="B9" s="163" t="str">
        <f>'DETALLE DE VENTAS'!C114</f>
        <v>ASFALTO PLASTICO GLN BITUPLAST</v>
      </c>
      <c r="C9" s="164">
        <f>'DETALLE DE VENTAS'!Y114</f>
        <v>24</v>
      </c>
      <c r="D9" s="164">
        <f>'DETALLE DE VENTAS'!AA114</f>
        <v>264</v>
      </c>
      <c r="E9" s="134"/>
      <c r="F9" s="134"/>
      <c r="L9" s="696"/>
      <c r="M9" s="696"/>
      <c r="N9" s="696"/>
      <c r="O9" s="696"/>
      <c r="P9" s="696"/>
    </row>
    <row r="10" spans="2:16" x14ac:dyDescent="0.25">
      <c r="B10" s="163" t="str">
        <f>'DETALLE DE VENTAS'!C115</f>
        <v>ASFALTO PLASTICO 4 GLN BITUPLAST</v>
      </c>
      <c r="C10" s="164">
        <f>'DETALLE DE VENTAS'!Y115</f>
        <v>11</v>
      </c>
      <c r="D10" s="164">
        <f>'DETALLE DE VENTAS'!AA115</f>
        <v>365</v>
      </c>
      <c r="E10" s="134"/>
      <c r="F10" s="134"/>
      <c r="L10" s="696"/>
      <c r="M10" s="696"/>
      <c r="N10" s="696"/>
      <c r="O10" s="696"/>
      <c r="P10" s="696"/>
    </row>
    <row r="11" spans="2:16" x14ac:dyDescent="0.25">
      <c r="B11" s="163" t="str">
        <f>'DETALLE DE VENTAS'!C116</f>
        <v>PRIMER GLN BITUPLAST</v>
      </c>
      <c r="C11" s="164">
        <f>'DETALLE DE VENTAS'!Y116</f>
        <v>39</v>
      </c>
      <c r="D11" s="164">
        <f>'DETALLE DE VENTAS'!AA116</f>
        <v>546</v>
      </c>
      <c r="E11" s="134"/>
      <c r="F11" s="134"/>
      <c r="L11" s="696"/>
      <c r="M11" s="696"/>
      <c r="N11" s="696"/>
      <c r="O11" s="696"/>
      <c r="P11" s="696"/>
    </row>
    <row r="12" spans="2:16" x14ac:dyDescent="0.25">
      <c r="B12" s="163" t="str">
        <f>'DETALLE DE VENTAS'!C117</f>
        <v>PRIMER 4 GLN BITUPLAST</v>
      </c>
      <c r="C12" s="164">
        <f>'DETALLE DE VENTAS'!Y117</f>
        <v>55</v>
      </c>
      <c r="D12" s="164">
        <f>'DETALLE DE VENTAS'!AA117</f>
        <v>1748</v>
      </c>
      <c r="E12" s="134"/>
      <c r="F12" s="134"/>
      <c r="L12" s="696"/>
      <c r="M12" s="696"/>
      <c r="N12" s="696"/>
      <c r="O12" s="696"/>
      <c r="P12" s="696"/>
    </row>
    <row r="13" spans="2:16" x14ac:dyDescent="0.25">
      <c r="B13" s="163" t="str">
        <f>'DETALLE DE VENTAS'!C118</f>
        <v>PINT ALUMINIZADA GLN BITUPLAST</v>
      </c>
      <c r="C13" s="164">
        <f>'DETALLE DE VENTAS'!Y118</f>
        <v>19</v>
      </c>
      <c r="D13" s="164">
        <f>'DETALLE DE VENTAS'!AA118</f>
        <v>628</v>
      </c>
      <c r="E13" s="134"/>
      <c r="F13" s="134"/>
      <c r="L13" s="696"/>
      <c r="M13" s="696"/>
      <c r="N13" s="696"/>
      <c r="O13" s="696"/>
      <c r="P13" s="696"/>
    </row>
    <row r="14" spans="2:16" ht="24" x14ac:dyDescent="0.25">
      <c r="B14" s="163" t="str">
        <f>'DETALLE DE VENTAS'!C119</f>
        <v>PINT ALUMINIZADA 4 GLN BITUPLAST</v>
      </c>
      <c r="C14" s="164">
        <f>'DETALLE DE VENTAS'!Y119</f>
        <v>28</v>
      </c>
      <c r="D14" s="164">
        <f>'DETALLE DE VENTAS'!AA119</f>
        <v>3108</v>
      </c>
      <c r="E14" s="134"/>
      <c r="F14" s="134"/>
      <c r="L14" s="696"/>
      <c r="M14" s="696"/>
      <c r="N14" s="696"/>
      <c r="O14" s="696"/>
      <c r="P14" s="696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64">
        <f>'DETALLE DE VENTAS'!AA120</f>
        <v>1710</v>
      </c>
      <c r="E15" s="134"/>
      <c r="F15" s="134"/>
      <c r="L15" s="696"/>
      <c r="M15" s="696"/>
      <c r="N15" s="696"/>
      <c r="O15" s="696"/>
      <c r="P15" s="696"/>
    </row>
    <row r="16" spans="2:16" ht="24" x14ac:dyDescent="0.25">
      <c r="B16" s="163" t="str">
        <f>'DETALLE DE VENTAS'!C121</f>
        <v>SELLADOR DE CAPAS 4GLN BITUPLAST</v>
      </c>
      <c r="C16" s="164">
        <f>'DETALLE DE VENTAS'!Y121</f>
        <v>7</v>
      </c>
      <c r="D16" s="164">
        <f>'DETALLE DE VENTAS'!AA121</f>
        <v>346</v>
      </c>
      <c r="E16" s="134"/>
      <c r="F16" s="134"/>
      <c r="L16" s="696"/>
      <c r="M16" s="696"/>
      <c r="N16" s="696"/>
      <c r="O16" s="696"/>
      <c r="P16" s="696"/>
    </row>
    <row r="17" spans="2:16" x14ac:dyDescent="0.25">
      <c r="B17" s="163" t="str">
        <f>'DETALLE DE VENTAS'!C122</f>
        <v>MANTO ALUMINIZADO 3 MM</v>
      </c>
      <c r="C17" s="164">
        <f>'DETALLE DE VENTAS'!Y122</f>
        <v>0</v>
      </c>
      <c r="D17" s="164">
        <f>'DETALLE DE VENTAS'!AA122</f>
        <v>0</v>
      </c>
      <c r="E17" s="134"/>
      <c r="F17" s="134"/>
      <c r="L17" s="696"/>
      <c r="M17" s="696"/>
      <c r="N17" s="696"/>
      <c r="O17" s="696"/>
      <c r="P17" s="696"/>
    </row>
    <row r="18" spans="2:16" x14ac:dyDescent="0.25">
      <c r="B18" s="163" t="str">
        <f>'DETALLE DE VENTAS'!C123</f>
        <v>MANTO 2,7 MM</v>
      </c>
      <c r="C18" s="164">
        <f>'DETALLE DE VENTAS'!Y123</f>
        <v>28</v>
      </c>
      <c r="D18" s="164">
        <f>'DETALLE DE VENTAS'!AA123</f>
        <v>928</v>
      </c>
      <c r="E18" s="134"/>
      <c r="F18" s="134"/>
      <c r="L18" s="696"/>
      <c r="M18" s="696"/>
      <c r="N18" s="696"/>
      <c r="O18" s="696"/>
      <c r="P18" s="696"/>
    </row>
    <row r="19" spans="2:16" x14ac:dyDescent="0.25">
      <c r="B19" s="163" t="str">
        <f>'DETALLE DE VENTAS'!C124</f>
        <v>MANTO 3,2 MM (R-34)</v>
      </c>
      <c r="C19" s="164">
        <f>'DETALLE DE VENTAS'!Y124</f>
        <v>196</v>
      </c>
      <c r="D19" s="164">
        <f>'DETALLE DE VENTAS'!AA124</f>
        <v>6961</v>
      </c>
      <c r="E19" s="134"/>
      <c r="F19" s="134"/>
      <c r="L19" s="696"/>
      <c r="M19" s="696"/>
      <c r="N19" s="696"/>
      <c r="O19" s="696"/>
      <c r="P19" s="696"/>
    </row>
    <row r="20" spans="2:16" x14ac:dyDescent="0.25">
      <c r="B20" s="163" t="str">
        <f>'DETALLE DE VENTAS'!C125</f>
        <v>MANTO 3.2 MM SEGUNDA</v>
      </c>
      <c r="C20" s="164">
        <f>'DETALLE DE VENTAS'!Y125</f>
        <v>0</v>
      </c>
      <c r="D20" s="164">
        <f>'DETALLE DE VENTAS'!AA125</f>
        <v>0</v>
      </c>
      <c r="E20" s="134"/>
      <c r="F20" s="134"/>
      <c r="L20" s="696"/>
      <c r="M20" s="696"/>
      <c r="N20" s="696"/>
      <c r="O20" s="696"/>
      <c r="P20" s="696"/>
    </row>
    <row r="21" spans="2:16" ht="24" x14ac:dyDescent="0.25">
      <c r="B21" s="163" t="str">
        <f>'DETALLE DE VENTAS'!C126</f>
        <v>MANTO LIQUIDO CUNETE 4 GLN ROJO</v>
      </c>
      <c r="C21" s="164">
        <f>'DETALLE DE VENTAS'!Y126</f>
        <v>0</v>
      </c>
      <c r="D21" s="164">
        <f>'DETALLE DE VENTAS'!AA126</f>
        <v>0</v>
      </c>
      <c r="E21" s="134"/>
      <c r="F21" s="134"/>
      <c r="L21" s="696"/>
      <c r="M21" s="696"/>
      <c r="N21" s="696"/>
      <c r="O21" s="696"/>
      <c r="P21" s="696"/>
    </row>
    <row r="22" spans="2:16" ht="24" x14ac:dyDescent="0.25">
      <c r="B22" s="163" t="str">
        <f>'DETALLE DE VENTAS'!C127</f>
        <v>MANTO LIQUIDO CUNETE 4 GLN BLANCO</v>
      </c>
      <c r="C22" s="164">
        <f>'DETALLE DE VENTAS'!Y127</f>
        <v>1</v>
      </c>
      <c r="D22" s="164">
        <f>'DETALLE DE VENTAS'!AA127</f>
        <v>135</v>
      </c>
      <c r="E22" s="134"/>
      <c r="F22" s="134"/>
      <c r="L22" s="696"/>
      <c r="M22" s="696"/>
      <c r="N22" s="696"/>
      <c r="O22" s="696"/>
      <c r="P22" s="696"/>
    </row>
    <row r="23" spans="2:16" ht="24" x14ac:dyDescent="0.25">
      <c r="B23" s="163" t="str">
        <f>'DETALLE DE VENTAS'!C128</f>
        <v>MANTO LIQUIDO CUNETE 4 GLN GRIS</v>
      </c>
      <c r="C23" s="164">
        <f>'DETALLE DE VENTAS'!Y128</f>
        <v>0</v>
      </c>
      <c r="D23" s="164">
        <f>'DETALLE DE VENTAS'!AA128</f>
        <v>0</v>
      </c>
      <c r="E23" s="134"/>
      <c r="F23" s="134"/>
      <c r="L23" s="696"/>
      <c r="M23" s="696"/>
      <c r="N23" s="696"/>
      <c r="O23" s="696"/>
      <c r="P23" s="696"/>
    </row>
    <row r="24" spans="2:16" ht="24" x14ac:dyDescent="0.25">
      <c r="B24" s="163" t="str">
        <f>'DETALLE DE VENTAS'!C129</f>
        <v>MANTO LIQUIDO CUNETE 4 GLN VERDE</v>
      </c>
      <c r="C24" s="164">
        <f>'DETALLE DE VENTAS'!Y129</f>
        <v>0</v>
      </c>
      <c r="D24" s="164">
        <f>'DETALLE DE VENTAS'!AA129</f>
        <v>0</v>
      </c>
      <c r="E24" s="134"/>
      <c r="F24" s="134"/>
      <c r="L24" s="697"/>
      <c r="M24" s="697"/>
      <c r="N24" s="697"/>
      <c r="O24" s="697"/>
      <c r="P24" s="697"/>
    </row>
    <row r="25" spans="2:16" x14ac:dyDescent="0.25">
      <c r="B25" s="163" t="str">
        <f>'DETALLE DE VENTAS'!C130</f>
        <v>BITUBACHE SACO</v>
      </c>
      <c r="C25" s="164">
        <f>'DETALLE DE VENTAS'!Y130</f>
        <v>0</v>
      </c>
      <c r="D25" s="164">
        <f>'DETALLE DE VENTAS'!AA130</f>
        <v>0</v>
      </c>
      <c r="E25" s="134"/>
      <c r="F25" s="134"/>
      <c r="L25" s="696"/>
      <c r="M25" s="696"/>
      <c r="N25" s="696"/>
      <c r="O25" s="696"/>
      <c r="P25" s="3"/>
    </row>
    <row r="26" spans="2:16" x14ac:dyDescent="0.25">
      <c r="B26" s="163" t="str">
        <f>'DETALLE DE VENTAS'!C131</f>
        <v>TANQUE CILIND 500 LT</v>
      </c>
      <c r="C26" s="164">
        <f>'DETALLE DE VENTAS'!Y131</f>
        <v>3</v>
      </c>
      <c r="D26" s="164">
        <f>'DETALLE DE VENTAS'!AA131</f>
        <v>270</v>
      </c>
      <c r="E26" s="134"/>
      <c r="F26" s="134"/>
      <c r="L26" s="696"/>
      <c r="M26" s="696"/>
      <c r="N26" s="696"/>
      <c r="O26" s="696"/>
      <c r="P26" s="3"/>
    </row>
    <row r="27" spans="2:16" x14ac:dyDescent="0.25">
      <c r="B27" s="163" t="str">
        <f>'DETALLE DE VENTAS'!C132</f>
        <v>TANQUE CILIND 560 LT</v>
      </c>
      <c r="C27" s="164">
        <f>'DETALLE DE VENTAS'!Y132</f>
        <v>2</v>
      </c>
      <c r="D27" s="164">
        <f>'DETALLE DE VENTAS'!AA132</f>
        <v>190</v>
      </c>
      <c r="E27" s="134"/>
      <c r="F27" s="134"/>
      <c r="L27" s="696"/>
      <c r="M27" s="696"/>
      <c r="N27" s="696"/>
      <c r="O27" s="696"/>
      <c r="P27" s="3"/>
    </row>
    <row r="28" spans="2:16" x14ac:dyDescent="0.25">
      <c r="B28" s="163" t="str">
        <f>'DETALLE DE VENTAS'!C133</f>
        <v>TANQUE CILIND 1000 LT</v>
      </c>
      <c r="C28" s="164">
        <f>'DETALLE DE VENTAS'!Y133</f>
        <v>0</v>
      </c>
      <c r="D28" s="164">
        <f>'DETALLE DE VENTAS'!AA133</f>
        <v>0</v>
      </c>
      <c r="E28" s="134"/>
      <c r="F28" s="134"/>
      <c r="L28" s="696"/>
      <c r="M28" s="696"/>
      <c r="N28" s="696"/>
      <c r="O28" s="696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VENTAS'!Y134</f>
        <v>6</v>
      </c>
      <c r="D29" s="164">
        <f>'DETALLE DE VENTAS'!AA134</f>
        <v>600</v>
      </c>
      <c r="E29" s="134"/>
      <c r="F29" s="134"/>
      <c r="L29" s="696"/>
      <c r="M29" s="696"/>
      <c r="N29" s="696"/>
      <c r="O29" s="696"/>
      <c r="P29" s="696"/>
    </row>
    <row r="30" spans="2:16" x14ac:dyDescent="0.25">
      <c r="B30" s="163" t="str">
        <f>'DETALLE DE VENTAS'!C135</f>
        <v>TANQUE T/VASO 1100 LT</v>
      </c>
      <c r="C30" s="164">
        <f>'DETALLE DE VENTAS'!Y135</f>
        <v>0</v>
      </c>
      <c r="D30" s="164">
        <f>'DETALLE DE VENTAS'!AA135</f>
        <v>0</v>
      </c>
      <c r="E30" s="134"/>
      <c r="F30" s="134"/>
      <c r="L30" s="696"/>
      <c r="M30" s="696"/>
      <c r="N30" s="696"/>
      <c r="O30" s="696"/>
      <c r="P30" s="696"/>
    </row>
    <row r="31" spans="2:16" x14ac:dyDescent="0.25">
      <c r="B31" s="163" t="str">
        <f>'DETALLE DE VENTAS'!C136</f>
        <v>TANQUE T/VASO 1400 LT TUVENCA</v>
      </c>
      <c r="C31" s="164">
        <f>'DETALLE DE VENTAS'!Y136</f>
        <v>6</v>
      </c>
      <c r="D31" s="164">
        <f>'DETALLE DE VENTAS'!AA136</f>
        <v>590</v>
      </c>
      <c r="E31" s="134"/>
      <c r="F31" s="134"/>
      <c r="L31" s="696"/>
      <c r="M31" s="696"/>
      <c r="N31" s="696"/>
      <c r="O31" s="696"/>
      <c r="P31" s="696"/>
    </row>
    <row r="32" spans="2:16" x14ac:dyDescent="0.25">
      <c r="B32" s="163" t="str">
        <f>'DETALLE DE VENTAS'!C137</f>
        <v>TANQUE T/VASO 2200 LT</v>
      </c>
      <c r="C32" s="164">
        <f>'DETALLE DE VENTAS'!Y137</f>
        <v>0</v>
      </c>
      <c r="D32" s="164">
        <f>'DETALLE DE VENTAS'!AA137</f>
        <v>0</v>
      </c>
      <c r="E32" s="134"/>
      <c r="F32" s="134"/>
      <c r="L32" s="696"/>
      <c r="M32" s="696"/>
      <c r="N32" s="696"/>
      <c r="O32" s="696"/>
      <c r="P32" s="696"/>
    </row>
    <row r="33" spans="2:16" x14ac:dyDescent="0.25">
      <c r="B33" s="163" t="str">
        <f>'DETALLE DE VENTAS'!C138</f>
        <v>TANQUE TINACO 2000 LT</v>
      </c>
      <c r="C33" s="164">
        <f>'DETALLE DE VENTAS'!Y138</f>
        <v>0</v>
      </c>
      <c r="D33" s="164">
        <f>'DETALLE DE VENTAS'!AA138</f>
        <v>0</v>
      </c>
      <c r="E33" s="134"/>
      <c r="F33" s="134"/>
      <c r="L33" s="696"/>
      <c r="M33" s="696"/>
      <c r="N33" s="696"/>
      <c r="O33" s="696"/>
      <c r="P33" s="696"/>
    </row>
    <row r="34" spans="2:16" x14ac:dyDescent="0.25">
      <c r="B34" s="163" t="str">
        <f>'DETALLE DE VENTAS'!C139</f>
        <v>MAPEI UNO GARRAFA 0,8 KG</v>
      </c>
      <c r="C34" s="164">
        <f>'DETALLE DE VENTAS'!Y139</f>
        <v>1</v>
      </c>
      <c r="D34" s="164">
        <f>'DETALLE DE VENTAS'!AA139</f>
        <v>5.5</v>
      </c>
      <c r="E34" s="134"/>
      <c r="F34" s="134"/>
      <c r="L34" s="696"/>
      <c r="M34" s="696"/>
      <c r="N34" s="696"/>
      <c r="O34" s="696"/>
      <c r="P34" s="696"/>
    </row>
    <row r="35" spans="2:16" x14ac:dyDescent="0.25">
      <c r="B35" s="163" t="str">
        <f>'DETALLE DE VENTAS'!C140</f>
        <v>MAPEI UNO GARRAFA 2 KG</v>
      </c>
      <c r="C35" s="164">
        <f>'DETALLE DE VENTAS'!Y140</f>
        <v>4</v>
      </c>
      <c r="D35" s="164">
        <f>'DETALLE DE VENTAS'!AA140</f>
        <v>52</v>
      </c>
      <c r="E35" s="134"/>
      <c r="F35" s="134"/>
      <c r="L35" s="696"/>
      <c r="M35" s="696"/>
      <c r="N35" s="696"/>
      <c r="O35" s="696"/>
      <c r="P35" s="696"/>
    </row>
    <row r="36" spans="2:16" x14ac:dyDescent="0.25">
      <c r="B36" s="163" t="str">
        <f>'DETALLE DE VENTAS'!C141</f>
        <v>MAPELATEX  CO GARRAFA 0,8 KG</v>
      </c>
      <c r="C36" s="164">
        <f>'DETALLE DE VENTAS'!Y141</f>
        <v>0</v>
      </c>
      <c r="D36" s="164">
        <f>'DETALLE DE VENTAS'!AA141</f>
        <v>0</v>
      </c>
      <c r="E36" s="134"/>
      <c r="F36" s="134"/>
      <c r="L36" s="696"/>
      <c r="M36" s="696"/>
      <c r="N36" s="696"/>
      <c r="O36" s="696"/>
      <c r="P36" s="696"/>
    </row>
    <row r="37" spans="2:16" x14ac:dyDescent="0.25">
      <c r="B37" s="163" t="str">
        <f>'DETALLE DE VENTAS'!C142</f>
        <v>MAPELATEX PVA GARRAFA 0,25 KG</v>
      </c>
      <c r="C37" s="164">
        <f>'DETALLE DE VENTAS'!Y142</f>
        <v>0</v>
      </c>
      <c r="D37" s="164">
        <f>'DETALLE DE VENTAS'!AA142</f>
        <v>0</v>
      </c>
      <c r="E37" s="134"/>
      <c r="F37" s="134"/>
      <c r="L37" s="696"/>
      <c r="M37" s="696"/>
      <c r="N37" s="696"/>
      <c r="O37" s="696"/>
      <c r="P37" s="696"/>
    </row>
    <row r="38" spans="2:16" x14ac:dyDescent="0.25">
      <c r="B38" s="163" t="str">
        <f>'DETALLE DE VENTAS'!C143</f>
        <v>MAPELATEX PVA GARRAFA 1 KG</v>
      </c>
      <c r="C38" s="164">
        <f>'DETALLE DE VENTAS'!Y143</f>
        <v>1</v>
      </c>
      <c r="D38" s="164">
        <f>'DETALLE DE VENTAS'!AA143</f>
        <v>8.5</v>
      </c>
      <c r="E38" s="134"/>
      <c r="F38" s="134"/>
      <c r="L38" s="696"/>
      <c r="M38" s="696"/>
      <c r="N38" s="696"/>
      <c r="O38" s="696"/>
      <c r="P38" s="696"/>
    </row>
    <row r="39" spans="2:16" x14ac:dyDescent="0.25">
      <c r="B39" s="163" t="str">
        <f>'DETALLE DE VENTAS'!C144</f>
        <v>MAPEPLAST WP20 GARRAFA 4,5 KG</v>
      </c>
      <c r="C39" s="164">
        <f>'DETALLE DE VENTAS'!Y144</f>
        <v>0</v>
      </c>
      <c r="D39" s="164">
        <f>'DETALLE DE VENTAS'!AA144</f>
        <v>0</v>
      </c>
      <c r="E39" s="134"/>
      <c r="F39" s="134"/>
      <c r="L39" s="696"/>
      <c r="M39" s="696"/>
      <c r="N39" s="696"/>
      <c r="O39" s="696"/>
      <c r="P39" s="696"/>
    </row>
    <row r="40" spans="2:16" x14ac:dyDescent="0.25">
      <c r="B40" s="163" t="str">
        <f>'DETALLE DE VENTAS'!C145</f>
        <v>MAPEBAND EASY H130 ROLLO 10M</v>
      </c>
      <c r="C40" s="164">
        <f>'DETALLE DE VENTAS'!Y145</f>
        <v>0</v>
      </c>
      <c r="D40" s="164">
        <f>'DETALLE DE VENTAS'!AA145</f>
        <v>0</v>
      </c>
      <c r="E40" s="134"/>
      <c r="F40" s="134"/>
      <c r="L40" s="696"/>
      <c r="M40" s="696"/>
      <c r="N40" s="696"/>
      <c r="O40" s="696"/>
      <c r="P40" s="696"/>
    </row>
    <row r="41" spans="2:16" x14ac:dyDescent="0.25">
      <c r="B41" s="163" t="str">
        <f>'DETALLE DE VENTAS'!C146</f>
        <v>AQUAFLEX TECHO MAXI 5GL BLANCO</v>
      </c>
      <c r="C41" s="164">
        <f>'DETALLE DE VENTAS'!Y146</f>
        <v>2</v>
      </c>
      <c r="D41" s="164">
        <f>'DETALLE DE VENTAS'!AA146</f>
        <v>270</v>
      </c>
      <c r="E41" s="134"/>
      <c r="F41" s="134"/>
      <c r="L41" s="696"/>
      <c r="M41" s="696"/>
      <c r="N41" s="696"/>
      <c r="O41" s="696"/>
      <c r="P41" s="696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64">
        <f>'DETALLE DE VENTAS'!AA147</f>
        <v>140</v>
      </c>
      <c r="E42" s="134"/>
      <c r="F42" s="134"/>
      <c r="L42" s="696"/>
      <c r="M42" s="696"/>
      <c r="N42" s="696"/>
      <c r="O42" s="696"/>
      <c r="P42" s="696"/>
    </row>
    <row r="43" spans="2:16" x14ac:dyDescent="0.25">
      <c r="B43" s="163" t="str">
        <f>'DETALLE DE VENTAS'!C148</f>
        <v>AQUAFLEX TECHO MAXI 5GL GRIS</v>
      </c>
      <c r="C43" s="164">
        <f>'DETALLE DE VENTAS'!Y148</f>
        <v>6</v>
      </c>
      <c r="D43" s="164">
        <f>'DETALLE DE VENTAS'!AA148</f>
        <v>810</v>
      </c>
      <c r="E43" s="134"/>
      <c r="F43" s="134"/>
      <c r="L43" s="696"/>
      <c r="M43" s="696"/>
      <c r="N43" s="696"/>
      <c r="O43" s="696"/>
      <c r="P43" s="696"/>
    </row>
    <row r="44" spans="2:16" x14ac:dyDescent="0.25">
      <c r="B44" s="163" t="str">
        <f>'DETALLE DE VENTAS'!C149</f>
        <v>AQUAFLEX TECHO MAXI GL GRIS</v>
      </c>
      <c r="C44" s="164">
        <f>'DETALLE DE VENTAS'!Y149</f>
        <v>2</v>
      </c>
      <c r="D44" s="164">
        <f>'DETALLE DE VENTAS'!AA149</f>
        <v>70</v>
      </c>
      <c r="E44" s="134"/>
      <c r="F44" s="134"/>
      <c r="L44" s="696"/>
      <c r="M44" s="696"/>
      <c r="N44" s="696"/>
      <c r="O44" s="696"/>
      <c r="P44" s="696"/>
    </row>
    <row r="45" spans="2:16" x14ac:dyDescent="0.25">
      <c r="B45" s="163" t="str">
        <f>'DETALLE DE VENTAS'!C150</f>
        <v>AQUAFLEX TECHO MAXI 5GL ROJO</v>
      </c>
      <c r="C45" s="164">
        <f>'DETALLE DE VENTAS'!Y150</f>
        <v>3</v>
      </c>
      <c r="D45" s="164">
        <f>'DETALLE DE VENTAS'!AA150</f>
        <v>405</v>
      </c>
      <c r="E45" s="134"/>
      <c r="F45" s="134"/>
      <c r="L45" s="696"/>
      <c r="M45" s="696"/>
      <c r="N45" s="696"/>
      <c r="O45" s="696"/>
      <c r="P45" s="696"/>
    </row>
    <row r="46" spans="2:16" x14ac:dyDescent="0.25">
      <c r="B46" s="163" t="str">
        <f>'DETALLE DE VENTAS'!C151</f>
        <v>AQUAFLEX TECHO MAXI GL ROJO</v>
      </c>
      <c r="C46" s="164">
        <f>'DETALLE DE VENTAS'!Y151</f>
        <v>0</v>
      </c>
      <c r="D46" s="164">
        <f>'DETALLE DE VENTAS'!AA151</f>
        <v>0</v>
      </c>
      <c r="E46" s="134"/>
      <c r="F46" s="134"/>
      <c r="L46" s="696"/>
      <c r="M46" s="696"/>
      <c r="N46" s="696"/>
      <c r="O46" s="696"/>
      <c r="P46" s="696"/>
    </row>
    <row r="47" spans="2:16" ht="24" x14ac:dyDescent="0.25">
      <c r="B47" s="163" t="str">
        <f>'DETALLE DE VENTAS'!C152</f>
        <v>MAPEFLEX MS CRYSTAL CART 300ML TRANSP</v>
      </c>
      <c r="C47" s="164">
        <f>'DETALLE DE VENTAS'!Y152</f>
        <v>0</v>
      </c>
      <c r="D47" s="164">
        <f>'DETALLE DE VENTAS'!AA152</f>
        <v>0</v>
      </c>
      <c r="E47" s="134"/>
      <c r="F47" s="134"/>
      <c r="L47" s="696"/>
      <c r="M47" s="696"/>
      <c r="N47" s="696"/>
      <c r="O47" s="696"/>
      <c r="P47" s="696"/>
    </row>
    <row r="48" spans="2:16" ht="24" x14ac:dyDescent="0.25">
      <c r="B48" s="163" t="str">
        <f>'DETALLE DE VENTAS'!C153</f>
        <v>MAPEFLEX MS 45 CART 300ML BLANCO</v>
      </c>
      <c r="C48" s="164">
        <f>'DETALLE DE VENTAS'!Y153</f>
        <v>0</v>
      </c>
      <c r="D48" s="164">
        <f>'DETALLE DE VENTAS'!AA153</f>
        <v>0</v>
      </c>
      <c r="E48" s="134"/>
      <c r="F48" s="134"/>
      <c r="L48" s="696"/>
      <c r="M48" s="696"/>
      <c r="N48" s="696"/>
      <c r="O48" s="696"/>
      <c r="P48" s="696"/>
    </row>
    <row r="49" spans="2:16" x14ac:dyDescent="0.25">
      <c r="B49" s="163" t="str">
        <f>'DETALLE DE VENTAS'!C154</f>
        <v>MAPEFLEX MS 45 CART 300ML GRIS</v>
      </c>
      <c r="C49" s="164">
        <f>'DETALLE DE VENTAS'!Y154</f>
        <v>0</v>
      </c>
      <c r="D49" s="164">
        <f>'DETALLE DE VENTAS'!AA154</f>
        <v>0</v>
      </c>
      <c r="E49" s="134"/>
      <c r="F49" s="134"/>
      <c r="L49" s="696"/>
      <c r="M49" s="696"/>
      <c r="N49" s="696"/>
      <c r="O49" s="696"/>
      <c r="P49" s="696"/>
    </row>
    <row r="50" spans="2:16" x14ac:dyDescent="0.25">
      <c r="B50" s="163" t="str">
        <f>'DETALLE DE VENTAS'!C155</f>
        <v>MAPEFLEX AC4 CART 300ML BLANCO</v>
      </c>
      <c r="C50" s="164">
        <f>'DETALLE DE VENTAS'!Y155</f>
        <v>1</v>
      </c>
      <c r="D50" s="164">
        <f>'DETALLE DE VENTAS'!AA155</f>
        <v>7</v>
      </c>
      <c r="E50" s="134"/>
      <c r="F50" s="134"/>
      <c r="L50" s="696"/>
      <c r="M50" s="696"/>
      <c r="N50" s="696"/>
      <c r="O50" s="696"/>
      <c r="P50" s="696"/>
    </row>
    <row r="51" spans="2:16" x14ac:dyDescent="0.25">
      <c r="B51" s="163" t="str">
        <f>'DETALLE DE VENTAS'!C156</f>
        <v>MAPESIL U TRANSP CART 280ML</v>
      </c>
      <c r="C51" s="164">
        <f>'DETALLE DE VENTAS'!Y156</f>
        <v>0</v>
      </c>
      <c r="D51" s="164">
        <f>'DETALLE DE VENTAS'!AA156</f>
        <v>0</v>
      </c>
      <c r="E51" s="134"/>
      <c r="F51" s="134"/>
      <c r="L51" s="696"/>
      <c r="M51" s="696"/>
      <c r="N51" s="696"/>
      <c r="O51" s="696"/>
      <c r="P51" s="696"/>
    </row>
    <row r="52" spans="2:16" ht="24" x14ac:dyDescent="0.25">
      <c r="B52" s="163" t="str">
        <f>'DETALLE DE VENTAS'!C157</f>
        <v>ULTRABOND SUPER GRIP CART 310ML</v>
      </c>
      <c r="C52" s="164">
        <f>'DETALLE DE VENTAS'!Y157</f>
        <v>0</v>
      </c>
      <c r="D52" s="164">
        <f>'DETALLE DE VENTAS'!AA157</f>
        <v>0</v>
      </c>
      <c r="E52" s="134"/>
      <c r="F52" s="134"/>
      <c r="L52" s="696"/>
      <c r="M52" s="696"/>
      <c r="N52" s="696"/>
      <c r="O52" s="696"/>
      <c r="P52" s="696"/>
    </row>
    <row r="53" spans="2:16" x14ac:dyDescent="0.25">
      <c r="B53" s="163" t="str">
        <f>'DETALLE DE VENTAS'!C158</f>
        <v>MAPEUR UNIV FOAM LATA 500ML</v>
      </c>
      <c r="C53" s="164">
        <f>'DETALLE DE VENTAS'!Y158</f>
        <v>0</v>
      </c>
      <c r="D53" s="164">
        <f>'DETALLE DE VENTAS'!AA158</f>
        <v>0</v>
      </c>
      <c r="E53" s="134"/>
      <c r="F53" s="134"/>
      <c r="L53" s="696"/>
      <c r="M53" s="696"/>
      <c r="N53" s="696"/>
      <c r="O53" s="696"/>
      <c r="P53" s="696"/>
    </row>
    <row r="54" spans="2:16" x14ac:dyDescent="0.25">
      <c r="B54" s="163" t="str">
        <f>'DETALLE DE VENTAS'!C159</f>
        <v>MAPEUR UNIV FOAM LATA 750ML</v>
      </c>
      <c r="C54" s="164">
        <f>'DETALLE DE VENTAS'!Y159</f>
        <v>0</v>
      </c>
      <c r="D54" s="164">
        <f>'DETALLE DE VENTAS'!AA159</f>
        <v>0</v>
      </c>
      <c r="E54" s="134"/>
      <c r="F54" s="134"/>
      <c r="L54" s="696"/>
      <c r="M54" s="696"/>
      <c r="N54" s="696"/>
      <c r="O54" s="696"/>
      <c r="P54" s="696"/>
    </row>
    <row r="55" spans="2:16" ht="24" x14ac:dyDescent="0.25">
      <c r="B55" s="163" t="str">
        <f>'DETALLE DE VENTAS'!C160</f>
        <v>EPORIP COMP A+B TARRO 1,5 KG + 0,5 KG</v>
      </c>
      <c r="C55" s="164">
        <f>'DETALLE DE VENTAS'!Y160</f>
        <v>0</v>
      </c>
      <c r="D55" s="164">
        <f>'DETALLE DE VENTAS'!AA160</f>
        <v>0</v>
      </c>
      <c r="E55" s="134"/>
      <c r="F55" s="134"/>
      <c r="L55" s="696"/>
      <c r="M55" s="696"/>
      <c r="N55" s="696"/>
      <c r="O55" s="696"/>
      <c r="P55" s="696"/>
    </row>
    <row r="56" spans="2:16" x14ac:dyDescent="0.25">
      <c r="B56" s="163" t="str">
        <f>'DETALLE DE VENTAS'!C161</f>
        <v>ADESILEX PG1 COMP A+B TARRO 2KG</v>
      </c>
      <c r="C56" s="164">
        <f>'DETALLE DE VENTAS'!Y161</f>
        <v>0</v>
      </c>
      <c r="D56" s="164">
        <f>'DETALLE DE VENTAS'!AA161</f>
        <v>0</v>
      </c>
      <c r="E56" s="134"/>
      <c r="F56" s="134"/>
      <c r="L56" s="696"/>
      <c r="M56" s="696"/>
      <c r="N56" s="696"/>
      <c r="O56" s="696"/>
      <c r="P56" s="696"/>
    </row>
    <row r="57" spans="2:16" ht="24" x14ac:dyDescent="0.25">
      <c r="B57" s="163" t="str">
        <f>'DETALLE DE VENTAS'!C162</f>
        <v>KERACOLOR FF 100 BLANCO BOLSA 2KG</v>
      </c>
      <c r="C57" s="164">
        <f>'DETALLE DE VENTAS'!Y162</f>
        <v>17</v>
      </c>
      <c r="D57" s="164">
        <f>'DETALLE DE VENTAS'!AA162</f>
        <v>126.9</v>
      </c>
      <c r="E57" s="134"/>
      <c r="F57" s="134"/>
      <c r="L57" s="696"/>
      <c r="M57" s="696"/>
      <c r="N57" s="696"/>
      <c r="O57" s="696"/>
      <c r="P57" s="696"/>
    </row>
    <row r="58" spans="2:16" ht="24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64">
        <f>'DETALLE DE VENTAS'!AA163</f>
        <v>17.100000000000001</v>
      </c>
      <c r="E58" s="134"/>
      <c r="F58" s="134"/>
      <c r="L58" s="696"/>
      <c r="M58" s="696"/>
      <c r="N58" s="696"/>
      <c r="O58" s="696"/>
      <c r="P58" s="696"/>
    </row>
    <row r="59" spans="2:16" ht="24" x14ac:dyDescent="0.25">
      <c r="B59" s="163" t="str">
        <f>'DETALLE DE VENTAS'!C164</f>
        <v>KERACOLOR FF 112 GRIS MEDIO BOLSA 5KG</v>
      </c>
      <c r="C59" s="164">
        <f>'DETALLE DE VENTAS'!Y164</f>
        <v>0</v>
      </c>
      <c r="D59" s="164">
        <f>'DETALLE DE VENTAS'!AA164</f>
        <v>0</v>
      </c>
      <c r="E59" s="134"/>
      <c r="F59" s="134"/>
      <c r="L59" s="696"/>
      <c r="M59" s="696"/>
      <c r="N59" s="696"/>
      <c r="O59" s="696"/>
      <c r="P59" s="696"/>
    </row>
    <row r="60" spans="2:16" ht="24" x14ac:dyDescent="0.25">
      <c r="B60" s="163" t="str">
        <f>'DETALLE DE VENTAS'!C165</f>
        <v>KERACOLOR FF 112 GRIS MEDIO BOLSA 2KG</v>
      </c>
      <c r="C60" s="164">
        <f>'DETALLE DE VENTAS'!Y165</f>
        <v>0</v>
      </c>
      <c r="D60" s="164">
        <f>'DETALLE DE VENTAS'!AA165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VENTAS'!Y166</f>
        <v>0</v>
      </c>
      <c r="D61" s="164">
        <f>'DETALLE DE VENTAS'!AA166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VENTAS'!Y167</f>
        <v>0</v>
      </c>
      <c r="D62" s="164">
        <f>'DETALLE DE VENTAS'!AA167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VENTAS'!Y168</f>
        <v>0</v>
      </c>
      <c r="D63" s="164">
        <f>'DETALLE DE VENTAS'!AA168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VENTAS'!Y169</f>
        <v>0</v>
      </c>
      <c r="D64" s="164">
        <f>'DETALLE DE VENTAS'!AA169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64">
        <f>'DETALLE DE VENTAS'!AA170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VENTAS'!Y171</f>
        <v>35</v>
      </c>
      <c r="D66" s="164">
        <f>'DETALLE DE VENTAS'!AA171</f>
        <v>577.5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VENTAS'!Y172</f>
        <v>4</v>
      </c>
      <c r="D67" s="164">
        <f>'DETALLE DE VENTAS'!AA172</f>
        <v>72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VENTAS'!Y173</f>
        <v>0</v>
      </c>
      <c r="D68" s="164">
        <f>'DETALLE DE VENTAS'!AA173</f>
        <v>0</v>
      </c>
      <c r="E68" s="134"/>
      <c r="F68" s="134"/>
      <c r="L68" s="696"/>
      <c r="M68" s="696"/>
      <c r="N68" s="696"/>
      <c r="O68" s="696"/>
      <c r="P68" s="696"/>
    </row>
    <row r="69" spans="2:16" ht="24" x14ac:dyDescent="0.25">
      <c r="B69" s="163" t="str">
        <f>'DETALLE DE VENTAS'!C174</f>
        <v>ASFALTO SOLIDO OXIDADO CARTUCHO</v>
      </c>
      <c r="C69" s="164">
        <f>'DETALLE DE VENTAS'!Y174</f>
        <v>0</v>
      </c>
      <c r="D69" s="164">
        <f>'DETALLE DE VENTAS'!AA174</f>
        <v>0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VENTAS'!Y175</f>
        <v>26</v>
      </c>
      <c r="D70" s="164">
        <f>'DETALLE DE VENTAS'!AA175</f>
        <v>390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VENTAS'!Y176</f>
        <v>1</v>
      </c>
      <c r="D71" s="164">
        <f>'DETALLE DE VENTAS'!AA176</f>
        <v>9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VENTAS'!Y177</f>
        <v>0</v>
      </c>
      <c r="D72" s="164">
        <f>'DETALLE DE VENTAS'!AA177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VENTAS'!Y178</f>
        <v>0</v>
      </c>
      <c r="D73" s="164">
        <f>'DETALLE DE VENTAS'!AA178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VENTAS'!Y179</f>
        <v>0</v>
      </c>
      <c r="D74" s="164">
        <f>'DETALLE DE VENTAS'!AA179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VENTAS'!Y180</f>
        <v>0</v>
      </c>
      <c r="D75" s="164">
        <f>'DETALLE DE VENTAS'!AA180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VENTAS'!Y181</f>
        <v>0</v>
      </c>
      <c r="D76" s="164">
        <f>'DETALLE DE VENTAS'!AA181</f>
        <v>0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VENTAS'!Y182</f>
        <v>0</v>
      </c>
      <c r="D77" s="164">
        <f>'DETALLE DE VENTAS'!AA182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VENTAS'!Y183</f>
        <v>0</v>
      </c>
      <c r="D78" s="164">
        <f>'DETALLE DE VENTAS'!AA183</f>
        <v>0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VENTAS'!Y184</f>
        <v>0</v>
      </c>
      <c r="D79" s="164">
        <f>'DETALLE DE VENTAS'!AA184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VENTAS'!Y185</f>
        <v>0</v>
      </c>
      <c r="D80" s="164">
        <f>'DETALLE DE VENTAS'!AA185</f>
        <v>0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VENTAS'!Y186</f>
        <v>0</v>
      </c>
      <c r="D81" s="164">
        <f>'DETALLE DE VENTAS'!AA186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VENTAS'!Y187</f>
        <v>0</v>
      </c>
      <c r="D82" s="164">
        <f>'DETALLE DE VENTAS'!AA187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VENTAS'!Y188</f>
        <v>0</v>
      </c>
      <c r="D83" s="164">
        <f>'DETALLE DE VENTAS'!AA188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VENTAS'!Y189</f>
        <v>0</v>
      </c>
      <c r="D84" s="164">
        <f>'DETALLE DE VENTAS'!AA189</f>
        <v>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VENTAS'!Y190</f>
        <v>0</v>
      </c>
      <c r="D85" s="164">
        <f>'DETALLE DE VENTAS'!AA190</f>
        <v>0</v>
      </c>
      <c r="E85" s="134"/>
      <c r="F85" s="134"/>
      <c r="L85" s="14"/>
      <c r="M85" s="14"/>
      <c r="N85" s="14"/>
      <c r="O85" s="14"/>
      <c r="P85" s="14"/>
    </row>
    <row r="86" spans="2:22" x14ac:dyDescent="0.25">
      <c r="B86" s="165"/>
      <c r="C86" s="166"/>
      <c r="D86" s="166">
        <f>SUM(D3:D85)</f>
        <v>26064.5</v>
      </c>
      <c r="E86" s="134"/>
      <c r="F86" s="134"/>
      <c r="L86" s="14"/>
      <c r="M86" s="14"/>
      <c r="N86" s="14"/>
      <c r="O86" s="14"/>
      <c r="P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696"/>
      <c r="M87" s="696"/>
      <c r="N87" s="696"/>
      <c r="O87" s="696"/>
      <c r="P87" s="696"/>
    </row>
    <row r="88" spans="2:22" ht="18.75" x14ac:dyDescent="0.3">
      <c r="B88" s="699" t="s">
        <v>80</v>
      </c>
      <c r="C88" s="699"/>
      <c r="D88" s="699"/>
      <c r="E88" s="699"/>
      <c r="F88" s="699"/>
      <c r="G88" s="699"/>
      <c r="H88" s="699"/>
      <c r="I88" s="210"/>
      <c r="J88" s="711"/>
      <c r="K88" s="711"/>
      <c r="L88" s="711"/>
      <c r="M88" s="711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4" x14ac:dyDescent="0.25">
      <c r="B89" s="99" t="s">
        <v>2</v>
      </c>
      <c r="C89" s="143" t="s">
        <v>78</v>
      </c>
      <c r="D89" s="143" t="s">
        <v>79</v>
      </c>
      <c r="E89" s="143" t="s">
        <v>92</v>
      </c>
      <c r="F89" s="143" t="s">
        <v>91</v>
      </c>
      <c r="G89" s="144" t="s">
        <v>75</v>
      </c>
      <c r="H89" s="176" t="s">
        <v>102</v>
      </c>
      <c r="I89" s="134"/>
      <c r="J89" s="314"/>
      <c r="K89" s="148"/>
      <c r="L89" s="148"/>
      <c r="M89" s="315"/>
      <c r="N89" s="26"/>
      <c r="O89" s="26"/>
    </row>
    <row r="90" spans="2:22" ht="24" x14ac:dyDescent="0.25">
      <c r="B90" s="145" t="str">
        <f>'DETALLE DE VENTAS'!C212</f>
        <v>CEMENTO PLASTICO 1/4 GLN BITUPLAST</v>
      </c>
      <c r="C90" s="143">
        <f t="shared" ref="C90:C112" si="0">C3</f>
        <v>27</v>
      </c>
      <c r="D90" s="143">
        <f>'DETALLE DE VENTAS'!AN212</f>
        <v>1</v>
      </c>
      <c r="E90" s="99">
        <f t="shared" ref="E90:E105" si="1">D3</f>
        <v>216</v>
      </c>
      <c r="F90" s="143">
        <v>172.53</v>
      </c>
      <c r="G90" s="144">
        <f>E90-F90</f>
        <v>43.47</v>
      </c>
      <c r="H90" s="265">
        <f>'DETALLE DE VENTAS'!AO212</f>
        <v>5.5086206896551726</v>
      </c>
      <c r="I90" s="134"/>
      <c r="J90" s="154"/>
      <c r="K90" s="148"/>
      <c r="L90" s="316"/>
      <c r="M90" s="317"/>
      <c r="N90" s="26"/>
      <c r="O90" s="26"/>
    </row>
    <row r="91" spans="2:22" x14ac:dyDescent="0.25">
      <c r="B91" s="145" t="str">
        <f>'DETALLE DE VENTAS'!C213</f>
        <v>CEMENTO PLASTICO GLN BITUPLAST</v>
      </c>
      <c r="C91" s="143">
        <f t="shared" si="0"/>
        <v>91</v>
      </c>
      <c r="D91" s="143">
        <f>'DETALLE DE VENTAS'!AN213</f>
        <v>-2</v>
      </c>
      <c r="E91" s="99">
        <f t="shared" si="1"/>
        <v>1371</v>
      </c>
      <c r="F91" s="143">
        <v>1103.32</v>
      </c>
      <c r="G91" s="144">
        <f t="shared" ref="G91:G112" si="2">E91-F91</f>
        <v>267.68000000000006</v>
      </c>
      <c r="H91" s="265">
        <f>'DETALLE DE VENTAS'!AO213</f>
        <v>-21.879310344827587</v>
      </c>
      <c r="I91" s="134"/>
      <c r="J91" s="154"/>
      <c r="K91" s="148"/>
      <c r="L91" s="316"/>
      <c r="M91" s="317"/>
      <c r="N91" s="26"/>
      <c r="O91" s="26"/>
    </row>
    <row r="92" spans="2:22" ht="24" x14ac:dyDescent="0.25">
      <c r="B92" s="145" t="str">
        <f>'DETALLE DE VENTAS'!C214</f>
        <v>CEMENTO PLASTICO 4 GLN BITUPLAST</v>
      </c>
      <c r="C92" s="143">
        <f t="shared" si="0"/>
        <v>41</v>
      </c>
      <c r="D92" s="143">
        <f>'DETALLE DE VENTAS'!AN214</f>
        <v>14</v>
      </c>
      <c r="E92" s="99">
        <f t="shared" si="1"/>
        <v>1701</v>
      </c>
      <c r="F92" s="143">
        <v>1360.42</v>
      </c>
      <c r="G92" s="144">
        <f t="shared" si="2"/>
        <v>340.57999999999993</v>
      </c>
      <c r="H92" s="265">
        <f>'DETALLE DE VENTAS'!AO214</f>
        <v>422.89655172413802</v>
      </c>
      <c r="I92" s="134"/>
      <c r="J92" s="154"/>
      <c r="K92" s="148"/>
      <c r="L92" s="316"/>
      <c r="M92" s="317"/>
      <c r="N92" s="26"/>
      <c r="O92" s="26"/>
    </row>
    <row r="93" spans="2:22" x14ac:dyDescent="0.25">
      <c r="B93" s="145" t="str">
        <f>'DETALLE DE VENTAS'!C215</f>
        <v>ASFALTO LIQUIDO GLN BITUPLAST</v>
      </c>
      <c r="C93" s="143">
        <f t="shared" si="0"/>
        <v>13</v>
      </c>
      <c r="D93" s="143">
        <f>'DETALLE DE VENTAS'!AN215</f>
        <v>46</v>
      </c>
      <c r="E93" s="99">
        <f t="shared" si="1"/>
        <v>169</v>
      </c>
      <c r="F93" s="143">
        <v>139.1</v>
      </c>
      <c r="G93" s="144">
        <f t="shared" si="2"/>
        <v>29.900000000000006</v>
      </c>
      <c r="H93" s="265">
        <f>'DETALLE DE VENTAS'!AO215</f>
        <v>424.31034482758616</v>
      </c>
      <c r="I93" s="134"/>
      <c r="J93" s="154"/>
      <c r="K93" s="148"/>
      <c r="L93" s="316"/>
      <c r="M93" s="317"/>
      <c r="N93" s="26"/>
      <c r="O93" s="26"/>
    </row>
    <row r="94" spans="2:22" x14ac:dyDescent="0.25">
      <c r="B94" s="145" t="str">
        <f>'DETALLE DE VENTAS'!C216</f>
        <v>ASFALTO LIQUIDO 4 GLN BITUPLAST</v>
      </c>
      <c r="C94" s="143">
        <f t="shared" si="0"/>
        <v>42</v>
      </c>
      <c r="D94" s="143">
        <f>'DETALLE DE VENTAS'!AN216</f>
        <v>-3</v>
      </c>
      <c r="E94" s="99">
        <f t="shared" si="1"/>
        <v>1160</v>
      </c>
      <c r="F94" s="143">
        <v>854.96</v>
      </c>
      <c r="G94" s="144">
        <f t="shared" si="2"/>
        <v>305.03999999999996</v>
      </c>
      <c r="H94" s="265">
        <f>'DETALLE DE VENTAS'!AO216</f>
        <v>-58.991379310344833</v>
      </c>
      <c r="I94" s="134"/>
      <c r="J94" s="154"/>
      <c r="K94" s="148"/>
      <c r="L94" s="316"/>
      <c r="M94" s="317"/>
      <c r="N94" s="26"/>
      <c r="O94" s="26"/>
    </row>
    <row r="95" spans="2:22" ht="24" x14ac:dyDescent="0.25">
      <c r="B95" s="145" t="str">
        <f>'DETALLE DE VENTAS'!C217</f>
        <v>ASFALTO PLASTICO 1/4 GLN BITUPLAST</v>
      </c>
      <c r="C95" s="143">
        <f t="shared" si="0"/>
        <v>14</v>
      </c>
      <c r="D95" s="143">
        <f>'DETALLE DE VENTAS'!AN217</f>
        <v>27</v>
      </c>
      <c r="E95" s="99">
        <f t="shared" si="1"/>
        <v>98</v>
      </c>
      <c r="F95" s="143">
        <v>79.38</v>
      </c>
      <c r="G95" s="144">
        <f t="shared" si="2"/>
        <v>18.620000000000005</v>
      </c>
      <c r="H95" s="265">
        <f>'DETALLE DE VENTAS'!AO217</f>
        <v>139.65517241379311</v>
      </c>
      <c r="I95" s="134"/>
      <c r="J95" s="154"/>
      <c r="K95" s="148"/>
      <c r="L95" s="316"/>
      <c r="M95" s="317"/>
      <c r="N95" s="26"/>
      <c r="O95" s="26"/>
    </row>
    <row r="96" spans="2:22" x14ac:dyDescent="0.25">
      <c r="B96" s="145" t="str">
        <f>'DETALLE DE VENTAS'!C218</f>
        <v>ASFALTO PLASTICO GLN BITUPLAST</v>
      </c>
      <c r="C96" s="143">
        <f t="shared" si="0"/>
        <v>24</v>
      </c>
      <c r="D96" s="143">
        <f>'DETALLE DE VENTAS'!AN218</f>
        <v>19</v>
      </c>
      <c r="E96" s="99">
        <f t="shared" si="1"/>
        <v>264</v>
      </c>
      <c r="F96" s="143">
        <v>218.32</v>
      </c>
      <c r="G96" s="144">
        <f t="shared" si="2"/>
        <v>45.680000000000007</v>
      </c>
      <c r="H96" s="265">
        <f>'DETALLE DE VENTAS'!AO218</f>
        <v>151.18103448275863</v>
      </c>
      <c r="I96" s="134"/>
      <c r="J96" s="154"/>
      <c r="K96" s="148"/>
      <c r="L96" s="316"/>
      <c r="M96" s="317"/>
      <c r="N96" s="26"/>
      <c r="O96" s="26"/>
    </row>
    <row r="97" spans="2:15" x14ac:dyDescent="0.25">
      <c r="B97" s="145" t="str">
        <f>'DETALLE DE VENTAS'!C219</f>
        <v>ASFALTO PLASTICO 4 GLN BITUPLAST</v>
      </c>
      <c r="C97" s="143">
        <f t="shared" si="0"/>
        <v>11</v>
      </c>
      <c r="D97" s="143">
        <f>'DETALLE DE VENTAS'!AN219</f>
        <v>11</v>
      </c>
      <c r="E97" s="99">
        <f t="shared" si="1"/>
        <v>365</v>
      </c>
      <c r="F97" s="143">
        <v>288.14</v>
      </c>
      <c r="G97" s="144">
        <f t="shared" si="2"/>
        <v>76.860000000000014</v>
      </c>
      <c r="H97" s="265">
        <f>'DETALLE DE VENTAS'!AO219</f>
        <v>256.41379310344826</v>
      </c>
      <c r="I97" s="134"/>
      <c r="J97" s="154"/>
      <c r="K97" s="148"/>
      <c r="L97" s="316"/>
      <c r="M97" s="317"/>
      <c r="N97" s="26"/>
      <c r="O97" s="14"/>
    </row>
    <row r="98" spans="2:15" x14ac:dyDescent="0.25">
      <c r="B98" s="145" t="str">
        <f>'DETALLE DE VENTAS'!C220</f>
        <v>PRIMER GLN BITUPLAST</v>
      </c>
      <c r="C98" s="143">
        <f t="shared" si="0"/>
        <v>39</v>
      </c>
      <c r="D98" s="143">
        <f>'DETALLE DE VENTAS'!AN220</f>
        <v>38</v>
      </c>
      <c r="E98" s="99">
        <f t="shared" si="1"/>
        <v>546</v>
      </c>
      <c r="F98" s="143">
        <v>445.82</v>
      </c>
      <c r="G98" s="144">
        <f t="shared" si="2"/>
        <v>100.18</v>
      </c>
      <c r="H98" s="265">
        <f>'DETALLE DE VENTAS'!AO220</f>
        <v>384.58620689655174</v>
      </c>
      <c r="I98" s="134"/>
      <c r="J98" s="154"/>
      <c r="K98" s="148"/>
      <c r="L98" s="316"/>
      <c r="M98" s="317"/>
    </row>
    <row r="99" spans="2:15" x14ac:dyDescent="0.25">
      <c r="B99" s="145" t="str">
        <f>'DETALLE DE VENTAS'!C221</f>
        <v>PRIMER 4 GLN BITUPLAST</v>
      </c>
      <c r="C99" s="143">
        <f t="shared" si="0"/>
        <v>55</v>
      </c>
      <c r="D99" s="143">
        <f>'DETALLE DE VENTAS'!AN221</f>
        <v>70</v>
      </c>
      <c r="E99" s="99">
        <f t="shared" si="1"/>
        <v>1748</v>
      </c>
      <c r="F99" s="143">
        <v>1409.1</v>
      </c>
      <c r="G99" s="144">
        <f t="shared" si="2"/>
        <v>338.90000000000009</v>
      </c>
      <c r="H99" s="265">
        <f>'DETALLE DE VENTAS'!AO221</f>
        <v>1619.0517241379312</v>
      </c>
      <c r="I99" s="134"/>
      <c r="J99" s="154"/>
      <c r="K99" s="148"/>
      <c r="L99" s="316"/>
      <c r="M99" s="317"/>
    </row>
    <row r="100" spans="2:15" x14ac:dyDescent="0.25">
      <c r="B100" s="145" t="str">
        <f>'DETALLE DE VENTAS'!C222</f>
        <v>PINT ALUMINIZADA GLN BITUPLAST</v>
      </c>
      <c r="C100" s="143">
        <f t="shared" si="0"/>
        <v>19</v>
      </c>
      <c r="D100" s="143">
        <f>'DETALLE DE VENTAS'!AN222</f>
        <v>-3</v>
      </c>
      <c r="E100" s="99">
        <f t="shared" si="1"/>
        <v>628</v>
      </c>
      <c r="F100" s="143">
        <v>528.17999999999995</v>
      </c>
      <c r="G100" s="144">
        <f t="shared" si="2"/>
        <v>99.82000000000005</v>
      </c>
      <c r="H100" s="265">
        <f>'DETALLE DE VENTAS'!AO222</f>
        <v>-72.310344827586221</v>
      </c>
      <c r="I100" s="134"/>
      <c r="J100" s="154"/>
      <c r="K100" s="148"/>
      <c r="L100" s="316"/>
      <c r="M100" s="317"/>
    </row>
    <row r="101" spans="2:15" ht="24" x14ac:dyDescent="0.25">
      <c r="B101" s="145" t="str">
        <f>'DETALLE DE VENTAS'!C223</f>
        <v>PINT ALUMINIZADA 4 GLN BITUPLAST</v>
      </c>
      <c r="C101" s="143">
        <f t="shared" si="0"/>
        <v>28</v>
      </c>
      <c r="D101" s="143">
        <f>'DETALLE DE VENTAS'!AN223</f>
        <v>0</v>
      </c>
      <c r="E101" s="99">
        <f t="shared" si="1"/>
        <v>3108</v>
      </c>
      <c r="F101" s="143">
        <v>2517.48</v>
      </c>
      <c r="G101" s="144">
        <f t="shared" si="2"/>
        <v>590.52</v>
      </c>
      <c r="H101" s="265">
        <f>'DETALLE DE VENTAS'!AO223</f>
        <v>0</v>
      </c>
      <c r="I101" s="134"/>
      <c r="J101" s="154"/>
      <c r="K101" s="148"/>
      <c r="L101" s="316"/>
      <c r="M101" s="317"/>
    </row>
    <row r="102" spans="2:15" ht="24" x14ac:dyDescent="0.25">
      <c r="B102" s="145" t="str">
        <f>'DETALLE DE VENTAS'!C224</f>
        <v>REPARAMANTO INTERPRIMER PRO 4 GAL</v>
      </c>
      <c r="C102" s="143">
        <f t="shared" si="0"/>
        <v>33</v>
      </c>
      <c r="D102" s="143">
        <f>'DETALLE DE VENTAS'!AN224</f>
        <v>0</v>
      </c>
      <c r="E102" s="99">
        <f t="shared" si="1"/>
        <v>1710</v>
      </c>
      <c r="F102" s="143">
        <v>1427.94</v>
      </c>
      <c r="G102" s="144">
        <f t="shared" si="2"/>
        <v>282.05999999999995</v>
      </c>
      <c r="H102" s="265">
        <f>'DETALLE DE VENTAS'!AO224</f>
        <v>0</v>
      </c>
      <c r="I102" s="134"/>
      <c r="J102" s="154"/>
      <c r="K102" s="148"/>
      <c r="L102" s="316"/>
      <c r="M102" s="317"/>
    </row>
    <row r="103" spans="2:15" ht="24" x14ac:dyDescent="0.25">
      <c r="B103" s="145" t="str">
        <f>'DETALLE DE VENTAS'!C225</f>
        <v>SELLADOR DE CAPAS 4GLN BITUPLAST</v>
      </c>
      <c r="C103" s="143">
        <f t="shared" si="0"/>
        <v>7</v>
      </c>
      <c r="D103" s="143">
        <f>'DETALLE DE VENTAS'!AN225</f>
        <v>11</v>
      </c>
      <c r="E103" s="99">
        <f t="shared" si="1"/>
        <v>346</v>
      </c>
      <c r="F103" s="143">
        <v>279.93</v>
      </c>
      <c r="G103" s="144">
        <f t="shared" si="2"/>
        <v>66.069999999999993</v>
      </c>
      <c r="H103" s="265">
        <f>'DETALLE DE VENTAS'!AO225</f>
        <v>393.53448275862075</v>
      </c>
      <c r="I103" s="134"/>
      <c r="J103" s="154"/>
      <c r="K103" s="148"/>
      <c r="L103" s="316"/>
      <c r="M103" s="317"/>
    </row>
    <row r="104" spans="2:15" x14ac:dyDescent="0.25">
      <c r="B104" s="145" t="str">
        <f>'DETALLE DE VENTAS'!C226</f>
        <v>MANTO ALUMINIZADO 3 MM</v>
      </c>
      <c r="C104" s="143">
        <f t="shared" si="0"/>
        <v>0</v>
      </c>
      <c r="D104" s="143">
        <f>'DETALLE DE VENTAS'!AN226</f>
        <v>15</v>
      </c>
      <c r="E104" s="99">
        <f t="shared" si="1"/>
        <v>0</v>
      </c>
      <c r="F104" s="143">
        <v>0</v>
      </c>
      <c r="G104" s="144">
        <f t="shared" si="2"/>
        <v>0</v>
      </c>
      <c r="H104" s="265">
        <f>'DETALLE DE VENTAS'!AO226</f>
        <v>699.43965517241395</v>
      </c>
      <c r="I104" s="134"/>
      <c r="J104" s="154"/>
      <c r="K104" s="148"/>
      <c r="L104" s="316"/>
      <c r="M104" s="317"/>
    </row>
    <row r="105" spans="2:15" x14ac:dyDescent="0.25">
      <c r="B105" s="145" t="str">
        <f>'DETALLE DE VENTAS'!C227</f>
        <v>MANTO 2,7 MM</v>
      </c>
      <c r="C105" s="143">
        <f t="shared" si="0"/>
        <v>28</v>
      </c>
      <c r="D105" s="143">
        <f>'DETALLE DE VENTAS'!AN227</f>
        <v>0</v>
      </c>
      <c r="E105" s="99">
        <f t="shared" si="1"/>
        <v>928</v>
      </c>
      <c r="F105" s="143">
        <v>785.12</v>
      </c>
      <c r="G105" s="144">
        <f t="shared" si="2"/>
        <v>142.88</v>
      </c>
      <c r="H105" s="265">
        <f>'DETALLE DE VENTAS'!AO227</f>
        <v>0</v>
      </c>
      <c r="I105" s="134"/>
      <c r="J105" s="154"/>
      <c r="K105" s="148"/>
      <c r="L105" s="316"/>
      <c r="M105" s="317"/>
    </row>
    <row r="106" spans="2:15" x14ac:dyDescent="0.25">
      <c r="B106" s="145" t="str">
        <f>'DETALLE DE VENTAS'!C228</f>
        <v>MANTO 3,2 MM (R-34)</v>
      </c>
      <c r="C106" s="143">
        <f t="shared" si="0"/>
        <v>196</v>
      </c>
      <c r="D106" s="143">
        <f>'DETALLE DE VENTAS'!AN228</f>
        <v>-7</v>
      </c>
      <c r="E106" s="99">
        <f>D19+D20</f>
        <v>6961</v>
      </c>
      <c r="F106" s="143">
        <v>5915.6</v>
      </c>
      <c r="G106" s="144">
        <f t="shared" si="2"/>
        <v>1045.3999999999996</v>
      </c>
      <c r="H106" s="265">
        <f>'DETALLE DE VENTAS'!AO228</f>
        <v>-187.73275862068965</v>
      </c>
      <c r="I106" s="134"/>
      <c r="J106" s="154"/>
      <c r="K106" s="148"/>
      <c r="L106" s="316"/>
      <c r="M106" s="317"/>
    </row>
    <row r="107" spans="2:15" ht="24" x14ac:dyDescent="0.25">
      <c r="B107" s="145" t="str">
        <f>'DETALLE DE VENTAS'!C229</f>
        <v>MANTO LIQUIDO CUNETE 4 GLN ROJO</v>
      </c>
      <c r="C107" s="143">
        <f t="shared" si="0"/>
        <v>0</v>
      </c>
      <c r="D107" s="143">
        <f>'DETALLE DE VENTAS'!AN229</f>
        <v>5</v>
      </c>
      <c r="E107" s="99">
        <f>D21</f>
        <v>0</v>
      </c>
      <c r="F107" s="143">
        <v>0</v>
      </c>
      <c r="G107" s="144">
        <f t="shared" si="2"/>
        <v>0</v>
      </c>
      <c r="H107" s="265">
        <f>'DETALLE DE VENTAS'!AO229</f>
        <v>414.74137931034483</v>
      </c>
      <c r="I107" s="134"/>
      <c r="J107" s="154"/>
      <c r="K107" s="148"/>
      <c r="L107" s="316"/>
      <c r="M107" s="317"/>
    </row>
    <row r="108" spans="2:15" ht="24" x14ac:dyDescent="0.25">
      <c r="B108" s="145" t="str">
        <f>'DETALLE DE VENTAS'!C230</f>
        <v>MANTO LIQUIDO CUNETE 4 GLN BLANCO</v>
      </c>
      <c r="C108" s="143">
        <f t="shared" si="0"/>
        <v>0</v>
      </c>
      <c r="D108" s="143">
        <f>'DETALLE DE VENTAS'!AN230</f>
        <v>3</v>
      </c>
      <c r="E108" s="99">
        <f>D22</f>
        <v>135</v>
      </c>
      <c r="F108" s="150">
        <v>106.71</v>
      </c>
      <c r="G108" s="144">
        <f t="shared" si="2"/>
        <v>28.290000000000006</v>
      </c>
      <c r="H108" s="265">
        <f>'DETALLE DE VENTAS'!AO230</f>
        <v>275.97413793103448</v>
      </c>
      <c r="I108" s="134"/>
      <c r="J108" s="154"/>
      <c r="K108" s="148"/>
      <c r="L108" s="316"/>
      <c r="M108" s="317"/>
    </row>
    <row r="109" spans="2:15" ht="24" x14ac:dyDescent="0.25">
      <c r="B109" s="145" t="str">
        <f>'DETALLE DE VENTAS'!C231</f>
        <v>MANTO LIQUIDO CUNETE 4 GLN GRIS</v>
      </c>
      <c r="C109" s="143">
        <f t="shared" si="0"/>
        <v>1</v>
      </c>
      <c r="D109" s="143">
        <f>'DETALLE DE VENTAS'!AN231</f>
        <v>0</v>
      </c>
      <c r="E109" s="99">
        <f>D23</f>
        <v>0</v>
      </c>
      <c r="F109" s="150">
        <v>0</v>
      </c>
      <c r="G109" s="144">
        <f t="shared" si="2"/>
        <v>0</v>
      </c>
      <c r="H109" s="265">
        <f>'DETALLE DE VENTAS'!AO231</f>
        <v>0</v>
      </c>
      <c r="I109" s="134"/>
      <c r="J109" s="154"/>
      <c r="K109" s="148"/>
      <c r="L109" s="316"/>
      <c r="M109" s="317"/>
    </row>
    <row r="110" spans="2:15" ht="24" x14ac:dyDescent="0.25">
      <c r="B110" s="145" t="str">
        <f>'DETALLE DE VENTAS'!C232</f>
        <v>MANTO LIQUIDO CUNETE 4 GLN VERDE</v>
      </c>
      <c r="C110" s="143">
        <f t="shared" si="0"/>
        <v>0</v>
      </c>
      <c r="D110" s="143">
        <f>'DETALLE DE VENTAS'!AN232</f>
        <v>3</v>
      </c>
      <c r="E110" s="99">
        <f>D24</f>
        <v>0</v>
      </c>
      <c r="F110" s="150">
        <v>0</v>
      </c>
      <c r="G110" s="144">
        <f t="shared" si="2"/>
        <v>0</v>
      </c>
      <c r="H110" s="265">
        <f>'DETALLE DE VENTAS'!AO232</f>
        <v>254.97413793103453</v>
      </c>
      <c r="I110" s="134"/>
      <c r="J110" s="154"/>
      <c r="K110" s="148"/>
      <c r="L110" s="316"/>
      <c r="M110" s="317"/>
    </row>
    <row r="111" spans="2:15" x14ac:dyDescent="0.25">
      <c r="B111" s="145" t="str">
        <f>'DETALLE DE VENTAS'!C233</f>
        <v>BITUBACHE SACO</v>
      </c>
      <c r="C111" s="143">
        <f t="shared" si="0"/>
        <v>0</v>
      </c>
      <c r="D111" s="143">
        <f>'DETALLE DE VENTAS'!AN233</f>
        <v>1</v>
      </c>
      <c r="E111" s="99">
        <f>D25</f>
        <v>0</v>
      </c>
      <c r="F111" s="150">
        <v>0</v>
      </c>
      <c r="G111" s="144">
        <f t="shared" si="2"/>
        <v>0</v>
      </c>
      <c r="H111" s="265">
        <f>'DETALLE DE VENTAS'!AO233</f>
        <v>18.887931034482762</v>
      </c>
      <c r="I111" s="134"/>
      <c r="J111" s="154"/>
      <c r="K111" s="148"/>
      <c r="L111" s="316"/>
      <c r="M111" s="317"/>
    </row>
    <row r="112" spans="2:15" ht="24" x14ac:dyDescent="0.25">
      <c r="B112" s="145" t="str">
        <f>'DETALLE DE VENTAS'!C234</f>
        <v>ASFALTO SOLIDO OXIDADO CARTUCHO</v>
      </c>
      <c r="C112" s="143">
        <f t="shared" si="0"/>
        <v>0</v>
      </c>
      <c r="D112" s="143">
        <f>'DETALLE DE VENTAS'!AN234</f>
        <v>-1</v>
      </c>
      <c r="E112" s="130">
        <f>D69</f>
        <v>0</v>
      </c>
      <c r="F112" s="150">
        <v>0</v>
      </c>
      <c r="G112" s="157">
        <f t="shared" si="2"/>
        <v>0</v>
      </c>
      <c r="H112" s="265">
        <f>'DETALLE DE VENTAS'!AO234</f>
        <v>-28.94</v>
      </c>
      <c r="I112" s="134"/>
      <c r="J112" s="154"/>
      <c r="K112" s="148"/>
      <c r="L112" s="316"/>
      <c r="M112" s="317"/>
    </row>
    <row r="113" spans="2:17" x14ac:dyDescent="0.25">
      <c r="B113" s="154"/>
      <c r="C113" s="148"/>
      <c r="D113" s="148"/>
      <c r="E113" s="149">
        <f>SUM(E90:E112)</f>
        <v>21454</v>
      </c>
      <c r="F113" s="149">
        <f>SUM(F90:F112)</f>
        <v>17632.050000000003</v>
      </c>
      <c r="G113" s="216">
        <f>SUM(G90:G112)</f>
        <v>3821.95</v>
      </c>
      <c r="H113" s="267">
        <f>SUM(H90:H112)</f>
        <v>5091.3013793103464</v>
      </c>
      <c r="I113" s="136"/>
      <c r="J113" s="154"/>
      <c r="K113" s="148"/>
      <c r="L113" s="318"/>
      <c r="M113" s="319"/>
      <c r="N113" s="12"/>
      <c r="O113" s="12"/>
      <c r="P113" s="12"/>
      <c r="Q113" s="12"/>
    </row>
    <row r="114" spans="2:17" x14ac:dyDescent="0.25">
      <c r="B114" s="142"/>
      <c r="C114" s="142"/>
      <c r="D114" s="142"/>
      <c r="E114" s="142"/>
      <c r="F114" s="142"/>
      <c r="G114" s="168">
        <f>G113/F113</f>
        <v>0.21676152234141799</v>
      </c>
      <c r="H114" s="134"/>
      <c r="I114" s="134"/>
      <c r="K114" s="696"/>
      <c r="L114" s="696"/>
      <c r="M114" s="14"/>
    </row>
    <row r="115" spans="2:17" x14ac:dyDescent="0.25">
      <c r="B115" s="142"/>
      <c r="C115" s="142"/>
      <c r="D115" s="142"/>
      <c r="E115" s="142"/>
      <c r="F115" s="142"/>
      <c r="G115" s="142"/>
      <c r="H115" s="137"/>
      <c r="I115" s="134"/>
      <c r="J115" s="134"/>
      <c r="K115" s="696"/>
      <c r="L115" s="696"/>
      <c r="M115" s="696"/>
      <c r="N115" s="696"/>
    </row>
    <row r="116" spans="2:17" x14ac:dyDescent="0.25">
      <c r="B116" s="700" t="s">
        <v>81</v>
      </c>
      <c r="C116" s="700"/>
      <c r="D116" s="700"/>
      <c r="E116" s="700"/>
      <c r="F116" s="700"/>
      <c r="G116" s="700"/>
      <c r="H116" s="700"/>
      <c r="I116" s="211"/>
      <c r="J116" s="134"/>
    </row>
    <row r="117" spans="2:17" ht="24" x14ac:dyDescent="0.25">
      <c r="B117" s="131" t="s">
        <v>2</v>
      </c>
      <c r="C117" s="150" t="s">
        <v>78</v>
      </c>
      <c r="D117" s="150" t="s">
        <v>79</v>
      </c>
      <c r="E117" s="150" t="s">
        <v>92</v>
      </c>
      <c r="F117" s="150" t="s">
        <v>91</v>
      </c>
      <c r="G117" s="157" t="s">
        <v>75</v>
      </c>
      <c r="H117" s="212" t="s">
        <v>102</v>
      </c>
      <c r="I117" s="134"/>
    </row>
    <row r="118" spans="2:17" x14ac:dyDescent="0.25">
      <c r="B118" s="145" t="s">
        <v>14</v>
      </c>
      <c r="C118" s="143">
        <f>C26</f>
        <v>3</v>
      </c>
      <c r="D118" s="143">
        <f>'DETALLE DE VENTAS'!N239</f>
        <v>1</v>
      </c>
      <c r="E118" s="143">
        <f>D26</f>
        <v>270</v>
      </c>
      <c r="F118" s="143">
        <v>216</v>
      </c>
      <c r="G118" s="144">
        <f t="shared" ref="G118:G123" si="3">E118-F118</f>
        <v>54</v>
      </c>
      <c r="H118" s="179">
        <f>'DETALLE DE VENTAS'!O239</f>
        <v>75</v>
      </c>
      <c r="I118" s="134"/>
    </row>
    <row r="119" spans="2:17" x14ac:dyDescent="0.25">
      <c r="B119" s="145" t="s">
        <v>15</v>
      </c>
      <c r="C119" s="143">
        <f>C27</f>
        <v>2</v>
      </c>
      <c r="D119" s="143">
        <f>'DETALLE DE VENTAS'!N240</f>
        <v>2</v>
      </c>
      <c r="E119" s="143">
        <f>D27</f>
        <v>190</v>
      </c>
      <c r="F119" s="143">
        <v>160</v>
      </c>
      <c r="G119" s="144">
        <f t="shared" si="3"/>
        <v>30</v>
      </c>
      <c r="H119" s="179">
        <f>'DETALLE DE VENTAS'!O240</f>
        <v>160</v>
      </c>
      <c r="I119" s="134"/>
    </row>
    <row r="120" spans="2:17" x14ac:dyDescent="0.25">
      <c r="B120" s="145" t="s">
        <v>16</v>
      </c>
      <c r="C120" s="143">
        <f>C28</f>
        <v>0</v>
      </c>
      <c r="D120" s="143">
        <f>'DETALLE DE VENTAS'!N241</f>
        <v>2</v>
      </c>
      <c r="E120" s="143">
        <f>D28</f>
        <v>0</v>
      </c>
      <c r="F120" s="143">
        <v>0</v>
      </c>
      <c r="G120" s="144">
        <f t="shared" si="3"/>
        <v>0</v>
      </c>
      <c r="H120" s="179">
        <f>'DETALLE DE VENTAS'!O241</f>
        <v>240</v>
      </c>
      <c r="I120" s="134"/>
    </row>
    <row r="121" spans="2:17" x14ac:dyDescent="0.25">
      <c r="B121" s="145" t="s">
        <v>17</v>
      </c>
      <c r="C121" s="143">
        <f>C30</f>
        <v>0</v>
      </c>
      <c r="D121" s="143">
        <f>'DETALLE DE VENTAS'!N242</f>
        <v>3</v>
      </c>
      <c r="E121" s="143">
        <f>D30</f>
        <v>0</v>
      </c>
      <c r="F121" s="143">
        <v>0</v>
      </c>
      <c r="G121" s="144">
        <f t="shared" si="3"/>
        <v>0</v>
      </c>
      <c r="H121" s="179">
        <f>'DETALLE DE VENTAS'!O242</f>
        <v>360</v>
      </c>
      <c r="I121" s="134"/>
    </row>
    <row r="122" spans="2:17" x14ac:dyDescent="0.25">
      <c r="B122" s="145" t="s">
        <v>18</v>
      </c>
      <c r="C122" s="143">
        <f>C32</f>
        <v>0</v>
      </c>
      <c r="D122" s="143">
        <f>'DETALLE DE VENTAS'!N243</f>
        <v>1</v>
      </c>
      <c r="E122" s="143">
        <f>D32</f>
        <v>0</v>
      </c>
      <c r="F122" s="143">
        <v>0</v>
      </c>
      <c r="G122" s="144">
        <f t="shared" si="3"/>
        <v>0</v>
      </c>
      <c r="H122" s="179">
        <f>'DETALLE DE VENTAS'!O243</f>
        <v>210</v>
      </c>
      <c r="I122" s="134"/>
    </row>
    <row r="123" spans="2:17" x14ac:dyDescent="0.25">
      <c r="B123" s="145" t="s">
        <v>19</v>
      </c>
      <c r="C123" s="143">
        <f>C33</f>
        <v>0</v>
      </c>
      <c r="D123" s="143">
        <f>'DETALLE DE VENTAS'!N244</f>
        <v>1</v>
      </c>
      <c r="E123" s="143">
        <f>D33</f>
        <v>0</v>
      </c>
      <c r="F123" s="143">
        <v>0</v>
      </c>
      <c r="G123" s="144">
        <f t="shared" si="3"/>
        <v>0</v>
      </c>
      <c r="H123" s="179">
        <f>'DETALLE DE VENTAS'!O244</f>
        <v>250</v>
      </c>
      <c r="I123" s="134"/>
    </row>
    <row r="124" spans="2:17" x14ac:dyDescent="0.25">
      <c r="B124" s="147"/>
      <c r="C124" s="148"/>
      <c r="D124" s="148"/>
      <c r="E124" s="99">
        <f>SUM(E118:E123)</f>
        <v>460</v>
      </c>
      <c r="F124" s="99">
        <f>SUM(F118:F123)</f>
        <v>376</v>
      </c>
      <c r="G124" s="156">
        <f>SUM(G118:G123)</f>
        <v>84</v>
      </c>
      <c r="H124" s="180">
        <f>SUM(H118:H123)</f>
        <v>1295</v>
      </c>
      <c r="I124" s="134"/>
    </row>
    <row r="125" spans="2:17" x14ac:dyDescent="0.25">
      <c r="B125" s="147"/>
      <c r="C125" s="148"/>
      <c r="D125" s="148"/>
      <c r="E125" s="148"/>
      <c r="F125" s="148"/>
      <c r="G125" s="167">
        <f>G124/F124</f>
        <v>0.22340425531914893</v>
      </c>
      <c r="H125" s="138"/>
      <c r="I125" s="134"/>
    </row>
    <row r="126" spans="2:17" x14ac:dyDescent="0.25">
      <c r="B126" s="147"/>
      <c r="C126" s="148"/>
      <c r="D126" s="148"/>
      <c r="E126" s="148"/>
      <c r="F126" s="148"/>
      <c r="G126" s="148"/>
      <c r="H126" s="148"/>
      <c r="I126" s="138"/>
      <c r="J126" s="134"/>
    </row>
    <row r="127" spans="2:17" x14ac:dyDescent="0.25">
      <c r="B127" s="147"/>
      <c r="C127" s="148"/>
      <c r="D127" s="148"/>
      <c r="E127" s="148"/>
      <c r="F127" s="148"/>
      <c r="G127" s="148"/>
      <c r="H127" s="148"/>
      <c r="I127" s="138"/>
      <c r="J127" s="134"/>
    </row>
    <row r="128" spans="2:17" x14ac:dyDescent="0.25">
      <c r="B128" s="700" t="s">
        <v>244</v>
      </c>
      <c r="C128" s="700"/>
      <c r="D128" s="700"/>
      <c r="E128" s="700"/>
      <c r="F128" s="700"/>
      <c r="G128" s="700"/>
      <c r="H128" s="700"/>
      <c r="I128" s="211"/>
      <c r="J128" s="134"/>
    </row>
    <row r="129" spans="2:19" ht="24" x14ac:dyDescent="0.25">
      <c r="B129" s="107" t="s">
        <v>2</v>
      </c>
      <c r="C129" s="143" t="s">
        <v>78</v>
      </c>
      <c r="D129" s="143" t="s">
        <v>79</v>
      </c>
      <c r="E129" s="143" t="s">
        <v>92</v>
      </c>
      <c r="F129" s="143" t="s">
        <v>91</v>
      </c>
      <c r="G129" s="144" t="s">
        <v>75</v>
      </c>
      <c r="H129" s="181" t="s">
        <v>102</v>
      </c>
      <c r="I129" s="134"/>
    </row>
    <row r="130" spans="2:19" x14ac:dyDescent="0.25">
      <c r="B130" s="145" t="s">
        <v>16</v>
      </c>
      <c r="C130" s="143">
        <f>C29</f>
        <v>6</v>
      </c>
      <c r="D130" s="153">
        <f>'DETALLE DE VENTAS'!Q251</f>
        <v>3</v>
      </c>
      <c r="E130" s="143">
        <f>D29</f>
        <v>600</v>
      </c>
      <c r="F130" s="143">
        <v>480</v>
      </c>
      <c r="G130" s="144">
        <f>E130-F130</f>
        <v>120</v>
      </c>
      <c r="H130" s="181">
        <f>'DETALLE DE VENTAS'!R251</f>
        <v>240</v>
      </c>
      <c r="I130" s="134"/>
    </row>
    <row r="131" spans="2:19" x14ac:dyDescent="0.25">
      <c r="B131" s="145" t="s">
        <v>97</v>
      </c>
      <c r="C131" s="143">
        <f>C31</f>
        <v>6</v>
      </c>
      <c r="D131" s="153">
        <f>'DETALLE DE VENTAS'!Q252</f>
        <v>13</v>
      </c>
      <c r="E131" s="143">
        <f>D31</f>
        <v>590</v>
      </c>
      <c r="F131" s="143">
        <v>460</v>
      </c>
      <c r="G131" s="144">
        <f>E131-F131</f>
        <v>130</v>
      </c>
      <c r="H131" s="181">
        <f>-140</f>
        <v>-140</v>
      </c>
      <c r="I131" s="134"/>
    </row>
    <row r="132" spans="2:19" x14ac:dyDescent="0.25">
      <c r="B132" s="147"/>
      <c r="C132" s="148"/>
      <c r="D132" s="148"/>
      <c r="E132" s="99">
        <f>SUM(E130:E131)</f>
        <v>1190</v>
      </c>
      <c r="F132" s="99">
        <f>SUM(F130:F131)</f>
        <v>940</v>
      </c>
      <c r="G132" s="156">
        <f>SUM(G130:G131)</f>
        <v>250</v>
      </c>
      <c r="H132" s="182">
        <f>SUM(H130:H131)</f>
        <v>100</v>
      </c>
      <c r="I132" s="134"/>
    </row>
    <row r="133" spans="2:19" x14ac:dyDescent="0.25">
      <c r="B133" s="147"/>
      <c r="C133" s="154"/>
      <c r="D133" s="154"/>
      <c r="E133" s="154"/>
      <c r="F133" s="154"/>
      <c r="G133" s="167">
        <f>G132/F132</f>
        <v>0.26595744680851063</v>
      </c>
      <c r="H133" s="136"/>
      <c r="I133" s="136"/>
      <c r="J133" s="14"/>
      <c r="K133" s="14"/>
      <c r="L133" s="14"/>
      <c r="M133" s="14"/>
      <c r="N133" s="14"/>
      <c r="O133" s="14"/>
      <c r="P133" s="14"/>
      <c r="Q133" s="14"/>
      <c r="R133" s="121"/>
    </row>
    <row r="134" spans="2:19" x14ac:dyDescent="0.25">
      <c r="B134" s="147"/>
      <c r="C134" s="154"/>
      <c r="D134" s="154"/>
      <c r="E134" s="154"/>
      <c r="F134" s="154"/>
      <c r="G134" s="154"/>
      <c r="H134" s="148"/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x14ac:dyDescent="0.25">
      <c r="B135" s="154"/>
      <c r="C135" s="154"/>
      <c r="D135" s="154"/>
      <c r="E135" s="154"/>
      <c r="F135" s="154"/>
      <c r="G135" s="154"/>
      <c r="H135" s="148"/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x14ac:dyDescent="0.25">
      <c r="B136" s="700" t="s">
        <v>82</v>
      </c>
      <c r="C136" s="700"/>
      <c r="D136" s="700"/>
      <c r="E136" s="700"/>
      <c r="F136" s="700"/>
      <c r="G136" s="700"/>
      <c r="H136" s="700"/>
      <c r="I136" s="211"/>
      <c r="J136" s="713"/>
      <c r="K136" s="713"/>
      <c r="L136" s="713"/>
      <c r="M136" s="713"/>
      <c r="N136" s="211"/>
      <c r="O136" s="211"/>
      <c r="P136" s="211"/>
    </row>
    <row r="137" spans="2:19" ht="24" x14ac:dyDescent="0.25">
      <c r="B137" s="131" t="s">
        <v>2</v>
      </c>
      <c r="C137" s="143" t="s">
        <v>78</v>
      </c>
      <c r="D137" s="143" t="s">
        <v>79</v>
      </c>
      <c r="E137" s="143" t="s">
        <v>92</v>
      </c>
      <c r="F137" s="143" t="s">
        <v>91</v>
      </c>
      <c r="G137" s="144" t="s">
        <v>75</v>
      </c>
      <c r="H137" s="179" t="s">
        <v>102</v>
      </c>
      <c r="I137" s="134"/>
      <c r="J137" s="251"/>
      <c r="K137" s="166"/>
      <c r="L137" s="166"/>
      <c r="M137" s="315"/>
    </row>
    <row r="138" spans="2:19" x14ac:dyDescent="0.25">
      <c r="B138" s="145" t="str">
        <f t="shared" ref="B138:C169" si="4">B34</f>
        <v>MAPEI UNO GARRAFA 0,8 KG</v>
      </c>
      <c r="C138" s="143">
        <f t="shared" si="4"/>
        <v>1</v>
      </c>
      <c r="D138" s="155">
        <f>'DETALLE DE VENTAS'!AC259</f>
        <v>39</v>
      </c>
      <c r="E138" s="99">
        <f t="shared" ref="E138:E169" si="5">D34</f>
        <v>5.5</v>
      </c>
      <c r="F138" s="143">
        <v>3.45</v>
      </c>
      <c r="G138" s="144">
        <f>E138-F138</f>
        <v>2.0499999999999998</v>
      </c>
      <c r="H138" s="176">
        <f>'DETALLE DE VENTAS'!AE259</f>
        <v>125.97</v>
      </c>
      <c r="I138" s="134"/>
      <c r="J138" s="165"/>
      <c r="K138" s="166"/>
      <c r="L138" s="321"/>
      <c r="M138" s="315"/>
    </row>
    <row r="139" spans="2:19" x14ac:dyDescent="0.25">
      <c r="B139" s="145" t="str">
        <f t="shared" si="4"/>
        <v>MAPEI UNO GARRAFA 2 KG</v>
      </c>
      <c r="C139" s="143">
        <f t="shared" si="4"/>
        <v>4</v>
      </c>
      <c r="D139" s="155">
        <f>'DETALLE DE VENTAS'!AC260</f>
        <v>8</v>
      </c>
      <c r="E139" s="99">
        <f t="shared" si="5"/>
        <v>52</v>
      </c>
      <c r="F139" s="143">
        <v>35.979999999999997</v>
      </c>
      <c r="G139" s="144">
        <f t="shared" ref="G139:G169" si="6">E139-F139</f>
        <v>16.020000000000003</v>
      </c>
      <c r="H139" s="176">
        <f>'DETALLE DE VENTAS'!AE260</f>
        <v>58.56</v>
      </c>
      <c r="I139" s="134"/>
      <c r="J139" s="165"/>
      <c r="K139" s="166"/>
      <c r="L139" s="321"/>
      <c r="M139" s="315"/>
    </row>
    <row r="140" spans="2:19" x14ac:dyDescent="0.25">
      <c r="B140" s="145" t="str">
        <f t="shared" si="4"/>
        <v>MAPELATEX  CO GARRAFA 0,8 KG</v>
      </c>
      <c r="C140" s="143">
        <f t="shared" si="4"/>
        <v>0</v>
      </c>
      <c r="D140" s="155">
        <f>'DETALLE DE VENTAS'!AC261</f>
        <v>10</v>
      </c>
      <c r="E140" s="99">
        <f t="shared" si="5"/>
        <v>0</v>
      </c>
      <c r="F140" s="143">
        <v>0</v>
      </c>
      <c r="G140" s="144">
        <f t="shared" si="6"/>
        <v>0</v>
      </c>
      <c r="H140" s="176">
        <f>'DETALLE DE VENTAS'!AE261</f>
        <v>74.5</v>
      </c>
      <c r="I140" s="134"/>
      <c r="J140" s="165"/>
      <c r="K140" s="166"/>
      <c r="L140" s="321"/>
      <c r="M140" s="315"/>
    </row>
    <row r="141" spans="2:19" x14ac:dyDescent="0.25">
      <c r="B141" s="145" t="str">
        <f t="shared" si="4"/>
        <v>MAPELATEX PVA GARRAFA 0,25 KG</v>
      </c>
      <c r="C141" s="143">
        <f t="shared" si="4"/>
        <v>0</v>
      </c>
      <c r="D141" s="155">
        <f>'DETALLE DE VENTAS'!AC262</f>
        <v>7</v>
      </c>
      <c r="E141" s="99">
        <f t="shared" si="5"/>
        <v>0</v>
      </c>
      <c r="F141" s="143">
        <v>0</v>
      </c>
      <c r="G141" s="144">
        <f t="shared" si="6"/>
        <v>0</v>
      </c>
      <c r="H141" s="176">
        <f>'DETALLE DE VENTAS'!AE262</f>
        <v>12.67</v>
      </c>
      <c r="I141" s="134"/>
      <c r="J141" s="165"/>
      <c r="K141" s="166"/>
      <c r="L141" s="321"/>
      <c r="M141" s="315"/>
    </row>
    <row r="142" spans="2:19" x14ac:dyDescent="0.25">
      <c r="B142" s="145" t="str">
        <f t="shared" si="4"/>
        <v>MAPELATEX PVA GARRAFA 1 KG</v>
      </c>
      <c r="C142" s="143">
        <f t="shared" si="4"/>
        <v>1</v>
      </c>
      <c r="D142" s="155">
        <f>'DETALLE DE VENTAS'!AC263</f>
        <v>10</v>
      </c>
      <c r="E142" s="99">
        <f t="shared" si="5"/>
        <v>8.5</v>
      </c>
      <c r="F142" s="143">
        <v>4.29</v>
      </c>
      <c r="G142" s="144">
        <f t="shared" si="6"/>
        <v>4.21</v>
      </c>
      <c r="H142" s="176">
        <f>'DETALLE DE VENTAS'!AE263</f>
        <v>41</v>
      </c>
      <c r="I142" s="134"/>
      <c r="J142" s="165"/>
      <c r="K142" s="166"/>
      <c r="L142" s="321"/>
      <c r="M142" s="315"/>
    </row>
    <row r="143" spans="2:19" x14ac:dyDescent="0.25">
      <c r="B143" s="145" t="str">
        <f t="shared" si="4"/>
        <v>MAPEPLAST WP20 GARRAFA 4,5 KG</v>
      </c>
      <c r="C143" s="143">
        <f t="shared" si="4"/>
        <v>0</v>
      </c>
      <c r="D143" s="155">
        <f>'DETALLE DE VENTAS'!AC264</f>
        <v>0</v>
      </c>
      <c r="E143" s="99">
        <f t="shared" si="5"/>
        <v>0</v>
      </c>
      <c r="F143" s="143">
        <v>0</v>
      </c>
      <c r="G143" s="144">
        <f t="shared" si="6"/>
        <v>0</v>
      </c>
      <c r="H143" s="176">
        <f>'DETALLE DE VENTAS'!AE264</f>
        <v>0</v>
      </c>
      <c r="I143" s="134"/>
      <c r="J143" s="165"/>
      <c r="K143" s="166"/>
      <c r="L143" s="321"/>
      <c r="M143" s="315"/>
    </row>
    <row r="144" spans="2:19" x14ac:dyDescent="0.25">
      <c r="B144" s="145" t="str">
        <f t="shared" si="4"/>
        <v>MAPEBAND EASY H130 ROLLO 10M</v>
      </c>
      <c r="C144" s="143">
        <f t="shared" si="4"/>
        <v>0</v>
      </c>
      <c r="D144" s="155">
        <f>'DETALLE DE VENTAS'!AC265</f>
        <v>0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VENTAS'!AE265</f>
        <v>0</v>
      </c>
      <c r="I144" s="134"/>
      <c r="J144" s="165"/>
      <c r="K144" s="166"/>
      <c r="L144" s="321"/>
      <c r="M144" s="315"/>
    </row>
    <row r="145" spans="2:13" x14ac:dyDescent="0.25">
      <c r="B145" s="145" t="str">
        <f t="shared" si="4"/>
        <v>AQUAFLEX TECHO MAXI 5GL BLANCO</v>
      </c>
      <c r="C145" s="143">
        <f t="shared" si="4"/>
        <v>2</v>
      </c>
      <c r="D145" s="155">
        <f>'DETALLE DE VENTAS'!AC266</f>
        <v>0</v>
      </c>
      <c r="E145" s="99">
        <f t="shared" si="5"/>
        <v>270</v>
      </c>
      <c r="F145" s="143">
        <v>242.84</v>
      </c>
      <c r="G145" s="144">
        <f t="shared" si="6"/>
        <v>27.159999999999997</v>
      </c>
      <c r="H145" s="176">
        <f>'DETALLE DE VENTAS'!AE266</f>
        <v>0</v>
      </c>
      <c r="I145" s="134"/>
      <c r="J145" s="165"/>
      <c r="K145" s="166"/>
      <c r="L145" s="321"/>
      <c r="M145" s="315"/>
    </row>
    <row r="146" spans="2:13" x14ac:dyDescent="0.25">
      <c r="B146" s="145" t="str">
        <f t="shared" si="4"/>
        <v>AQUAFLEX TECHO MAXI GL BLANCO</v>
      </c>
      <c r="C146" s="143">
        <f t="shared" si="4"/>
        <v>4</v>
      </c>
      <c r="D146" s="155">
        <f>'DETALLE DE VENTAS'!AC267</f>
        <v>8</v>
      </c>
      <c r="E146" s="99">
        <f t="shared" si="5"/>
        <v>140</v>
      </c>
      <c r="F146" s="143">
        <v>109.36</v>
      </c>
      <c r="G146" s="144">
        <f t="shared" si="6"/>
        <v>30.64</v>
      </c>
      <c r="H146" s="176">
        <f>'DETALLE DE VENTAS'!AE267</f>
        <v>178.4</v>
      </c>
      <c r="I146" s="134"/>
      <c r="J146" s="165"/>
      <c r="K146" s="166"/>
      <c r="L146" s="321"/>
      <c r="M146" s="315"/>
    </row>
    <row r="147" spans="2:13" x14ac:dyDescent="0.25">
      <c r="B147" s="145" t="str">
        <f t="shared" si="4"/>
        <v>AQUAFLEX TECHO MAXI 5GL GRIS</v>
      </c>
      <c r="C147" s="143">
        <f t="shared" si="4"/>
        <v>6</v>
      </c>
      <c r="D147" s="155">
        <f>'DETALLE DE VENTAS'!AC268</f>
        <v>5</v>
      </c>
      <c r="E147" s="99">
        <f t="shared" si="5"/>
        <v>810</v>
      </c>
      <c r="F147" s="143">
        <v>622.64</v>
      </c>
      <c r="G147" s="144">
        <f t="shared" si="6"/>
        <v>187.36</v>
      </c>
      <c r="H147" s="176">
        <f>'DETALLE DE VENTAS'!AE268</f>
        <v>520</v>
      </c>
      <c r="I147" s="134"/>
      <c r="J147" s="165"/>
      <c r="K147" s="166"/>
      <c r="L147" s="321"/>
      <c r="M147" s="315"/>
    </row>
    <row r="148" spans="2:13" x14ac:dyDescent="0.25">
      <c r="B148" s="145" t="str">
        <f t="shared" si="4"/>
        <v>AQUAFLEX TECHO MAXI GL GRIS</v>
      </c>
      <c r="C148" s="143">
        <f t="shared" si="4"/>
        <v>2</v>
      </c>
      <c r="D148" s="155">
        <f>'DETALLE DE VENTAS'!AC269</f>
        <v>9</v>
      </c>
      <c r="E148" s="99">
        <f t="shared" si="5"/>
        <v>70</v>
      </c>
      <c r="F148" s="143">
        <v>54.68</v>
      </c>
      <c r="G148" s="144">
        <f t="shared" si="6"/>
        <v>15.32</v>
      </c>
      <c r="H148" s="176">
        <f>'DETALLE DE VENTAS'!AE269</f>
        <v>200.70000000000002</v>
      </c>
      <c r="I148" s="134"/>
      <c r="J148" s="165"/>
      <c r="K148" s="166"/>
      <c r="L148" s="321"/>
      <c r="M148" s="315"/>
    </row>
    <row r="149" spans="2:13" x14ac:dyDescent="0.25">
      <c r="B149" s="145" t="str">
        <f t="shared" si="4"/>
        <v>AQUAFLEX TECHO MAXI 5GL ROJO</v>
      </c>
      <c r="C149" s="143">
        <f t="shared" si="4"/>
        <v>3</v>
      </c>
      <c r="D149" s="155">
        <f>'DETALLE DE VENTAS'!AC270</f>
        <v>6</v>
      </c>
      <c r="E149" s="99">
        <f t="shared" si="5"/>
        <v>405</v>
      </c>
      <c r="F149" s="143">
        <v>364.26</v>
      </c>
      <c r="G149" s="144">
        <f t="shared" si="6"/>
        <v>40.740000000000009</v>
      </c>
      <c r="H149" s="176">
        <f>'DETALLE DE VENTAS'!AE270</f>
        <v>624</v>
      </c>
      <c r="I149" s="134"/>
      <c r="J149" s="165"/>
      <c r="K149" s="166"/>
      <c r="L149" s="321"/>
      <c r="M149" s="315"/>
    </row>
    <row r="150" spans="2:13" x14ac:dyDescent="0.25">
      <c r="B150" s="145" t="str">
        <f t="shared" si="4"/>
        <v>AQUAFLEX TECHO MAXI GL ROJO</v>
      </c>
      <c r="C150" s="143">
        <f t="shared" si="4"/>
        <v>0</v>
      </c>
      <c r="D150" s="155">
        <f>'DETALLE DE VENTAS'!AC271</f>
        <v>0</v>
      </c>
      <c r="E150" s="99">
        <f t="shared" si="5"/>
        <v>0</v>
      </c>
      <c r="F150" s="143">
        <v>0</v>
      </c>
      <c r="G150" s="144">
        <f t="shared" si="6"/>
        <v>0</v>
      </c>
      <c r="H150" s="176">
        <f>'DETALLE DE VENTAS'!AE271</f>
        <v>0</v>
      </c>
      <c r="I150" s="134"/>
      <c r="J150" s="165"/>
      <c r="K150" s="166"/>
      <c r="L150" s="321"/>
      <c r="M150" s="315"/>
    </row>
    <row r="151" spans="2:13" ht="24" x14ac:dyDescent="0.25">
      <c r="B151" s="145" t="str">
        <f t="shared" si="4"/>
        <v>MAPEFLEX MS CRYSTAL CART 300ML TRANSP</v>
      </c>
      <c r="C151" s="143">
        <f t="shared" si="4"/>
        <v>0</v>
      </c>
      <c r="D151" s="155">
        <f>'DETALLE DE VENTAS'!AC272</f>
        <v>4</v>
      </c>
      <c r="E151" s="99">
        <f t="shared" si="5"/>
        <v>0</v>
      </c>
      <c r="F151" s="143">
        <v>0</v>
      </c>
      <c r="G151" s="144">
        <f t="shared" si="6"/>
        <v>0</v>
      </c>
      <c r="H151" s="176">
        <f>'DETALLE DE VENTAS'!AE272</f>
        <v>42</v>
      </c>
      <c r="I151" s="134"/>
      <c r="J151" s="165"/>
      <c r="K151" s="166"/>
      <c r="L151" s="321"/>
      <c r="M151" s="315"/>
    </row>
    <row r="152" spans="2:13" ht="24" x14ac:dyDescent="0.25">
      <c r="B152" s="145" t="str">
        <f t="shared" si="4"/>
        <v>MAPEFLEX MS 45 CART 300ML BLANCO</v>
      </c>
      <c r="C152" s="143">
        <f t="shared" si="4"/>
        <v>0</v>
      </c>
      <c r="D152" s="155">
        <f>'DETALLE DE VENTAS'!AC273</f>
        <v>2</v>
      </c>
      <c r="E152" s="99">
        <f t="shared" si="5"/>
        <v>0</v>
      </c>
      <c r="F152" s="143">
        <v>0</v>
      </c>
      <c r="G152" s="144">
        <f t="shared" si="6"/>
        <v>0</v>
      </c>
      <c r="H152" s="176">
        <f>'DETALLE DE VENTAS'!AE273</f>
        <v>21</v>
      </c>
      <c r="I152" s="134"/>
      <c r="J152" s="165"/>
      <c r="K152" s="166"/>
      <c r="L152" s="321"/>
      <c r="M152" s="315"/>
    </row>
    <row r="153" spans="2:13" x14ac:dyDescent="0.25">
      <c r="B153" s="145" t="str">
        <f t="shared" si="4"/>
        <v>MAPEFLEX MS 45 CART 300ML GRIS</v>
      </c>
      <c r="C153" s="143">
        <f t="shared" si="4"/>
        <v>0</v>
      </c>
      <c r="D153" s="155">
        <f>'DETALLE DE VENTAS'!AC274</f>
        <v>2</v>
      </c>
      <c r="E153" s="99">
        <f t="shared" si="5"/>
        <v>0</v>
      </c>
      <c r="F153" s="143">
        <v>0</v>
      </c>
      <c r="G153" s="144">
        <f t="shared" si="6"/>
        <v>0</v>
      </c>
      <c r="H153" s="176">
        <f>'DETALLE DE VENTAS'!AE274</f>
        <v>21</v>
      </c>
      <c r="I153" s="134"/>
      <c r="J153" s="165"/>
      <c r="K153" s="166"/>
      <c r="L153" s="321"/>
      <c r="M153" s="315"/>
    </row>
    <row r="154" spans="2:13" x14ac:dyDescent="0.25">
      <c r="B154" s="145" t="str">
        <f t="shared" si="4"/>
        <v>MAPEFLEX AC4 CART 300ML BLANCO</v>
      </c>
      <c r="C154" s="143">
        <f t="shared" si="4"/>
        <v>1</v>
      </c>
      <c r="D154" s="155">
        <f>'DETALLE DE VENTAS'!AC275</f>
        <v>9</v>
      </c>
      <c r="E154" s="99">
        <f t="shared" si="5"/>
        <v>7</v>
      </c>
      <c r="F154" s="143">
        <v>4.0599999999999996</v>
      </c>
      <c r="G154" s="144">
        <f t="shared" si="6"/>
        <v>2.9400000000000004</v>
      </c>
      <c r="H154" s="176">
        <f>'DETALLE DE VENTAS'!AE275</f>
        <v>34.92</v>
      </c>
      <c r="I154" s="134"/>
      <c r="J154" s="165"/>
      <c r="K154" s="166"/>
      <c r="L154" s="321"/>
      <c r="M154" s="315"/>
    </row>
    <row r="155" spans="2:13" x14ac:dyDescent="0.25">
      <c r="B155" s="145" t="str">
        <f t="shared" si="4"/>
        <v>MAPESIL U TRANSP CART 280ML</v>
      </c>
      <c r="C155" s="143">
        <f t="shared" si="4"/>
        <v>0</v>
      </c>
      <c r="D155" s="155">
        <f>'DETALLE DE VENTAS'!AC276</f>
        <v>-4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VENTAS'!AE276</f>
        <v>-18</v>
      </c>
      <c r="I155" s="134"/>
      <c r="J155" s="165"/>
      <c r="K155" s="166"/>
      <c r="L155" s="321"/>
      <c r="M155" s="315"/>
    </row>
    <row r="156" spans="2:13" ht="24" x14ac:dyDescent="0.25">
      <c r="B156" s="145" t="str">
        <f t="shared" si="4"/>
        <v>ULTRABOND SUPER GRIP CART 310ML</v>
      </c>
      <c r="C156" s="143">
        <f t="shared" si="4"/>
        <v>0</v>
      </c>
      <c r="D156" s="155">
        <f>'DETALLE DE VENTAS'!AC277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VENTAS'!AE277</f>
        <v>11.26</v>
      </c>
      <c r="I156" s="134"/>
      <c r="J156" s="165"/>
      <c r="K156" s="166"/>
      <c r="L156" s="321"/>
      <c r="M156" s="315"/>
    </row>
    <row r="157" spans="2:13" x14ac:dyDescent="0.25">
      <c r="B157" s="145" t="str">
        <f t="shared" si="4"/>
        <v>MAPEUR UNIV FOAM LATA 500ML</v>
      </c>
      <c r="C157" s="143">
        <f t="shared" si="4"/>
        <v>0</v>
      </c>
      <c r="D157" s="155">
        <f>'DETALLE DE VENTAS'!AC278</f>
        <v>2</v>
      </c>
      <c r="E157" s="99">
        <f t="shared" si="5"/>
        <v>0</v>
      </c>
      <c r="F157" s="143">
        <v>0</v>
      </c>
      <c r="G157" s="144">
        <f t="shared" si="6"/>
        <v>0</v>
      </c>
      <c r="H157" s="176">
        <f>'DETALLE DE VENTAS'!AE278</f>
        <v>16.3</v>
      </c>
      <c r="I157" s="134"/>
      <c r="J157" s="165"/>
      <c r="K157" s="166"/>
      <c r="L157" s="321"/>
      <c r="M157" s="315"/>
    </row>
    <row r="158" spans="2:13" x14ac:dyDescent="0.25">
      <c r="B158" s="145" t="str">
        <f t="shared" si="4"/>
        <v>MAPEUR UNIV FOAM LATA 750ML</v>
      </c>
      <c r="C158" s="143">
        <f t="shared" si="4"/>
        <v>0</v>
      </c>
      <c r="D158" s="155">
        <f>'DETALLE DE VENTAS'!AC279</f>
        <v>2</v>
      </c>
      <c r="E158" s="99">
        <f t="shared" si="5"/>
        <v>0</v>
      </c>
      <c r="F158" s="143">
        <v>0</v>
      </c>
      <c r="G158" s="144">
        <f t="shared" si="6"/>
        <v>0</v>
      </c>
      <c r="H158" s="176">
        <f>'DETALLE DE VENTAS'!AE279</f>
        <v>20</v>
      </c>
      <c r="I158" s="134"/>
      <c r="J158" s="165"/>
      <c r="K158" s="166"/>
      <c r="L158" s="321"/>
      <c r="M158" s="315"/>
    </row>
    <row r="159" spans="2:13" ht="24" x14ac:dyDescent="0.25">
      <c r="B159" s="145" t="str">
        <f t="shared" si="4"/>
        <v>EPORIP COMP A+B TARRO 1,5 KG + 0,5 KG</v>
      </c>
      <c r="C159" s="143">
        <f t="shared" si="4"/>
        <v>0</v>
      </c>
      <c r="D159" s="155">
        <f>'DETALLE DE VENTAS'!AC280</f>
        <v>1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VENTAS'!AE280</f>
        <v>62.65</v>
      </c>
      <c r="I159" s="134"/>
      <c r="J159" s="165"/>
      <c r="K159" s="166"/>
      <c r="L159" s="321"/>
      <c r="M159" s="315"/>
    </row>
    <row r="160" spans="2:13" x14ac:dyDescent="0.25">
      <c r="B160" s="145" t="str">
        <f t="shared" si="4"/>
        <v>ADESILEX PG1 COMP A+B TARRO 2KG</v>
      </c>
      <c r="C160" s="143">
        <f t="shared" si="4"/>
        <v>0</v>
      </c>
      <c r="D160" s="155">
        <f>'DETALLE DE VENTAS'!AC281</f>
        <v>1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VENTAS'!AE281</f>
        <v>55.24</v>
      </c>
      <c r="I160" s="134"/>
      <c r="J160" s="165"/>
      <c r="K160" s="166"/>
      <c r="L160" s="321"/>
      <c r="M160" s="315"/>
    </row>
    <row r="161" spans="2:13" ht="24" x14ac:dyDescent="0.25">
      <c r="B161" s="145" t="str">
        <f t="shared" si="4"/>
        <v>KERACOLOR FF 100 BLANCO BOLSA 2KG</v>
      </c>
      <c r="C161" s="143">
        <f t="shared" si="4"/>
        <v>17</v>
      </c>
      <c r="D161" s="155">
        <f>'DETALLE DE VENTAS'!AC282</f>
        <v>29</v>
      </c>
      <c r="E161" s="99">
        <f t="shared" si="5"/>
        <v>126.9</v>
      </c>
      <c r="F161" s="143">
        <v>99.92</v>
      </c>
      <c r="G161" s="144">
        <f t="shared" si="6"/>
        <v>26.980000000000004</v>
      </c>
      <c r="H161" s="176">
        <f>'DETALLE DE VENTAS'!AE282</f>
        <v>176.89999999999998</v>
      </c>
      <c r="I161" s="134"/>
      <c r="J161" s="165"/>
      <c r="K161" s="166"/>
      <c r="L161" s="321"/>
      <c r="M161" s="315"/>
    </row>
    <row r="162" spans="2:13" ht="24" x14ac:dyDescent="0.25">
      <c r="B162" s="145" t="str">
        <f t="shared" si="4"/>
        <v>KERACOLOR FF 113 GRIS CEMENTO BOLSA 2KG</v>
      </c>
      <c r="C162" s="143">
        <f t="shared" si="4"/>
        <v>3</v>
      </c>
      <c r="D162" s="155">
        <f>'DETALLE DE VENTAS'!AC283</f>
        <v>4</v>
      </c>
      <c r="E162" s="99">
        <f t="shared" si="5"/>
        <v>17.100000000000001</v>
      </c>
      <c r="F162" s="143">
        <v>14.52</v>
      </c>
      <c r="G162" s="144">
        <f t="shared" si="6"/>
        <v>2.5800000000000018</v>
      </c>
      <c r="H162" s="176">
        <f>'DETALLE DE VENTAS'!AE283</f>
        <v>24.4</v>
      </c>
      <c r="I162" s="134"/>
      <c r="J162" s="165"/>
      <c r="K162" s="166"/>
      <c r="L162" s="321"/>
      <c r="M162" s="315"/>
    </row>
    <row r="163" spans="2:13" ht="24" x14ac:dyDescent="0.25">
      <c r="B163" s="145" t="str">
        <f t="shared" si="4"/>
        <v>KERACOLOR FF 112 GRIS MEDIO BOLSA 5KG</v>
      </c>
      <c r="C163" s="143">
        <f t="shared" si="4"/>
        <v>0</v>
      </c>
      <c r="D163" s="155">
        <f>'DETALLE DE VENTAS'!AC284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VENTAS'!AE284</f>
        <v>11.55</v>
      </c>
      <c r="I163" s="134"/>
      <c r="J163" s="165"/>
      <c r="K163" s="166"/>
      <c r="L163" s="321"/>
      <c r="M163" s="315"/>
    </row>
    <row r="164" spans="2:13" ht="24" x14ac:dyDescent="0.25">
      <c r="B164" s="145" t="str">
        <f t="shared" si="4"/>
        <v>KERACOLOR FF 112 GRIS MEDIO BOLSA 2KG</v>
      </c>
      <c r="C164" s="143">
        <f t="shared" si="4"/>
        <v>0</v>
      </c>
      <c r="D164" s="155">
        <f>'DETALLE DE VENTAS'!AC285</f>
        <v>10</v>
      </c>
      <c r="E164" s="99">
        <f t="shared" si="5"/>
        <v>0</v>
      </c>
      <c r="F164" s="143">
        <v>0</v>
      </c>
      <c r="G164" s="144">
        <f t="shared" si="6"/>
        <v>0</v>
      </c>
      <c r="H164" s="176">
        <f>'DETALLE DE VENTAS'!AE285</f>
        <v>61</v>
      </c>
      <c r="I164" s="134"/>
      <c r="J164" s="165"/>
      <c r="K164" s="166"/>
      <c r="L164" s="321"/>
      <c r="M164" s="315"/>
    </row>
    <row r="165" spans="2:13" ht="24" x14ac:dyDescent="0.25">
      <c r="B165" s="145" t="str">
        <f t="shared" si="4"/>
        <v>KERACOLOR FF 142 MARRON BOLSA 2KG</v>
      </c>
      <c r="C165" s="143">
        <f t="shared" si="4"/>
        <v>0</v>
      </c>
      <c r="D165" s="155">
        <f>'DETALLE DE VENTAS'!AC286</f>
        <v>3</v>
      </c>
      <c r="E165" s="99">
        <f t="shared" si="5"/>
        <v>0</v>
      </c>
      <c r="F165" s="143">
        <v>0</v>
      </c>
      <c r="G165" s="144">
        <f t="shared" si="6"/>
        <v>0</v>
      </c>
      <c r="H165" s="176">
        <f>'DETALLE DE VENTAS'!AE286</f>
        <v>18.299999999999997</v>
      </c>
      <c r="I165" s="134"/>
      <c r="J165" s="165"/>
      <c r="K165" s="166"/>
      <c r="L165" s="321"/>
      <c r="M165" s="315"/>
    </row>
    <row r="166" spans="2:13" ht="24" x14ac:dyDescent="0.25">
      <c r="B166" s="145" t="str">
        <f t="shared" si="4"/>
        <v>KERACOLOR FF 142 MARRON BOLSA 5KG</v>
      </c>
      <c r="C166" s="143">
        <f t="shared" si="4"/>
        <v>0</v>
      </c>
      <c r="D166" s="155">
        <f>'DETALLE DE VENTAS'!AC287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VENTAS'!AE287</f>
        <v>11.55</v>
      </c>
      <c r="I166" s="134"/>
      <c r="J166" s="165"/>
      <c r="K166" s="166"/>
      <c r="L166" s="321"/>
      <c r="M166" s="315"/>
    </row>
    <row r="167" spans="2:13" ht="24" x14ac:dyDescent="0.25">
      <c r="B167" s="145" t="str">
        <f t="shared" si="4"/>
        <v>KERACOLOR FF 166 FANGO BOLSA 2KG</v>
      </c>
      <c r="C167" s="143">
        <f t="shared" si="4"/>
        <v>0</v>
      </c>
      <c r="D167" s="155">
        <f>'DETALLE DE VENTAS'!AC288</f>
        <v>2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VENTAS'!AE288</f>
        <v>12.2</v>
      </c>
      <c r="I167" s="134"/>
      <c r="J167" s="165"/>
      <c r="K167" s="166"/>
      <c r="L167" s="321"/>
      <c r="M167" s="315"/>
    </row>
    <row r="168" spans="2:13" ht="24" x14ac:dyDescent="0.25">
      <c r="B168" s="145" t="str">
        <f t="shared" si="4"/>
        <v>KERACOLOR FF 132 BEIGE BOLSA 2KG</v>
      </c>
      <c r="C168" s="143">
        <f t="shared" si="4"/>
        <v>0</v>
      </c>
      <c r="D168" s="155">
        <f>'DETALLE DE VENTAS'!AC289</f>
        <v>2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VENTAS'!AE289</f>
        <v>12.2</v>
      </c>
      <c r="I168" s="134"/>
      <c r="J168" s="165"/>
      <c r="K168" s="166"/>
      <c r="L168" s="321"/>
      <c r="M168" s="315"/>
    </row>
    <row r="169" spans="2:13" ht="24" x14ac:dyDescent="0.25">
      <c r="B169" s="145" t="str">
        <f t="shared" si="4"/>
        <v>KERACOLOR FF 136 BARRO FANGO BOLSA 5KG</v>
      </c>
      <c r="C169" s="143">
        <f t="shared" si="4"/>
        <v>0</v>
      </c>
      <c r="D169" s="155">
        <f>'DETALLE DE VENTAS'!AC290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VENTAS'!AE290</f>
        <v>11.55</v>
      </c>
      <c r="I169" s="134"/>
      <c r="J169" s="165"/>
      <c r="K169" s="166"/>
      <c r="L169" s="321"/>
      <c r="M169" s="315"/>
    </row>
    <row r="170" spans="2:13" x14ac:dyDescent="0.25">
      <c r="B170" s="145" t="str">
        <f>B71</f>
        <v>KERACOLOR FF 114 ANTRACITA 2KG</v>
      </c>
      <c r="C170" s="143">
        <f>C71</f>
        <v>1</v>
      </c>
      <c r="D170" s="155">
        <f>'DETALLE DE VENTAS'!AC291</f>
        <v>15</v>
      </c>
      <c r="E170" s="99">
        <f>D71</f>
        <v>9</v>
      </c>
      <c r="F170" s="143">
        <v>6.1</v>
      </c>
      <c r="G170" s="144">
        <f>E170-F170</f>
        <v>2.9000000000000004</v>
      </c>
      <c r="H170" s="176">
        <f>'DETALLE DE VENTAS'!AE291</f>
        <v>91.5</v>
      </c>
      <c r="I170" s="134"/>
      <c r="J170" s="165"/>
      <c r="K170" s="166"/>
      <c r="L170" s="321"/>
      <c r="M170" s="315"/>
    </row>
    <row r="171" spans="2:13" x14ac:dyDescent="0.25">
      <c r="B171" s="147"/>
      <c r="C171" s="142"/>
      <c r="D171" s="142"/>
      <c r="E171" s="99">
        <f>SUM(E138:E170)</f>
        <v>1921</v>
      </c>
      <c r="F171" s="99">
        <f>SUM(F138:F170)</f>
        <v>1562.1</v>
      </c>
      <c r="G171" s="156">
        <f>SUM(G138:G170)</f>
        <v>358.9</v>
      </c>
      <c r="H171" s="99">
        <f>SUM(H138:H170)</f>
        <v>2533.3200000000006</v>
      </c>
      <c r="I171" s="134"/>
      <c r="J171" s="322"/>
      <c r="K171" s="142"/>
      <c r="L171" s="250"/>
      <c r="M171" s="250"/>
    </row>
    <row r="172" spans="2:13" ht="13.15" customHeight="1" x14ac:dyDescent="0.25">
      <c r="B172" s="142"/>
      <c r="C172" s="142"/>
      <c r="D172" s="142"/>
      <c r="E172" s="142"/>
      <c r="F172" s="142"/>
      <c r="G172" s="169">
        <f>G171/F171</f>
        <v>0.2297548172332117</v>
      </c>
      <c r="H172" s="134"/>
      <c r="I172" s="134"/>
    </row>
    <row r="173" spans="2:13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3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3" x14ac:dyDescent="0.25">
      <c r="B175" s="694" t="s">
        <v>84</v>
      </c>
      <c r="C175" s="694"/>
      <c r="D175" s="694"/>
      <c r="E175" s="694"/>
      <c r="F175" s="694"/>
      <c r="G175" s="694"/>
      <c r="H175" s="694"/>
      <c r="I175" s="268"/>
      <c r="J175" s="134"/>
    </row>
    <row r="176" spans="2:13" ht="24" x14ac:dyDescent="0.25">
      <c r="B176" s="131" t="s">
        <v>2</v>
      </c>
      <c r="C176" s="150" t="s">
        <v>78</v>
      </c>
      <c r="D176" s="150" t="s">
        <v>79</v>
      </c>
      <c r="E176" s="150" t="s">
        <v>92</v>
      </c>
      <c r="F176" s="150" t="s">
        <v>91</v>
      </c>
      <c r="G176" s="157" t="s">
        <v>75</v>
      </c>
      <c r="H176" s="176" t="s">
        <v>102</v>
      </c>
      <c r="I176" s="134"/>
    </row>
    <row r="177" spans="2:9" x14ac:dyDescent="0.25">
      <c r="B177" s="145" t="str">
        <f>B66</f>
        <v>Lamina Sinoxsa Calibre 28</v>
      </c>
      <c r="C177" s="143">
        <f>C66</f>
        <v>35</v>
      </c>
      <c r="D177" s="155">
        <f>'DETALLE DE VENTAS'!Q297</f>
        <v>52</v>
      </c>
      <c r="E177" s="141">
        <f>D66</f>
        <v>577.5</v>
      </c>
      <c r="F177" s="141">
        <v>455</v>
      </c>
      <c r="G177" s="340">
        <f>E177-F177</f>
        <v>122.5</v>
      </c>
      <c r="H177" s="176">
        <f>'DETALLE DE VENTAS'!R297</f>
        <v>676</v>
      </c>
      <c r="I177" s="134"/>
    </row>
    <row r="178" spans="2:9" x14ac:dyDescent="0.25">
      <c r="B178" s="145" t="str">
        <f>B67</f>
        <v>TUBO RECT 2X1 GALV 6MTS</v>
      </c>
      <c r="C178" s="143">
        <f>C67</f>
        <v>4</v>
      </c>
      <c r="D178" s="155">
        <f>'DETALLE DE VENTAS'!Q298</f>
        <v>16</v>
      </c>
      <c r="E178" s="141">
        <f>D67</f>
        <v>72</v>
      </c>
      <c r="F178" s="141">
        <v>58.04</v>
      </c>
      <c r="G178" s="340">
        <f t="shared" ref="G178:G193" si="7">E178-F178</f>
        <v>13.96</v>
      </c>
      <c r="H178" s="176">
        <f>'DETALLE DE VENTAS'!R298</f>
        <v>232.16</v>
      </c>
      <c r="I178" s="134"/>
    </row>
    <row r="179" spans="2:9" x14ac:dyDescent="0.25">
      <c r="B179" s="145" t="str">
        <f>B70</f>
        <v>LAMINA ZINC ONDULADA 80 X 3,66</v>
      </c>
      <c r="C179" s="143">
        <f>C70</f>
        <v>26</v>
      </c>
      <c r="D179" s="155">
        <f>'DETALLE DE VENTAS'!Q299</f>
        <v>16</v>
      </c>
      <c r="E179" s="141">
        <f>D70</f>
        <v>390</v>
      </c>
      <c r="F179" s="141">
        <v>312</v>
      </c>
      <c r="G179" s="340">
        <f t="shared" si="7"/>
        <v>78</v>
      </c>
      <c r="H179" s="176">
        <f>'DETALLE DE VENTAS'!R299</f>
        <v>192</v>
      </c>
      <c r="I179" s="134"/>
    </row>
    <row r="180" spans="2:9" x14ac:dyDescent="0.25">
      <c r="B180" s="145" t="str">
        <f>B72</f>
        <v>LAMINA ZINC 80 X 3,05 ONDULADA</v>
      </c>
      <c r="C180" s="143">
        <f>C72</f>
        <v>0</v>
      </c>
      <c r="D180" s="155">
        <f>'DETALLE DE VENTAS'!Q300</f>
        <v>15</v>
      </c>
      <c r="E180" s="141">
        <f>D72</f>
        <v>0</v>
      </c>
      <c r="F180" s="141">
        <v>0</v>
      </c>
      <c r="G180" s="340">
        <f t="shared" si="7"/>
        <v>0</v>
      </c>
      <c r="H180" s="176">
        <f>'DETALLE DE VENTAS'!R300</f>
        <v>150</v>
      </c>
      <c r="I180" s="134"/>
    </row>
    <row r="181" spans="2:9" x14ac:dyDescent="0.25">
      <c r="B181" s="145" t="str">
        <f t="shared" ref="B181:B193" si="8">B73</f>
        <v>LAMINA ZINC 80 X 2,40 ONDULADA</v>
      </c>
      <c r="C181" s="143">
        <f t="shared" ref="C181:C193" si="9">C73</f>
        <v>0</v>
      </c>
      <c r="D181" s="155">
        <f>'DETALLE DE VENTAS'!Q301</f>
        <v>12</v>
      </c>
      <c r="E181" s="141">
        <f t="shared" ref="E181:E193" si="10">D73</f>
        <v>0</v>
      </c>
      <c r="F181" s="141">
        <v>0</v>
      </c>
      <c r="G181" s="340">
        <f t="shared" si="7"/>
        <v>0</v>
      </c>
      <c r="H181" s="176">
        <f>'DETALLE DE VENTAS'!R301</f>
        <v>96</v>
      </c>
      <c r="I181" s="134"/>
    </row>
    <row r="182" spans="2:9" x14ac:dyDescent="0.25">
      <c r="B182" s="145" t="str">
        <f t="shared" si="8"/>
        <v>TUBO GALV CUADRADO 2X2 6MTS</v>
      </c>
      <c r="C182" s="143">
        <f t="shared" si="9"/>
        <v>0</v>
      </c>
      <c r="D182" s="155">
        <f>'DETALLE DE VENTAS'!Q302</f>
        <v>10</v>
      </c>
      <c r="E182" s="141">
        <f t="shared" si="10"/>
        <v>0</v>
      </c>
      <c r="F182" s="141">
        <v>0</v>
      </c>
      <c r="G182" s="340">
        <f t="shared" si="7"/>
        <v>0</v>
      </c>
      <c r="H182" s="176">
        <f>'DETALLE DE VENTAS'!R302</f>
        <v>263.29999999999995</v>
      </c>
      <c r="I182" s="134"/>
    </row>
    <row r="183" spans="2:9" x14ac:dyDescent="0.25">
      <c r="B183" s="145" t="str">
        <f t="shared" si="8"/>
        <v>TUBO CUADRADO 1X1  6MTS</v>
      </c>
      <c r="C183" s="143">
        <f t="shared" si="9"/>
        <v>0</v>
      </c>
      <c r="D183" s="155">
        <f>'DETALLE DE VENTAS'!Q303</f>
        <v>10</v>
      </c>
      <c r="E183" s="141">
        <f t="shared" si="10"/>
        <v>0</v>
      </c>
      <c r="F183" s="141">
        <v>0</v>
      </c>
      <c r="G183" s="340">
        <f t="shared" si="7"/>
        <v>0</v>
      </c>
      <c r="H183" s="176">
        <f>'DETALLE DE VENTAS'!R303</f>
        <v>99.2</v>
      </c>
      <c r="I183" s="134"/>
    </row>
    <row r="184" spans="2:9" x14ac:dyDescent="0.25">
      <c r="B184" s="145" t="str">
        <f t="shared" si="8"/>
        <v>TUBO CUADRADO 3/4X3/4 6MTS</v>
      </c>
      <c r="C184" s="143">
        <f t="shared" si="9"/>
        <v>0</v>
      </c>
      <c r="D184" s="155">
        <f>'DETALLE DE VENTAS'!Q304</f>
        <v>3</v>
      </c>
      <c r="E184" s="141">
        <f t="shared" si="10"/>
        <v>0</v>
      </c>
      <c r="F184" s="141">
        <v>0</v>
      </c>
      <c r="G184" s="340">
        <f t="shared" si="7"/>
        <v>0</v>
      </c>
      <c r="H184" s="176">
        <f>'DETALLE DE VENTAS'!R304</f>
        <v>21.78</v>
      </c>
      <c r="I184" s="134"/>
    </row>
    <row r="185" spans="2:9" x14ac:dyDescent="0.25">
      <c r="B185" s="145" t="str">
        <f t="shared" si="8"/>
        <v>TUBO RECT GALV 3X1 6MTS</v>
      </c>
      <c r="C185" s="143">
        <f t="shared" si="9"/>
        <v>0</v>
      </c>
      <c r="D185" s="155">
        <f>'DETALLE DE VENTAS'!Q305</f>
        <v>5</v>
      </c>
      <c r="E185" s="141">
        <f t="shared" si="10"/>
        <v>0</v>
      </c>
      <c r="F185" s="141">
        <v>0</v>
      </c>
      <c r="G185" s="340">
        <f t="shared" si="7"/>
        <v>0</v>
      </c>
      <c r="H185" s="176">
        <f>'DETALLE DE VENTAS'!R305</f>
        <v>131.64999999999998</v>
      </c>
      <c r="I185" s="134"/>
    </row>
    <row r="186" spans="2:9" x14ac:dyDescent="0.25">
      <c r="B186" s="145" t="str">
        <f t="shared" si="8"/>
        <v>ANGULO SID 25X25X3MM 6MTS</v>
      </c>
      <c r="C186" s="143">
        <f t="shared" si="9"/>
        <v>0</v>
      </c>
      <c r="D186" s="155">
        <f>'DETALLE DE VENTAS'!Q306</f>
        <v>6</v>
      </c>
      <c r="E186" s="141">
        <f t="shared" si="10"/>
        <v>0</v>
      </c>
      <c r="F186" s="141">
        <v>0</v>
      </c>
      <c r="G186" s="340">
        <f t="shared" si="7"/>
        <v>0</v>
      </c>
      <c r="H186" s="176">
        <f>'DETALLE DE VENTAS'!R306</f>
        <v>76.02</v>
      </c>
      <c r="I186" s="134"/>
    </row>
    <row r="187" spans="2:9" x14ac:dyDescent="0.25">
      <c r="B187" s="145" t="str">
        <f t="shared" si="8"/>
        <v>ANGULO SID 30X30X3MM 6MTS</v>
      </c>
      <c r="C187" s="143">
        <f t="shared" si="9"/>
        <v>0</v>
      </c>
      <c r="D187" s="155">
        <f>'DETALLE DE VENTAS'!Q307</f>
        <v>8</v>
      </c>
      <c r="E187" s="141">
        <f t="shared" si="10"/>
        <v>0</v>
      </c>
      <c r="F187" s="141">
        <v>0</v>
      </c>
      <c r="G187" s="340">
        <f t="shared" si="7"/>
        <v>0</v>
      </c>
      <c r="H187" s="176">
        <f>'DETALLE DE VENTAS'!R307</f>
        <v>121.44</v>
      </c>
      <c r="I187" s="134"/>
    </row>
    <row r="188" spans="2:9" x14ac:dyDescent="0.25">
      <c r="B188" s="145" t="str">
        <f t="shared" si="8"/>
        <v>ANGULO SID 40X40X4MM 6MTS</v>
      </c>
      <c r="C188" s="143">
        <f t="shared" si="9"/>
        <v>0</v>
      </c>
      <c r="D188" s="155">
        <f>'DETALLE DE VENTAS'!Q308</f>
        <v>6</v>
      </c>
      <c r="E188" s="141">
        <f t="shared" si="10"/>
        <v>0</v>
      </c>
      <c r="F188" s="141">
        <v>0</v>
      </c>
      <c r="G188" s="340">
        <f t="shared" si="7"/>
        <v>0</v>
      </c>
      <c r="H188" s="176">
        <f>'DETALLE DE VENTAS'!R308</f>
        <v>160.14000000000001</v>
      </c>
      <c r="I188" s="134"/>
    </row>
    <row r="189" spans="2:9" x14ac:dyDescent="0.25">
      <c r="B189" s="145" t="str">
        <f t="shared" si="8"/>
        <v>PLETINA 3/4X3/16 6MTS</v>
      </c>
      <c r="C189" s="143">
        <f t="shared" si="9"/>
        <v>0</v>
      </c>
      <c r="D189" s="155">
        <f>'DETALLE DE VENTAS'!Q309</f>
        <v>10</v>
      </c>
      <c r="E189" s="141">
        <f t="shared" si="10"/>
        <v>0</v>
      </c>
      <c r="F189" s="141">
        <v>0</v>
      </c>
      <c r="G189" s="340">
        <f t="shared" si="7"/>
        <v>0</v>
      </c>
      <c r="H189" s="176">
        <f>'DETALLE DE VENTAS'!R309</f>
        <v>83.3</v>
      </c>
      <c r="I189" s="134"/>
    </row>
    <row r="190" spans="2:9" x14ac:dyDescent="0.25">
      <c r="B190" s="145" t="str">
        <f t="shared" si="8"/>
        <v>PLETINA 1X3/16 6MTS</v>
      </c>
      <c r="C190" s="143">
        <f t="shared" si="9"/>
        <v>0</v>
      </c>
      <c r="D190" s="155">
        <f>'DETALLE DE VENTAS'!Q310</f>
        <v>10</v>
      </c>
      <c r="E190" s="141">
        <f t="shared" si="10"/>
        <v>0</v>
      </c>
      <c r="F190" s="141">
        <v>0</v>
      </c>
      <c r="G190" s="340">
        <f t="shared" si="7"/>
        <v>0</v>
      </c>
      <c r="H190" s="176">
        <f>'DETALLE DE VENTAS'!R310</f>
        <v>105.9</v>
      </c>
      <c r="I190" s="134"/>
    </row>
    <row r="191" spans="2:9" x14ac:dyDescent="0.25">
      <c r="B191" s="145" t="str">
        <f t="shared" si="8"/>
        <v>PLETINA 1-1/2X1/8 6MTS</v>
      </c>
      <c r="C191" s="143">
        <f t="shared" si="9"/>
        <v>0</v>
      </c>
      <c r="D191" s="155">
        <f>'DETALLE DE VENTAS'!Q311</f>
        <v>10</v>
      </c>
      <c r="E191" s="141">
        <f t="shared" si="10"/>
        <v>0</v>
      </c>
      <c r="F191" s="141">
        <v>0</v>
      </c>
      <c r="G191" s="340">
        <f t="shared" si="7"/>
        <v>0</v>
      </c>
      <c r="H191" s="176">
        <f>'DETALLE DE VENTAS'!R311</f>
        <v>120.5</v>
      </c>
      <c r="I191" s="134"/>
    </row>
    <row r="192" spans="2:9" x14ac:dyDescent="0.25">
      <c r="B192" s="145" t="str">
        <f t="shared" si="8"/>
        <v>PLETINA 1-1/2X3/16 6MTS</v>
      </c>
      <c r="C192" s="143">
        <f t="shared" si="9"/>
        <v>0</v>
      </c>
      <c r="D192" s="155">
        <f>'DETALLE DE VENTAS'!Q312</f>
        <v>9</v>
      </c>
      <c r="E192" s="141">
        <f t="shared" si="10"/>
        <v>0</v>
      </c>
      <c r="F192" s="141">
        <v>0</v>
      </c>
      <c r="G192" s="340">
        <f t="shared" si="7"/>
        <v>0</v>
      </c>
      <c r="H192" s="176">
        <f>'DETALLE DE VENTAS'!R312</f>
        <v>142.47</v>
      </c>
      <c r="I192" s="134"/>
    </row>
    <row r="193" spans="2:10" x14ac:dyDescent="0.25">
      <c r="B193" s="145" t="str">
        <f t="shared" si="8"/>
        <v>PLETINA 1-1/4X3/16 6MTS</v>
      </c>
      <c r="C193" s="143">
        <f t="shared" si="9"/>
        <v>0</v>
      </c>
      <c r="D193" s="155">
        <f>'DETALLE DE VENTAS'!Q313</f>
        <v>10</v>
      </c>
      <c r="E193" s="141">
        <f t="shared" si="10"/>
        <v>0</v>
      </c>
      <c r="F193" s="141">
        <v>0</v>
      </c>
      <c r="G193" s="340">
        <f t="shared" si="7"/>
        <v>0</v>
      </c>
      <c r="H193" s="176">
        <f>'DETALLE DE VENTAS'!R313</f>
        <v>132</v>
      </c>
      <c r="I193" s="134"/>
    </row>
    <row r="194" spans="2:10" x14ac:dyDescent="0.25">
      <c r="B194" s="147"/>
      <c r="C194" s="142"/>
      <c r="D194" s="142"/>
      <c r="E194" s="341">
        <f>SUM(E177:E193)</f>
        <v>1039.5</v>
      </c>
      <c r="F194" s="341">
        <f>SUM(F177:F193)</f>
        <v>825.04</v>
      </c>
      <c r="G194" s="341">
        <f>SUM(G177:G193)</f>
        <v>214.46</v>
      </c>
      <c r="H194" s="341">
        <f>SUM(H177:H193)</f>
        <v>2803.8599999999997</v>
      </c>
      <c r="I194" s="134"/>
    </row>
    <row r="195" spans="2:10" ht="16.149999999999999" customHeight="1" x14ac:dyDescent="0.25">
      <c r="B195" s="142"/>
      <c r="C195" s="142"/>
      <c r="D195" s="142"/>
      <c r="E195" s="142"/>
      <c r="F195" s="142"/>
      <c r="G195" s="169">
        <f>G194/F194</f>
        <v>0.25993891205274899</v>
      </c>
      <c r="H195" s="142"/>
      <c r="I195" s="134"/>
      <c r="J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B197" s="694" t="s">
        <v>262</v>
      </c>
      <c r="C197" s="694"/>
      <c r="D197" s="694"/>
      <c r="E197" s="694"/>
      <c r="F197" s="694"/>
      <c r="G197" s="694"/>
      <c r="H197" s="694"/>
      <c r="I197" s="134"/>
      <c r="J197" s="134"/>
    </row>
    <row r="198" spans="2:10" ht="16.149999999999999" customHeight="1" x14ac:dyDescent="0.25">
      <c r="B198" s="131" t="s">
        <v>2</v>
      </c>
      <c r="C198" s="150" t="s">
        <v>78</v>
      </c>
      <c r="D198" s="150" t="s">
        <v>79</v>
      </c>
      <c r="E198" s="150" t="s">
        <v>92</v>
      </c>
      <c r="F198" s="150" t="s">
        <v>91</v>
      </c>
      <c r="G198" s="157" t="s">
        <v>75</v>
      </c>
      <c r="H198" s="176" t="s">
        <v>102</v>
      </c>
      <c r="I198" s="134"/>
      <c r="J198" s="134"/>
    </row>
    <row r="199" spans="2:10" ht="16.149999999999999" customHeight="1" x14ac:dyDescent="0.25">
      <c r="B199" s="145" t="str">
        <f>B68</f>
        <v>MANTO 2.2MM ADHESIVO EDIL</v>
      </c>
      <c r="C199" s="143">
        <f>C68</f>
        <v>0</v>
      </c>
      <c r="D199" s="155">
        <v>0</v>
      </c>
      <c r="E199" s="140">
        <f>D68</f>
        <v>0</v>
      </c>
      <c r="F199" s="140">
        <v>0</v>
      </c>
      <c r="G199" s="158">
        <f>E199-F199</f>
        <v>0</v>
      </c>
      <c r="H199" s="176">
        <f>'DETALLE DE VENTAS'!O318</f>
        <v>0</v>
      </c>
      <c r="I199" s="134"/>
      <c r="J199" s="134"/>
    </row>
    <row r="200" spans="2:10" x14ac:dyDescent="0.25">
      <c r="B200" s="147"/>
      <c r="C200" s="142"/>
      <c r="D200" s="142"/>
      <c r="E200" s="215">
        <f>SUM(E199:E199)</f>
        <v>0</v>
      </c>
      <c r="F200" s="215">
        <f>SUM(F199:F199)</f>
        <v>0</v>
      </c>
      <c r="G200" s="215">
        <f>SUM(G199:G199)</f>
        <v>0</v>
      </c>
      <c r="H200" s="139">
        <f>SUM(H199:H199)</f>
        <v>0</v>
      </c>
      <c r="I200" s="134"/>
      <c r="J200" s="134"/>
    </row>
    <row r="201" spans="2:10" x14ac:dyDescent="0.25">
      <c r="B201" s="142"/>
      <c r="C201" s="142"/>
      <c r="D201" s="142"/>
      <c r="E201" s="142"/>
      <c r="F201" s="142"/>
      <c r="G201" s="169" t="e">
        <f>G200/F200</f>
        <v>#DIV/0!</v>
      </c>
      <c r="H201" s="142"/>
      <c r="I201" s="134"/>
      <c r="J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B203" s="698" t="s">
        <v>95</v>
      </c>
      <c r="C203" s="698"/>
      <c r="D203" s="698"/>
      <c r="E203" s="698"/>
      <c r="F203" s="698"/>
      <c r="G203" s="698"/>
      <c r="H203" s="142"/>
      <c r="I203" s="134"/>
      <c r="J203" s="134"/>
    </row>
    <row r="204" spans="2:10" ht="24.75" x14ac:dyDescent="0.25">
      <c r="B204" s="141"/>
      <c r="C204" s="159" t="s">
        <v>92</v>
      </c>
      <c r="D204" s="159" t="s">
        <v>91</v>
      </c>
      <c r="E204" s="159" t="s">
        <v>75</v>
      </c>
      <c r="F204" s="159" t="s">
        <v>96</v>
      </c>
      <c r="G204" s="141" t="s">
        <v>102</v>
      </c>
      <c r="H204" s="142"/>
      <c r="I204" s="134"/>
      <c r="J204" s="134"/>
    </row>
    <row r="205" spans="2:10" x14ac:dyDescent="0.25">
      <c r="B205" s="159" t="s">
        <v>80</v>
      </c>
      <c r="C205" s="159">
        <f>E113</f>
        <v>21454</v>
      </c>
      <c r="D205" s="159">
        <f>F113</f>
        <v>17632.050000000003</v>
      </c>
      <c r="E205" s="159">
        <f>G113</f>
        <v>3821.95</v>
      </c>
      <c r="F205" s="171">
        <f>G114</f>
        <v>0.21676152234141799</v>
      </c>
      <c r="G205" s="141">
        <f>H113</f>
        <v>5091.3013793103464</v>
      </c>
      <c r="H205" s="142"/>
      <c r="I205" s="134"/>
      <c r="J205" s="134"/>
    </row>
    <row r="206" spans="2:10" x14ac:dyDescent="0.25">
      <c r="B206" s="141" t="s">
        <v>81</v>
      </c>
      <c r="C206" s="141">
        <f>E124</f>
        <v>460</v>
      </c>
      <c r="D206" s="141">
        <f>F124</f>
        <v>376</v>
      </c>
      <c r="E206" s="141">
        <f>G124</f>
        <v>84</v>
      </c>
      <c r="F206" s="171">
        <f>G125</f>
        <v>0.22340425531914893</v>
      </c>
      <c r="G206" s="141">
        <f>H124</f>
        <v>1295</v>
      </c>
      <c r="H206" s="142"/>
      <c r="I206" s="134"/>
      <c r="J206" s="134"/>
    </row>
    <row r="207" spans="2:10" x14ac:dyDescent="0.25">
      <c r="B207" s="141" t="s">
        <v>244</v>
      </c>
      <c r="C207" s="141">
        <f>E132</f>
        <v>1190</v>
      </c>
      <c r="D207" s="141">
        <f>F132</f>
        <v>940</v>
      </c>
      <c r="E207" s="141">
        <f>G132</f>
        <v>250</v>
      </c>
      <c r="F207" s="171">
        <f>G133</f>
        <v>0.26595744680851063</v>
      </c>
      <c r="G207" s="141">
        <f>H132</f>
        <v>100</v>
      </c>
      <c r="H207" s="142"/>
      <c r="I207" s="134"/>
      <c r="J207" s="134"/>
    </row>
    <row r="208" spans="2:10" x14ac:dyDescent="0.25">
      <c r="B208" s="159" t="s">
        <v>82</v>
      </c>
      <c r="C208" s="141">
        <f>E171</f>
        <v>1921</v>
      </c>
      <c r="D208" s="141">
        <f>F171</f>
        <v>1562.1</v>
      </c>
      <c r="E208" s="141">
        <f>G171</f>
        <v>358.9</v>
      </c>
      <c r="F208" s="171">
        <f>G172</f>
        <v>0.2297548172332117</v>
      </c>
      <c r="G208" s="141">
        <f>H171</f>
        <v>2533.3200000000006</v>
      </c>
      <c r="H208" s="142"/>
      <c r="I208" s="134"/>
      <c r="J208" s="134"/>
    </row>
    <row r="209" spans="2:10" x14ac:dyDescent="0.25">
      <c r="B209" s="141" t="s">
        <v>84</v>
      </c>
      <c r="C209" s="141">
        <f>E194</f>
        <v>1039.5</v>
      </c>
      <c r="D209" s="141">
        <f>F194</f>
        <v>825.04</v>
      </c>
      <c r="E209" s="141">
        <f>G194</f>
        <v>214.46</v>
      </c>
      <c r="F209" s="171">
        <f>G195</f>
        <v>0.25993891205274899</v>
      </c>
      <c r="G209" s="141">
        <f>H194</f>
        <v>2803.8599999999997</v>
      </c>
      <c r="H209" s="142"/>
      <c r="I209" s="134"/>
      <c r="J209" s="134"/>
    </row>
    <row r="210" spans="2:10" x14ac:dyDescent="0.25">
      <c r="B210" s="141" t="s">
        <v>262</v>
      </c>
      <c r="C210" s="141">
        <f>E200</f>
        <v>0</v>
      </c>
      <c r="D210" s="141">
        <f>F200</f>
        <v>0</v>
      </c>
      <c r="E210" s="141">
        <f>G200</f>
        <v>0</v>
      </c>
      <c r="F210" s="171" t="e">
        <f>G201</f>
        <v>#DIV/0!</v>
      </c>
      <c r="G210" s="141">
        <f>H200</f>
        <v>0</v>
      </c>
      <c r="H210" s="142"/>
      <c r="I210" s="134"/>
      <c r="J210" s="134"/>
    </row>
    <row r="211" spans="2:10" x14ac:dyDescent="0.25">
      <c r="B211" s="160" t="s">
        <v>342</v>
      </c>
      <c r="C211" s="139">
        <f>SUM(C205:C210)</f>
        <v>26064.5</v>
      </c>
      <c r="D211" s="139">
        <f>SUM(D205:D210)</f>
        <v>21335.190000000002</v>
      </c>
      <c r="E211" s="139">
        <f>SUM(E205:E210)</f>
        <v>4729.3099999999995</v>
      </c>
      <c r="F211" s="218">
        <f>E211/D211</f>
        <v>0.22166711428395994</v>
      </c>
      <c r="G211" s="139">
        <f>SUM(G205:G210)</f>
        <v>11823.481379310346</v>
      </c>
      <c r="H211" s="142"/>
      <c r="I211" s="134"/>
      <c r="J211" s="134"/>
    </row>
    <row r="212" spans="2:10" x14ac:dyDescent="0.25">
      <c r="B212" s="139" t="s">
        <v>341</v>
      </c>
      <c r="C212" s="712">
        <f>'DETALLE DE VENTAS'!Y202</f>
        <v>91.09</v>
      </c>
      <c r="D212" s="712"/>
      <c r="E212" s="712"/>
      <c r="F212" s="712"/>
      <c r="G212" s="712"/>
      <c r="H212" s="142"/>
      <c r="I212" s="134"/>
      <c r="J212" s="134"/>
    </row>
    <row r="213" spans="2:10" x14ac:dyDescent="0.25">
      <c r="B213" s="160" t="s">
        <v>72</v>
      </c>
      <c r="C213" s="139">
        <f>C211-C212</f>
        <v>25973.41</v>
      </c>
      <c r="D213" s="139">
        <f>D211</f>
        <v>21335.190000000002</v>
      </c>
      <c r="E213" s="139">
        <f>C213-D213</f>
        <v>4638.2199999999975</v>
      </c>
      <c r="F213" s="218">
        <f>E213/D213</f>
        <v>0.21739764211145984</v>
      </c>
      <c r="G213" s="139">
        <f>G211</f>
        <v>11823.481379310346</v>
      </c>
    </row>
    <row r="214" spans="2:10" x14ac:dyDescent="0.25">
      <c r="B214" s="217" t="s">
        <v>343</v>
      </c>
    </row>
  </sheetData>
  <mergeCells count="69">
    <mergeCell ref="B88:H88"/>
    <mergeCell ref="J88:M88"/>
    <mergeCell ref="B197:H197"/>
    <mergeCell ref="B203:G203"/>
    <mergeCell ref="C212:G212"/>
    <mergeCell ref="K115:N115"/>
    <mergeCell ref="B116:H116"/>
    <mergeCell ref="B128:H128"/>
    <mergeCell ref="B136:H136"/>
    <mergeCell ref="J136:M136"/>
    <mergeCell ref="B175:H175"/>
    <mergeCell ref="K114:L114"/>
    <mergeCell ref="L58:P58"/>
    <mergeCell ref="L59:P59"/>
    <mergeCell ref="L68:P68"/>
    <mergeCell ref="L87:P87"/>
    <mergeCell ref="L52:P52"/>
    <mergeCell ref="L53:P53"/>
    <mergeCell ref="L54:P54"/>
    <mergeCell ref="L55:P55"/>
    <mergeCell ref="L56:P56"/>
    <mergeCell ref="L57:P57"/>
    <mergeCell ref="L49:P49"/>
    <mergeCell ref="L50:P50"/>
    <mergeCell ref="L41:P41"/>
    <mergeCell ref="L42:P42"/>
    <mergeCell ref="L43:P43"/>
    <mergeCell ref="L44:P44"/>
    <mergeCell ref="L45:P45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28"/>
  <sheetViews>
    <sheetView topLeftCell="A135" zoomScaleNormal="100" workbookViewId="0">
      <selection activeCell="J237" sqref="J237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695" t="s">
        <v>2</v>
      </c>
      <c r="C1" s="695" t="s">
        <v>243</v>
      </c>
      <c r="D1" s="695"/>
      <c r="E1" s="134"/>
      <c r="F1" s="134"/>
    </row>
    <row r="2" spans="2:16" ht="30" customHeight="1" x14ac:dyDescent="0.25">
      <c r="B2" s="695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VENTAS'!AC108</f>
        <v>29</v>
      </c>
      <c r="D3" s="164">
        <f>'DETALLE DE VENTAS'!AH108</f>
        <v>232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VENTAS'!AC109</f>
        <v>155</v>
      </c>
      <c r="D4" s="164">
        <f>'DETALLE DE VENTAS'!AH109</f>
        <v>2325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VENTAS'!AC110</f>
        <v>107</v>
      </c>
      <c r="D5" s="164">
        <f>'DETALLE DE VENTAS'!AH110</f>
        <v>4173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VENTAS'!AC111</f>
        <v>35</v>
      </c>
      <c r="D6" s="164">
        <f>'DETALLE DE VENTAS'!AH111</f>
        <v>455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VENTAS'!AC112</f>
        <v>106</v>
      </c>
      <c r="D7" s="164">
        <f>'DETALLE DE VENTAS'!AH112</f>
        <v>2756</v>
      </c>
      <c r="E7" s="134"/>
      <c r="F7" s="134"/>
      <c r="L7" s="696"/>
      <c r="M7" s="696"/>
      <c r="N7" s="696"/>
      <c r="O7" s="696"/>
      <c r="P7" s="696"/>
    </row>
    <row r="8" spans="2:16" ht="24" x14ac:dyDescent="0.25">
      <c r="B8" s="163" t="str">
        <f>'DETALLE DE VENTAS'!C113</f>
        <v>ASFALTO PLASTICO 1/4 GLN BITUPLAST</v>
      </c>
      <c r="C8" s="164">
        <f>'DETALLE DE VENTAS'!AC113</f>
        <v>4</v>
      </c>
      <c r="D8" s="164">
        <f>'DETALLE DE VENTAS'!AH113</f>
        <v>28</v>
      </c>
      <c r="E8" s="134"/>
      <c r="F8" s="134"/>
      <c r="L8" s="696"/>
      <c r="M8" s="696"/>
      <c r="N8" s="696"/>
      <c r="O8" s="696"/>
      <c r="P8" s="696"/>
    </row>
    <row r="9" spans="2:16" x14ac:dyDescent="0.25">
      <c r="B9" s="163" t="str">
        <f>'DETALLE DE VENTAS'!C114</f>
        <v>ASFALTO PLASTICO GLN BITUPLAST</v>
      </c>
      <c r="C9" s="164">
        <f>'DETALLE DE VENTAS'!AC114</f>
        <v>42</v>
      </c>
      <c r="D9" s="164">
        <f>'DETALLE DE VENTAS'!AH114</f>
        <v>462</v>
      </c>
      <c r="E9" s="134"/>
      <c r="F9" s="134"/>
      <c r="L9" s="696"/>
      <c r="M9" s="696"/>
      <c r="N9" s="696"/>
      <c r="O9" s="696"/>
      <c r="P9" s="696"/>
    </row>
    <row r="10" spans="2:16" x14ac:dyDescent="0.25">
      <c r="B10" s="163" t="str">
        <f>'DETALLE DE VENTAS'!C115</f>
        <v>ASFALTO PLASTICO 4 GLN BITUPLAST</v>
      </c>
      <c r="C10" s="164">
        <f>'DETALLE DE VENTAS'!AC115</f>
        <v>38</v>
      </c>
      <c r="D10" s="164">
        <f>'DETALLE DE VENTAS'!AH115</f>
        <v>1140</v>
      </c>
      <c r="E10" s="134"/>
      <c r="F10" s="134"/>
      <c r="L10" s="696"/>
      <c r="M10" s="696"/>
      <c r="N10" s="696"/>
      <c r="O10" s="696"/>
      <c r="P10" s="696"/>
    </row>
    <row r="11" spans="2:16" x14ac:dyDescent="0.25">
      <c r="B11" s="163" t="str">
        <f>'DETALLE DE VENTAS'!C116</f>
        <v>PRIMER GLN BITUPLAST</v>
      </c>
      <c r="C11" s="164">
        <f>'DETALLE DE VENTAS'!AC116</f>
        <v>49</v>
      </c>
      <c r="D11" s="164">
        <f>'DETALLE DE VENTAS'!AH116</f>
        <v>686</v>
      </c>
      <c r="E11" s="134"/>
      <c r="F11" s="134"/>
      <c r="L11" s="696"/>
      <c r="M11" s="696"/>
      <c r="N11" s="696"/>
      <c r="O11" s="696"/>
      <c r="P11" s="696"/>
    </row>
    <row r="12" spans="2:16" x14ac:dyDescent="0.25">
      <c r="B12" s="163" t="str">
        <f>'DETALLE DE VENTAS'!C117</f>
        <v>PRIMER 4 GLN BITUPLAST</v>
      </c>
      <c r="C12" s="164">
        <f>'DETALLE DE VENTAS'!AC117</f>
        <v>115</v>
      </c>
      <c r="D12" s="164">
        <f>'DETALLE DE VENTAS'!AH117</f>
        <v>3450</v>
      </c>
      <c r="E12" s="134"/>
      <c r="F12" s="134"/>
      <c r="L12" s="696"/>
      <c r="M12" s="696"/>
      <c r="N12" s="696"/>
      <c r="O12" s="696"/>
      <c r="P12" s="696"/>
    </row>
    <row r="13" spans="2:16" x14ac:dyDescent="0.25">
      <c r="B13" s="163" t="str">
        <f>'DETALLE DE VENTAS'!C118</f>
        <v>PINT ALUMINIZADA GLN BITUPLAST</v>
      </c>
      <c r="C13" s="164">
        <f>'DETALLE DE VENTAS'!AC118</f>
        <v>45</v>
      </c>
      <c r="D13" s="164">
        <f>'DETALLE DE VENTAS'!AH118</f>
        <v>1395</v>
      </c>
      <c r="E13" s="134"/>
      <c r="F13" s="134"/>
      <c r="L13" s="696"/>
      <c r="M13" s="696"/>
      <c r="N13" s="696"/>
      <c r="O13" s="696"/>
      <c r="P13" s="696"/>
    </row>
    <row r="14" spans="2:16" ht="24" x14ac:dyDescent="0.25">
      <c r="B14" s="163" t="str">
        <f>'DETALLE DE VENTAS'!C119</f>
        <v>PINT ALUMINIZADA 4 GLN BITUPLAST</v>
      </c>
      <c r="C14" s="164">
        <f>'DETALLE DE VENTAS'!AC119</f>
        <v>60</v>
      </c>
      <c r="D14" s="164">
        <f>'DETALLE DE VENTAS'!AH119</f>
        <v>6360</v>
      </c>
      <c r="E14" s="134"/>
      <c r="F14" s="134"/>
      <c r="L14" s="696"/>
      <c r="M14" s="696"/>
      <c r="N14" s="696"/>
      <c r="O14" s="696"/>
      <c r="P14" s="696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VENTAS'!AC120</f>
        <v>86</v>
      </c>
      <c r="D15" s="164">
        <f>'DETALLE DE VENTAS'!AH120</f>
        <v>4300</v>
      </c>
      <c r="E15" s="134"/>
      <c r="F15" s="134"/>
      <c r="L15" s="696"/>
      <c r="M15" s="696"/>
      <c r="N15" s="696"/>
      <c r="O15" s="696"/>
      <c r="P15" s="696"/>
    </row>
    <row r="16" spans="2:16" ht="24" x14ac:dyDescent="0.25">
      <c r="B16" s="163" t="str">
        <f>'DETALLE DE VENTAS'!C121</f>
        <v>SELLADOR DE CAPAS 4GLN BITUPLAST</v>
      </c>
      <c r="C16" s="164">
        <f>'DETALLE DE VENTAS'!AC121</f>
        <v>15</v>
      </c>
      <c r="D16" s="164">
        <f>'DETALLE DE VENTAS'!AH121</f>
        <v>690</v>
      </c>
      <c r="E16" s="134"/>
      <c r="F16" s="134"/>
      <c r="L16" s="696"/>
      <c r="M16" s="696"/>
      <c r="N16" s="696"/>
      <c r="O16" s="696"/>
      <c r="P16" s="696"/>
    </row>
    <row r="17" spans="2:16" x14ac:dyDescent="0.25">
      <c r="B17" s="163" t="str">
        <f>'DETALLE DE VENTAS'!C122</f>
        <v>MANTO ALUMINIZADO 3 MM</v>
      </c>
      <c r="C17" s="164">
        <f>'DETALLE DE VENTAS'!AC122</f>
        <v>8</v>
      </c>
      <c r="D17" s="164">
        <f>'DETALLE DE VENTAS'!AH122</f>
        <v>488</v>
      </c>
      <c r="E17" s="134"/>
      <c r="F17" s="134"/>
      <c r="L17" s="696"/>
      <c r="M17" s="696"/>
      <c r="N17" s="696"/>
      <c r="O17" s="696"/>
      <c r="P17" s="696"/>
    </row>
    <row r="18" spans="2:16" x14ac:dyDescent="0.25">
      <c r="B18" s="163" t="str">
        <f>'DETALLE DE VENTAS'!C123</f>
        <v>MANTO 2,7 MM</v>
      </c>
      <c r="C18" s="164">
        <f>'DETALLE DE VENTAS'!AC123</f>
        <v>72</v>
      </c>
      <c r="D18" s="164">
        <f>'DETALLE DE VENTAS'!AH123</f>
        <v>2232</v>
      </c>
      <c r="E18" s="134"/>
      <c r="F18" s="134"/>
      <c r="L18" s="696"/>
      <c r="M18" s="696"/>
      <c r="N18" s="696"/>
      <c r="O18" s="696"/>
      <c r="P18" s="696"/>
    </row>
    <row r="19" spans="2:16" x14ac:dyDescent="0.25">
      <c r="B19" s="163" t="str">
        <f>'DETALLE DE VENTAS'!C124</f>
        <v>MANTO 3,2 MM (R-34)</v>
      </c>
      <c r="C19" s="164">
        <f>'DETALLE DE VENTAS'!AC124</f>
        <v>612</v>
      </c>
      <c r="D19" s="164">
        <f>'DETALLE DE VENTAS'!AH124</f>
        <v>20808</v>
      </c>
      <c r="E19" s="134"/>
      <c r="F19" s="134"/>
      <c r="L19" s="696"/>
      <c r="M19" s="696"/>
      <c r="N19" s="696"/>
      <c r="O19" s="696"/>
      <c r="P19" s="696"/>
    </row>
    <row r="20" spans="2:16" x14ac:dyDescent="0.25">
      <c r="B20" s="163" t="str">
        <f>'DETALLE DE VENTAS'!C125</f>
        <v>MANTO 3.2 MM SEGUNDA</v>
      </c>
      <c r="C20" s="164">
        <f>'DETALLE DE VENTAS'!AC125</f>
        <v>0</v>
      </c>
      <c r="D20" s="164">
        <f>'DETALLE DE VENTAS'!AH125</f>
        <v>0</v>
      </c>
      <c r="E20" s="134"/>
      <c r="F20" s="134"/>
      <c r="L20" s="696"/>
      <c r="M20" s="696"/>
      <c r="N20" s="696"/>
      <c r="O20" s="696"/>
      <c r="P20" s="696"/>
    </row>
    <row r="21" spans="2:16" ht="24" x14ac:dyDescent="0.25">
      <c r="B21" s="163" t="str">
        <f>'DETALLE DE VENTAS'!C126</f>
        <v>MANTO LIQUIDO CUNETE 4 GLN ROJO</v>
      </c>
      <c r="C21" s="164">
        <f>'DETALLE DE VENTAS'!AC126</f>
        <v>0</v>
      </c>
      <c r="D21" s="164">
        <f>'DETALLE DE VENTAS'!AH126</f>
        <v>0</v>
      </c>
      <c r="E21" s="134"/>
      <c r="F21" s="134"/>
      <c r="L21" s="696"/>
      <c r="M21" s="696"/>
      <c r="N21" s="696"/>
      <c r="O21" s="696"/>
      <c r="P21" s="696"/>
    </row>
    <row r="22" spans="2:16" ht="24" x14ac:dyDescent="0.25">
      <c r="B22" s="163" t="str">
        <f>'DETALLE DE VENTAS'!C127</f>
        <v>MANTO LIQUIDO CUNETE 4 GLN BLANCO</v>
      </c>
      <c r="C22" s="164">
        <f>'DETALLE DE VENTAS'!AC127</f>
        <v>0</v>
      </c>
      <c r="D22" s="164">
        <f>'DETALLE DE VENTAS'!AH127</f>
        <v>0</v>
      </c>
      <c r="E22" s="134"/>
      <c r="F22" s="134"/>
      <c r="L22" s="696"/>
      <c r="M22" s="696"/>
      <c r="N22" s="696"/>
      <c r="O22" s="696"/>
      <c r="P22" s="696"/>
    </row>
    <row r="23" spans="2:16" ht="24" x14ac:dyDescent="0.25">
      <c r="B23" s="163" t="str">
        <f>'DETALLE DE VENTAS'!C128</f>
        <v>MANTO LIQUIDO CUNETE 4 GLN GRIS</v>
      </c>
      <c r="C23" s="164">
        <f>'DETALLE DE VENTAS'!AC128</f>
        <v>4</v>
      </c>
      <c r="D23" s="164">
        <f>'DETALLE DE VENTAS'!AH128</f>
        <v>480</v>
      </c>
      <c r="E23" s="134"/>
      <c r="F23" s="134"/>
      <c r="L23" s="696"/>
      <c r="M23" s="696"/>
      <c r="N23" s="696"/>
      <c r="O23" s="696"/>
      <c r="P23" s="696"/>
    </row>
    <row r="24" spans="2:16" ht="24" x14ac:dyDescent="0.25">
      <c r="B24" s="163" t="str">
        <f>'DETALLE DE VENTAS'!C129</f>
        <v>MANTO LIQUIDO CUNETE 4 GLN VERDE</v>
      </c>
      <c r="C24" s="164">
        <f>'DETALLE DE VENTAS'!AC129</f>
        <v>1</v>
      </c>
      <c r="D24" s="164">
        <f>'DETALLE DE VENTAS'!AH129</f>
        <v>115</v>
      </c>
      <c r="E24" s="134"/>
      <c r="F24" s="134"/>
      <c r="L24" s="697"/>
      <c r="M24" s="697"/>
      <c r="N24" s="697"/>
      <c r="O24" s="697"/>
      <c r="P24" s="697"/>
    </row>
    <row r="25" spans="2:16" x14ac:dyDescent="0.25">
      <c r="B25" s="163" t="str">
        <f>'DETALLE DE VENTAS'!C130</f>
        <v>BITUBACHE SACO</v>
      </c>
      <c r="C25" s="164">
        <f>'DETALLE DE VENTAS'!AC130</f>
        <v>0</v>
      </c>
      <c r="D25" s="164">
        <f>'DETALLE DE VENTAS'!AH130</f>
        <v>0</v>
      </c>
      <c r="E25" s="134"/>
      <c r="F25" s="134"/>
      <c r="L25" s="696"/>
      <c r="M25" s="696"/>
      <c r="N25" s="696"/>
      <c r="O25" s="696"/>
      <c r="P25" s="3"/>
    </row>
    <row r="26" spans="2:16" x14ac:dyDescent="0.25">
      <c r="B26" s="163" t="str">
        <f>'DETALLE DE VENTAS'!C131</f>
        <v>TANQUE CILIND 500 LT</v>
      </c>
      <c r="C26" s="164">
        <f>'DETALLE DE VENTAS'!AC131</f>
        <v>1</v>
      </c>
      <c r="D26" s="164">
        <f>'DETALLE DE VENTAS'!AH131</f>
        <v>90</v>
      </c>
      <c r="E26" s="134"/>
      <c r="F26" s="134"/>
      <c r="L26" s="696"/>
      <c r="M26" s="696"/>
      <c r="N26" s="696"/>
      <c r="O26" s="696"/>
      <c r="P26" s="3"/>
    </row>
    <row r="27" spans="2:16" x14ac:dyDescent="0.25">
      <c r="B27" s="163" t="str">
        <f>'DETALLE DE VENTAS'!C132</f>
        <v>TANQUE CILIND 560 LT</v>
      </c>
      <c r="C27" s="164">
        <f>'DETALLE DE VENTAS'!AC132</f>
        <v>0</v>
      </c>
      <c r="D27" s="164">
        <f>'DETALLE DE VENTAS'!AH132</f>
        <v>0</v>
      </c>
      <c r="E27" s="134"/>
      <c r="F27" s="134"/>
      <c r="L27" s="696"/>
      <c r="M27" s="696"/>
      <c r="N27" s="696"/>
      <c r="O27" s="696"/>
      <c r="P27" s="3"/>
    </row>
    <row r="28" spans="2:16" x14ac:dyDescent="0.25">
      <c r="B28" s="163" t="str">
        <f>'DETALLE DE VENTAS'!C133</f>
        <v>TANQUE CILIND 1000 LT</v>
      </c>
      <c r="C28" s="164">
        <f>'DETALLE DE VENTAS'!AC133</f>
        <v>1</v>
      </c>
      <c r="D28" s="164">
        <f>'DETALLE DE VENTAS'!AH133</f>
        <v>145</v>
      </c>
      <c r="E28" s="134"/>
      <c r="F28" s="134"/>
      <c r="L28" s="696"/>
      <c r="M28" s="696"/>
      <c r="N28" s="696"/>
      <c r="O28" s="696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VENTAS'!AC134</f>
        <v>4</v>
      </c>
      <c r="D29" s="164">
        <f>'DETALLE DE VENTAS'!AH134</f>
        <v>400</v>
      </c>
      <c r="E29" s="134"/>
      <c r="F29" s="134"/>
      <c r="L29" s="696"/>
      <c r="M29" s="696"/>
      <c r="N29" s="696"/>
      <c r="O29" s="696"/>
      <c r="P29" s="696"/>
    </row>
    <row r="30" spans="2:16" x14ac:dyDescent="0.25">
      <c r="B30" s="163" t="str">
        <f>'DETALLE DE VENTAS'!C135</f>
        <v>TANQUE T/VASO 1100 LT</v>
      </c>
      <c r="C30" s="164">
        <f>'DETALLE DE VENTAS'!AC135</f>
        <v>0</v>
      </c>
      <c r="D30" s="164">
        <f>'DETALLE DE VENTAS'!AH135</f>
        <v>0</v>
      </c>
      <c r="E30" s="134"/>
      <c r="F30" s="134"/>
      <c r="L30" s="696"/>
      <c r="M30" s="696"/>
      <c r="N30" s="696"/>
      <c r="O30" s="696"/>
      <c r="P30" s="696"/>
    </row>
    <row r="31" spans="2:16" x14ac:dyDescent="0.25">
      <c r="B31" s="163" t="str">
        <f>'DETALLE DE VENTAS'!C136</f>
        <v>TANQUE T/VASO 1400 LT TUVENCA</v>
      </c>
      <c r="C31" s="164">
        <f>'DETALLE DE VENTAS'!AC136</f>
        <v>2</v>
      </c>
      <c r="D31" s="164">
        <f>'DETALLE DE VENTAS'!AH136</f>
        <v>190</v>
      </c>
      <c r="E31" s="134"/>
      <c r="F31" s="134"/>
      <c r="L31" s="696"/>
      <c r="M31" s="696"/>
      <c r="N31" s="696"/>
      <c r="O31" s="696"/>
      <c r="P31" s="696"/>
    </row>
    <row r="32" spans="2:16" x14ac:dyDescent="0.25">
      <c r="B32" s="163" t="str">
        <f>'DETALLE DE VENTAS'!C137</f>
        <v>TANQUE T/VASO 2200 LT</v>
      </c>
      <c r="C32" s="164">
        <f>'DETALLE DE VENTAS'!AC137</f>
        <v>0</v>
      </c>
      <c r="D32" s="164">
        <f>'DETALLE DE VENTAS'!AH137</f>
        <v>0</v>
      </c>
      <c r="E32" s="134"/>
      <c r="F32" s="134"/>
      <c r="L32" s="696"/>
      <c r="M32" s="696"/>
      <c r="N32" s="696"/>
      <c r="O32" s="696"/>
      <c r="P32" s="696"/>
    </row>
    <row r="33" spans="2:16" x14ac:dyDescent="0.25">
      <c r="B33" s="163" t="str">
        <f>'DETALLE DE VENTAS'!C138</f>
        <v>TANQUE TINACO 2000 LT</v>
      </c>
      <c r="C33" s="164">
        <f>'DETALLE DE VENTAS'!AC138</f>
        <v>0</v>
      </c>
      <c r="D33" s="164">
        <f>'DETALLE DE VENTAS'!AH138</f>
        <v>0</v>
      </c>
      <c r="E33" s="134"/>
      <c r="F33" s="134"/>
      <c r="L33" s="696"/>
      <c r="M33" s="696"/>
      <c r="N33" s="696"/>
      <c r="O33" s="696"/>
      <c r="P33" s="696"/>
    </row>
    <row r="34" spans="2:16" x14ac:dyDescent="0.25">
      <c r="B34" s="163" t="str">
        <f>'DETALLE DE VENTAS'!C139</f>
        <v>MAPEI UNO GARRAFA 0,8 KG</v>
      </c>
      <c r="C34" s="164">
        <f>'DETALLE DE VENTAS'!AC139</f>
        <v>27</v>
      </c>
      <c r="D34" s="164">
        <f>'DETALLE DE VENTAS'!AH139</f>
        <v>143</v>
      </c>
      <c r="E34" s="134"/>
      <c r="F34" s="134"/>
      <c r="L34" s="696"/>
      <c r="M34" s="696"/>
      <c r="N34" s="696"/>
      <c r="O34" s="696"/>
      <c r="P34" s="696"/>
    </row>
    <row r="35" spans="2:16" x14ac:dyDescent="0.25">
      <c r="B35" s="163" t="str">
        <f>'DETALLE DE VENTAS'!C140</f>
        <v>MAPEI UNO GARRAFA 2 KG</v>
      </c>
      <c r="C35" s="164">
        <f>'DETALLE DE VENTAS'!AC140</f>
        <v>7</v>
      </c>
      <c r="D35" s="164">
        <f>'DETALLE DE VENTAS'!AH140</f>
        <v>91</v>
      </c>
      <c r="E35" s="134"/>
      <c r="F35" s="134"/>
      <c r="L35" s="696"/>
      <c r="M35" s="696"/>
      <c r="N35" s="696"/>
      <c r="O35" s="696"/>
      <c r="P35" s="696"/>
    </row>
    <row r="36" spans="2:16" x14ac:dyDescent="0.25">
      <c r="B36" s="163" t="str">
        <f>'DETALLE DE VENTAS'!C141</f>
        <v>MAPELATEX  CO GARRAFA 0,8 KG</v>
      </c>
      <c r="C36" s="164">
        <f>'DETALLE DE VENTAS'!AC141</f>
        <v>7</v>
      </c>
      <c r="D36" s="164">
        <f>'DETALLE DE VENTAS'!AH141</f>
        <v>78.5</v>
      </c>
      <c r="E36" s="134"/>
      <c r="F36" s="134"/>
      <c r="L36" s="696"/>
      <c r="M36" s="696"/>
      <c r="N36" s="696"/>
      <c r="O36" s="696"/>
      <c r="P36" s="696"/>
    </row>
    <row r="37" spans="2:16" x14ac:dyDescent="0.25">
      <c r="B37" s="163" t="str">
        <f>'DETALLE DE VENTAS'!C142</f>
        <v>MAPELATEX PVA GARRAFA 0,25 KG</v>
      </c>
      <c r="C37" s="164">
        <f>'DETALLE DE VENTAS'!AC142</f>
        <v>0</v>
      </c>
      <c r="D37" s="164">
        <f>'DETALLE DE VENTAS'!AH142</f>
        <v>0</v>
      </c>
      <c r="E37" s="134"/>
      <c r="F37" s="134"/>
      <c r="L37" s="696"/>
      <c r="M37" s="696"/>
      <c r="N37" s="696"/>
      <c r="O37" s="696"/>
      <c r="P37" s="696"/>
    </row>
    <row r="38" spans="2:16" x14ac:dyDescent="0.25">
      <c r="B38" s="163" t="str">
        <f>'DETALLE DE VENTAS'!C143</f>
        <v>MAPELATEX PVA GARRAFA 1 KG</v>
      </c>
      <c r="C38" s="164">
        <f>'DETALLE DE VENTAS'!AC143</f>
        <v>17</v>
      </c>
      <c r="D38" s="164">
        <f>'DETALLE DE VENTAS'!AH143</f>
        <v>109.5</v>
      </c>
      <c r="E38" s="134"/>
      <c r="F38" s="134"/>
      <c r="L38" s="696"/>
      <c r="M38" s="696"/>
      <c r="N38" s="696"/>
      <c r="O38" s="696"/>
      <c r="P38" s="696"/>
    </row>
    <row r="39" spans="2:16" x14ac:dyDescent="0.25">
      <c r="B39" s="163" t="str">
        <f>'DETALLE DE VENTAS'!C144</f>
        <v>MAPEPLAST WP20 GARRAFA 4,5 KG</v>
      </c>
      <c r="C39" s="164">
        <f>'DETALLE DE VENTAS'!AC144</f>
        <v>0</v>
      </c>
      <c r="D39" s="164">
        <f>'DETALLE DE VENTAS'!AH144</f>
        <v>0</v>
      </c>
      <c r="E39" s="134"/>
      <c r="F39" s="134"/>
      <c r="L39" s="696"/>
      <c r="M39" s="696"/>
      <c r="N39" s="696"/>
      <c r="O39" s="696"/>
      <c r="P39" s="696"/>
    </row>
    <row r="40" spans="2:16" x14ac:dyDescent="0.25">
      <c r="B40" s="163" t="str">
        <f>'DETALLE DE VENTAS'!C145</f>
        <v>MAPEBAND EASY H130 ROLLO 10M</v>
      </c>
      <c r="C40" s="164">
        <f>'DETALLE DE VENTAS'!AC145</f>
        <v>1</v>
      </c>
      <c r="D40" s="164">
        <f>'DETALLE DE VENTAS'!AH145</f>
        <v>40</v>
      </c>
      <c r="E40" s="134"/>
      <c r="F40" s="134"/>
      <c r="L40" s="696"/>
      <c r="M40" s="696"/>
      <c r="N40" s="696"/>
      <c r="O40" s="696"/>
      <c r="P40" s="696"/>
    </row>
    <row r="41" spans="2:16" x14ac:dyDescent="0.25">
      <c r="B41" s="163" t="str">
        <f>'DETALLE DE VENTAS'!C146</f>
        <v>AQUAFLEX TECHO MAXI 5GL BLANCO</v>
      </c>
      <c r="C41" s="164">
        <f>'DETALLE DE VENTAS'!AC146</f>
        <v>12</v>
      </c>
      <c r="D41" s="164">
        <f>'DETALLE DE VENTAS'!AH146</f>
        <v>1590</v>
      </c>
      <c r="E41" s="134"/>
      <c r="F41" s="134"/>
      <c r="L41" s="696"/>
      <c r="M41" s="696"/>
      <c r="N41" s="696"/>
      <c r="O41" s="696"/>
      <c r="P41" s="696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VENTAS'!AC147</f>
        <v>6</v>
      </c>
      <c r="D42" s="164">
        <f>'DETALLE DE VENTAS'!AH147</f>
        <v>210</v>
      </c>
      <c r="E42" s="134"/>
      <c r="F42" s="134"/>
      <c r="L42" s="696"/>
      <c r="M42" s="696"/>
      <c r="N42" s="696"/>
      <c r="O42" s="696"/>
      <c r="P42" s="696"/>
    </row>
    <row r="43" spans="2:16" x14ac:dyDescent="0.25">
      <c r="B43" s="163" t="str">
        <f>'DETALLE DE VENTAS'!C148</f>
        <v>AQUAFLEX TECHO MAXI 5GL GRIS</v>
      </c>
      <c r="C43" s="164">
        <f>'DETALLE DE VENTAS'!AC148</f>
        <v>13</v>
      </c>
      <c r="D43" s="164">
        <f>'DETALLE DE VENTAS'!AH148</f>
        <v>1730</v>
      </c>
      <c r="E43" s="134"/>
      <c r="F43" s="134"/>
      <c r="L43" s="696"/>
      <c r="M43" s="696"/>
      <c r="N43" s="696"/>
      <c r="O43" s="696"/>
      <c r="P43" s="696"/>
    </row>
    <row r="44" spans="2:16" x14ac:dyDescent="0.25">
      <c r="B44" s="163" t="str">
        <f>'DETALLE DE VENTAS'!C149</f>
        <v>AQUAFLEX TECHO MAXI GL GRIS</v>
      </c>
      <c r="C44" s="164">
        <f>'DETALLE DE VENTAS'!AC149</f>
        <v>6</v>
      </c>
      <c r="D44" s="164">
        <f>'DETALLE DE VENTAS'!AH149</f>
        <v>210</v>
      </c>
      <c r="E44" s="134"/>
      <c r="F44" s="134"/>
      <c r="L44" s="696"/>
      <c r="M44" s="696"/>
      <c r="N44" s="696"/>
      <c r="O44" s="696"/>
      <c r="P44" s="696"/>
    </row>
    <row r="45" spans="2:16" x14ac:dyDescent="0.25">
      <c r="B45" s="163" t="str">
        <f>'DETALLE DE VENTAS'!C150</f>
        <v>AQUAFLEX TECHO MAXI 5GL ROJO</v>
      </c>
      <c r="C45" s="164">
        <f>'DETALLE DE VENTAS'!AC150</f>
        <v>5</v>
      </c>
      <c r="D45" s="164">
        <f>'DETALLE DE VENTAS'!AH150</f>
        <v>660</v>
      </c>
      <c r="E45" s="134"/>
      <c r="F45" s="134"/>
      <c r="L45" s="696"/>
      <c r="M45" s="696"/>
      <c r="N45" s="696"/>
      <c r="O45" s="696"/>
      <c r="P45" s="696"/>
    </row>
    <row r="46" spans="2:16" x14ac:dyDescent="0.25">
      <c r="B46" s="163" t="str">
        <f>'DETALLE DE VENTAS'!C151</f>
        <v>AQUAFLEX TECHO MAXI GL ROJO</v>
      </c>
      <c r="C46" s="164">
        <f>'DETALLE DE VENTAS'!AC151</f>
        <v>4</v>
      </c>
      <c r="D46" s="164">
        <f>'DETALLE DE VENTAS'!AH151</f>
        <v>140</v>
      </c>
      <c r="E46" s="134"/>
      <c r="F46" s="134"/>
      <c r="L46" s="696"/>
      <c r="M46" s="696"/>
      <c r="N46" s="696"/>
      <c r="O46" s="696"/>
      <c r="P46" s="696"/>
    </row>
    <row r="47" spans="2:16" ht="24" x14ac:dyDescent="0.25">
      <c r="B47" s="163" t="str">
        <f>'DETALLE DE VENTAS'!C152</f>
        <v>MAPEFLEX MS CRYSTAL CART 300ML TRANSP</v>
      </c>
      <c r="C47" s="164">
        <f>'DETALLE DE VENTAS'!AC152</f>
        <v>9</v>
      </c>
      <c r="D47" s="164">
        <f>'DETALLE DE VENTAS'!AH152</f>
        <v>160</v>
      </c>
      <c r="E47" s="134"/>
      <c r="F47" s="134"/>
      <c r="L47" s="696"/>
      <c r="M47" s="696"/>
      <c r="N47" s="696"/>
      <c r="O47" s="696"/>
      <c r="P47" s="696"/>
    </row>
    <row r="48" spans="2:16" ht="24" x14ac:dyDescent="0.25">
      <c r="B48" s="163" t="str">
        <f>'DETALLE DE VENTAS'!C153</f>
        <v>MAPEFLEX MS 45 CART 300ML BLANCO</v>
      </c>
      <c r="C48" s="164">
        <f>'DETALLE DE VENTAS'!AC153</f>
        <v>0</v>
      </c>
      <c r="D48" s="164">
        <f>'DETALLE DE VENTAS'!AH153</f>
        <v>0</v>
      </c>
      <c r="E48" s="134"/>
      <c r="F48" s="134"/>
      <c r="L48" s="696"/>
      <c r="M48" s="696"/>
      <c r="N48" s="696"/>
      <c r="O48" s="696"/>
      <c r="P48" s="696"/>
    </row>
    <row r="49" spans="2:16" x14ac:dyDescent="0.25">
      <c r="B49" s="163" t="str">
        <f>'DETALLE DE VENTAS'!C154</f>
        <v>MAPEFLEX MS 45 CART 300ML GRIS</v>
      </c>
      <c r="C49" s="164">
        <f>'DETALLE DE VENTAS'!AC154</f>
        <v>0</v>
      </c>
      <c r="D49" s="164">
        <f>'DETALLE DE VENTAS'!AH154</f>
        <v>0</v>
      </c>
      <c r="E49" s="134"/>
      <c r="F49" s="134"/>
      <c r="L49" s="696"/>
      <c r="M49" s="696"/>
      <c r="N49" s="696"/>
      <c r="O49" s="696"/>
      <c r="P49" s="696"/>
    </row>
    <row r="50" spans="2:16" x14ac:dyDescent="0.25">
      <c r="B50" s="163" t="str">
        <f>'DETALLE DE VENTAS'!C155</f>
        <v>MAPEFLEX AC4 CART 300ML BLANCO</v>
      </c>
      <c r="C50" s="164">
        <f>'DETALLE DE VENTAS'!AC155</f>
        <v>4</v>
      </c>
      <c r="D50" s="164">
        <f>'DETALLE DE VENTAS'!AH155</f>
        <v>28</v>
      </c>
      <c r="E50" s="134"/>
      <c r="F50" s="134"/>
      <c r="L50" s="696"/>
      <c r="M50" s="696"/>
      <c r="N50" s="696"/>
      <c r="O50" s="696"/>
      <c r="P50" s="696"/>
    </row>
    <row r="51" spans="2:16" x14ac:dyDescent="0.25">
      <c r="B51" s="163" t="str">
        <f>'DETALLE DE VENTAS'!C156</f>
        <v>MAPESIL U TRANSP CART 280ML</v>
      </c>
      <c r="C51" s="164">
        <f>'DETALLE DE VENTAS'!AC156</f>
        <v>5</v>
      </c>
      <c r="D51" s="164">
        <f>'DETALLE DE VENTAS'!AH156</f>
        <v>35</v>
      </c>
      <c r="E51" s="134"/>
      <c r="F51" s="134"/>
      <c r="L51" s="696"/>
      <c r="M51" s="696"/>
      <c r="N51" s="696"/>
      <c r="O51" s="696"/>
      <c r="P51" s="696"/>
    </row>
    <row r="52" spans="2:16" ht="24" x14ac:dyDescent="0.25">
      <c r="B52" s="163" t="str">
        <f>'DETALLE DE VENTAS'!C157</f>
        <v>ULTRABOND SUPER GRIP CART 310ML</v>
      </c>
      <c r="C52" s="164">
        <f>'DETALLE DE VENTAS'!AC157</f>
        <v>0</v>
      </c>
      <c r="D52" s="164">
        <f>'DETALLE DE VENTAS'!AH157</f>
        <v>0</v>
      </c>
      <c r="E52" s="134"/>
      <c r="F52" s="134"/>
      <c r="L52" s="696"/>
      <c r="M52" s="696"/>
      <c r="N52" s="696"/>
      <c r="O52" s="696"/>
      <c r="P52" s="696"/>
    </row>
    <row r="53" spans="2:16" x14ac:dyDescent="0.25">
      <c r="B53" s="163" t="str">
        <f>'DETALLE DE VENTAS'!C158</f>
        <v>MAPEUR UNIV FOAM LATA 500ML</v>
      </c>
      <c r="C53" s="164">
        <f>'DETALLE DE VENTAS'!AC158</f>
        <v>0</v>
      </c>
      <c r="D53" s="164">
        <f>'DETALLE DE VENTAS'!AH158</f>
        <v>0</v>
      </c>
      <c r="E53" s="134"/>
      <c r="F53" s="134"/>
      <c r="L53" s="696"/>
      <c r="M53" s="696"/>
      <c r="N53" s="696"/>
      <c r="O53" s="696"/>
      <c r="P53" s="696"/>
    </row>
    <row r="54" spans="2:16" x14ac:dyDescent="0.25">
      <c r="B54" s="163" t="str">
        <f>'DETALLE DE VENTAS'!C159</f>
        <v>MAPEUR UNIV FOAM LATA 750ML</v>
      </c>
      <c r="C54" s="164">
        <f>'DETALLE DE VENTAS'!AC159</f>
        <v>1</v>
      </c>
      <c r="D54" s="164">
        <f>'DETALLE DE VENTAS'!AH159</f>
        <v>18</v>
      </c>
      <c r="E54" s="134"/>
      <c r="F54" s="134"/>
      <c r="L54" s="696"/>
      <c r="M54" s="696"/>
      <c r="N54" s="696"/>
      <c r="O54" s="696"/>
      <c r="P54" s="696"/>
    </row>
    <row r="55" spans="2:16" ht="24" x14ac:dyDescent="0.25">
      <c r="B55" s="163" t="str">
        <f>'DETALLE DE VENTAS'!C160</f>
        <v>EPORIP COMP A+B TARRO 1,5 KG + 0,5 KG</v>
      </c>
      <c r="C55" s="164">
        <f>'DETALLE DE VENTAS'!AC160</f>
        <v>0</v>
      </c>
      <c r="D55" s="164">
        <f>'DETALLE DE VENTAS'!AH160</f>
        <v>0</v>
      </c>
      <c r="E55" s="134"/>
      <c r="F55" s="134"/>
      <c r="L55" s="696"/>
      <c r="M55" s="696"/>
      <c r="N55" s="696"/>
      <c r="O55" s="696"/>
      <c r="P55" s="696"/>
    </row>
    <row r="56" spans="2:16" x14ac:dyDescent="0.25">
      <c r="B56" s="163" t="str">
        <f>'DETALLE DE VENTAS'!C161</f>
        <v>ADESILEX PG1 COMP A+B TARRO 2KG</v>
      </c>
      <c r="C56" s="164">
        <f>'DETALLE DE VENTAS'!AC161</f>
        <v>0</v>
      </c>
      <c r="D56" s="164">
        <f>'DETALLE DE VENTAS'!AH161</f>
        <v>0</v>
      </c>
      <c r="E56" s="134"/>
      <c r="F56" s="134"/>
      <c r="L56" s="696"/>
      <c r="M56" s="696"/>
      <c r="N56" s="696"/>
      <c r="O56" s="696"/>
      <c r="P56" s="696"/>
    </row>
    <row r="57" spans="2:16" ht="24" x14ac:dyDescent="0.25">
      <c r="B57" s="163" t="str">
        <f>'DETALLE DE VENTAS'!C162</f>
        <v>KERACOLOR FF 100 BLANCO BOLSA 2KG</v>
      </c>
      <c r="C57" s="164">
        <f>'DETALLE DE VENTAS'!AC162</f>
        <v>13</v>
      </c>
      <c r="D57" s="164">
        <f>'DETALLE DE VENTAS'!AH162</f>
        <v>117</v>
      </c>
      <c r="E57" s="134"/>
      <c r="F57" s="134"/>
      <c r="L57" s="696"/>
      <c r="M57" s="696"/>
      <c r="N57" s="696"/>
      <c r="O57" s="696"/>
      <c r="P57" s="696"/>
    </row>
    <row r="58" spans="2:16" ht="24" x14ac:dyDescent="0.25">
      <c r="B58" s="163" t="str">
        <f>'DETALLE DE VENTAS'!C163</f>
        <v>KERACOLOR FF 113 GRIS CEMENTO BOLSA 2KG</v>
      </c>
      <c r="C58" s="164">
        <f>'DETALLE DE VENTAS'!AC163</f>
        <v>12</v>
      </c>
      <c r="D58" s="164">
        <f>'DETALLE DE VENTAS'!AH163</f>
        <v>108</v>
      </c>
      <c r="E58" s="134"/>
      <c r="F58" s="134"/>
      <c r="L58" s="696"/>
      <c r="M58" s="696"/>
      <c r="N58" s="696"/>
      <c r="O58" s="696"/>
      <c r="P58" s="696"/>
    </row>
    <row r="59" spans="2:16" ht="24" x14ac:dyDescent="0.25">
      <c r="B59" s="163" t="str">
        <f>'DETALLE DE VENTAS'!C164</f>
        <v>KERACOLOR FF 112 GRIS MEDIO BOLSA 5KG</v>
      </c>
      <c r="C59" s="164">
        <f>'DETALLE DE VENTAS'!AC164</f>
        <v>0</v>
      </c>
      <c r="D59" s="164">
        <f>'DETALLE DE VENTAS'!AH164</f>
        <v>0</v>
      </c>
      <c r="E59" s="134"/>
      <c r="F59" s="134"/>
      <c r="L59" s="696"/>
      <c r="M59" s="696"/>
      <c r="N59" s="696"/>
      <c r="O59" s="696"/>
      <c r="P59" s="696"/>
    </row>
    <row r="60" spans="2:16" ht="24" x14ac:dyDescent="0.25">
      <c r="B60" s="163" t="str">
        <f>'DETALLE DE VENTAS'!C165</f>
        <v>KERACOLOR FF 112 GRIS MEDIO BOLSA 2KG</v>
      </c>
      <c r="C60" s="164">
        <f>'DETALLE DE VENTAS'!AC165</f>
        <v>0</v>
      </c>
      <c r="D60" s="164">
        <f>'DETALLE DE VENTAS'!AH165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VENTAS'!AC166</f>
        <v>0</v>
      </c>
      <c r="D61" s="164">
        <f>'DETALLE DE VENTAS'!AH166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VENTAS'!AC167</f>
        <v>0</v>
      </c>
      <c r="D62" s="164">
        <f>'DETALLE DE VENTAS'!AH167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VENTAS'!AC168</f>
        <v>0</v>
      </c>
      <c r="D63" s="164">
        <f>'DETALLE DE VENTAS'!AH168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VENTAS'!AC169</f>
        <v>0</v>
      </c>
      <c r="D64" s="164">
        <f>'DETALLE DE VENTAS'!AH169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VENTAS'!AC170</f>
        <v>0</v>
      </c>
      <c r="D65" s="164">
        <f>'DETALLE DE VENTAS'!AH170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VENTAS'!AC171</f>
        <v>0</v>
      </c>
      <c r="D66" s="164">
        <f>'DETALLE DE VENTAS'!AH171</f>
        <v>0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VENTAS'!AC172</f>
        <v>0</v>
      </c>
      <c r="D67" s="164">
        <f>'DETALLE DE VENTAS'!AH172</f>
        <v>0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VENTAS'!AC173</f>
        <v>0</v>
      </c>
      <c r="D68" s="164">
        <f>'DETALLE DE VENTAS'!AH173</f>
        <v>0</v>
      </c>
      <c r="E68" s="134"/>
      <c r="F68" s="134"/>
      <c r="L68" s="696"/>
      <c r="M68" s="696"/>
      <c r="N68" s="696"/>
      <c r="O68" s="696"/>
      <c r="P68" s="696"/>
    </row>
    <row r="69" spans="2:16" ht="24" x14ac:dyDescent="0.25">
      <c r="B69" s="163" t="str">
        <f>'DETALLE DE VENTAS'!C174</f>
        <v>ASFALTO SOLIDO OXIDADO CARTUCHO</v>
      </c>
      <c r="C69" s="164">
        <f>'DETALLE DE VENTAS'!AC174</f>
        <v>5</v>
      </c>
      <c r="D69" s="164">
        <f>'DETALLE DE VENTAS'!AH174</f>
        <v>205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VENTAS'!AC175</f>
        <v>28</v>
      </c>
      <c r="D70" s="164">
        <f>'DETALLE DE VENTAS'!AH175</f>
        <v>420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VENTAS'!AC176</f>
        <v>0</v>
      </c>
      <c r="D71" s="164">
        <f>'DETALLE DE VENTAS'!AH176</f>
        <v>0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VENTAS'!AC177</f>
        <v>0</v>
      </c>
      <c r="D72" s="164">
        <f>'DETALLE DE VENTAS'!AH177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VENTAS'!AC178</f>
        <v>0</v>
      </c>
      <c r="D73" s="164">
        <f>'DETALLE DE VENTAS'!AH178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VENTAS'!AC179</f>
        <v>0</v>
      </c>
      <c r="D74" s="164">
        <f>'DETALLE DE VENTAS'!AH179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VENTAS'!AC180</f>
        <v>0</v>
      </c>
      <c r="D75" s="164">
        <f>'DETALLE DE VENTAS'!AH180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VENTAS'!AC181</f>
        <v>4</v>
      </c>
      <c r="D76" s="164">
        <f>'DETALLE DE VENTAS'!AH181</f>
        <v>36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VENTAS'!AC182</f>
        <v>0</v>
      </c>
      <c r="D77" s="164">
        <f>'DETALLE DE VENTAS'!AH182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VENTAS'!AC183</f>
        <v>3</v>
      </c>
      <c r="D78" s="164">
        <f>'DETALLE DE VENTAS'!AH183</f>
        <v>48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VENTAS'!AC184</f>
        <v>0</v>
      </c>
      <c r="D79" s="164">
        <f>'DETALLE DE VENTAS'!AH184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VENTAS'!AC185</f>
        <v>2</v>
      </c>
      <c r="D80" s="164">
        <f>'DETALLE DE VENTAS'!AH185</f>
        <v>68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VENTAS'!AC186</f>
        <v>0</v>
      </c>
      <c r="D81" s="164">
        <f>'DETALLE DE VENTAS'!AH186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VENTAS'!AC187</f>
        <v>0</v>
      </c>
      <c r="D82" s="164">
        <f>'DETALLE DE VENTAS'!AH187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VENTAS'!AC188</f>
        <v>0</v>
      </c>
      <c r="D83" s="164">
        <f>'DETALLE DE VENTAS'!AH188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VENTAS'!AC189</f>
        <v>1</v>
      </c>
      <c r="D84" s="164">
        <f>'DETALLE DE VENTAS'!AH189</f>
        <v>20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VENTAS'!AC190</f>
        <v>0</v>
      </c>
      <c r="D85" s="164">
        <f>'DETALLE DE VENTAS'!AH190</f>
        <v>0</v>
      </c>
      <c r="E85" s="134"/>
      <c r="F85" s="134"/>
      <c r="L85" s="14"/>
      <c r="M85" s="14"/>
      <c r="N85" s="14"/>
      <c r="O85" s="14"/>
      <c r="P85" s="14"/>
    </row>
    <row r="86" spans="2:22" ht="24" x14ac:dyDescent="0.25">
      <c r="B86" s="163" t="str">
        <f>'DETALLE DE VENTAS'!C191</f>
        <v>CEMENTO PLASTICO SPRAY FLAMINGO</v>
      </c>
      <c r="C86" s="164">
        <f>'DETALLE DE VENTAS'!AC191</f>
        <v>1</v>
      </c>
      <c r="D86" s="164">
        <f>'DETALLE DE VENTAS'!AH191</f>
        <v>5</v>
      </c>
      <c r="E86" s="134"/>
      <c r="F86" s="134"/>
      <c r="L86" s="14"/>
      <c r="M86" s="14"/>
      <c r="N86" s="14"/>
      <c r="O86" s="14"/>
      <c r="P86" s="14"/>
    </row>
    <row r="87" spans="2:22" ht="24" x14ac:dyDescent="0.25">
      <c r="B87" s="163" t="str">
        <f>'DETALLE DE VENTAS'!C192</f>
        <v>CINTA REPARADORA TECHOS 5CM X 2,5M</v>
      </c>
      <c r="C87" s="164">
        <f>'DETALLE DE VENTAS'!AC192</f>
        <v>4</v>
      </c>
      <c r="D87" s="164">
        <f>'DETALLE DE VENTAS'!AH192</f>
        <v>24</v>
      </c>
      <c r="E87" s="134"/>
      <c r="F87" s="134"/>
      <c r="L87" s="14"/>
      <c r="M87" s="14"/>
      <c r="N87" s="14"/>
      <c r="O87" s="14"/>
      <c r="P87" s="14"/>
    </row>
    <row r="88" spans="2:22" ht="24.75" customHeight="1" x14ac:dyDescent="0.25">
      <c r="B88" s="163" t="str">
        <f>'DETALLE DE VENTAS'!C193</f>
        <v>ROLLO POLIESTER 10M REFUERZO P/ AQUAFLEX</v>
      </c>
      <c r="C88" s="164">
        <f>'DETALLE DE VENTAS'!AC193</f>
        <v>1</v>
      </c>
      <c r="D88" s="164">
        <f>'DETALLE DE VENTAS'!AH193</f>
        <v>9</v>
      </c>
      <c r="E88" s="134"/>
      <c r="F88" s="134"/>
      <c r="L88" s="14"/>
      <c r="M88" s="14"/>
      <c r="N88" s="14"/>
      <c r="O88" s="14"/>
      <c r="P88" s="14"/>
    </row>
    <row r="89" spans="2:22" ht="24.75" customHeight="1" x14ac:dyDescent="0.25">
      <c r="B89" s="165"/>
      <c r="C89" s="166"/>
      <c r="D89" s="164">
        <f>SUM(D3:D88)</f>
        <v>59703</v>
      </c>
      <c r="E89" s="134"/>
      <c r="F89" s="134"/>
      <c r="L89" s="14"/>
      <c r="M89" s="14"/>
      <c r="N89" s="14"/>
      <c r="O89" s="14"/>
      <c r="P89" s="14"/>
    </row>
    <row r="90" spans="2:22" x14ac:dyDescent="0.25">
      <c r="B90" s="142"/>
      <c r="C90" s="142"/>
      <c r="D90" s="142"/>
      <c r="E90" s="142"/>
      <c r="F90" s="142"/>
      <c r="G90" s="142"/>
      <c r="H90" s="142"/>
      <c r="I90" s="134"/>
      <c r="J90" s="134"/>
      <c r="L90" s="696"/>
      <c r="M90" s="696"/>
      <c r="N90" s="696"/>
      <c r="O90" s="696"/>
      <c r="P90" s="696"/>
    </row>
    <row r="91" spans="2:22" ht="18.75" x14ac:dyDescent="0.3">
      <c r="B91" s="699" t="s">
        <v>80</v>
      </c>
      <c r="C91" s="699"/>
      <c r="D91" s="699"/>
      <c r="E91" s="699"/>
      <c r="F91" s="699"/>
      <c r="G91" s="699"/>
      <c r="H91" s="699"/>
      <c r="I91" s="210"/>
      <c r="J91" s="711"/>
      <c r="K91" s="711"/>
      <c r="L91" s="711"/>
      <c r="M91" s="711"/>
      <c r="N91" s="26"/>
      <c r="O91" s="26"/>
      <c r="P91" s="26"/>
      <c r="Q91" s="133"/>
      <c r="R91" s="133"/>
      <c r="S91" s="133"/>
      <c r="T91" s="133"/>
      <c r="U91" s="133"/>
      <c r="V91" s="8"/>
    </row>
    <row r="92" spans="2:22" ht="24" x14ac:dyDescent="0.25">
      <c r="B92" s="99" t="s">
        <v>2</v>
      </c>
      <c r="C92" s="143" t="s">
        <v>78</v>
      </c>
      <c r="D92" s="143" t="s">
        <v>79</v>
      </c>
      <c r="E92" s="143" t="s">
        <v>92</v>
      </c>
      <c r="F92" s="143" t="s">
        <v>91</v>
      </c>
      <c r="G92" s="144" t="s">
        <v>75</v>
      </c>
      <c r="H92" s="176" t="s">
        <v>102</v>
      </c>
      <c r="I92" s="134"/>
      <c r="J92" s="314"/>
      <c r="K92" s="148"/>
      <c r="L92" s="148"/>
      <c r="M92" s="315"/>
      <c r="N92" s="26"/>
      <c r="O92" s="26"/>
    </row>
    <row r="93" spans="2:22" ht="24" x14ac:dyDescent="0.25">
      <c r="B93" s="145" t="str">
        <f>'DETALLE DE VENTAS'!C212</f>
        <v>CEMENTO PLASTICO 1/4 GLN BITUPLAST</v>
      </c>
      <c r="C93" s="143">
        <f t="shared" ref="C93:C109" si="0">C3</f>
        <v>29</v>
      </c>
      <c r="D93" s="143">
        <f>'DETALLE DE VENTAS'!AN212</f>
        <v>1</v>
      </c>
      <c r="E93" s="99">
        <f t="shared" ref="E93:E108" si="1">D3</f>
        <v>232</v>
      </c>
      <c r="F93" s="143">
        <v>176.07</v>
      </c>
      <c r="G93" s="144">
        <f>E93-F93</f>
        <v>55.930000000000007</v>
      </c>
      <c r="H93" s="265">
        <f>'DETALLE DE VENTAS'!AO212</f>
        <v>5.5086206896551726</v>
      </c>
      <c r="I93" s="134"/>
      <c r="J93" s="154"/>
      <c r="K93" s="148"/>
      <c r="L93" s="316"/>
      <c r="M93" s="317"/>
      <c r="N93" s="26"/>
      <c r="O93" s="26"/>
    </row>
    <row r="94" spans="2:22" x14ac:dyDescent="0.25">
      <c r="B94" s="145" t="str">
        <f>'DETALLE DE VENTAS'!C213</f>
        <v>CEMENTO PLASTICO GLN BITUPLAST</v>
      </c>
      <c r="C94" s="143">
        <f t="shared" si="0"/>
        <v>155</v>
      </c>
      <c r="D94" s="143">
        <f>'DETALLE DE VENTAS'!AN213</f>
        <v>-2</v>
      </c>
      <c r="E94" s="99">
        <f t="shared" si="1"/>
        <v>2325</v>
      </c>
      <c r="F94" s="143">
        <v>1760.95</v>
      </c>
      <c r="G94" s="144">
        <f t="shared" ref="G94:G115" si="2">E94-F94</f>
        <v>564.04999999999995</v>
      </c>
      <c r="H94" s="265">
        <f>'DETALLE DE VENTAS'!AO213</f>
        <v>-21.879310344827587</v>
      </c>
      <c r="I94" s="134"/>
      <c r="J94" s="154"/>
      <c r="K94" s="148"/>
      <c r="L94" s="316"/>
      <c r="M94" s="317"/>
      <c r="N94" s="26"/>
      <c r="O94" s="26"/>
    </row>
    <row r="95" spans="2:22" ht="24" x14ac:dyDescent="0.25">
      <c r="B95" s="145" t="str">
        <f>'DETALLE DE VENTAS'!C214</f>
        <v>CEMENTO PLASTICO 4 GLN BITUPLAST</v>
      </c>
      <c r="C95" s="143">
        <f t="shared" si="0"/>
        <v>107</v>
      </c>
      <c r="D95" s="143">
        <f>'DETALLE DE VENTAS'!AN214</f>
        <v>14</v>
      </c>
      <c r="E95" s="99">
        <f t="shared" si="1"/>
        <v>4173</v>
      </c>
      <c r="F95" s="143">
        <v>3478.54</v>
      </c>
      <c r="G95" s="144">
        <f t="shared" si="2"/>
        <v>694.46</v>
      </c>
      <c r="H95" s="265">
        <f>'DETALLE DE VENTAS'!AO214</f>
        <v>422.89655172413802</v>
      </c>
      <c r="I95" s="134"/>
      <c r="J95" s="154"/>
      <c r="K95" s="148"/>
      <c r="L95" s="316"/>
      <c r="M95" s="317"/>
      <c r="N95" s="26"/>
      <c r="O95" s="26"/>
    </row>
    <row r="96" spans="2:22" x14ac:dyDescent="0.25">
      <c r="B96" s="145" t="str">
        <f>'DETALLE DE VENTAS'!C215</f>
        <v>ASFALTO LIQUIDO GLN BITUPLAST</v>
      </c>
      <c r="C96" s="143">
        <f t="shared" si="0"/>
        <v>35</v>
      </c>
      <c r="D96" s="143">
        <f>'DETALLE DE VENTAS'!AN215</f>
        <v>46</v>
      </c>
      <c r="E96" s="99">
        <f t="shared" si="1"/>
        <v>455</v>
      </c>
      <c r="F96" s="143">
        <v>349.34</v>
      </c>
      <c r="G96" s="144">
        <f t="shared" si="2"/>
        <v>105.66000000000003</v>
      </c>
      <c r="H96" s="265">
        <f>'DETALLE DE VENTAS'!AO215</f>
        <v>424.31034482758616</v>
      </c>
      <c r="I96" s="134"/>
      <c r="J96" s="154"/>
      <c r="K96" s="148"/>
      <c r="L96" s="316"/>
      <c r="M96" s="317"/>
      <c r="N96" s="26"/>
      <c r="O96" s="26"/>
    </row>
    <row r="97" spans="2:15" x14ac:dyDescent="0.25">
      <c r="B97" s="145" t="str">
        <f>'DETALLE DE VENTAS'!C216</f>
        <v>ASFALTO LIQUIDO 4 GLN BITUPLAST</v>
      </c>
      <c r="C97" s="143">
        <f t="shared" si="0"/>
        <v>106</v>
      </c>
      <c r="D97" s="143">
        <f>'DETALLE DE VENTAS'!AN216</f>
        <v>-3</v>
      </c>
      <c r="E97" s="99">
        <f t="shared" si="1"/>
        <v>2756</v>
      </c>
      <c r="F97" s="143">
        <v>2230.63</v>
      </c>
      <c r="G97" s="144">
        <f t="shared" si="2"/>
        <v>525.36999999999989</v>
      </c>
      <c r="H97" s="265">
        <f>'DETALLE DE VENTAS'!AO216</f>
        <v>-58.991379310344833</v>
      </c>
      <c r="I97" s="134"/>
      <c r="J97" s="154"/>
      <c r="K97" s="148"/>
      <c r="L97" s="316"/>
      <c r="M97" s="317"/>
      <c r="N97" s="26"/>
      <c r="O97" s="26"/>
    </row>
    <row r="98" spans="2:15" ht="24" x14ac:dyDescent="0.25">
      <c r="B98" s="145" t="str">
        <f>'DETALLE DE VENTAS'!C217</f>
        <v>ASFALTO PLASTICO 1/4 GLN BITUPLAST</v>
      </c>
      <c r="C98" s="143">
        <f t="shared" si="0"/>
        <v>4</v>
      </c>
      <c r="D98" s="143">
        <f>'DETALLE DE VENTAS'!AN217</f>
        <v>27</v>
      </c>
      <c r="E98" s="99">
        <f t="shared" si="1"/>
        <v>28</v>
      </c>
      <c r="F98" s="143">
        <v>22.68</v>
      </c>
      <c r="G98" s="144">
        <f t="shared" si="2"/>
        <v>5.32</v>
      </c>
      <c r="H98" s="265">
        <f>'DETALLE DE VENTAS'!AO217</f>
        <v>139.65517241379311</v>
      </c>
      <c r="I98" s="134"/>
      <c r="J98" s="154"/>
      <c r="K98" s="148"/>
      <c r="L98" s="316"/>
      <c r="M98" s="317"/>
      <c r="N98" s="26"/>
      <c r="O98" s="26"/>
    </row>
    <row r="99" spans="2:15" x14ac:dyDescent="0.25">
      <c r="B99" s="145" t="str">
        <f>'DETALLE DE VENTAS'!C218</f>
        <v>ASFALTO PLASTICO GLN BITUPLAST</v>
      </c>
      <c r="C99" s="143">
        <f t="shared" si="0"/>
        <v>42</v>
      </c>
      <c r="D99" s="143">
        <f>'DETALLE DE VENTAS'!AN218</f>
        <v>19</v>
      </c>
      <c r="E99" s="99">
        <f t="shared" si="1"/>
        <v>462</v>
      </c>
      <c r="F99" s="143">
        <v>356.37</v>
      </c>
      <c r="G99" s="144">
        <f t="shared" si="2"/>
        <v>105.63</v>
      </c>
      <c r="H99" s="265">
        <f>'DETALLE DE VENTAS'!AO218</f>
        <v>151.18103448275863</v>
      </c>
      <c r="I99" s="134"/>
      <c r="J99" s="154"/>
      <c r="K99" s="148"/>
      <c r="L99" s="316"/>
      <c r="M99" s="317"/>
      <c r="N99" s="26"/>
      <c r="O99" s="26"/>
    </row>
    <row r="100" spans="2:15" x14ac:dyDescent="0.25">
      <c r="B100" s="145" t="str">
        <f>'DETALLE DE VENTAS'!C219</f>
        <v>ASFALTO PLASTICO 4 GLN BITUPLAST</v>
      </c>
      <c r="C100" s="143">
        <f t="shared" si="0"/>
        <v>38</v>
      </c>
      <c r="D100" s="143">
        <f>'DETALLE DE VENTAS'!AN219</f>
        <v>11</v>
      </c>
      <c r="E100" s="99">
        <f t="shared" si="1"/>
        <v>1140</v>
      </c>
      <c r="F100" s="143">
        <v>970.62</v>
      </c>
      <c r="G100" s="144">
        <f t="shared" si="2"/>
        <v>169.38</v>
      </c>
      <c r="H100" s="265">
        <f>'DETALLE DE VENTAS'!AO219</f>
        <v>256.41379310344826</v>
      </c>
      <c r="I100" s="134"/>
      <c r="J100" s="154"/>
      <c r="K100" s="148"/>
      <c r="L100" s="316"/>
      <c r="M100" s="317"/>
      <c r="N100" s="26"/>
      <c r="O100" s="14"/>
    </row>
    <row r="101" spans="2:15" x14ac:dyDescent="0.25">
      <c r="B101" s="145" t="str">
        <f>'DETALLE DE VENTAS'!C220</f>
        <v>PRIMER GLN BITUPLAST</v>
      </c>
      <c r="C101" s="143">
        <f t="shared" si="0"/>
        <v>49</v>
      </c>
      <c r="D101" s="143">
        <f>'DETALLE DE VENTAS'!AN220</f>
        <v>38</v>
      </c>
      <c r="E101" s="99">
        <f t="shared" si="1"/>
        <v>686</v>
      </c>
      <c r="F101" s="143">
        <v>526.36</v>
      </c>
      <c r="G101" s="144">
        <f t="shared" si="2"/>
        <v>159.63999999999999</v>
      </c>
      <c r="H101" s="265">
        <f>'DETALLE DE VENTAS'!AO220</f>
        <v>384.58620689655174</v>
      </c>
      <c r="I101" s="134"/>
      <c r="J101" s="154"/>
      <c r="K101" s="148"/>
      <c r="L101" s="316"/>
      <c r="M101" s="317"/>
    </row>
    <row r="102" spans="2:15" x14ac:dyDescent="0.25">
      <c r="B102" s="145" t="str">
        <f>'DETALLE DE VENTAS'!C221</f>
        <v>PRIMER 4 GLN BITUPLAST</v>
      </c>
      <c r="C102" s="143">
        <f t="shared" si="0"/>
        <v>115</v>
      </c>
      <c r="D102" s="143">
        <f>'DETALLE DE VENTAS'!AN221</f>
        <v>70</v>
      </c>
      <c r="E102" s="99">
        <f t="shared" si="1"/>
        <v>3450</v>
      </c>
      <c r="F102" s="143">
        <v>2759.85</v>
      </c>
      <c r="G102" s="144">
        <f t="shared" si="2"/>
        <v>690.15000000000009</v>
      </c>
      <c r="H102" s="265">
        <f>'DETALLE DE VENTAS'!AO221</f>
        <v>1619.0517241379312</v>
      </c>
      <c r="I102" s="134"/>
      <c r="J102" s="154"/>
      <c r="K102" s="148"/>
      <c r="L102" s="316"/>
      <c r="M102" s="317"/>
    </row>
    <row r="103" spans="2:15" x14ac:dyDescent="0.25">
      <c r="B103" s="145" t="str">
        <f>'DETALLE DE VENTAS'!C222</f>
        <v>PINT ALUMINIZADA GLN BITUPLAST</v>
      </c>
      <c r="C103" s="143">
        <f t="shared" si="0"/>
        <v>45</v>
      </c>
      <c r="D103" s="143">
        <f>'DETALLE DE VENTAS'!AN222</f>
        <v>-3</v>
      </c>
      <c r="E103" s="99">
        <f t="shared" si="1"/>
        <v>1395</v>
      </c>
      <c r="F103" s="143">
        <v>1155.94</v>
      </c>
      <c r="G103" s="144">
        <f t="shared" si="2"/>
        <v>239.05999999999995</v>
      </c>
      <c r="H103" s="265">
        <f>'DETALLE DE VENTAS'!AO222</f>
        <v>-72.310344827586221</v>
      </c>
      <c r="I103" s="134"/>
      <c r="J103" s="154"/>
      <c r="K103" s="148"/>
      <c r="L103" s="316"/>
      <c r="M103" s="317"/>
    </row>
    <row r="104" spans="2:15" ht="24" x14ac:dyDescent="0.25">
      <c r="B104" s="145" t="str">
        <f>'DETALLE DE VENTAS'!C223</f>
        <v>PINT ALUMINIZADA 4 GLN BITUPLAST</v>
      </c>
      <c r="C104" s="143">
        <f t="shared" si="0"/>
        <v>60</v>
      </c>
      <c r="D104" s="143">
        <f>'DETALLE DE VENTAS'!AN223</f>
        <v>0</v>
      </c>
      <c r="E104" s="99">
        <f t="shared" si="1"/>
        <v>6360</v>
      </c>
      <c r="F104" s="143">
        <v>5205.72</v>
      </c>
      <c r="G104" s="144">
        <f t="shared" si="2"/>
        <v>1154.2799999999997</v>
      </c>
      <c r="H104" s="265">
        <f>'DETALLE DE VENTAS'!AO223</f>
        <v>0</v>
      </c>
      <c r="I104" s="134"/>
      <c r="J104" s="154"/>
      <c r="K104" s="148"/>
      <c r="L104" s="316"/>
      <c r="M104" s="317"/>
    </row>
    <row r="105" spans="2:15" ht="24" x14ac:dyDescent="0.25">
      <c r="B105" s="145" t="str">
        <f>'DETALLE DE VENTAS'!C224</f>
        <v>REPARAMANTO INTERPRIMER PRO 4 GAL</v>
      </c>
      <c r="C105" s="143">
        <f t="shared" si="0"/>
        <v>86</v>
      </c>
      <c r="D105" s="143">
        <f>'DETALLE DE VENTAS'!AN224</f>
        <v>0</v>
      </c>
      <c r="E105" s="99">
        <f t="shared" si="1"/>
        <v>4300</v>
      </c>
      <c r="F105" s="143">
        <v>3531.4</v>
      </c>
      <c r="G105" s="144">
        <f t="shared" si="2"/>
        <v>768.59999999999991</v>
      </c>
      <c r="H105" s="265">
        <f>'DETALLE DE VENTAS'!AO224</f>
        <v>0</v>
      </c>
      <c r="I105" s="134"/>
      <c r="J105" s="154"/>
      <c r="K105" s="148"/>
      <c r="L105" s="316"/>
      <c r="M105" s="317"/>
    </row>
    <row r="106" spans="2:15" ht="24" x14ac:dyDescent="0.25">
      <c r="B106" s="145" t="str">
        <f>'DETALLE DE VENTAS'!C225</f>
        <v>SELLADOR DE CAPAS 4GLN BITUPLAST</v>
      </c>
      <c r="C106" s="143">
        <f t="shared" si="0"/>
        <v>15</v>
      </c>
      <c r="D106" s="143">
        <f>'DETALLE DE VENTAS'!AN225</f>
        <v>11</v>
      </c>
      <c r="E106" s="99">
        <f t="shared" si="1"/>
        <v>690</v>
      </c>
      <c r="F106" s="143">
        <v>589.37</v>
      </c>
      <c r="G106" s="144">
        <f t="shared" si="2"/>
        <v>100.63</v>
      </c>
      <c r="H106" s="265">
        <f>'DETALLE DE VENTAS'!AO225</f>
        <v>393.53448275862075</v>
      </c>
      <c r="I106" s="134"/>
      <c r="J106" s="154"/>
      <c r="K106" s="148"/>
      <c r="L106" s="316"/>
      <c r="M106" s="317"/>
    </row>
    <row r="107" spans="2:15" x14ac:dyDescent="0.25">
      <c r="B107" s="145" t="str">
        <f>'DETALLE DE VENTAS'!C226</f>
        <v>MANTO ALUMINIZADO 3 MM</v>
      </c>
      <c r="C107" s="143">
        <f t="shared" si="0"/>
        <v>8</v>
      </c>
      <c r="D107" s="143">
        <f>'DETALLE DE VENTAS'!AN226</f>
        <v>15</v>
      </c>
      <c r="E107" s="99">
        <f t="shared" si="1"/>
        <v>488</v>
      </c>
      <c r="F107" s="143">
        <v>386.32</v>
      </c>
      <c r="G107" s="144">
        <f t="shared" si="2"/>
        <v>101.68</v>
      </c>
      <c r="H107" s="265">
        <f>'DETALLE DE VENTAS'!AO226</f>
        <v>699.43965517241395</v>
      </c>
      <c r="I107" s="134"/>
      <c r="J107" s="154"/>
      <c r="K107" s="148"/>
      <c r="L107" s="316"/>
      <c r="M107" s="317"/>
    </row>
    <row r="108" spans="2:15" x14ac:dyDescent="0.25">
      <c r="B108" s="145" t="str">
        <f>'DETALLE DE VENTAS'!C227</f>
        <v>MANTO 2,7 MM</v>
      </c>
      <c r="C108" s="143">
        <f t="shared" si="0"/>
        <v>72</v>
      </c>
      <c r="D108" s="143">
        <f>'DETALLE DE VENTAS'!AN227</f>
        <v>0</v>
      </c>
      <c r="E108" s="99">
        <f t="shared" si="1"/>
        <v>2232</v>
      </c>
      <c r="F108" s="143">
        <v>1841.88</v>
      </c>
      <c r="G108" s="144">
        <f t="shared" si="2"/>
        <v>390.11999999999989</v>
      </c>
      <c r="H108" s="265">
        <f>'DETALLE DE VENTAS'!AO227</f>
        <v>0</v>
      </c>
      <c r="I108" s="134"/>
      <c r="J108" s="154"/>
      <c r="K108" s="148"/>
      <c r="L108" s="316"/>
      <c r="M108" s="317"/>
    </row>
    <row r="109" spans="2:15" x14ac:dyDescent="0.25">
      <c r="B109" s="145" t="str">
        <f>'DETALLE DE VENTAS'!C228</f>
        <v>MANTO 3,2 MM (R-34)</v>
      </c>
      <c r="C109" s="143">
        <f t="shared" si="0"/>
        <v>612</v>
      </c>
      <c r="D109" s="143">
        <f>'DETALLE DE VENTAS'!AN228</f>
        <v>-7</v>
      </c>
      <c r="E109" s="99">
        <f>D19+D20</f>
        <v>20808</v>
      </c>
      <c r="F109" s="143">
        <v>17538.5</v>
      </c>
      <c r="G109" s="144">
        <f t="shared" si="2"/>
        <v>3269.5</v>
      </c>
      <c r="H109" s="265">
        <f>'DETALLE DE VENTAS'!AO228</f>
        <v>-187.73275862068965</v>
      </c>
      <c r="I109" s="134"/>
      <c r="J109" s="154"/>
      <c r="K109" s="148"/>
      <c r="L109" s="316"/>
      <c r="M109" s="317"/>
    </row>
    <row r="110" spans="2:15" ht="24" x14ac:dyDescent="0.25">
      <c r="B110" s="145" t="str">
        <f>'DETALLE DE VENTAS'!C229</f>
        <v>MANTO LIQUIDO CUNETE 4 GLN ROJO</v>
      </c>
      <c r="C110" s="143">
        <f>C21</f>
        <v>0</v>
      </c>
      <c r="D110" s="143">
        <f>'DETALLE DE VENTAS'!AN229</f>
        <v>5</v>
      </c>
      <c r="E110" s="99">
        <f>D21</f>
        <v>0</v>
      </c>
      <c r="F110" s="143">
        <v>0</v>
      </c>
      <c r="G110" s="144">
        <f t="shared" si="2"/>
        <v>0</v>
      </c>
      <c r="H110" s="265">
        <f>'DETALLE DE VENTAS'!AO229</f>
        <v>414.74137931034483</v>
      </c>
      <c r="I110" s="134"/>
      <c r="J110" s="154"/>
      <c r="K110" s="148"/>
      <c r="L110" s="316"/>
      <c r="M110" s="317"/>
    </row>
    <row r="111" spans="2:15" ht="24" x14ac:dyDescent="0.25">
      <c r="B111" s="145" t="str">
        <f>'DETALLE DE VENTAS'!C230</f>
        <v>MANTO LIQUIDO CUNETE 4 GLN BLANCO</v>
      </c>
      <c r="C111" s="143">
        <f>C22</f>
        <v>0</v>
      </c>
      <c r="D111" s="143">
        <f>'DETALLE DE VENTAS'!AN230</f>
        <v>3</v>
      </c>
      <c r="E111" s="99">
        <f>D22</f>
        <v>0</v>
      </c>
      <c r="F111" s="150">
        <v>0</v>
      </c>
      <c r="G111" s="144">
        <f t="shared" si="2"/>
        <v>0</v>
      </c>
      <c r="H111" s="265">
        <f>'DETALLE DE VENTAS'!AO230</f>
        <v>275.97413793103448</v>
      </c>
      <c r="I111" s="134"/>
      <c r="J111" s="154"/>
      <c r="K111" s="148"/>
      <c r="L111" s="316"/>
      <c r="M111" s="317"/>
    </row>
    <row r="112" spans="2:15" ht="24" x14ac:dyDescent="0.25">
      <c r="B112" s="145" t="str">
        <f>'DETALLE DE VENTAS'!C231</f>
        <v>MANTO LIQUIDO CUNETE 4 GLN GRIS</v>
      </c>
      <c r="C112" s="143">
        <f>C23</f>
        <v>4</v>
      </c>
      <c r="D112" s="143">
        <f>'DETALLE DE VENTAS'!AN231</f>
        <v>0</v>
      </c>
      <c r="E112" s="99">
        <f>D23</f>
        <v>480</v>
      </c>
      <c r="F112" s="150">
        <v>405.76</v>
      </c>
      <c r="G112" s="144">
        <f t="shared" si="2"/>
        <v>74.240000000000009</v>
      </c>
      <c r="H112" s="265">
        <f>'DETALLE DE VENTAS'!AO231</f>
        <v>0</v>
      </c>
      <c r="I112" s="134"/>
      <c r="J112" s="154"/>
      <c r="K112" s="148"/>
      <c r="L112" s="316"/>
      <c r="M112" s="317"/>
    </row>
    <row r="113" spans="2:17" ht="24" x14ac:dyDescent="0.25">
      <c r="B113" s="145" t="str">
        <f>'DETALLE DE VENTAS'!C232</f>
        <v>MANTO LIQUIDO CUNETE 4 GLN VERDE</v>
      </c>
      <c r="C113" s="143">
        <f>C24</f>
        <v>1</v>
      </c>
      <c r="D113" s="143">
        <f>'DETALLE DE VENTAS'!AN232</f>
        <v>3</v>
      </c>
      <c r="E113" s="99">
        <f>D24</f>
        <v>115</v>
      </c>
      <c r="F113" s="150">
        <v>98.59</v>
      </c>
      <c r="G113" s="144">
        <f t="shared" si="2"/>
        <v>16.409999999999997</v>
      </c>
      <c r="H113" s="265">
        <f>'DETALLE DE VENTAS'!AO232</f>
        <v>254.97413793103453</v>
      </c>
      <c r="I113" s="134"/>
      <c r="J113" s="154"/>
      <c r="K113" s="148"/>
      <c r="L113" s="316"/>
      <c r="M113" s="317"/>
    </row>
    <row r="114" spans="2:17" x14ac:dyDescent="0.25">
      <c r="B114" s="145" t="str">
        <f>'DETALLE DE VENTAS'!C233</f>
        <v>BITUBACHE SACO</v>
      </c>
      <c r="C114" s="143">
        <f>C25</f>
        <v>0</v>
      </c>
      <c r="D114" s="143">
        <f>'DETALLE DE VENTAS'!AN233</f>
        <v>1</v>
      </c>
      <c r="E114" s="99">
        <f>D25</f>
        <v>0</v>
      </c>
      <c r="F114" s="150">
        <v>0</v>
      </c>
      <c r="G114" s="144">
        <f t="shared" si="2"/>
        <v>0</v>
      </c>
      <c r="H114" s="265">
        <f>'DETALLE DE VENTAS'!AO233</f>
        <v>18.887931034482762</v>
      </c>
      <c r="I114" s="134"/>
      <c r="J114" s="154"/>
      <c r="K114" s="148"/>
      <c r="L114" s="316"/>
      <c r="M114" s="317"/>
    </row>
    <row r="115" spans="2:17" ht="24" x14ac:dyDescent="0.25">
      <c r="B115" s="145" t="str">
        <f>'DETALLE DE VENTAS'!C234</f>
        <v>ASFALTO SOLIDO OXIDADO CARTUCHO</v>
      </c>
      <c r="C115" s="143">
        <f>C69</f>
        <v>5</v>
      </c>
      <c r="D115" s="143">
        <f>'DETALLE DE VENTAS'!AN234</f>
        <v>-1</v>
      </c>
      <c r="E115" s="130">
        <f>D69</f>
        <v>205</v>
      </c>
      <c r="F115" s="150">
        <v>161.75</v>
      </c>
      <c r="G115" s="157">
        <f t="shared" si="2"/>
        <v>43.25</v>
      </c>
      <c r="H115" s="265">
        <f>'DETALLE DE VENTAS'!AO234</f>
        <v>-28.94</v>
      </c>
      <c r="I115" s="134"/>
      <c r="J115" s="154"/>
      <c r="K115" s="148"/>
      <c r="L115" s="316"/>
      <c r="M115" s="317"/>
    </row>
    <row r="116" spans="2:17" x14ac:dyDescent="0.25">
      <c r="B116" s="154"/>
      <c r="C116" s="148"/>
      <c r="D116" s="148"/>
      <c r="E116" s="149">
        <f>SUM(E93:E115)</f>
        <v>52780</v>
      </c>
      <c r="F116" s="149">
        <f>SUM(F93:F115)</f>
        <v>43546.640000000007</v>
      </c>
      <c r="G116" s="216">
        <f>SUM(G93:G115)</f>
        <v>9233.36</v>
      </c>
      <c r="H116" s="267">
        <f>SUM(H93:H115)</f>
        <v>5091.3013793103464</v>
      </c>
      <c r="I116" s="136"/>
      <c r="J116" s="154"/>
      <c r="K116" s="148"/>
      <c r="L116" s="318"/>
      <c r="M116" s="319"/>
      <c r="N116" s="12"/>
      <c r="O116" s="12"/>
      <c r="P116" s="12"/>
      <c r="Q116" s="12"/>
    </row>
    <row r="117" spans="2:17" x14ac:dyDescent="0.25">
      <c r="B117" s="142"/>
      <c r="C117" s="142"/>
      <c r="D117" s="142"/>
      <c r="E117" s="142"/>
      <c r="F117" s="142"/>
      <c r="G117" s="168">
        <f>G116/F116</f>
        <v>0.2120338101860442</v>
      </c>
      <c r="H117" s="134"/>
      <c r="I117" s="134"/>
      <c r="K117" s="696"/>
      <c r="L117" s="696"/>
      <c r="M117" s="14"/>
    </row>
    <row r="118" spans="2:17" x14ac:dyDescent="0.25">
      <c r="B118" s="142"/>
      <c r="C118" s="142"/>
      <c r="D118" s="142"/>
      <c r="E118" s="142"/>
      <c r="F118" s="142"/>
      <c r="G118" s="142"/>
      <c r="H118" s="137"/>
      <c r="I118" s="134"/>
      <c r="J118" s="134"/>
      <c r="K118" s="696"/>
      <c r="L118" s="696"/>
      <c r="M118" s="696"/>
      <c r="N118" s="696"/>
    </row>
    <row r="119" spans="2:17" x14ac:dyDescent="0.25">
      <c r="B119" s="700" t="s">
        <v>81</v>
      </c>
      <c r="C119" s="700"/>
      <c r="D119" s="700"/>
      <c r="E119" s="700"/>
      <c r="F119" s="700"/>
      <c r="G119" s="700"/>
      <c r="H119" s="700"/>
      <c r="I119" s="211"/>
      <c r="J119" s="134"/>
    </row>
    <row r="120" spans="2:17" ht="24" x14ac:dyDescent="0.25">
      <c r="B120" s="131" t="s">
        <v>2</v>
      </c>
      <c r="C120" s="150" t="s">
        <v>78</v>
      </c>
      <c r="D120" s="150" t="s">
        <v>79</v>
      </c>
      <c r="E120" s="150" t="s">
        <v>92</v>
      </c>
      <c r="F120" s="150" t="s">
        <v>91</v>
      </c>
      <c r="G120" s="157" t="s">
        <v>75</v>
      </c>
      <c r="H120" s="212" t="s">
        <v>102</v>
      </c>
      <c r="I120" s="134"/>
    </row>
    <row r="121" spans="2:17" x14ac:dyDescent="0.25">
      <c r="B121" s="145" t="s">
        <v>14</v>
      </c>
      <c r="C121" s="143">
        <f>C26</f>
        <v>1</v>
      </c>
      <c r="D121" s="143">
        <f>'DETALLE DE VENTAS'!N239</f>
        <v>1</v>
      </c>
      <c r="E121" s="143">
        <f>D26</f>
        <v>90</v>
      </c>
      <c r="F121" s="143">
        <v>75</v>
      </c>
      <c r="G121" s="144">
        <f t="shared" ref="G121:G126" si="3">E121-F121</f>
        <v>15</v>
      </c>
      <c r="H121" s="179">
        <f>'DETALLE DE VENTAS'!O239</f>
        <v>75</v>
      </c>
      <c r="I121" s="134"/>
    </row>
    <row r="122" spans="2:17" x14ac:dyDescent="0.25">
      <c r="B122" s="145" t="s">
        <v>15</v>
      </c>
      <c r="C122" s="143">
        <f>C27</f>
        <v>0</v>
      </c>
      <c r="D122" s="143">
        <f>'DETALLE DE VENTAS'!N240</f>
        <v>2</v>
      </c>
      <c r="E122" s="143">
        <f>D27</f>
        <v>0</v>
      </c>
      <c r="F122" s="143">
        <v>0</v>
      </c>
      <c r="G122" s="144">
        <f t="shared" si="3"/>
        <v>0</v>
      </c>
      <c r="H122" s="179">
        <f>'DETALLE DE VENTAS'!O240</f>
        <v>160</v>
      </c>
      <c r="I122" s="134"/>
    </row>
    <row r="123" spans="2:17" x14ac:dyDescent="0.25">
      <c r="B123" s="145" t="s">
        <v>16</v>
      </c>
      <c r="C123" s="143">
        <f>C28</f>
        <v>1</v>
      </c>
      <c r="D123" s="143">
        <f>'DETALLE DE VENTAS'!N241</f>
        <v>2</v>
      </c>
      <c r="E123" s="143">
        <f>D28</f>
        <v>145</v>
      </c>
      <c r="F123" s="143">
        <v>120</v>
      </c>
      <c r="G123" s="144">
        <f t="shared" si="3"/>
        <v>25</v>
      </c>
      <c r="H123" s="179">
        <f>'DETALLE DE VENTAS'!O241</f>
        <v>240</v>
      </c>
      <c r="I123" s="134"/>
    </row>
    <row r="124" spans="2:17" x14ac:dyDescent="0.25">
      <c r="B124" s="145" t="s">
        <v>17</v>
      </c>
      <c r="C124" s="143">
        <f>C30</f>
        <v>0</v>
      </c>
      <c r="D124" s="143">
        <f>'DETALLE DE VENTAS'!N242</f>
        <v>3</v>
      </c>
      <c r="E124" s="143">
        <f>D30</f>
        <v>0</v>
      </c>
      <c r="F124" s="143">
        <v>0</v>
      </c>
      <c r="G124" s="144">
        <f t="shared" si="3"/>
        <v>0</v>
      </c>
      <c r="H124" s="179">
        <f>'DETALLE DE VENTAS'!O242</f>
        <v>360</v>
      </c>
      <c r="I124" s="134"/>
    </row>
    <row r="125" spans="2:17" x14ac:dyDescent="0.25">
      <c r="B125" s="145" t="s">
        <v>18</v>
      </c>
      <c r="C125" s="143">
        <f>C32</f>
        <v>0</v>
      </c>
      <c r="D125" s="143">
        <f>'DETALLE DE VENTAS'!N243</f>
        <v>1</v>
      </c>
      <c r="E125" s="143">
        <f>D32</f>
        <v>0</v>
      </c>
      <c r="F125" s="143">
        <v>0</v>
      </c>
      <c r="G125" s="144">
        <f t="shared" si="3"/>
        <v>0</v>
      </c>
      <c r="H125" s="179">
        <f>'DETALLE DE VENTAS'!O243</f>
        <v>210</v>
      </c>
      <c r="I125" s="134"/>
    </row>
    <row r="126" spans="2:17" x14ac:dyDescent="0.25">
      <c r="B126" s="145" t="s">
        <v>19</v>
      </c>
      <c r="C126" s="143">
        <f>C33</f>
        <v>0</v>
      </c>
      <c r="D126" s="143">
        <f>'DETALLE DE VENTAS'!N244</f>
        <v>1</v>
      </c>
      <c r="E126" s="143">
        <f>D33</f>
        <v>0</v>
      </c>
      <c r="F126" s="143">
        <v>0</v>
      </c>
      <c r="G126" s="144">
        <f t="shared" si="3"/>
        <v>0</v>
      </c>
      <c r="H126" s="179">
        <f>'DETALLE DE VENTAS'!O244</f>
        <v>250</v>
      </c>
      <c r="I126" s="134"/>
    </row>
    <row r="127" spans="2:17" x14ac:dyDescent="0.25">
      <c r="B127" s="147"/>
      <c r="C127" s="148"/>
      <c r="D127" s="148"/>
      <c r="E127" s="99">
        <f>SUM(E121:E126)</f>
        <v>235</v>
      </c>
      <c r="F127" s="99">
        <f>SUM(F121:F126)</f>
        <v>195</v>
      </c>
      <c r="G127" s="156">
        <f>SUM(G121:G126)</f>
        <v>40</v>
      </c>
      <c r="H127" s="180">
        <f>SUM(H121:H126)</f>
        <v>1295</v>
      </c>
      <c r="I127" s="134"/>
    </row>
    <row r="128" spans="2:17" x14ac:dyDescent="0.25">
      <c r="B128" s="147"/>
      <c r="C128" s="148"/>
      <c r="D128" s="148"/>
      <c r="E128" s="148"/>
      <c r="F128" s="148"/>
      <c r="G128" s="167">
        <f>G127/F127</f>
        <v>0.20512820512820512</v>
      </c>
      <c r="H128" s="138"/>
      <c r="I128" s="134"/>
    </row>
    <row r="129" spans="2:19" x14ac:dyDescent="0.25">
      <c r="B129" s="147"/>
      <c r="C129" s="148"/>
      <c r="D129" s="148"/>
      <c r="E129" s="148"/>
      <c r="F129" s="148"/>
      <c r="G129" s="148"/>
      <c r="H129" s="148"/>
      <c r="I129" s="138"/>
      <c r="J129" s="134"/>
    </row>
    <row r="130" spans="2:19" x14ac:dyDescent="0.25">
      <c r="B130" s="147"/>
      <c r="C130" s="148"/>
      <c r="D130" s="148"/>
      <c r="E130" s="148"/>
      <c r="F130" s="148"/>
      <c r="G130" s="148"/>
      <c r="H130" s="148"/>
      <c r="I130" s="138"/>
      <c r="J130" s="134"/>
    </row>
    <row r="131" spans="2:19" x14ac:dyDescent="0.25">
      <c r="B131" s="700" t="s">
        <v>244</v>
      </c>
      <c r="C131" s="700"/>
      <c r="D131" s="700"/>
      <c r="E131" s="700"/>
      <c r="F131" s="700"/>
      <c r="G131" s="700"/>
      <c r="H131" s="700"/>
      <c r="I131" s="211"/>
      <c r="J131" s="134"/>
    </row>
    <row r="132" spans="2:19" ht="24" x14ac:dyDescent="0.25">
      <c r="B132" s="107" t="s">
        <v>2</v>
      </c>
      <c r="C132" s="143" t="s">
        <v>78</v>
      </c>
      <c r="D132" s="143" t="s">
        <v>79</v>
      </c>
      <c r="E132" s="143" t="s">
        <v>92</v>
      </c>
      <c r="F132" s="143" t="s">
        <v>91</v>
      </c>
      <c r="G132" s="144" t="s">
        <v>75</v>
      </c>
      <c r="H132" s="181" t="s">
        <v>102</v>
      </c>
      <c r="I132" s="134"/>
    </row>
    <row r="133" spans="2:19" x14ac:dyDescent="0.25">
      <c r="B133" s="145" t="s">
        <v>16</v>
      </c>
      <c r="C133" s="143">
        <f>C29</f>
        <v>4</v>
      </c>
      <c r="D133" s="153">
        <f>'DETALLE DE VENTAS'!Q251</f>
        <v>3</v>
      </c>
      <c r="E133" s="143">
        <f>D29</f>
        <v>400</v>
      </c>
      <c r="F133" s="143">
        <v>240</v>
      </c>
      <c r="G133" s="144">
        <f>E133-F133</f>
        <v>160</v>
      </c>
      <c r="H133" s="181">
        <f>'DETALLE DE VENTAS'!R251</f>
        <v>240</v>
      </c>
      <c r="I133" s="134"/>
    </row>
    <row r="134" spans="2:19" x14ac:dyDescent="0.25">
      <c r="B134" s="145" t="s">
        <v>97</v>
      </c>
      <c r="C134" s="143">
        <f>C31</f>
        <v>2</v>
      </c>
      <c r="D134" s="153">
        <f>'DETALLE DE VENTAS'!Q252</f>
        <v>13</v>
      </c>
      <c r="E134" s="143">
        <f>D31</f>
        <v>190</v>
      </c>
      <c r="F134" s="143">
        <v>240</v>
      </c>
      <c r="G134" s="144">
        <f>E134-F134</f>
        <v>-50</v>
      </c>
      <c r="H134" s="181">
        <f>'DETALLE DE VENTAS'!R252</f>
        <v>1040</v>
      </c>
      <c r="I134" s="134"/>
    </row>
    <row r="135" spans="2:19" x14ac:dyDescent="0.25">
      <c r="B135" s="147"/>
      <c r="C135" s="148"/>
      <c r="D135" s="148"/>
      <c r="E135" s="99">
        <f>SUM(E133:E134)</f>
        <v>590</v>
      </c>
      <c r="F135" s="99">
        <f>SUM(F133:F134)</f>
        <v>480</v>
      </c>
      <c r="G135" s="156">
        <f>SUM(G133:G134)</f>
        <v>110</v>
      </c>
      <c r="H135" s="182">
        <f>SUM(H133:H134)</f>
        <v>1280</v>
      </c>
      <c r="I135" s="134"/>
    </row>
    <row r="136" spans="2:19" x14ac:dyDescent="0.25">
      <c r="B136" s="147"/>
      <c r="C136" s="154"/>
      <c r="D136" s="154"/>
      <c r="E136" s="154"/>
      <c r="F136" s="154"/>
      <c r="G136" s="167">
        <f>G135/F135</f>
        <v>0.22916666666666666</v>
      </c>
      <c r="H136" s="136"/>
      <c r="I136" s="136"/>
      <c r="J136" s="14"/>
      <c r="K136" s="14"/>
      <c r="L136" s="14"/>
      <c r="M136" s="14"/>
      <c r="N136" s="14"/>
      <c r="O136" s="14"/>
      <c r="P136" s="14"/>
      <c r="Q136" s="14"/>
      <c r="R136" s="121"/>
    </row>
    <row r="137" spans="2:19" x14ac:dyDescent="0.25">
      <c r="B137" s="147"/>
      <c r="C137" s="154"/>
      <c r="D137" s="154"/>
      <c r="E137" s="154"/>
      <c r="F137" s="154"/>
      <c r="G137" s="154"/>
      <c r="H137" s="148"/>
      <c r="I137" s="136"/>
      <c r="J137" s="136"/>
      <c r="K137" s="14"/>
      <c r="L137" s="14"/>
      <c r="M137" s="14"/>
      <c r="N137" s="14"/>
      <c r="O137" s="14"/>
      <c r="P137" s="14"/>
      <c r="Q137" s="14"/>
      <c r="R137" s="14"/>
      <c r="S137" s="121"/>
    </row>
    <row r="138" spans="2:19" x14ac:dyDescent="0.25">
      <c r="B138" s="154"/>
      <c r="C138" s="154"/>
      <c r="D138" s="154"/>
      <c r="E138" s="154"/>
      <c r="F138" s="154"/>
      <c r="G138" s="154"/>
      <c r="H138" s="148"/>
      <c r="I138" s="136"/>
      <c r="J138" s="136"/>
      <c r="K138" s="14"/>
      <c r="L138" s="14"/>
      <c r="M138" s="14"/>
      <c r="N138" s="14"/>
      <c r="O138" s="14"/>
      <c r="P138" s="14"/>
      <c r="Q138" s="14"/>
      <c r="R138" s="14"/>
      <c r="S138" s="14"/>
    </row>
    <row r="139" spans="2:19" x14ac:dyDescent="0.25">
      <c r="B139" s="700" t="s">
        <v>82</v>
      </c>
      <c r="C139" s="700"/>
      <c r="D139" s="700"/>
      <c r="E139" s="700"/>
      <c r="F139" s="700"/>
      <c r="G139" s="700"/>
      <c r="H139" s="700"/>
      <c r="I139" s="211"/>
      <c r="J139" s="713"/>
      <c r="K139" s="713"/>
      <c r="L139" s="713"/>
      <c r="M139" s="713"/>
      <c r="N139" s="211"/>
      <c r="O139" s="211"/>
      <c r="P139" s="211"/>
    </row>
    <row r="140" spans="2:19" ht="24" x14ac:dyDescent="0.25">
      <c r="B140" s="131" t="s">
        <v>2</v>
      </c>
      <c r="C140" s="143" t="s">
        <v>78</v>
      </c>
      <c r="D140" s="143" t="s">
        <v>79</v>
      </c>
      <c r="E140" s="143" t="s">
        <v>92</v>
      </c>
      <c r="F140" s="143" t="s">
        <v>91</v>
      </c>
      <c r="G140" s="144" t="s">
        <v>75</v>
      </c>
      <c r="H140" s="179" t="s">
        <v>102</v>
      </c>
      <c r="I140" s="134"/>
      <c r="J140" s="251"/>
      <c r="K140" s="166"/>
      <c r="L140" s="166"/>
      <c r="M140" s="315"/>
    </row>
    <row r="141" spans="2:19" x14ac:dyDescent="0.25">
      <c r="B141" s="145" t="str">
        <f t="shared" ref="B141:C172" si="4">B34</f>
        <v>MAPEI UNO GARRAFA 0,8 KG</v>
      </c>
      <c r="C141" s="143">
        <f t="shared" si="4"/>
        <v>27</v>
      </c>
      <c r="D141" s="155">
        <f>'DETALLE DE VENTAS'!AC259</f>
        <v>39</v>
      </c>
      <c r="E141" s="99">
        <f t="shared" ref="E141:E172" si="5">D34</f>
        <v>143</v>
      </c>
      <c r="F141" s="143">
        <v>80.13</v>
      </c>
      <c r="G141" s="144">
        <f>E141-F141</f>
        <v>62.870000000000005</v>
      </c>
      <c r="H141" s="176">
        <f>'DETALLE DE VENTAS'!AE259</f>
        <v>125.97</v>
      </c>
      <c r="I141" s="134"/>
      <c r="J141" s="165"/>
      <c r="K141" s="166"/>
      <c r="L141" s="321"/>
      <c r="M141" s="315"/>
    </row>
    <row r="142" spans="2:19" x14ac:dyDescent="0.25">
      <c r="B142" s="145" t="str">
        <f t="shared" si="4"/>
        <v>MAPEI UNO GARRAFA 2 KG</v>
      </c>
      <c r="C142" s="143">
        <f t="shared" si="4"/>
        <v>7</v>
      </c>
      <c r="D142" s="155">
        <f>'DETALLE DE VENTAS'!AC260</f>
        <v>8</v>
      </c>
      <c r="E142" s="99">
        <f t="shared" si="5"/>
        <v>91</v>
      </c>
      <c r="F142" s="143">
        <v>63.52</v>
      </c>
      <c r="G142" s="144">
        <f t="shared" ref="G142:G173" si="6">E142-F142</f>
        <v>27.479999999999997</v>
      </c>
      <c r="H142" s="176">
        <f>'DETALLE DE VENTAS'!AE260</f>
        <v>58.56</v>
      </c>
      <c r="I142" s="134"/>
      <c r="J142" s="165"/>
      <c r="K142" s="166"/>
      <c r="L142" s="321"/>
      <c r="M142" s="315"/>
    </row>
    <row r="143" spans="2:19" x14ac:dyDescent="0.25">
      <c r="B143" s="145" t="str">
        <f t="shared" si="4"/>
        <v>MAPELATEX  CO GARRAFA 0,8 KG</v>
      </c>
      <c r="C143" s="143">
        <f t="shared" si="4"/>
        <v>7</v>
      </c>
      <c r="D143" s="155">
        <f>'DETALLE DE VENTAS'!AC261</f>
        <v>10</v>
      </c>
      <c r="E143" s="99">
        <f t="shared" si="5"/>
        <v>78.5</v>
      </c>
      <c r="F143" s="143">
        <v>48.42</v>
      </c>
      <c r="G143" s="144">
        <f t="shared" si="6"/>
        <v>30.08</v>
      </c>
      <c r="H143" s="176">
        <f>'DETALLE DE VENTAS'!AE261</f>
        <v>74.5</v>
      </c>
      <c r="I143" s="134"/>
      <c r="J143" s="165"/>
      <c r="K143" s="166"/>
      <c r="L143" s="321"/>
      <c r="M143" s="315"/>
    </row>
    <row r="144" spans="2:19" x14ac:dyDescent="0.25">
      <c r="B144" s="145" t="str">
        <f t="shared" si="4"/>
        <v>MAPELATEX PVA GARRAFA 0,25 KG</v>
      </c>
      <c r="C144" s="143">
        <f t="shared" si="4"/>
        <v>0</v>
      </c>
      <c r="D144" s="155">
        <f>'DETALLE DE VENTAS'!AC262</f>
        <v>7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VENTAS'!AE262</f>
        <v>12.67</v>
      </c>
      <c r="I144" s="134"/>
      <c r="J144" s="165"/>
      <c r="K144" s="166"/>
      <c r="L144" s="321"/>
      <c r="M144" s="315"/>
    </row>
    <row r="145" spans="2:13" x14ac:dyDescent="0.25">
      <c r="B145" s="145" t="str">
        <f t="shared" si="4"/>
        <v>MAPELATEX PVA GARRAFA 1 KG</v>
      </c>
      <c r="C145" s="143">
        <f t="shared" si="4"/>
        <v>17</v>
      </c>
      <c r="D145" s="155">
        <f>'DETALLE DE VENTAS'!AC263</f>
        <v>10</v>
      </c>
      <c r="E145" s="99">
        <f t="shared" si="5"/>
        <v>109.5</v>
      </c>
      <c r="F145" s="143">
        <v>62.05</v>
      </c>
      <c r="G145" s="144">
        <f t="shared" si="6"/>
        <v>47.45</v>
      </c>
      <c r="H145" s="176">
        <f>'DETALLE DE VENTAS'!AE263</f>
        <v>41</v>
      </c>
      <c r="I145" s="134"/>
      <c r="J145" s="165"/>
      <c r="K145" s="166"/>
      <c r="L145" s="321"/>
      <c r="M145" s="315"/>
    </row>
    <row r="146" spans="2:13" x14ac:dyDescent="0.25">
      <c r="B146" s="145" t="str">
        <f t="shared" si="4"/>
        <v>MAPEPLAST WP20 GARRAFA 4,5 KG</v>
      </c>
      <c r="C146" s="143">
        <f t="shared" si="4"/>
        <v>0</v>
      </c>
      <c r="D146" s="155">
        <f>'DETALLE DE VENTAS'!AC264</f>
        <v>0</v>
      </c>
      <c r="E146" s="99">
        <f t="shared" si="5"/>
        <v>0</v>
      </c>
      <c r="F146" s="143">
        <v>0</v>
      </c>
      <c r="G146" s="144">
        <f t="shared" si="6"/>
        <v>0</v>
      </c>
      <c r="H146" s="176">
        <f>'DETALLE DE VENTAS'!AE264</f>
        <v>0</v>
      </c>
      <c r="I146" s="134"/>
      <c r="J146" s="165"/>
      <c r="K146" s="166"/>
      <c r="L146" s="321"/>
      <c r="M146" s="315"/>
    </row>
    <row r="147" spans="2:13" x14ac:dyDescent="0.25">
      <c r="B147" s="145" t="str">
        <f t="shared" si="4"/>
        <v>MAPEBAND EASY H130 ROLLO 10M</v>
      </c>
      <c r="C147" s="143">
        <f t="shared" si="4"/>
        <v>1</v>
      </c>
      <c r="D147" s="155">
        <f>'DETALLE DE VENTAS'!AC265</f>
        <v>0</v>
      </c>
      <c r="E147" s="99">
        <f t="shared" si="5"/>
        <v>40</v>
      </c>
      <c r="F147" s="143">
        <v>22.95</v>
      </c>
      <c r="G147" s="144">
        <f t="shared" si="6"/>
        <v>17.05</v>
      </c>
      <c r="H147" s="176">
        <f>'DETALLE DE VENTAS'!AE265</f>
        <v>0</v>
      </c>
      <c r="I147" s="134"/>
      <c r="J147" s="165"/>
      <c r="K147" s="166"/>
      <c r="L147" s="321"/>
      <c r="M147" s="315"/>
    </row>
    <row r="148" spans="2:13" x14ac:dyDescent="0.25">
      <c r="B148" s="145" t="str">
        <f t="shared" si="4"/>
        <v>AQUAFLEX TECHO MAXI 5GL BLANCO</v>
      </c>
      <c r="C148" s="143">
        <f t="shared" si="4"/>
        <v>12</v>
      </c>
      <c r="D148" s="155">
        <f>'DETALLE DE VENTAS'!AC266</f>
        <v>0</v>
      </c>
      <c r="E148" s="99">
        <f t="shared" si="5"/>
        <v>1590</v>
      </c>
      <c r="F148" s="143">
        <v>1294.71</v>
      </c>
      <c r="G148" s="144">
        <f t="shared" si="6"/>
        <v>295.28999999999996</v>
      </c>
      <c r="H148" s="176">
        <f>'DETALLE DE VENTAS'!AE266</f>
        <v>0</v>
      </c>
      <c r="I148" s="134"/>
      <c r="J148" s="165"/>
      <c r="K148" s="166"/>
      <c r="L148" s="321"/>
      <c r="M148" s="315"/>
    </row>
    <row r="149" spans="2:13" x14ac:dyDescent="0.25">
      <c r="B149" s="145" t="str">
        <f t="shared" si="4"/>
        <v>AQUAFLEX TECHO MAXI GL BLANCO</v>
      </c>
      <c r="C149" s="143">
        <f t="shared" si="4"/>
        <v>6</v>
      </c>
      <c r="D149" s="155">
        <f>'DETALLE DE VENTAS'!AC267</f>
        <v>8</v>
      </c>
      <c r="E149" s="99">
        <f t="shared" si="5"/>
        <v>210</v>
      </c>
      <c r="F149" s="143">
        <v>164.04</v>
      </c>
      <c r="G149" s="144">
        <f t="shared" si="6"/>
        <v>45.960000000000008</v>
      </c>
      <c r="H149" s="176">
        <f>'DETALLE DE VENTAS'!AE267</f>
        <v>178.4</v>
      </c>
      <c r="I149" s="134"/>
      <c r="J149" s="165"/>
      <c r="K149" s="166"/>
      <c r="L149" s="321"/>
      <c r="M149" s="315"/>
    </row>
    <row r="150" spans="2:13" x14ac:dyDescent="0.25">
      <c r="B150" s="145" t="str">
        <f t="shared" si="4"/>
        <v>AQUAFLEX TECHO MAXI 5GL GRIS</v>
      </c>
      <c r="C150" s="143">
        <f t="shared" si="4"/>
        <v>13</v>
      </c>
      <c r="D150" s="155">
        <f>'DETALLE DE VENTAS'!AC268</f>
        <v>5</v>
      </c>
      <c r="E150" s="99">
        <f t="shared" si="5"/>
        <v>1730</v>
      </c>
      <c r="F150" s="143">
        <v>1445.53</v>
      </c>
      <c r="G150" s="144">
        <f t="shared" si="6"/>
        <v>284.47000000000003</v>
      </c>
      <c r="H150" s="176">
        <f>'DETALLE DE VENTAS'!AE268</f>
        <v>520</v>
      </c>
      <c r="I150" s="134"/>
      <c r="J150" s="165"/>
      <c r="K150" s="166"/>
      <c r="L150" s="321"/>
      <c r="M150" s="315"/>
    </row>
    <row r="151" spans="2:13" x14ac:dyDescent="0.25">
      <c r="B151" s="145" t="str">
        <f t="shared" si="4"/>
        <v>AQUAFLEX TECHO MAXI GL GRIS</v>
      </c>
      <c r="C151" s="143">
        <f t="shared" si="4"/>
        <v>6</v>
      </c>
      <c r="D151" s="155">
        <f>'DETALLE DE VENTAS'!AC269</f>
        <v>9</v>
      </c>
      <c r="E151" s="99">
        <f t="shared" si="5"/>
        <v>210</v>
      </c>
      <c r="F151" s="143">
        <v>164.04</v>
      </c>
      <c r="G151" s="144">
        <f t="shared" si="6"/>
        <v>45.960000000000008</v>
      </c>
      <c r="H151" s="176">
        <f>'DETALLE DE VENTAS'!AE269</f>
        <v>200.70000000000002</v>
      </c>
      <c r="I151" s="134"/>
      <c r="J151" s="165"/>
      <c r="K151" s="166"/>
      <c r="L151" s="321"/>
      <c r="M151" s="315"/>
    </row>
    <row r="152" spans="2:13" x14ac:dyDescent="0.25">
      <c r="B152" s="145" t="str">
        <f t="shared" si="4"/>
        <v>AQUAFLEX TECHO MAXI 5GL ROJO</v>
      </c>
      <c r="C152" s="143">
        <f t="shared" si="4"/>
        <v>5</v>
      </c>
      <c r="D152" s="155">
        <f>'DETALLE DE VENTAS'!AC270</f>
        <v>6</v>
      </c>
      <c r="E152" s="99">
        <f t="shared" si="5"/>
        <v>660</v>
      </c>
      <c r="F152" s="143">
        <v>607.1</v>
      </c>
      <c r="G152" s="144">
        <f t="shared" si="6"/>
        <v>52.899999999999977</v>
      </c>
      <c r="H152" s="176">
        <f>'DETALLE DE VENTAS'!AE270</f>
        <v>624</v>
      </c>
      <c r="I152" s="134"/>
      <c r="J152" s="165"/>
      <c r="K152" s="166"/>
      <c r="L152" s="321"/>
      <c r="M152" s="315"/>
    </row>
    <row r="153" spans="2:13" x14ac:dyDescent="0.25">
      <c r="B153" s="145" t="str">
        <f t="shared" si="4"/>
        <v>AQUAFLEX TECHO MAXI GL ROJO</v>
      </c>
      <c r="C153" s="143">
        <f t="shared" si="4"/>
        <v>4</v>
      </c>
      <c r="D153" s="155">
        <f>'DETALLE DE VENTAS'!AC271</f>
        <v>0</v>
      </c>
      <c r="E153" s="99">
        <f t="shared" si="5"/>
        <v>140</v>
      </c>
      <c r="F153" s="143">
        <v>87.96</v>
      </c>
      <c r="G153" s="144">
        <f t="shared" si="6"/>
        <v>52.040000000000006</v>
      </c>
      <c r="H153" s="176">
        <f>'DETALLE DE VENTAS'!AE271</f>
        <v>0</v>
      </c>
      <c r="I153" s="134"/>
      <c r="J153" s="165"/>
      <c r="K153" s="166"/>
      <c r="L153" s="321"/>
      <c r="M153" s="315"/>
    </row>
    <row r="154" spans="2:13" ht="24" x14ac:dyDescent="0.25">
      <c r="B154" s="145" t="str">
        <f t="shared" si="4"/>
        <v>MAPEFLEX MS CRYSTAL CART 300ML TRANSP</v>
      </c>
      <c r="C154" s="143">
        <f t="shared" si="4"/>
        <v>9</v>
      </c>
      <c r="D154" s="155">
        <f>'DETALLE DE VENTAS'!AC272</f>
        <v>4</v>
      </c>
      <c r="E154" s="99">
        <f t="shared" si="5"/>
        <v>160</v>
      </c>
      <c r="F154" s="143">
        <v>96.3</v>
      </c>
      <c r="G154" s="144">
        <f t="shared" si="6"/>
        <v>63.7</v>
      </c>
      <c r="H154" s="176">
        <f>'DETALLE DE VENTAS'!AE272</f>
        <v>42</v>
      </c>
      <c r="I154" s="134"/>
      <c r="J154" s="165"/>
      <c r="K154" s="166"/>
      <c r="L154" s="321"/>
      <c r="M154" s="315"/>
    </row>
    <row r="155" spans="2:13" ht="24" x14ac:dyDescent="0.25">
      <c r="B155" s="145" t="str">
        <f t="shared" si="4"/>
        <v>MAPEFLEX MS 45 CART 300ML BLANCO</v>
      </c>
      <c r="C155" s="143">
        <f t="shared" si="4"/>
        <v>0</v>
      </c>
      <c r="D155" s="155">
        <f>'DETALLE DE VENTAS'!AC273</f>
        <v>2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VENTAS'!AE273</f>
        <v>21</v>
      </c>
      <c r="I155" s="134"/>
      <c r="J155" s="165"/>
      <c r="K155" s="166"/>
      <c r="L155" s="321"/>
      <c r="M155" s="315"/>
    </row>
    <row r="156" spans="2:13" x14ac:dyDescent="0.25">
      <c r="B156" s="145" t="str">
        <f t="shared" si="4"/>
        <v>MAPEFLEX MS 45 CART 300ML GRIS</v>
      </c>
      <c r="C156" s="143">
        <f t="shared" si="4"/>
        <v>0</v>
      </c>
      <c r="D156" s="155">
        <f>'DETALLE DE VENTAS'!AC274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VENTAS'!AE274</f>
        <v>21</v>
      </c>
      <c r="I156" s="134"/>
      <c r="J156" s="165"/>
      <c r="K156" s="166"/>
      <c r="L156" s="321"/>
      <c r="M156" s="315"/>
    </row>
    <row r="157" spans="2:13" x14ac:dyDescent="0.25">
      <c r="B157" s="145" t="str">
        <f t="shared" si="4"/>
        <v>MAPEFLEX AC4 CART 300ML BLANCO</v>
      </c>
      <c r="C157" s="143">
        <f t="shared" si="4"/>
        <v>4</v>
      </c>
      <c r="D157" s="155">
        <f>'DETALLE DE VENTAS'!AC275</f>
        <v>9</v>
      </c>
      <c r="E157" s="99">
        <f t="shared" si="5"/>
        <v>28</v>
      </c>
      <c r="F157" s="143">
        <v>15.67</v>
      </c>
      <c r="G157" s="144">
        <f t="shared" si="6"/>
        <v>12.33</v>
      </c>
      <c r="H157" s="176">
        <f>'DETALLE DE VENTAS'!AE275</f>
        <v>34.92</v>
      </c>
      <c r="I157" s="134"/>
      <c r="J157" s="165"/>
      <c r="K157" s="166"/>
      <c r="L157" s="321"/>
      <c r="M157" s="315"/>
    </row>
    <row r="158" spans="2:13" x14ac:dyDescent="0.25">
      <c r="B158" s="145" t="str">
        <f t="shared" si="4"/>
        <v>MAPESIL U TRANSP CART 280ML</v>
      </c>
      <c r="C158" s="143">
        <f t="shared" si="4"/>
        <v>5</v>
      </c>
      <c r="D158" s="155">
        <f>'DETALLE DE VENTAS'!AC276</f>
        <v>-4</v>
      </c>
      <c r="E158" s="99">
        <f t="shared" si="5"/>
        <v>35</v>
      </c>
      <c r="F158" s="143">
        <v>18.399999999999999</v>
      </c>
      <c r="G158" s="144">
        <f t="shared" si="6"/>
        <v>16.600000000000001</v>
      </c>
      <c r="H158" s="176">
        <f>'DETALLE DE VENTAS'!AE276</f>
        <v>-18</v>
      </c>
      <c r="I158" s="134"/>
      <c r="J158" s="165"/>
      <c r="K158" s="166"/>
      <c r="L158" s="321"/>
      <c r="M158" s="315"/>
    </row>
    <row r="159" spans="2:13" ht="24" x14ac:dyDescent="0.25">
      <c r="B159" s="145" t="str">
        <f t="shared" si="4"/>
        <v>ULTRABOND SUPER GRIP CART 310ML</v>
      </c>
      <c r="C159" s="143">
        <f t="shared" si="4"/>
        <v>0</v>
      </c>
      <c r="D159" s="155">
        <f>'DETALLE DE VENTAS'!AC277</f>
        <v>2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VENTAS'!AE277</f>
        <v>11.26</v>
      </c>
      <c r="I159" s="134"/>
      <c r="J159" s="165"/>
      <c r="K159" s="166"/>
      <c r="L159" s="321"/>
      <c r="M159" s="315"/>
    </row>
    <row r="160" spans="2:13" x14ac:dyDescent="0.25">
      <c r="B160" s="145" t="str">
        <f t="shared" si="4"/>
        <v>MAPEUR UNIV FOAM LATA 500ML</v>
      </c>
      <c r="C160" s="143">
        <f t="shared" si="4"/>
        <v>0</v>
      </c>
      <c r="D160" s="155">
        <f>'DETALLE DE VENTAS'!AC278</f>
        <v>2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VENTAS'!AE278</f>
        <v>16.3</v>
      </c>
      <c r="I160" s="134"/>
      <c r="J160" s="165"/>
      <c r="K160" s="166"/>
      <c r="L160" s="321"/>
      <c r="M160" s="315"/>
    </row>
    <row r="161" spans="2:13" x14ac:dyDescent="0.25">
      <c r="B161" s="145" t="str">
        <f t="shared" si="4"/>
        <v>MAPEUR UNIV FOAM LATA 750ML</v>
      </c>
      <c r="C161" s="143">
        <f t="shared" si="4"/>
        <v>1</v>
      </c>
      <c r="D161" s="155">
        <f>'DETALLE DE VENTAS'!AC279</f>
        <v>2</v>
      </c>
      <c r="E161" s="99">
        <f t="shared" si="5"/>
        <v>18</v>
      </c>
      <c r="F161" s="143">
        <v>10.220000000000001</v>
      </c>
      <c r="G161" s="144">
        <f t="shared" si="6"/>
        <v>7.7799999999999994</v>
      </c>
      <c r="H161" s="176">
        <f>'DETALLE DE VENTAS'!AE279</f>
        <v>20</v>
      </c>
      <c r="I161" s="134"/>
      <c r="J161" s="165"/>
      <c r="K161" s="166"/>
      <c r="L161" s="321"/>
      <c r="M161" s="315"/>
    </row>
    <row r="162" spans="2:13" ht="24" x14ac:dyDescent="0.25">
      <c r="B162" s="145" t="str">
        <f t="shared" si="4"/>
        <v>EPORIP COMP A+B TARRO 1,5 KG + 0,5 KG</v>
      </c>
      <c r="C162" s="143">
        <f t="shared" si="4"/>
        <v>0</v>
      </c>
      <c r="D162" s="155">
        <f>'DETALLE DE VENTAS'!AC280</f>
        <v>1</v>
      </c>
      <c r="E162" s="99">
        <f t="shared" si="5"/>
        <v>0</v>
      </c>
      <c r="F162" s="143">
        <v>0</v>
      </c>
      <c r="G162" s="144">
        <f t="shared" si="6"/>
        <v>0</v>
      </c>
      <c r="H162" s="176">
        <f>'DETALLE DE VENTAS'!AE280</f>
        <v>62.65</v>
      </c>
      <c r="I162" s="134"/>
      <c r="J162" s="165"/>
      <c r="K162" s="166"/>
      <c r="L162" s="321"/>
      <c r="M162" s="315"/>
    </row>
    <row r="163" spans="2:13" x14ac:dyDescent="0.25">
      <c r="B163" s="145" t="str">
        <f t="shared" si="4"/>
        <v>ADESILEX PG1 COMP A+B TARRO 2KG</v>
      </c>
      <c r="C163" s="143">
        <f t="shared" si="4"/>
        <v>0</v>
      </c>
      <c r="D163" s="155">
        <f>'DETALLE DE VENTAS'!AC281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VENTAS'!AE281</f>
        <v>55.24</v>
      </c>
      <c r="I163" s="134"/>
      <c r="J163" s="165"/>
      <c r="K163" s="166"/>
      <c r="L163" s="321"/>
      <c r="M163" s="315"/>
    </row>
    <row r="164" spans="2:13" ht="24" x14ac:dyDescent="0.25">
      <c r="B164" s="145" t="str">
        <f t="shared" si="4"/>
        <v>KERACOLOR FF 100 BLANCO BOLSA 2KG</v>
      </c>
      <c r="C164" s="143">
        <f t="shared" si="4"/>
        <v>13</v>
      </c>
      <c r="D164" s="155">
        <f>'DETALLE DE VENTAS'!AC282</f>
        <v>29</v>
      </c>
      <c r="E164" s="99">
        <f t="shared" si="5"/>
        <v>117</v>
      </c>
      <c r="F164" s="143">
        <v>79.3</v>
      </c>
      <c r="G164" s="144">
        <f t="shared" si="6"/>
        <v>37.700000000000003</v>
      </c>
      <c r="H164" s="176">
        <f>'DETALLE DE VENTAS'!AE282</f>
        <v>176.89999999999998</v>
      </c>
      <c r="I164" s="134"/>
      <c r="J164" s="165"/>
      <c r="K164" s="166"/>
      <c r="L164" s="321"/>
      <c r="M164" s="315"/>
    </row>
    <row r="165" spans="2:13" ht="24" x14ac:dyDescent="0.25">
      <c r="B165" s="145" t="str">
        <f t="shared" si="4"/>
        <v>KERACOLOR FF 113 GRIS CEMENTO BOLSA 2KG</v>
      </c>
      <c r="C165" s="143">
        <f t="shared" si="4"/>
        <v>12</v>
      </c>
      <c r="D165" s="155">
        <f>'DETALLE DE VENTAS'!AC283</f>
        <v>4</v>
      </c>
      <c r="E165" s="99">
        <f t="shared" si="5"/>
        <v>108</v>
      </c>
      <c r="F165" s="143">
        <v>73.2</v>
      </c>
      <c r="G165" s="144">
        <f t="shared" si="6"/>
        <v>34.799999999999997</v>
      </c>
      <c r="H165" s="176">
        <f>'DETALLE DE VENTAS'!AE283</f>
        <v>24.4</v>
      </c>
      <c r="I165" s="134"/>
      <c r="J165" s="165"/>
      <c r="K165" s="166"/>
      <c r="L165" s="321"/>
      <c r="M165" s="315"/>
    </row>
    <row r="166" spans="2:13" ht="24" x14ac:dyDescent="0.25">
      <c r="B166" s="145" t="str">
        <f t="shared" si="4"/>
        <v>KERACOLOR FF 112 GRIS MEDIO BOLSA 5KG</v>
      </c>
      <c r="C166" s="143">
        <f t="shared" si="4"/>
        <v>0</v>
      </c>
      <c r="D166" s="155">
        <f>'DETALLE DE VENTAS'!AC284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VENTAS'!AE284</f>
        <v>11.55</v>
      </c>
      <c r="I166" s="134"/>
      <c r="J166" s="165"/>
      <c r="K166" s="166"/>
      <c r="L166" s="321"/>
      <c r="M166" s="315"/>
    </row>
    <row r="167" spans="2:13" ht="24" x14ac:dyDescent="0.25">
      <c r="B167" s="145" t="str">
        <f t="shared" si="4"/>
        <v>KERACOLOR FF 112 GRIS MEDIO BOLSA 2KG</v>
      </c>
      <c r="C167" s="143">
        <f t="shared" si="4"/>
        <v>0</v>
      </c>
      <c r="D167" s="155">
        <f>'DETALLE DE VENTAS'!AC285</f>
        <v>10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VENTAS'!AE285</f>
        <v>61</v>
      </c>
      <c r="I167" s="134"/>
      <c r="J167" s="165"/>
      <c r="K167" s="166"/>
      <c r="L167" s="321"/>
      <c r="M167" s="315"/>
    </row>
    <row r="168" spans="2:13" ht="24" x14ac:dyDescent="0.25">
      <c r="B168" s="145" t="str">
        <f t="shared" si="4"/>
        <v>KERACOLOR FF 142 MARRON BOLSA 2KG</v>
      </c>
      <c r="C168" s="143">
        <f t="shared" si="4"/>
        <v>0</v>
      </c>
      <c r="D168" s="155">
        <f>'DETALLE DE VENTAS'!AC286</f>
        <v>3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VENTAS'!AE286</f>
        <v>18.299999999999997</v>
      </c>
      <c r="I168" s="134"/>
      <c r="J168" s="165"/>
      <c r="K168" s="166"/>
      <c r="L168" s="321"/>
      <c r="M168" s="315"/>
    </row>
    <row r="169" spans="2:13" ht="24" x14ac:dyDescent="0.25">
      <c r="B169" s="145" t="str">
        <f t="shared" si="4"/>
        <v>KERACOLOR FF 142 MARRON BOLSA 5KG</v>
      </c>
      <c r="C169" s="143">
        <f t="shared" si="4"/>
        <v>0</v>
      </c>
      <c r="D169" s="155">
        <f>'DETALLE DE VENTAS'!AC287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VENTAS'!AE287</f>
        <v>11.55</v>
      </c>
      <c r="I169" s="134"/>
      <c r="J169" s="165"/>
      <c r="K169" s="166"/>
      <c r="L169" s="321"/>
      <c r="M169" s="315"/>
    </row>
    <row r="170" spans="2:13" ht="24" x14ac:dyDescent="0.25">
      <c r="B170" s="145" t="str">
        <f t="shared" si="4"/>
        <v>KERACOLOR FF 166 FANGO BOLSA 2KG</v>
      </c>
      <c r="C170" s="143">
        <f t="shared" si="4"/>
        <v>0</v>
      </c>
      <c r="D170" s="155">
        <f>'DETALLE DE VENTAS'!AC288</f>
        <v>2</v>
      </c>
      <c r="E170" s="99">
        <f t="shared" si="5"/>
        <v>0</v>
      </c>
      <c r="F170" s="143">
        <v>0</v>
      </c>
      <c r="G170" s="144">
        <f t="shared" si="6"/>
        <v>0</v>
      </c>
      <c r="H170" s="176">
        <f>'DETALLE DE VENTAS'!AE288</f>
        <v>12.2</v>
      </c>
      <c r="I170" s="134"/>
      <c r="J170" s="165"/>
      <c r="K170" s="166"/>
      <c r="L170" s="321"/>
      <c r="M170" s="315"/>
    </row>
    <row r="171" spans="2:13" ht="24" x14ac:dyDescent="0.25">
      <c r="B171" s="145" t="str">
        <f t="shared" si="4"/>
        <v>KERACOLOR FF 132 BEIGE BOLSA 2KG</v>
      </c>
      <c r="C171" s="143">
        <f t="shared" si="4"/>
        <v>0</v>
      </c>
      <c r="D171" s="155">
        <f>'DETALLE DE VENTAS'!AC289</f>
        <v>2</v>
      </c>
      <c r="E171" s="99">
        <f t="shared" si="5"/>
        <v>0</v>
      </c>
      <c r="F171" s="143">
        <v>0</v>
      </c>
      <c r="G171" s="144">
        <f t="shared" si="6"/>
        <v>0</v>
      </c>
      <c r="H171" s="176">
        <f>'DETALLE DE VENTAS'!AE289</f>
        <v>12.2</v>
      </c>
      <c r="I171" s="134"/>
      <c r="J171" s="165"/>
      <c r="K171" s="166"/>
      <c r="L171" s="321"/>
      <c r="M171" s="315"/>
    </row>
    <row r="172" spans="2:13" ht="24" x14ac:dyDescent="0.25">
      <c r="B172" s="145" t="str">
        <f t="shared" si="4"/>
        <v>KERACOLOR FF 136 BARRO FANGO BOLSA 5KG</v>
      </c>
      <c r="C172" s="143">
        <f t="shared" si="4"/>
        <v>0</v>
      </c>
      <c r="D172" s="155">
        <f>'DETALLE DE VENTAS'!AC290</f>
        <v>1</v>
      </c>
      <c r="E172" s="99">
        <f t="shared" si="5"/>
        <v>0</v>
      </c>
      <c r="F172" s="143">
        <v>0</v>
      </c>
      <c r="G172" s="144">
        <f t="shared" si="6"/>
        <v>0</v>
      </c>
      <c r="H172" s="176">
        <f>'DETALLE DE VENTAS'!AE290</f>
        <v>11.55</v>
      </c>
      <c r="I172" s="134"/>
      <c r="J172" s="165"/>
      <c r="K172" s="166"/>
      <c r="L172" s="321"/>
      <c r="M172" s="315"/>
    </row>
    <row r="173" spans="2:13" x14ac:dyDescent="0.25">
      <c r="B173" s="145" t="str">
        <f>B71</f>
        <v>KERACOLOR FF 114 ANTRACITA 2KG</v>
      </c>
      <c r="C173" s="143">
        <f>C71</f>
        <v>0</v>
      </c>
      <c r="D173" s="155">
        <f>'DETALLE DE VENTAS'!AC291</f>
        <v>15</v>
      </c>
      <c r="E173" s="99">
        <f>D71</f>
        <v>0</v>
      </c>
      <c r="F173" s="143">
        <v>0</v>
      </c>
      <c r="G173" s="144">
        <f t="shared" si="6"/>
        <v>0</v>
      </c>
      <c r="H173" s="176">
        <f>'DETALLE DE VENTAS'!AE291</f>
        <v>91.5</v>
      </c>
      <c r="I173" s="134"/>
      <c r="J173" s="165"/>
      <c r="K173" s="166"/>
      <c r="L173" s="321"/>
      <c r="M173" s="315"/>
    </row>
    <row r="174" spans="2:13" ht="25.15" customHeight="1" x14ac:dyDescent="0.25">
      <c r="B174" s="145" t="str">
        <f>B88</f>
        <v>ROLLO POLIESTER 10M REFUERZO P/ AQUAFLEX</v>
      </c>
      <c r="C174" s="143">
        <f>C88</f>
        <v>1</v>
      </c>
      <c r="D174" s="155">
        <v>0</v>
      </c>
      <c r="E174" s="99">
        <f>D88</f>
        <v>9</v>
      </c>
      <c r="F174" s="143">
        <v>0</v>
      </c>
      <c r="G174" s="144">
        <f>E174-F174</f>
        <v>9</v>
      </c>
      <c r="H174" s="176">
        <f>'DETALLE DE VENTAS'!AE292</f>
        <v>203.35999999999999</v>
      </c>
      <c r="I174" s="134"/>
      <c r="J174" s="165"/>
      <c r="K174" s="166"/>
      <c r="L174" s="321"/>
      <c r="M174" s="315"/>
    </row>
    <row r="175" spans="2:13" x14ac:dyDescent="0.25">
      <c r="B175" s="147"/>
      <c r="C175" s="142"/>
      <c r="D175" s="142"/>
      <c r="E175" s="99">
        <f>SUM(E141:E174)</f>
        <v>5477</v>
      </c>
      <c r="F175" s="99">
        <f>SUM(F141:F174)</f>
        <v>4333.54</v>
      </c>
      <c r="G175" s="156">
        <f>SUM(G141:G174)</f>
        <v>1143.4599999999998</v>
      </c>
      <c r="H175" s="99">
        <f>SUM(H141:H174)</f>
        <v>2736.6800000000007</v>
      </c>
      <c r="I175" s="134"/>
      <c r="J175" s="322"/>
      <c r="K175" s="142"/>
      <c r="L175" s="250"/>
      <c r="M175" s="250"/>
    </row>
    <row r="176" spans="2:13" ht="13.15" customHeight="1" x14ac:dyDescent="0.25">
      <c r="B176" s="142"/>
      <c r="C176" s="142"/>
      <c r="D176" s="142"/>
      <c r="E176" s="142"/>
      <c r="F176" s="142"/>
      <c r="G176" s="169">
        <f>G175/F175</f>
        <v>0.26386280038951987</v>
      </c>
      <c r="H176" s="134"/>
      <c r="I176" s="134"/>
    </row>
    <row r="177" spans="2:10" ht="20.45" customHeight="1" x14ac:dyDescent="0.25">
      <c r="B177" s="142"/>
      <c r="C177" s="142"/>
      <c r="D177" s="142"/>
      <c r="E177" s="142"/>
      <c r="F177" s="142"/>
      <c r="G177" s="142"/>
      <c r="H177" s="169"/>
      <c r="I177" s="134"/>
      <c r="J177" s="134"/>
    </row>
    <row r="178" spans="2:10" ht="14.45" customHeight="1" x14ac:dyDescent="0.25">
      <c r="B178" s="142"/>
      <c r="C178" s="142"/>
      <c r="D178" s="142"/>
      <c r="E178" s="142"/>
      <c r="F178" s="142"/>
      <c r="G178" s="142"/>
      <c r="H178" s="169"/>
      <c r="I178" s="134"/>
      <c r="J178" s="134"/>
    </row>
    <row r="179" spans="2:10" x14ac:dyDescent="0.25">
      <c r="B179" s="694" t="s">
        <v>84</v>
      </c>
      <c r="C179" s="694"/>
      <c r="D179" s="694"/>
      <c r="E179" s="694"/>
      <c r="F179" s="694"/>
      <c r="G179" s="694"/>
      <c r="H179" s="694"/>
      <c r="I179" s="268"/>
      <c r="J179" s="134"/>
    </row>
    <row r="180" spans="2:10" ht="24" x14ac:dyDescent="0.25">
      <c r="B180" s="131" t="s">
        <v>2</v>
      </c>
      <c r="C180" s="150" t="s">
        <v>78</v>
      </c>
      <c r="D180" s="150" t="s">
        <v>79</v>
      </c>
      <c r="E180" s="150" t="s">
        <v>92</v>
      </c>
      <c r="F180" s="150" t="s">
        <v>91</v>
      </c>
      <c r="G180" s="157" t="s">
        <v>75</v>
      </c>
      <c r="H180" s="176" t="s">
        <v>102</v>
      </c>
      <c r="I180" s="134"/>
    </row>
    <row r="181" spans="2:10" x14ac:dyDescent="0.25">
      <c r="B181" s="145" t="str">
        <f>B66</f>
        <v>Lamina Sinoxsa Calibre 28</v>
      </c>
      <c r="C181" s="143">
        <f>C66</f>
        <v>0</v>
      </c>
      <c r="D181" s="155">
        <f>'DETALLE DE VENTAS'!Q297</f>
        <v>52</v>
      </c>
      <c r="E181" s="141">
        <f>D66</f>
        <v>0</v>
      </c>
      <c r="F181" s="141">
        <v>0</v>
      </c>
      <c r="G181" s="340">
        <f>E181-F181</f>
        <v>0</v>
      </c>
      <c r="H181" s="176">
        <f>'DETALLE DE VENTAS'!R297</f>
        <v>676</v>
      </c>
      <c r="I181" s="134"/>
    </row>
    <row r="182" spans="2:10" x14ac:dyDescent="0.25">
      <c r="B182" s="145" t="str">
        <f>B67</f>
        <v>TUBO RECT 2X1 GALV 6MTS</v>
      </c>
      <c r="C182" s="143">
        <f>C67</f>
        <v>0</v>
      </c>
      <c r="D182" s="155">
        <f>'DETALLE DE VENTAS'!Q298</f>
        <v>16</v>
      </c>
      <c r="E182" s="141">
        <f>D67</f>
        <v>0</v>
      </c>
      <c r="F182" s="141">
        <v>0</v>
      </c>
      <c r="G182" s="340">
        <f t="shared" ref="G182:G197" si="7">E182-F182</f>
        <v>0</v>
      </c>
      <c r="H182" s="176">
        <f>'DETALLE DE VENTAS'!R298</f>
        <v>232.16</v>
      </c>
      <c r="I182" s="134"/>
    </row>
    <row r="183" spans="2:10" x14ac:dyDescent="0.25">
      <c r="B183" s="145" t="str">
        <f>B70</f>
        <v>LAMINA ZINC ONDULADA 80 X 3,66</v>
      </c>
      <c r="C183" s="143">
        <f>C70</f>
        <v>28</v>
      </c>
      <c r="D183" s="155">
        <f>'DETALLE DE VENTAS'!Q299</f>
        <v>16</v>
      </c>
      <c r="E183" s="141">
        <f>D70</f>
        <v>420</v>
      </c>
      <c r="F183" s="141">
        <v>336</v>
      </c>
      <c r="G183" s="340">
        <f t="shared" si="7"/>
        <v>84</v>
      </c>
      <c r="H183" s="176">
        <f>'DETALLE DE VENTAS'!R299</f>
        <v>192</v>
      </c>
      <c r="I183" s="134"/>
    </row>
    <row r="184" spans="2:10" x14ac:dyDescent="0.25">
      <c r="B184" s="145" t="str">
        <f t="shared" ref="B184:C197" si="8">B72</f>
        <v>LAMINA ZINC 80 X 3,05 ONDULADA</v>
      </c>
      <c r="C184" s="143">
        <f t="shared" si="8"/>
        <v>0</v>
      </c>
      <c r="D184" s="155">
        <f>'DETALLE DE VENTAS'!Q300</f>
        <v>15</v>
      </c>
      <c r="E184" s="141">
        <f t="shared" ref="E184:E197" si="9">D72</f>
        <v>0</v>
      </c>
      <c r="F184" s="141">
        <v>0</v>
      </c>
      <c r="G184" s="340">
        <f t="shared" si="7"/>
        <v>0</v>
      </c>
      <c r="H184" s="176">
        <f>'DETALLE DE VENTAS'!R300</f>
        <v>150</v>
      </c>
      <c r="I184" s="134"/>
    </row>
    <row r="185" spans="2:10" x14ac:dyDescent="0.25">
      <c r="B185" s="145" t="str">
        <f t="shared" si="8"/>
        <v>LAMINA ZINC 80 X 2,40 ONDULADA</v>
      </c>
      <c r="C185" s="143">
        <f t="shared" si="8"/>
        <v>0</v>
      </c>
      <c r="D185" s="155">
        <f>'DETALLE DE VENTAS'!Q301</f>
        <v>12</v>
      </c>
      <c r="E185" s="141">
        <f t="shared" si="9"/>
        <v>0</v>
      </c>
      <c r="F185" s="141">
        <v>0</v>
      </c>
      <c r="G185" s="340">
        <f t="shared" si="7"/>
        <v>0</v>
      </c>
      <c r="H185" s="176">
        <f>'DETALLE DE VENTAS'!R301</f>
        <v>96</v>
      </c>
      <c r="I185" s="134"/>
    </row>
    <row r="186" spans="2:10" x14ac:dyDescent="0.25">
      <c r="B186" s="145" t="str">
        <f t="shared" si="8"/>
        <v>TUBO GALV CUADRADO 2X2 6MTS</v>
      </c>
      <c r="C186" s="143">
        <f t="shared" si="8"/>
        <v>0</v>
      </c>
      <c r="D186" s="155">
        <f>'DETALLE DE VENTAS'!Q302</f>
        <v>10</v>
      </c>
      <c r="E186" s="141">
        <f t="shared" si="9"/>
        <v>0</v>
      </c>
      <c r="F186" s="141">
        <v>0</v>
      </c>
      <c r="G186" s="340">
        <f t="shared" si="7"/>
        <v>0</v>
      </c>
      <c r="H186" s="176">
        <f>'DETALLE DE VENTAS'!R302</f>
        <v>263.29999999999995</v>
      </c>
      <c r="I186" s="134"/>
    </row>
    <row r="187" spans="2:10" x14ac:dyDescent="0.25">
      <c r="B187" s="145" t="str">
        <f t="shared" si="8"/>
        <v>TUBO CUADRADO 1X1  6MTS</v>
      </c>
      <c r="C187" s="143">
        <f t="shared" si="8"/>
        <v>0</v>
      </c>
      <c r="D187" s="155">
        <f>'DETALLE DE VENTAS'!Q303</f>
        <v>10</v>
      </c>
      <c r="E187" s="141">
        <f t="shared" si="9"/>
        <v>0</v>
      </c>
      <c r="F187" s="141">
        <v>0</v>
      </c>
      <c r="G187" s="340">
        <f t="shared" si="7"/>
        <v>0</v>
      </c>
      <c r="H187" s="176">
        <f>'DETALLE DE VENTAS'!R303</f>
        <v>99.2</v>
      </c>
      <c r="I187" s="134"/>
    </row>
    <row r="188" spans="2:10" x14ac:dyDescent="0.25">
      <c r="B188" s="145" t="str">
        <f t="shared" si="8"/>
        <v>TUBO CUADRADO 3/4X3/4 6MTS</v>
      </c>
      <c r="C188" s="143">
        <f t="shared" si="8"/>
        <v>4</v>
      </c>
      <c r="D188" s="155">
        <f>'DETALLE DE VENTAS'!Q304</f>
        <v>3</v>
      </c>
      <c r="E188" s="141">
        <f t="shared" si="9"/>
        <v>36</v>
      </c>
      <c r="F188" s="141">
        <v>29.04</v>
      </c>
      <c r="G188" s="340">
        <f t="shared" si="7"/>
        <v>6.9600000000000009</v>
      </c>
      <c r="H188" s="176">
        <f>'DETALLE DE VENTAS'!R304</f>
        <v>21.78</v>
      </c>
      <c r="I188" s="134"/>
    </row>
    <row r="189" spans="2:10" x14ac:dyDescent="0.25">
      <c r="B189" s="145" t="str">
        <f t="shared" si="8"/>
        <v>TUBO RECT GALV 3X1 6MTS</v>
      </c>
      <c r="C189" s="143">
        <f t="shared" si="8"/>
        <v>0</v>
      </c>
      <c r="D189" s="155">
        <f>'DETALLE DE VENTAS'!Q305</f>
        <v>5</v>
      </c>
      <c r="E189" s="141">
        <f t="shared" si="9"/>
        <v>0</v>
      </c>
      <c r="F189" s="141">
        <v>0</v>
      </c>
      <c r="G189" s="340">
        <f t="shared" si="7"/>
        <v>0</v>
      </c>
      <c r="H189" s="176">
        <f>'DETALLE DE VENTAS'!R305</f>
        <v>131.64999999999998</v>
      </c>
      <c r="I189" s="134"/>
    </row>
    <row r="190" spans="2:10" x14ac:dyDescent="0.25">
      <c r="B190" s="145" t="str">
        <f t="shared" si="8"/>
        <v>ANGULO SID 25X25X3MM 6MTS</v>
      </c>
      <c r="C190" s="143">
        <f t="shared" si="8"/>
        <v>3</v>
      </c>
      <c r="D190" s="155">
        <f>'DETALLE DE VENTAS'!Q306</f>
        <v>6</v>
      </c>
      <c r="E190" s="141">
        <f t="shared" si="9"/>
        <v>48</v>
      </c>
      <c r="F190" s="141">
        <v>38.01</v>
      </c>
      <c r="G190" s="340">
        <f t="shared" si="7"/>
        <v>9.990000000000002</v>
      </c>
      <c r="H190" s="176">
        <f>'DETALLE DE VENTAS'!R306</f>
        <v>76.02</v>
      </c>
      <c r="I190" s="134"/>
    </row>
    <row r="191" spans="2:10" x14ac:dyDescent="0.25">
      <c r="B191" s="145" t="str">
        <f t="shared" si="8"/>
        <v>ANGULO SID 30X30X3MM 6MTS</v>
      </c>
      <c r="C191" s="143">
        <f t="shared" si="8"/>
        <v>0</v>
      </c>
      <c r="D191" s="155">
        <f>'DETALLE DE VENTAS'!Q307</f>
        <v>8</v>
      </c>
      <c r="E191" s="141">
        <f t="shared" si="9"/>
        <v>0</v>
      </c>
      <c r="F191" s="141">
        <v>0</v>
      </c>
      <c r="G191" s="340">
        <f t="shared" si="7"/>
        <v>0</v>
      </c>
      <c r="H191" s="176">
        <f>'DETALLE DE VENTAS'!R307</f>
        <v>121.44</v>
      </c>
      <c r="I191" s="134"/>
    </row>
    <row r="192" spans="2:10" x14ac:dyDescent="0.25">
      <c r="B192" s="145" t="str">
        <f t="shared" si="8"/>
        <v>ANGULO SID 40X40X4MM 6MTS</v>
      </c>
      <c r="C192" s="143">
        <f t="shared" si="8"/>
        <v>2</v>
      </c>
      <c r="D192" s="155">
        <f>'DETALLE DE VENTAS'!Q308</f>
        <v>6</v>
      </c>
      <c r="E192" s="141">
        <f t="shared" si="9"/>
        <v>68</v>
      </c>
      <c r="F192" s="141">
        <v>53.38</v>
      </c>
      <c r="G192" s="340">
        <f t="shared" si="7"/>
        <v>14.619999999999997</v>
      </c>
      <c r="H192" s="176">
        <f>'DETALLE DE VENTAS'!R308</f>
        <v>160.14000000000001</v>
      </c>
      <c r="I192" s="134"/>
    </row>
    <row r="193" spans="2:10" x14ac:dyDescent="0.25">
      <c r="B193" s="145" t="str">
        <f t="shared" si="8"/>
        <v>PLETINA 3/4X3/16 6MTS</v>
      </c>
      <c r="C193" s="143">
        <f t="shared" si="8"/>
        <v>0</v>
      </c>
      <c r="D193" s="155">
        <f>'DETALLE DE VENTAS'!Q309</f>
        <v>10</v>
      </c>
      <c r="E193" s="141">
        <f t="shared" si="9"/>
        <v>0</v>
      </c>
      <c r="F193" s="141">
        <v>0</v>
      </c>
      <c r="G193" s="340">
        <f t="shared" si="7"/>
        <v>0</v>
      </c>
      <c r="H193" s="176">
        <f>'DETALLE DE VENTAS'!R309</f>
        <v>83.3</v>
      </c>
      <c r="I193" s="134"/>
    </row>
    <row r="194" spans="2:10" x14ac:dyDescent="0.25">
      <c r="B194" s="145" t="str">
        <f t="shared" si="8"/>
        <v>PLETINA 1X3/16 6MTS</v>
      </c>
      <c r="C194" s="143">
        <f t="shared" si="8"/>
        <v>0</v>
      </c>
      <c r="D194" s="155">
        <f>'DETALLE DE VENTAS'!Q310</f>
        <v>10</v>
      </c>
      <c r="E194" s="141">
        <f t="shared" si="9"/>
        <v>0</v>
      </c>
      <c r="F194" s="141">
        <v>0</v>
      </c>
      <c r="G194" s="340">
        <f t="shared" si="7"/>
        <v>0</v>
      </c>
      <c r="H194" s="176">
        <f>'DETALLE DE VENTAS'!R310</f>
        <v>105.9</v>
      </c>
      <c r="I194" s="134"/>
    </row>
    <row r="195" spans="2:10" x14ac:dyDescent="0.25">
      <c r="B195" s="145" t="str">
        <f t="shared" si="8"/>
        <v>PLETINA 1-1/2X1/8 6MTS</v>
      </c>
      <c r="C195" s="143">
        <f t="shared" si="8"/>
        <v>0</v>
      </c>
      <c r="D195" s="155">
        <f>'DETALLE DE VENTAS'!Q311</f>
        <v>10</v>
      </c>
      <c r="E195" s="141">
        <f t="shared" si="9"/>
        <v>0</v>
      </c>
      <c r="F195" s="141">
        <v>0</v>
      </c>
      <c r="G195" s="340">
        <f t="shared" si="7"/>
        <v>0</v>
      </c>
      <c r="H195" s="176">
        <f>'DETALLE DE VENTAS'!R311</f>
        <v>120.5</v>
      </c>
      <c r="I195" s="134"/>
    </row>
    <row r="196" spans="2:10" x14ac:dyDescent="0.25">
      <c r="B196" s="145" t="str">
        <f t="shared" si="8"/>
        <v>PLETINA 1-1/2X3/16 6MTS</v>
      </c>
      <c r="C196" s="143">
        <f t="shared" si="8"/>
        <v>1</v>
      </c>
      <c r="D196" s="155">
        <f>'DETALLE DE VENTAS'!Q312</f>
        <v>9</v>
      </c>
      <c r="E196" s="141">
        <f t="shared" si="9"/>
        <v>20</v>
      </c>
      <c r="F196" s="141">
        <v>15.83</v>
      </c>
      <c r="G196" s="340">
        <f t="shared" si="7"/>
        <v>4.17</v>
      </c>
      <c r="H196" s="176">
        <f>'DETALLE DE VENTAS'!R312</f>
        <v>142.47</v>
      </c>
      <c r="I196" s="134"/>
    </row>
    <row r="197" spans="2:10" x14ac:dyDescent="0.25">
      <c r="B197" s="145" t="str">
        <f t="shared" si="8"/>
        <v>PLETINA 1-1/4X3/16 6MTS</v>
      </c>
      <c r="C197" s="143">
        <f t="shared" si="8"/>
        <v>0</v>
      </c>
      <c r="D197" s="155">
        <f>'DETALLE DE VENTAS'!Q313</f>
        <v>10</v>
      </c>
      <c r="E197" s="141">
        <f t="shared" si="9"/>
        <v>0</v>
      </c>
      <c r="F197" s="141">
        <v>0</v>
      </c>
      <c r="G197" s="340">
        <f t="shared" si="7"/>
        <v>0</v>
      </c>
      <c r="H197" s="176">
        <f>'DETALLE DE VENTAS'!R313</f>
        <v>132</v>
      </c>
      <c r="I197" s="134"/>
    </row>
    <row r="198" spans="2:10" x14ac:dyDescent="0.25">
      <c r="B198" s="147"/>
      <c r="C198" s="142"/>
      <c r="D198" s="142"/>
      <c r="E198" s="341">
        <f>SUM(E181:E197)</f>
        <v>592</v>
      </c>
      <c r="F198" s="341">
        <f>SUM(F181:F197)</f>
        <v>472.26</v>
      </c>
      <c r="G198" s="341">
        <f>SUM(G181:G197)</f>
        <v>119.74000000000002</v>
      </c>
      <c r="H198" s="341">
        <f>SUM(H181:H197)</f>
        <v>2803.8599999999997</v>
      </c>
      <c r="I198" s="134"/>
    </row>
    <row r="199" spans="2:10" ht="16.149999999999999" customHeight="1" x14ac:dyDescent="0.25">
      <c r="B199" s="142"/>
      <c r="C199" s="142"/>
      <c r="D199" s="142"/>
      <c r="E199" s="142"/>
      <c r="F199" s="142"/>
      <c r="G199" s="169">
        <f>G198/F198</f>
        <v>0.25354677508152296</v>
      </c>
      <c r="H199" s="142"/>
      <c r="I199" s="134"/>
      <c r="J199" s="134"/>
    </row>
    <row r="200" spans="2:10" ht="16.149999999999999" customHeight="1" x14ac:dyDescent="0.25">
      <c r="B200" s="142"/>
      <c r="C200" s="142"/>
      <c r="D200" s="142"/>
      <c r="E200" s="142"/>
      <c r="F200" s="142"/>
      <c r="G200" s="169"/>
      <c r="H200" s="142"/>
      <c r="I200" s="134"/>
      <c r="J200" s="134"/>
    </row>
    <row r="201" spans="2:10" ht="16.149999999999999" customHeight="1" x14ac:dyDescent="0.25">
      <c r="B201" s="694" t="s">
        <v>262</v>
      </c>
      <c r="C201" s="694"/>
      <c r="D201" s="694"/>
      <c r="E201" s="694"/>
      <c r="F201" s="694"/>
      <c r="G201" s="694"/>
      <c r="H201" s="694"/>
      <c r="I201" s="134"/>
      <c r="J201" s="134"/>
    </row>
    <row r="202" spans="2:10" ht="16.149999999999999" customHeight="1" x14ac:dyDescent="0.25">
      <c r="B202" s="131" t="s">
        <v>2</v>
      </c>
      <c r="C202" s="150" t="s">
        <v>78</v>
      </c>
      <c r="D202" s="150" t="s">
        <v>79</v>
      </c>
      <c r="E202" s="150" t="s">
        <v>92</v>
      </c>
      <c r="F202" s="150" t="s">
        <v>91</v>
      </c>
      <c r="G202" s="157" t="s">
        <v>75</v>
      </c>
      <c r="H202" s="176" t="s">
        <v>102</v>
      </c>
      <c r="I202" s="134"/>
      <c r="J202" s="134"/>
    </row>
    <row r="203" spans="2:10" ht="16.149999999999999" customHeight="1" x14ac:dyDescent="0.25">
      <c r="B203" s="145" t="str">
        <f>B68</f>
        <v>MANTO 2.2MM ADHESIVO EDIL</v>
      </c>
      <c r="C203" s="143">
        <f>C68</f>
        <v>0</v>
      </c>
      <c r="D203" s="155">
        <v>0</v>
      </c>
      <c r="E203" s="140">
        <f>D68</f>
        <v>0</v>
      </c>
      <c r="F203" s="140">
        <v>0</v>
      </c>
      <c r="G203" s="158">
        <f>E203-F203</f>
        <v>0</v>
      </c>
      <c r="H203" s="176">
        <f>'DETALLE DE VENTAS'!O318</f>
        <v>0</v>
      </c>
      <c r="I203" s="134"/>
      <c r="J203" s="134"/>
    </row>
    <row r="204" spans="2:10" x14ac:dyDescent="0.25">
      <c r="B204" s="147"/>
      <c r="C204" s="142"/>
      <c r="D204" s="142"/>
      <c r="E204" s="215">
        <f>SUM(E203:E203)</f>
        <v>0</v>
      </c>
      <c r="F204" s="215">
        <f>SUM(F203:F203)</f>
        <v>0</v>
      </c>
      <c r="G204" s="215">
        <f>SUM(G203:G203)</f>
        <v>0</v>
      </c>
      <c r="H204" s="139">
        <f>SUM(H203:H203)</f>
        <v>0</v>
      </c>
      <c r="I204" s="134"/>
      <c r="J204" s="134"/>
    </row>
    <row r="205" spans="2:10" x14ac:dyDescent="0.25">
      <c r="B205" s="142"/>
      <c r="C205" s="142"/>
      <c r="D205" s="142"/>
      <c r="E205" s="142"/>
      <c r="F205" s="142"/>
      <c r="G205" s="169" t="e">
        <f>G204/F204</f>
        <v>#DIV/0!</v>
      </c>
      <c r="H205" s="142"/>
      <c r="I205" s="134"/>
      <c r="J205" s="134"/>
    </row>
    <row r="206" spans="2:10" x14ac:dyDescent="0.25">
      <c r="B206" s="142"/>
      <c r="C206" s="142"/>
      <c r="D206" s="142"/>
      <c r="E206" s="142"/>
      <c r="F206" s="142"/>
      <c r="G206" s="169"/>
      <c r="H206" s="142"/>
      <c r="I206" s="134"/>
      <c r="J206" s="134"/>
    </row>
    <row r="207" spans="2:10" x14ac:dyDescent="0.25">
      <c r="B207" s="142"/>
      <c r="C207" s="142"/>
      <c r="D207" s="142"/>
      <c r="E207" s="142"/>
      <c r="F207" s="142"/>
      <c r="G207" s="169"/>
      <c r="H207" s="142"/>
      <c r="I207" s="134"/>
      <c r="J207" s="134"/>
    </row>
    <row r="208" spans="2:10" x14ac:dyDescent="0.25">
      <c r="B208" s="694" t="s">
        <v>419</v>
      </c>
      <c r="C208" s="694"/>
      <c r="D208" s="694"/>
      <c r="E208" s="694"/>
      <c r="F208" s="694"/>
      <c r="G208" s="694"/>
      <c r="H208" s="694"/>
      <c r="I208" s="134"/>
      <c r="J208" s="134"/>
    </row>
    <row r="209" spans="2:10" ht="24" x14ac:dyDescent="0.25">
      <c r="B209" s="131" t="s">
        <v>2</v>
      </c>
      <c r="C209" s="150" t="s">
        <v>78</v>
      </c>
      <c r="D209" s="150" t="s">
        <v>79</v>
      </c>
      <c r="E209" s="150" t="s">
        <v>92</v>
      </c>
      <c r="F209" s="150" t="s">
        <v>91</v>
      </c>
      <c r="G209" s="157" t="s">
        <v>75</v>
      </c>
      <c r="H209" s="176" t="s">
        <v>102</v>
      </c>
      <c r="I209" s="134"/>
      <c r="J209" s="134"/>
    </row>
    <row r="210" spans="2:10" ht="24" x14ac:dyDescent="0.25">
      <c r="B210" s="145" t="str">
        <f>B86</f>
        <v>CEMENTO PLASTICO SPRAY FLAMINGO</v>
      </c>
      <c r="C210" s="143">
        <f>C86</f>
        <v>1</v>
      </c>
      <c r="D210" s="155">
        <v>0</v>
      </c>
      <c r="E210" s="140">
        <f>D86</f>
        <v>5</v>
      </c>
      <c r="F210" s="140">
        <v>5</v>
      </c>
      <c r="G210" s="158">
        <f>E210-F210</f>
        <v>0</v>
      </c>
      <c r="H210" s="176">
        <f>'DETALLE DE VENTAS'!O324</f>
        <v>5</v>
      </c>
      <c r="I210" s="134"/>
      <c r="J210" s="134"/>
    </row>
    <row r="211" spans="2:10" ht="22.9" customHeight="1" x14ac:dyDescent="0.25">
      <c r="B211" s="145" t="str">
        <f>B87</f>
        <v>CINTA REPARADORA TECHOS 5CM X 2,5M</v>
      </c>
      <c r="C211" s="143">
        <f>C87</f>
        <v>4</v>
      </c>
      <c r="D211" s="155">
        <v>1</v>
      </c>
      <c r="E211" s="140">
        <f>D87</f>
        <v>24</v>
      </c>
      <c r="F211" s="140">
        <v>24</v>
      </c>
      <c r="G211" s="158">
        <f>E211-F211</f>
        <v>0</v>
      </c>
      <c r="H211" s="176">
        <f>'DETALLE DE VENTAS'!O325</f>
        <v>0</v>
      </c>
      <c r="I211" s="134"/>
      <c r="J211" s="134"/>
    </row>
    <row r="212" spans="2:10" x14ac:dyDescent="0.25">
      <c r="B212" s="147"/>
      <c r="C212" s="142"/>
      <c r="D212" s="142"/>
      <c r="E212" s="215">
        <f>SUM(E210:E211)</f>
        <v>29</v>
      </c>
      <c r="F212" s="215">
        <f>SUM(F210:F211)</f>
        <v>29</v>
      </c>
      <c r="G212" s="215">
        <f>SUM(G210:G211)</f>
        <v>0</v>
      </c>
      <c r="H212" s="139">
        <f>SUM(H210:H211)</f>
        <v>5</v>
      </c>
      <c r="I212" s="134"/>
      <c r="J212" s="134"/>
    </row>
    <row r="213" spans="2:10" x14ac:dyDescent="0.25">
      <c r="B213" s="142"/>
      <c r="C213" s="142"/>
      <c r="D213" s="142"/>
      <c r="E213" s="142"/>
      <c r="F213" s="142"/>
      <c r="G213" s="169">
        <f>G212/F212</f>
        <v>0</v>
      </c>
      <c r="H213" s="142"/>
      <c r="I213" s="134"/>
      <c r="J213" s="134"/>
    </row>
    <row r="214" spans="2:10" x14ac:dyDescent="0.25">
      <c r="B214" s="142"/>
      <c r="C214" s="142"/>
      <c r="D214" s="142"/>
      <c r="E214" s="142"/>
      <c r="F214" s="142"/>
      <c r="G214" s="169"/>
      <c r="H214" s="142"/>
      <c r="I214" s="134"/>
      <c r="J214" s="134"/>
    </row>
    <row r="215" spans="2:10" ht="14.45" customHeight="1" x14ac:dyDescent="0.25">
      <c r="B215" s="142"/>
      <c r="C215" s="142"/>
      <c r="D215" s="142"/>
      <c r="E215" s="142"/>
      <c r="F215" s="142"/>
      <c r="G215" s="142"/>
      <c r="H215" s="142"/>
      <c r="I215" s="134"/>
      <c r="J215" s="134"/>
    </row>
    <row r="216" spans="2:10" x14ac:dyDescent="0.25">
      <c r="B216" s="698" t="s">
        <v>95</v>
      </c>
      <c r="C216" s="698"/>
      <c r="D216" s="698"/>
      <c r="E216" s="698"/>
      <c r="F216" s="698"/>
      <c r="G216" s="698"/>
      <c r="H216" s="142"/>
      <c r="I216" s="134"/>
      <c r="J216" s="134"/>
    </row>
    <row r="217" spans="2:10" ht="24.75" x14ac:dyDescent="0.25">
      <c r="B217" s="141"/>
      <c r="C217" s="159" t="s">
        <v>92</v>
      </c>
      <c r="D217" s="159" t="s">
        <v>91</v>
      </c>
      <c r="E217" s="416" t="s">
        <v>75</v>
      </c>
      <c r="F217" s="159" t="s">
        <v>96</v>
      </c>
      <c r="G217" s="141" t="s">
        <v>102</v>
      </c>
      <c r="H217" s="142"/>
      <c r="I217" s="134"/>
      <c r="J217" s="134"/>
    </row>
    <row r="218" spans="2:10" x14ac:dyDescent="0.25">
      <c r="B218" s="159" t="s">
        <v>80</v>
      </c>
      <c r="C218" s="159">
        <f>E116</f>
        <v>52780</v>
      </c>
      <c r="D218" s="159">
        <f>F116</f>
        <v>43546.640000000007</v>
      </c>
      <c r="E218" s="416">
        <f>G116</f>
        <v>9233.36</v>
      </c>
      <c r="F218" s="171">
        <f>G117</f>
        <v>0.2120338101860442</v>
      </c>
      <c r="G218" s="141">
        <f>H116</f>
        <v>5091.3013793103464</v>
      </c>
      <c r="H218" s="142"/>
      <c r="I218" s="134"/>
      <c r="J218" s="134"/>
    </row>
    <row r="219" spans="2:10" x14ac:dyDescent="0.25">
      <c r="B219" s="141" t="s">
        <v>81</v>
      </c>
      <c r="C219" s="141">
        <f>E127</f>
        <v>235</v>
      </c>
      <c r="D219" s="141">
        <f>F127</f>
        <v>195</v>
      </c>
      <c r="E219" s="416">
        <f>G127</f>
        <v>40</v>
      </c>
      <c r="F219" s="171">
        <f>G128</f>
        <v>0.20512820512820512</v>
      </c>
      <c r="G219" s="141">
        <f>H127</f>
        <v>1295</v>
      </c>
      <c r="H219" s="142"/>
      <c r="I219" s="134"/>
      <c r="J219" s="134"/>
    </row>
    <row r="220" spans="2:10" x14ac:dyDescent="0.25">
      <c r="B220" s="141" t="s">
        <v>244</v>
      </c>
      <c r="C220" s="141">
        <f>E135</f>
        <v>590</v>
      </c>
      <c r="D220" s="141">
        <f>F135</f>
        <v>480</v>
      </c>
      <c r="E220" s="416">
        <f>G135</f>
        <v>110</v>
      </c>
      <c r="F220" s="171">
        <f>G136</f>
        <v>0.22916666666666666</v>
      </c>
      <c r="G220" s="141">
        <f>H135</f>
        <v>1280</v>
      </c>
      <c r="H220" s="142"/>
      <c r="I220" s="134"/>
      <c r="J220" s="134"/>
    </row>
    <row r="221" spans="2:10" x14ac:dyDescent="0.25">
      <c r="B221" s="159" t="s">
        <v>82</v>
      </c>
      <c r="C221" s="141">
        <f>E175</f>
        <v>5477</v>
      </c>
      <c r="D221" s="141">
        <f>F175</f>
        <v>4333.54</v>
      </c>
      <c r="E221" s="416">
        <f>G175</f>
        <v>1143.4599999999998</v>
      </c>
      <c r="F221" s="171">
        <f>G176</f>
        <v>0.26386280038951987</v>
      </c>
      <c r="G221" s="141">
        <f>H175</f>
        <v>2736.6800000000007</v>
      </c>
      <c r="H221" s="142"/>
      <c r="I221" s="134"/>
      <c r="J221" s="134"/>
    </row>
    <row r="222" spans="2:10" x14ac:dyDescent="0.25">
      <c r="B222" s="141" t="s">
        <v>84</v>
      </c>
      <c r="C222" s="141">
        <f>E198</f>
        <v>592</v>
      </c>
      <c r="D222" s="141">
        <f>F198</f>
        <v>472.26</v>
      </c>
      <c r="E222" s="416">
        <f>G198</f>
        <v>119.74000000000002</v>
      </c>
      <c r="F222" s="171">
        <f>G199</f>
        <v>0.25354677508152296</v>
      </c>
      <c r="G222" s="141">
        <f>H198</f>
        <v>2803.8599999999997</v>
      </c>
      <c r="H222" s="142"/>
      <c r="I222" s="134"/>
      <c r="J222" s="134"/>
    </row>
    <row r="223" spans="2:10" x14ac:dyDescent="0.25">
      <c r="B223" s="141" t="s">
        <v>262</v>
      </c>
      <c r="C223" s="141">
        <f>E204</f>
        <v>0</v>
      </c>
      <c r="D223" s="141">
        <f>F204</f>
        <v>0</v>
      </c>
      <c r="E223" s="416">
        <f>G204</f>
        <v>0</v>
      </c>
      <c r="F223" s="171" t="e">
        <f>G205</f>
        <v>#DIV/0!</v>
      </c>
      <c r="G223" s="141">
        <f>H204</f>
        <v>0</v>
      </c>
      <c r="H223" s="142"/>
      <c r="I223" s="134"/>
      <c r="J223" s="134"/>
    </row>
    <row r="224" spans="2:10" x14ac:dyDescent="0.25">
      <c r="B224" s="141" t="s">
        <v>419</v>
      </c>
      <c r="C224" s="141">
        <f>E212</f>
        <v>29</v>
      </c>
      <c r="D224" s="141">
        <f>F212</f>
        <v>29</v>
      </c>
      <c r="E224" s="416">
        <f>G212</f>
        <v>0</v>
      </c>
      <c r="F224" s="171">
        <f>G213</f>
        <v>0</v>
      </c>
      <c r="G224" s="141">
        <f>H212</f>
        <v>5</v>
      </c>
      <c r="H224" s="142"/>
      <c r="I224" s="134"/>
      <c r="J224" s="134"/>
    </row>
    <row r="225" spans="2:10" x14ac:dyDescent="0.25">
      <c r="B225" s="160" t="s">
        <v>342</v>
      </c>
      <c r="C225" s="139">
        <f>SUM(C218:C224)</f>
        <v>59703</v>
      </c>
      <c r="D225" s="139">
        <f>SUM(D218:D224)</f>
        <v>49056.44000000001</v>
      </c>
      <c r="E225" s="416">
        <f>SUM(E218:E224)</f>
        <v>10646.56</v>
      </c>
      <c r="F225" s="218">
        <f>E225/D225</f>
        <v>0.21702675530470611</v>
      </c>
      <c r="G225" s="139">
        <f>SUM(G218:G224)</f>
        <v>13211.841379310346</v>
      </c>
      <c r="H225" s="142"/>
      <c r="I225" s="134"/>
      <c r="J225" s="134"/>
    </row>
    <row r="226" spans="2:10" x14ac:dyDescent="0.25">
      <c r="B226" s="139" t="s">
        <v>341</v>
      </c>
      <c r="C226" s="712">
        <f>'DETALLE DE VENTAS'!Y202</f>
        <v>91.09</v>
      </c>
      <c r="D226" s="712"/>
      <c r="E226" s="712"/>
      <c r="F226" s="712"/>
      <c r="G226" s="712"/>
      <c r="H226" s="142"/>
      <c r="I226" s="134"/>
      <c r="J226" s="134"/>
    </row>
    <row r="227" spans="2:10" x14ac:dyDescent="0.25">
      <c r="B227" s="160" t="s">
        <v>72</v>
      </c>
      <c r="C227" s="139">
        <f>C225-C226</f>
        <v>59611.91</v>
      </c>
      <c r="D227" s="139">
        <f>D225</f>
        <v>49056.44000000001</v>
      </c>
      <c r="E227" s="416">
        <f>C227-D227</f>
        <v>10555.469999999994</v>
      </c>
      <c r="F227" s="218">
        <f>E227/D227</f>
        <v>0.21516991449032974</v>
      </c>
      <c r="G227" s="139">
        <f>G225</f>
        <v>13211.841379310346</v>
      </c>
    </row>
    <row r="228" spans="2:10" x14ac:dyDescent="0.25">
      <c r="B228" s="217" t="s">
        <v>420</v>
      </c>
      <c r="C228">
        <f>C227*0.7848</f>
        <v>46783.426968000007</v>
      </c>
    </row>
  </sheetData>
  <mergeCells count="70"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49:P49"/>
    <mergeCell ref="L50:P50"/>
    <mergeCell ref="L41:P41"/>
    <mergeCell ref="L42:P42"/>
    <mergeCell ref="L43:P43"/>
    <mergeCell ref="L44:P44"/>
    <mergeCell ref="L45:P45"/>
    <mergeCell ref="L58:P58"/>
    <mergeCell ref="L59:P59"/>
    <mergeCell ref="L68:P68"/>
    <mergeCell ref="L90:P90"/>
    <mergeCell ref="L52:P52"/>
    <mergeCell ref="L53:P53"/>
    <mergeCell ref="L54:P54"/>
    <mergeCell ref="L55:P55"/>
    <mergeCell ref="L56:P56"/>
    <mergeCell ref="L57:P57"/>
    <mergeCell ref="B91:H91"/>
    <mergeCell ref="J91:M91"/>
    <mergeCell ref="B201:H201"/>
    <mergeCell ref="B216:G216"/>
    <mergeCell ref="C226:G226"/>
    <mergeCell ref="K118:N118"/>
    <mergeCell ref="B119:H119"/>
    <mergeCell ref="B131:H131"/>
    <mergeCell ref="B139:H139"/>
    <mergeCell ref="J139:M139"/>
    <mergeCell ref="B179:H179"/>
    <mergeCell ref="B208:H208"/>
    <mergeCell ref="K117:L117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6"/>
  <sheetViews>
    <sheetView tabSelected="1" zoomScale="85" zoomScaleNormal="85" workbookViewId="0">
      <pane ySplit="1" topLeftCell="A192" activePane="bottomLeft" state="frozen"/>
      <selection pane="bottomLeft" activeCell="R150" sqref="R150"/>
    </sheetView>
  </sheetViews>
  <sheetFormatPr baseColWidth="10" defaultRowHeight="15" x14ac:dyDescent="0.25"/>
  <cols>
    <col min="4" max="5" width="11.5703125" customWidth="1"/>
    <col min="6" max="6" width="18" customWidth="1"/>
    <col min="7" max="7" width="11.5703125" customWidth="1"/>
  </cols>
  <sheetData>
    <row r="1" spans="1:16" ht="34.9" customHeight="1" x14ac:dyDescent="0.25">
      <c r="A1" s="191" t="s">
        <v>149</v>
      </c>
      <c r="B1" s="191" t="s">
        <v>150</v>
      </c>
      <c r="C1" s="191" t="s">
        <v>158</v>
      </c>
      <c r="D1" s="693" t="s">
        <v>259</v>
      </c>
      <c r="E1" s="693"/>
      <c r="F1" s="693" t="s">
        <v>159</v>
      </c>
      <c r="G1" s="693"/>
      <c r="H1" s="191" t="s">
        <v>151</v>
      </c>
      <c r="I1" s="191" t="s">
        <v>152</v>
      </c>
      <c r="J1" s="191" t="s">
        <v>153</v>
      </c>
      <c r="K1" s="191" t="s">
        <v>148</v>
      </c>
      <c r="L1" s="191" t="s">
        <v>154</v>
      </c>
      <c r="M1" s="191" t="s">
        <v>155</v>
      </c>
      <c r="N1" s="191" t="s">
        <v>156</v>
      </c>
      <c r="O1" s="191" t="s">
        <v>157</v>
      </c>
      <c r="P1" s="191" t="s">
        <v>72</v>
      </c>
    </row>
    <row r="2" spans="1:16" ht="34.9" hidden="1" customHeight="1" x14ac:dyDescent="0.25">
      <c r="A2" s="13">
        <v>1</v>
      </c>
      <c r="B2" s="196">
        <v>44751</v>
      </c>
      <c r="C2" s="13"/>
      <c r="D2" s="13"/>
      <c r="E2" s="13"/>
      <c r="F2" s="13"/>
      <c r="G2" s="13"/>
      <c r="H2" s="13"/>
      <c r="I2" s="13"/>
      <c r="J2" s="13">
        <v>15</v>
      </c>
      <c r="K2" s="13"/>
      <c r="L2" s="13"/>
      <c r="M2" s="13">
        <v>255</v>
      </c>
      <c r="N2" s="13">
        <v>60</v>
      </c>
      <c r="O2" s="13"/>
      <c r="P2" s="13">
        <f>SUM(C2+E2+G2+SUM(H2:O2))</f>
        <v>330</v>
      </c>
    </row>
    <row r="3" spans="1:16" ht="34.9" hidden="1" customHeight="1" x14ac:dyDescent="0.25">
      <c r="A3" s="13">
        <v>2</v>
      </c>
      <c r="B3" s="196">
        <v>44753</v>
      </c>
      <c r="C3" s="13">
        <f>60+271</f>
        <v>331</v>
      </c>
      <c r="D3" s="13"/>
      <c r="E3" s="13"/>
      <c r="F3" s="13"/>
      <c r="G3" s="13"/>
      <c r="H3" s="13"/>
      <c r="I3" s="13"/>
      <c r="J3" s="13"/>
      <c r="K3" s="13">
        <v>242</v>
      </c>
      <c r="L3" s="13"/>
      <c r="M3" s="13"/>
      <c r="N3" s="13">
        <f>15+483+139+30+27+40</f>
        <v>734</v>
      </c>
      <c r="O3" s="13"/>
      <c r="P3" s="13">
        <f t="shared" ref="P3:P8" si="0">SUM(C3+E3+G3+SUM(H3:O3))</f>
        <v>1307</v>
      </c>
    </row>
    <row r="4" spans="1:16" ht="34.9" hidden="1" customHeight="1" x14ac:dyDescent="0.25">
      <c r="A4" s="13">
        <v>3</v>
      </c>
      <c r="B4" s="196">
        <v>44754</v>
      </c>
      <c r="C4" s="13"/>
      <c r="D4" s="13"/>
      <c r="E4" s="13"/>
      <c r="F4" s="13"/>
      <c r="G4" s="13"/>
      <c r="H4" s="13"/>
      <c r="I4" s="13"/>
      <c r="J4" s="13">
        <v>7.5</v>
      </c>
      <c r="K4" s="13"/>
      <c r="L4" s="13"/>
      <c r="M4" s="13"/>
      <c r="N4" s="13">
        <v>196</v>
      </c>
      <c r="O4" s="13"/>
      <c r="P4" s="13">
        <f t="shared" si="0"/>
        <v>203.5</v>
      </c>
    </row>
    <row r="5" spans="1:16" ht="34.9" hidden="1" customHeight="1" x14ac:dyDescent="0.25">
      <c r="A5" s="13">
        <v>4</v>
      </c>
      <c r="B5" s="196">
        <v>44755</v>
      </c>
      <c r="C5" s="13"/>
      <c r="D5" s="13"/>
      <c r="E5" s="13"/>
      <c r="F5" s="13"/>
      <c r="G5" s="13"/>
      <c r="H5" s="13">
        <f>0.5</f>
        <v>0.5</v>
      </c>
      <c r="I5" s="13"/>
      <c r="J5" s="13"/>
      <c r="K5" s="13"/>
      <c r="L5" s="13"/>
      <c r="M5" s="13"/>
      <c r="N5" s="13">
        <f>30+46+10+33</f>
        <v>119</v>
      </c>
      <c r="O5" s="13"/>
      <c r="P5" s="13">
        <f>SUM(C5+E5+G5+SUM(H5:O5))</f>
        <v>119.5</v>
      </c>
    </row>
    <row r="6" spans="1:16" ht="34.9" hidden="1" customHeight="1" x14ac:dyDescent="0.25">
      <c r="A6" s="13">
        <v>5</v>
      </c>
      <c r="B6" s="196">
        <v>44756</v>
      </c>
      <c r="C6" s="13"/>
      <c r="D6" s="13"/>
      <c r="E6" s="13"/>
      <c r="F6" s="13"/>
      <c r="G6" s="13"/>
      <c r="H6" s="13"/>
      <c r="I6" s="13">
        <f>225</f>
        <v>225</v>
      </c>
      <c r="J6" s="13">
        <f>63</f>
        <v>63</v>
      </c>
      <c r="K6" s="13">
        <f>46</f>
        <v>46</v>
      </c>
      <c r="L6" s="13"/>
      <c r="M6" s="13"/>
      <c r="N6" s="13">
        <f>139+50</f>
        <v>189</v>
      </c>
      <c r="O6" s="13"/>
      <c r="P6" s="13">
        <f>SUM(C6+E6+G6+SUM(H6:O6))</f>
        <v>523</v>
      </c>
    </row>
    <row r="7" spans="1:16" ht="34.9" hidden="1" customHeight="1" x14ac:dyDescent="0.25">
      <c r="A7" s="13">
        <v>6</v>
      </c>
      <c r="B7" s="196">
        <v>44757</v>
      </c>
      <c r="C7" s="13"/>
      <c r="D7" s="13"/>
      <c r="E7" s="13"/>
      <c r="F7" s="191" t="s">
        <v>167</v>
      </c>
      <c r="G7" s="13">
        <v>30</v>
      </c>
      <c r="H7" s="13"/>
      <c r="I7" s="13"/>
      <c r="J7" s="13">
        <v>35</v>
      </c>
      <c r="K7" s="13">
        <v>300</v>
      </c>
      <c r="L7" s="13"/>
      <c r="M7" s="13">
        <v>20</v>
      </c>
      <c r="N7" s="13">
        <f>80+33+106+32+95+33</f>
        <v>379</v>
      </c>
      <c r="O7" s="13"/>
      <c r="P7" s="13">
        <f t="shared" si="0"/>
        <v>764</v>
      </c>
    </row>
    <row r="8" spans="1:16" ht="34.9" hidden="1" customHeight="1" x14ac:dyDescent="0.25">
      <c r="A8" s="13">
        <v>7</v>
      </c>
      <c r="B8" s="196">
        <v>44758</v>
      </c>
      <c r="C8" s="13">
        <v>150</v>
      </c>
      <c r="D8" s="13"/>
      <c r="E8" s="13"/>
      <c r="F8" s="13"/>
      <c r="G8" s="13"/>
      <c r="H8" s="13"/>
      <c r="I8" s="13"/>
      <c r="J8" s="13">
        <v>7.5</v>
      </c>
      <c r="K8" s="13"/>
      <c r="L8" s="13"/>
      <c r="M8" s="13"/>
      <c r="N8" s="13">
        <f>32+60</f>
        <v>92</v>
      </c>
      <c r="O8" s="13"/>
      <c r="P8" s="13">
        <f t="shared" si="0"/>
        <v>249.5</v>
      </c>
    </row>
    <row r="9" spans="1:16" ht="34.9" hidden="1" customHeight="1" x14ac:dyDescent="0.25">
      <c r="A9" s="13">
        <v>8</v>
      </c>
      <c r="B9" s="196">
        <v>44759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f t="shared" ref="P9:P37" si="1">SUM(C9+E9+G9+SUM(H9:O9))</f>
        <v>0</v>
      </c>
    </row>
    <row r="10" spans="1:16" ht="34.9" hidden="1" customHeight="1" x14ac:dyDescent="0.25">
      <c r="A10" s="13">
        <v>9</v>
      </c>
      <c r="B10" s="196">
        <v>44760</v>
      </c>
      <c r="C10" s="13"/>
      <c r="D10" s="13"/>
      <c r="E10" s="13"/>
      <c r="F10" s="191" t="s">
        <v>248</v>
      </c>
      <c r="G10" s="13">
        <v>300</v>
      </c>
      <c r="H10" s="13"/>
      <c r="I10" s="13"/>
      <c r="J10" s="13"/>
      <c r="K10" s="13"/>
      <c r="L10" s="13"/>
      <c r="M10" s="13"/>
      <c r="N10" s="13">
        <f>54+60</f>
        <v>114</v>
      </c>
      <c r="O10" s="13"/>
      <c r="P10" s="13">
        <f t="shared" si="1"/>
        <v>414</v>
      </c>
    </row>
    <row r="11" spans="1:16" ht="34.9" hidden="1" customHeight="1" x14ac:dyDescent="0.25">
      <c r="A11" s="13">
        <v>10</v>
      </c>
      <c r="B11" s="196">
        <v>44761</v>
      </c>
      <c r="C11" s="13">
        <f>120</f>
        <v>120</v>
      </c>
      <c r="D11" s="13"/>
      <c r="E11" s="13"/>
      <c r="F11" s="13"/>
      <c r="G11" s="13"/>
      <c r="H11" s="13">
        <v>1</v>
      </c>
      <c r="I11" s="13"/>
      <c r="J11" s="13">
        <f>10.5+5</f>
        <v>15.5</v>
      </c>
      <c r="K11" s="13">
        <f>165</f>
        <v>165</v>
      </c>
      <c r="L11" s="13"/>
      <c r="M11" s="13"/>
      <c r="N11" s="13">
        <v>500</v>
      </c>
      <c r="O11" s="13"/>
      <c r="P11" s="13">
        <f t="shared" si="1"/>
        <v>801.5</v>
      </c>
    </row>
    <row r="12" spans="1:16" ht="34.9" hidden="1" customHeight="1" x14ac:dyDescent="0.25">
      <c r="A12" s="13">
        <v>11</v>
      </c>
      <c r="B12" s="196">
        <v>44762</v>
      </c>
      <c r="C12" s="13">
        <v>120</v>
      </c>
      <c r="D12" s="13"/>
      <c r="E12" s="13"/>
      <c r="F12" s="13"/>
      <c r="G12" s="13"/>
      <c r="H12" s="13"/>
      <c r="I12" s="13"/>
      <c r="J12" s="13"/>
      <c r="K12" s="13">
        <f>283.5</f>
        <v>283.5</v>
      </c>
      <c r="L12" s="13"/>
      <c r="M12" s="13"/>
      <c r="N12" s="13">
        <f>40+33+40+138+70</f>
        <v>321</v>
      </c>
      <c r="O12" s="13"/>
      <c r="P12" s="13">
        <f t="shared" si="1"/>
        <v>724.5</v>
      </c>
    </row>
    <row r="13" spans="1:16" ht="34.9" hidden="1" customHeight="1" x14ac:dyDescent="0.25">
      <c r="A13" s="13">
        <v>12</v>
      </c>
      <c r="B13" s="196">
        <v>44763</v>
      </c>
      <c r="C13" s="13">
        <f>30</f>
        <v>30</v>
      </c>
      <c r="D13" s="13"/>
      <c r="E13" s="13"/>
      <c r="F13" s="13"/>
      <c r="G13" s="13"/>
      <c r="H13" s="13"/>
      <c r="I13" s="13"/>
      <c r="J13" s="13">
        <f>54</f>
        <v>54</v>
      </c>
      <c r="K13" s="13">
        <f>135</f>
        <v>135</v>
      </c>
      <c r="L13" s="13"/>
      <c r="M13" s="13"/>
      <c r="N13" s="13">
        <f>290+30+8</f>
        <v>328</v>
      </c>
      <c r="O13" s="13"/>
      <c r="P13" s="13">
        <f t="shared" si="1"/>
        <v>547</v>
      </c>
    </row>
    <row r="14" spans="1:16" ht="34.9" hidden="1" customHeight="1" x14ac:dyDescent="0.25">
      <c r="A14" s="13">
        <v>13</v>
      </c>
      <c r="B14" s="196">
        <v>44764</v>
      </c>
      <c r="C14" s="13"/>
      <c r="D14" s="13"/>
      <c r="E14" s="13"/>
      <c r="F14" s="13"/>
      <c r="G14" s="13"/>
      <c r="H14" s="13"/>
      <c r="I14" s="13"/>
      <c r="J14" s="13"/>
      <c r="K14" s="13">
        <v>635</v>
      </c>
      <c r="L14" s="13"/>
      <c r="M14" s="13"/>
      <c r="N14" s="13"/>
      <c r="O14" s="13"/>
      <c r="P14" s="13">
        <f t="shared" si="1"/>
        <v>635</v>
      </c>
    </row>
    <row r="15" spans="1:16" ht="34.9" hidden="1" customHeight="1" x14ac:dyDescent="0.25">
      <c r="A15" s="13">
        <v>14</v>
      </c>
      <c r="B15" s="196">
        <v>44765</v>
      </c>
      <c r="C15" s="13"/>
      <c r="D15" s="13"/>
      <c r="E15" s="13"/>
      <c r="F15" s="191" t="s">
        <v>241</v>
      </c>
      <c r="G15" s="13">
        <v>132</v>
      </c>
      <c r="H15" s="13"/>
      <c r="I15" s="13"/>
      <c r="J15" s="13">
        <f>66</f>
        <v>66</v>
      </c>
      <c r="K15" s="13">
        <f>50+81</f>
        <v>131</v>
      </c>
      <c r="L15" s="13"/>
      <c r="M15" s="13">
        <f>61</f>
        <v>61</v>
      </c>
      <c r="N15" s="13">
        <f>100+20</f>
        <v>120</v>
      </c>
      <c r="O15" s="13"/>
      <c r="P15" s="13">
        <f t="shared" si="1"/>
        <v>510</v>
      </c>
    </row>
    <row r="16" spans="1:16" ht="34.9" hidden="1" customHeight="1" x14ac:dyDescent="0.25">
      <c r="A16" s="13">
        <v>15</v>
      </c>
      <c r="B16" s="196">
        <v>44766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f t="shared" si="1"/>
        <v>0</v>
      </c>
    </row>
    <row r="17" spans="1:17" ht="34.9" hidden="1" customHeight="1" x14ac:dyDescent="0.25">
      <c r="A17" s="13">
        <v>16</v>
      </c>
      <c r="B17" s="196">
        <v>44767</v>
      </c>
      <c r="C17" s="13">
        <f>7.5+5.5</f>
        <v>13</v>
      </c>
      <c r="D17" s="13"/>
      <c r="E17" s="13"/>
      <c r="F17" s="13"/>
      <c r="G17" s="13"/>
      <c r="H17" s="13"/>
      <c r="I17" s="13"/>
      <c r="J17" s="13"/>
      <c r="K17" s="13">
        <f>27+62</f>
        <v>89</v>
      </c>
      <c r="L17" s="13"/>
      <c r="M17" s="13"/>
      <c r="N17" s="13">
        <f>33</f>
        <v>33</v>
      </c>
      <c r="O17" s="13"/>
      <c r="P17" s="13">
        <f t="shared" si="1"/>
        <v>135</v>
      </c>
      <c r="Q17" s="205" t="s">
        <v>258</v>
      </c>
    </row>
    <row r="18" spans="1:17" ht="34.9" hidden="1" customHeight="1" x14ac:dyDescent="0.25">
      <c r="A18" s="13">
        <v>17</v>
      </c>
      <c r="B18" s="196">
        <v>44768</v>
      </c>
      <c r="C18" s="13"/>
      <c r="D18" s="13"/>
      <c r="E18" s="13"/>
      <c r="F18" s="13"/>
      <c r="G18" s="13"/>
      <c r="H18" s="13"/>
      <c r="I18" s="13"/>
      <c r="J18" s="13">
        <f>20</f>
        <v>20</v>
      </c>
      <c r="K18" s="13">
        <f>52</f>
        <v>52</v>
      </c>
      <c r="L18" s="13"/>
      <c r="M18" s="13">
        <f>31</f>
        <v>31</v>
      </c>
      <c r="N18" s="13">
        <f>30+47+7</f>
        <v>84</v>
      </c>
      <c r="O18" s="13"/>
      <c r="P18" s="13">
        <f t="shared" si="1"/>
        <v>187</v>
      </c>
    </row>
    <row r="19" spans="1:17" ht="34.9" hidden="1" customHeight="1" x14ac:dyDescent="0.25">
      <c r="A19" s="13">
        <v>18</v>
      </c>
      <c r="B19" s="196">
        <v>44769</v>
      </c>
      <c r="C19" s="13">
        <f>33</f>
        <v>33</v>
      </c>
      <c r="D19" s="13"/>
      <c r="E19" s="13"/>
      <c r="F19" s="191" t="s">
        <v>248</v>
      </c>
      <c r="G19" s="13">
        <v>230</v>
      </c>
      <c r="H19" s="13"/>
      <c r="I19" s="13"/>
      <c r="J19" s="13">
        <v>99</v>
      </c>
      <c r="K19" s="13"/>
      <c r="L19" s="13"/>
      <c r="M19" s="13"/>
      <c r="N19" s="13">
        <f>100+106+100</f>
        <v>306</v>
      </c>
      <c r="O19" s="13"/>
      <c r="P19" s="13">
        <f t="shared" si="1"/>
        <v>668</v>
      </c>
    </row>
    <row r="20" spans="1:17" ht="34.9" hidden="1" customHeight="1" x14ac:dyDescent="0.25">
      <c r="A20" s="13">
        <v>19</v>
      </c>
      <c r="B20" s="196">
        <v>44770</v>
      </c>
      <c r="C20" s="13">
        <f>80</f>
        <v>80</v>
      </c>
      <c r="D20" s="13"/>
      <c r="E20" s="13"/>
      <c r="F20" s="13"/>
      <c r="G20" s="13"/>
      <c r="H20" s="13"/>
      <c r="I20" s="13"/>
      <c r="J20" s="13">
        <f>60</f>
        <v>60</v>
      </c>
      <c r="K20" s="13"/>
      <c r="L20" s="13"/>
      <c r="M20" s="13"/>
      <c r="N20" s="13">
        <v>100</v>
      </c>
      <c r="O20" s="13"/>
      <c r="P20" s="13">
        <f t="shared" si="1"/>
        <v>240</v>
      </c>
    </row>
    <row r="21" spans="1:17" ht="34.9" hidden="1" customHeight="1" x14ac:dyDescent="0.25">
      <c r="A21" s="13">
        <v>20</v>
      </c>
      <c r="B21" s="196">
        <v>44771</v>
      </c>
      <c r="C21" s="13">
        <f>60+60</f>
        <v>120</v>
      </c>
      <c r="D21" s="13"/>
      <c r="E21" s="13"/>
      <c r="F21" s="13"/>
      <c r="G21" s="13"/>
      <c r="H21" s="13"/>
      <c r="I21" s="13"/>
      <c r="J21" s="13"/>
      <c r="K21" s="13">
        <f>100</f>
        <v>100</v>
      </c>
      <c r="L21" s="13"/>
      <c r="M21" s="13">
        <f>33</f>
        <v>33</v>
      </c>
      <c r="N21" s="13"/>
      <c r="O21" s="13"/>
      <c r="P21" s="13">
        <f t="shared" si="1"/>
        <v>253</v>
      </c>
    </row>
    <row r="22" spans="1:17" ht="34.9" hidden="1" customHeight="1" x14ac:dyDescent="0.25">
      <c r="A22" s="13">
        <v>21</v>
      </c>
      <c r="B22" s="196">
        <v>44772</v>
      </c>
      <c r="C22" s="13">
        <f>30</f>
        <v>30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>
        <f>300</f>
        <v>300</v>
      </c>
      <c r="O22" s="13"/>
      <c r="P22" s="13">
        <f t="shared" si="1"/>
        <v>330</v>
      </c>
    </row>
    <row r="23" spans="1:17" ht="34.9" hidden="1" customHeight="1" x14ac:dyDescent="0.25">
      <c r="A23" s="44">
        <v>22</v>
      </c>
      <c r="B23" s="239">
        <v>44773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>
        <f t="shared" si="1"/>
        <v>0</v>
      </c>
    </row>
    <row r="24" spans="1:17" ht="34.9" hidden="1" customHeight="1" x14ac:dyDescent="0.25">
      <c r="A24" s="13">
        <v>23</v>
      </c>
      <c r="B24" s="196">
        <v>44774</v>
      </c>
      <c r="C24" s="13">
        <f>106</f>
        <v>106</v>
      </c>
      <c r="D24" s="13"/>
      <c r="E24" s="13"/>
      <c r="F24" s="13"/>
      <c r="G24" s="13"/>
      <c r="H24" s="13"/>
      <c r="I24" s="13"/>
      <c r="J24" s="13">
        <f>5.5+66</f>
        <v>71.5</v>
      </c>
      <c r="K24" s="13">
        <f>17</f>
        <v>17</v>
      </c>
      <c r="L24" s="13"/>
      <c r="M24" s="13"/>
      <c r="N24" s="13"/>
      <c r="O24" s="13"/>
      <c r="P24" s="13">
        <f>SUM(E24+G24+SUM(H24:O24))</f>
        <v>88.5</v>
      </c>
    </row>
    <row r="25" spans="1:17" ht="34.9" hidden="1" customHeight="1" x14ac:dyDescent="0.25">
      <c r="A25" s="13">
        <v>24</v>
      </c>
      <c r="B25" s="196">
        <v>44775</v>
      </c>
      <c r="C25" s="13">
        <f>15</f>
        <v>15</v>
      </c>
      <c r="D25" s="13"/>
      <c r="E25" s="13"/>
      <c r="F25" s="13"/>
      <c r="G25" s="13"/>
      <c r="H25" s="13"/>
      <c r="I25" s="13"/>
      <c r="J25" s="13">
        <f>15</f>
        <v>15</v>
      </c>
      <c r="K25" s="13"/>
      <c r="L25" s="13"/>
      <c r="M25" s="13"/>
      <c r="N25" s="13">
        <f>93+105</f>
        <v>198</v>
      </c>
      <c r="O25" s="13"/>
      <c r="P25" s="13">
        <f t="shared" ref="P25:P34" si="2">SUM(E25+G25+SUM(H25:O25))</f>
        <v>213</v>
      </c>
    </row>
    <row r="26" spans="1:17" ht="34.9" hidden="1" customHeight="1" x14ac:dyDescent="0.25">
      <c r="A26" s="13">
        <v>25</v>
      </c>
      <c r="B26" s="196">
        <v>44776</v>
      </c>
      <c r="C26" s="13">
        <f>150</f>
        <v>150</v>
      </c>
      <c r="D26" s="13"/>
      <c r="E26" s="13"/>
      <c r="F26" s="13"/>
      <c r="G26" s="13"/>
      <c r="H26" s="13"/>
      <c r="I26" s="13"/>
      <c r="J26" s="13">
        <f>165+70</f>
        <v>235</v>
      </c>
      <c r="K26" s="13"/>
      <c r="L26" s="13"/>
      <c r="M26" s="13"/>
      <c r="N26" s="13"/>
      <c r="O26" s="13"/>
      <c r="P26" s="13">
        <f t="shared" si="2"/>
        <v>235</v>
      </c>
    </row>
    <row r="27" spans="1:17" ht="34.9" hidden="1" customHeight="1" x14ac:dyDescent="0.25">
      <c r="A27" s="13">
        <v>26</v>
      </c>
      <c r="B27" s="196">
        <v>44777</v>
      </c>
      <c r="C27" s="13"/>
      <c r="D27" s="13"/>
      <c r="E27" s="13"/>
      <c r="F27" s="13"/>
      <c r="G27" s="13"/>
      <c r="H27" s="13"/>
      <c r="I27" s="13"/>
      <c r="J27" s="13"/>
      <c r="K27" s="13">
        <f>609</f>
        <v>609</v>
      </c>
      <c r="L27" s="13"/>
      <c r="M27" s="13"/>
      <c r="N27" s="13"/>
      <c r="O27" s="13"/>
      <c r="P27" s="13">
        <f t="shared" si="2"/>
        <v>609</v>
      </c>
    </row>
    <row r="28" spans="1:17" ht="34.9" hidden="1" customHeight="1" x14ac:dyDescent="0.25">
      <c r="A28" s="13">
        <v>27</v>
      </c>
      <c r="B28" s="196">
        <v>44778</v>
      </c>
      <c r="C28" s="13"/>
      <c r="D28" s="13"/>
      <c r="E28" s="13"/>
      <c r="F28" s="13"/>
      <c r="G28" s="13"/>
      <c r="H28" s="13">
        <f>0.5</f>
        <v>0.5</v>
      </c>
      <c r="I28" s="13"/>
      <c r="J28" s="13"/>
      <c r="K28" s="13"/>
      <c r="L28" s="13"/>
      <c r="M28" s="13"/>
      <c r="N28" s="13">
        <f>15+100+90+7</f>
        <v>212</v>
      </c>
      <c r="O28" s="13"/>
      <c r="P28" s="13">
        <f t="shared" si="2"/>
        <v>212.5</v>
      </c>
      <c r="Q28" s="205" t="s">
        <v>258</v>
      </c>
    </row>
    <row r="29" spans="1:17" ht="34.9" hidden="1" customHeight="1" x14ac:dyDescent="0.25">
      <c r="A29" s="13">
        <v>28</v>
      </c>
      <c r="B29" s="196">
        <v>44779</v>
      </c>
      <c r="C29" s="13">
        <f>6</f>
        <v>6</v>
      </c>
      <c r="D29" s="13"/>
      <c r="E29" s="13"/>
      <c r="F29" s="191" t="s">
        <v>247</v>
      </c>
      <c r="G29" s="13">
        <v>238</v>
      </c>
      <c r="H29" s="13"/>
      <c r="I29" s="13"/>
      <c r="J29" s="13">
        <f>15+6</f>
        <v>21</v>
      </c>
      <c r="K29" s="13">
        <f>316</f>
        <v>316</v>
      </c>
      <c r="L29" s="13"/>
      <c r="M29" s="13">
        <f>6+14+15</f>
        <v>35</v>
      </c>
      <c r="N29" s="13">
        <f>114+54</f>
        <v>168</v>
      </c>
      <c r="O29" s="13"/>
      <c r="P29" s="13">
        <f t="shared" si="2"/>
        <v>778</v>
      </c>
    </row>
    <row r="30" spans="1:17" ht="34.9" hidden="1" customHeight="1" x14ac:dyDescent="0.25">
      <c r="A30" s="44">
        <v>29</v>
      </c>
      <c r="B30" s="239">
        <v>44780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>
        <f t="shared" si="2"/>
        <v>0</v>
      </c>
    </row>
    <row r="31" spans="1:17" ht="34.9" hidden="1" customHeight="1" x14ac:dyDescent="0.25">
      <c r="A31" s="13">
        <v>30</v>
      </c>
      <c r="B31" s="196">
        <v>44781</v>
      </c>
      <c r="C31" s="13">
        <f>99+27</f>
        <v>126</v>
      </c>
      <c r="D31" s="13"/>
      <c r="E31" s="13"/>
      <c r="F31" s="13"/>
      <c r="G31" s="13"/>
      <c r="H31" s="13"/>
      <c r="I31" s="13"/>
      <c r="J31" s="13">
        <f>291+76+66</f>
        <v>433</v>
      </c>
      <c r="K31" s="13"/>
      <c r="L31" s="13"/>
      <c r="M31" s="13"/>
      <c r="N31" s="13">
        <f>48</f>
        <v>48</v>
      </c>
      <c r="O31" s="13"/>
      <c r="P31" s="13">
        <f t="shared" si="2"/>
        <v>481</v>
      </c>
    </row>
    <row r="32" spans="1:17" ht="47.45" hidden="1" customHeight="1" x14ac:dyDescent="0.25">
      <c r="A32" s="13">
        <v>31</v>
      </c>
      <c r="B32" s="196">
        <v>44782</v>
      </c>
      <c r="C32" s="13">
        <f>247.7</f>
        <v>247.7</v>
      </c>
      <c r="D32" s="13"/>
      <c r="E32" s="13"/>
      <c r="F32" s="191" t="s">
        <v>253</v>
      </c>
      <c r="G32" s="13">
        <v>110</v>
      </c>
      <c r="H32" s="13">
        <f>15.9</f>
        <v>15.9</v>
      </c>
      <c r="I32" s="13"/>
      <c r="J32" s="13">
        <f>66+45.1+32</f>
        <v>143.1</v>
      </c>
      <c r="K32" s="13">
        <f>327+154</f>
        <v>481</v>
      </c>
      <c r="L32" s="13"/>
      <c r="M32" s="13"/>
      <c r="N32" s="13">
        <f>1+32+30</f>
        <v>63</v>
      </c>
      <c r="O32" s="13"/>
      <c r="P32" s="13">
        <f t="shared" si="2"/>
        <v>813</v>
      </c>
    </row>
    <row r="33" spans="1:23" ht="51" hidden="1" customHeight="1" x14ac:dyDescent="0.25">
      <c r="A33" s="13">
        <v>32</v>
      </c>
      <c r="B33" s="196">
        <v>44783</v>
      </c>
      <c r="C33" s="13">
        <f>33+15+90</f>
        <v>138</v>
      </c>
      <c r="D33" s="13"/>
      <c r="E33" s="13"/>
      <c r="F33" s="191"/>
      <c r="G33" s="13"/>
      <c r="H33" s="13"/>
      <c r="I33" s="13"/>
      <c r="J33" s="13">
        <f>40</f>
        <v>40</v>
      </c>
      <c r="K33" s="13">
        <f>456+40</f>
        <v>496</v>
      </c>
      <c r="L33" s="13"/>
      <c r="M33" s="13"/>
      <c r="N33" s="13">
        <f>30+19.5+62+29+7.5</f>
        <v>148</v>
      </c>
      <c r="O33" s="13"/>
      <c r="P33" s="13">
        <f t="shared" si="2"/>
        <v>684</v>
      </c>
    </row>
    <row r="34" spans="1:23" ht="34.9" hidden="1" customHeight="1" x14ac:dyDescent="0.25">
      <c r="A34" s="13">
        <v>33</v>
      </c>
      <c r="B34" s="196">
        <v>44784</v>
      </c>
      <c r="C34" s="13">
        <f>106</f>
        <v>106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>
        <f>10+60</f>
        <v>70</v>
      </c>
      <c r="O34" s="13"/>
      <c r="P34" s="13">
        <f t="shared" si="2"/>
        <v>70</v>
      </c>
      <c r="Q34" s="205" t="s">
        <v>258</v>
      </c>
    </row>
    <row r="35" spans="1:23" ht="34.9" hidden="1" customHeight="1" x14ac:dyDescent="0.25">
      <c r="A35" s="13">
        <v>34</v>
      </c>
      <c r="B35" s="196">
        <v>44785</v>
      </c>
      <c r="C35" s="13">
        <f>54</f>
        <v>54</v>
      </c>
      <c r="D35" s="13"/>
      <c r="E35" s="13"/>
      <c r="F35" s="13"/>
      <c r="G35" s="13"/>
      <c r="H35" s="13"/>
      <c r="I35" s="13"/>
      <c r="J35" s="13">
        <f>160+206+62</f>
        <v>428</v>
      </c>
      <c r="K35" s="13">
        <f>46+62+14</f>
        <v>122</v>
      </c>
      <c r="L35" s="13"/>
      <c r="M35" s="13"/>
      <c r="N35" s="13">
        <f>30+108+30+62</f>
        <v>230</v>
      </c>
      <c r="O35" s="13"/>
      <c r="P35" s="13">
        <f t="shared" si="1"/>
        <v>834</v>
      </c>
    </row>
    <row r="36" spans="1:23" ht="34.9" hidden="1" customHeight="1" x14ac:dyDescent="0.25">
      <c r="A36" s="13">
        <v>35</v>
      </c>
      <c r="B36" s="196">
        <v>44786</v>
      </c>
      <c r="C36" s="13"/>
      <c r="D36" s="13"/>
      <c r="E36" s="13"/>
      <c r="F36" s="13"/>
      <c r="G36" s="13"/>
      <c r="H36" s="13"/>
      <c r="I36" s="13"/>
      <c r="J36" s="13">
        <f>40</f>
        <v>40</v>
      </c>
      <c r="K36" s="13"/>
      <c r="L36" s="13"/>
      <c r="M36" s="13"/>
      <c r="N36" s="13">
        <f>70+15</f>
        <v>85</v>
      </c>
      <c r="O36" s="13"/>
      <c r="P36" s="13">
        <f t="shared" si="1"/>
        <v>125</v>
      </c>
    </row>
    <row r="37" spans="1:23" ht="34.9" hidden="1" customHeight="1" x14ac:dyDescent="0.25">
      <c r="A37" s="44">
        <v>36</v>
      </c>
      <c r="B37" s="239">
        <v>44787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>
        <f t="shared" si="1"/>
        <v>0</v>
      </c>
    </row>
    <row r="38" spans="1:23" ht="34.9" hidden="1" customHeight="1" x14ac:dyDescent="0.25">
      <c r="A38" s="13">
        <v>37</v>
      </c>
      <c r="B38" s="196">
        <v>44788</v>
      </c>
      <c r="C38" s="13"/>
      <c r="D38" s="13"/>
      <c r="E38" s="13"/>
      <c r="F38" s="13"/>
      <c r="G38" s="13"/>
      <c r="H38" s="13"/>
      <c r="I38" s="13"/>
      <c r="J38" s="13">
        <f>25</f>
        <v>25</v>
      </c>
      <c r="K38" s="13">
        <f>211+99+109+1</f>
        <v>420</v>
      </c>
      <c r="L38" s="13"/>
      <c r="M38" s="13"/>
      <c r="N38" s="13">
        <f>25+27+10+6.5+2.5</f>
        <v>71</v>
      </c>
      <c r="O38" s="13"/>
      <c r="P38" s="13">
        <f>SUM(C38+E38+G38+SUM(H38:O38))</f>
        <v>516</v>
      </c>
      <c r="Q38" s="219" t="s">
        <v>255</v>
      </c>
    </row>
    <row r="39" spans="1:23" ht="34.9" hidden="1" customHeight="1" x14ac:dyDescent="0.25">
      <c r="A39" s="13">
        <v>38</v>
      </c>
      <c r="B39" s="196">
        <v>44789</v>
      </c>
      <c r="C39" s="13">
        <f>491</f>
        <v>491</v>
      </c>
      <c r="D39" s="13"/>
      <c r="E39" s="13"/>
      <c r="F39" s="13"/>
      <c r="G39" s="13"/>
      <c r="H39" s="13"/>
      <c r="I39" s="13">
        <f>190</f>
        <v>190</v>
      </c>
      <c r="J39" s="13"/>
      <c r="K39" s="13"/>
      <c r="L39" s="13"/>
      <c r="M39" s="13">
        <f>15</f>
        <v>15</v>
      </c>
      <c r="N39" s="13">
        <f>216+48+30+30</f>
        <v>324</v>
      </c>
      <c r="O39" s="13"/>
      <c r="P39" s="13">
        <f>SUM(H39:O39)+G39+E39</f>
        <v>529</v>
      </c>
      <c r="Q39" s="714" t="s">
        <v>263</v>
      </c>
      <c r="R39" s="715"/>
      <c r="S39" s="715"/>
      <c r="T39" s="715"/>
      <c r="U39" s="715"/>
      <c r="V39" s="715"/>
      <c r="W39" s="715"/>
    </row>
    <row r="40" spans="1:23" ht="34.9" hidden="1" customHeight="1" x14ac:dyDescent="0.25">
      <c r="A40" s="13">
        <v>39</v>
      </c>
      <c r="B40" s="196">
        <v>44790</v>
      </c>
      <c r="C40" s="13">
        <v>150</v>
      </c>
      <c r="D40" s="13"/>
      <c r="E40" s="13"/>
      <c r="F40" s="13"/>
      <c r="G40" s="13"/>
      <c r="H40" s="13"/>
      <c r="I40" s="13"/>
      <c r="J40" s="13">
        <f>25</f>
        <v>25</v>
      </c>
      <c r="K40" s="13">
        <f>15</f>
        <v>15</v>
      </c>
      <c r="L40" s="13"/>
      <c r="M40" s="13"/>
      <c r="N40" s="13">
        <f>85+166</f>
        <v>251</v>
      </c>
      <c r="O40" s="13"/>
      <c r="P40" s="13">
        <f t="shared" ref="P40:P102" si="3">SUM(H40:O40)+G40+E40</f>
        <v>291</v>
      </c>
    </row>
    <row r="41" spans="1:23" ht="34.9" hidden="1" customHeight="1" x14ac:dyDescent="0.25">
      <c r="A41" s="13">
        <v>40</v>
      </c>
      <c r="B41" s="196">
        <v>44791</v>
      </c>
      <c r="C41" s="13"/>
      <c r="D41" s="13"/>
      <c r="E41" s="13"/>
      <c r="F41" s="13"/>
      <c r="G41" s="13"/>
      <c r="H41" s="13"/>
      <c r="I41" s="13"/>
      <c r="J41" s="13">
        <f>95+100+100+33+61+95+2</f>
        <v>486</v>
      </c>
      <c r="K41" s="13">
        <f>32+8</f>
        <v>40</v>
      </c>
      <c r="L41" s="13"/>
      <c r="M41" s="13">
        <f>100</f>
        <v>100</v>
      </c>
      <c r="N41" s="13">
        <f>27+15+15+255+30+15+80</f>
        <v>437</v>
      </c>
      <c r="O41" s="13"/>
      <c r="P41" s="13">
        <f t="shared" si="3"/>
        <v>1063</v>
      </c>
    </row>
    <row r="42" spans="1:23" ht="34.9" hidden="1" customHeight="1" x14ac:dyDescent="0.25">
      <c r="A42" s="13">
        <v>41</v>
      </c>
      <c r="B42" s="196">
        <v>44792</v>
      </c>
      <c r="C42" s="13">
        <f>130</f>
        <v>130</v>
      </c>
      <c r="D42" s="13"/>
      <c r="E42" s="13"/>
      <c r="F42" s="13"/>
      <c r="G42" s="13"/>
      <c r="H42" s="13"/>
      <c r="I42" s="13"/>
      <c r="J42" s="13">
        <f>224+30</f>
        <v>254</v>
      </c>
      <c r="K42" s="13">
        <f>102</f>
        <v>102</v>
      </c>
      <c r="L42" s="13"/>
      <c r="M42" s="13">
        <f>48+34+1</f>
        <v>83</v>
      </c>
      <c r="N42" s="13">
        <f>13</f>
        <v>13</v>
      </c>
      <c r="O42" s="13"/>
      <c r="P42" s="13">
        <f t="shared" si="3"/>
        <v>452</v>
      </c>
    </row>
    <row r="43" spans="1:23" ht="34.9" hidden="1" customHeight="1" x14ac:dyDescent="0.25">
      <c r="A43" s="13">
        <v>42</v>
      </c>
      <c r="B43" s="196">
        <v>44793</v>
      </c>
      <c r="C43" s="13"/>
      <c r="D43" s="13"/>
      <c r="E43" s="13"/>
      <c r="F43" s="13"/>
      <c r="G43" s="13"/>
      <c r="H43" s="13"/>
      <c r="I43" s="13"/>
      <c r="J43" s="13">
        <f>10+20</f>
        <v>30</v>
      </c>
      <c r="K43" s="13"/>
      <c r="L43" s="13"/>
      <c r="M43" s="13"/>
      <c r="N43" s="13">
        <f>212+15+15-20</f>
        <v>222</v>
      </c>
      <c r="O43" s="13"/>
      <c r="P43" s="13">
        <f t="shared" si="3"/>
        <v>252</v>
      </c>
      <c r="Q43" t="s">
        <v>264</v>
      </c>
    </row>
    <row r="44" spans="1:23" ht="34.9" hidden="1" customHeight="1" x14ac:dyDescent="0.25">
      <c r="A44" s="44">
        <v>43</v>
      </c>
      <c r="B44" s="239">
        <v>44794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>
        <f t="shared" si="3"/>
        <v>0</v>
      </c>
    </row>
    <row r="45" spans="1:23" ht="34.9" hidden="1" customHeight="1" x14ac:dyDescent="0.25">
      <c r="A45" s="13">
        <v>44</v>
      </c>
      <c r="B45" s="196">
        <v>44795</v>
      </c>
      <c r="C45" s="13"/>
      <c r="D45" s="13"/>
      <c r="E45" s="13"/>
      <c r="F45" s="13"/>
      <c r="G45" s="13"/>
      <c r="H45" s="13"/>
      <c r="I45" s="13"/>
      <c r="J45" s="13"/>
      <c r="K45" s="13">
        <f>358</f>
        <v>358</v>
      </c>
      <c r="L45" s="13"/>
      <c r="M45" s="13">
        <f>34+6+100</f>
        <v>140</v>
      </c>
      <c r="N45" s="13">
        <f>12+100</f>
        <v>112</v>
      </c>
      <c r="O45" s="13"/>
      <c r="P45" s="13">
        <f t="shared" si="3"/>
        <v>610</v>
      </c>
    </row>
    <row r="46" spans="1:23" ht="34.9" hidden="1" customHeight="1" x14ac:dyDescent="0.25">
      <c r="A46" s="13">
        <v>45</v>
      </c>
      <c r="B46" s="196">
        <v>44796</v>
      </c>
      <c r="C46" s="13">
        <f>6</f>
        <v>6</v>
      </c>
      <c r="D46" s="13"/>
      <c r="E46" s="13"/>
      <c r="F46" s="13"/>
      <c r="G46" s="13"/>
      <c r="H46" s="13"/>
      <c r="I46" s="13"/>
      <c r="J46" s="13">
        <f>40.8</f>
        <v>40.799999999999997</v>
      </c>
      <c r="K46" s="13"/>
      <c r="L46" s="13"/>
      <c r="M46" s="13">
        <f>30</f>
        <v>30</v>
      </c>
      <c r="N46" s="13">
        <f>106+30</f>
        <v>136</v>
      </c>
      <c r="O46" s="13"/>
      <c r="P46" s="13">
        <f t="shared" si="3"/>
        <v>206.8</v>
      </c>
      <c r="Q46" t="s">
        <v>265</v>
      </c>
    </row>
    <row r="47" spans="1:23" ht="34.9" hidden="1" customHeight="1" x14ac:dyDescent="0.25">
      <c r="A47" s="13">
        <v>46</v>
      </c>
      <c r="B47" s="196">
        <v>44797</v>
      </c>
      <c r="C47" s="13">
        <f>8</f>
        <v>8</v>
      </c>
      <c r="D47" s="13"/>
      <c r="E47" s="13"/>
      <c r="F47" s="13"/>
      <c r="G47" s="13"/>
      <c r="H47" s="13"/>
      <c r="I47" s="13"/>
      <c r="J47" s="13">
        <f>54</f>
        <v>54</v>
      </c>
      <c r="K47" s="13">
        <f>60+241</f>
        <v>301</v>
      </c>
      <c r="L47" s="13"/>
      <c r="M47" s="13">
        <f>30</f>
        <v>30</v>
      </c>
      <c r="N47" s="13">
        <f>30+105</f>
        <v>135</v>
      </c>
      <c r="O47" s="13"/>
      <c r="P47" s="13">
        <f t="shared" si="3"/>
        <v>520</v>
      </c>
    </row>
    <row r="48" spans="1:23" ht="72" hidden="1" customHeight="1" x14ac:dyDescent="0.25">
      <c r="A48" s="13">
        <v>47</v>
      </c>
      <c r="B48" s="196">
        <v>44798</v>
      </c>
      <c r="C48" s="13">
        <f>12</f>
        <v>12</v>
      </c>
      <c r="D48" s="13"/>
      <c r="E48" s="13"/>
      <c r="F48" s="191" t="s">
        <v>275</v>
      </c>
      <c r="G48" s="13">
        <f>540+32</f>
        <v>572</v>
      </c>
      <c r="H48" s="13"/>
      <c r="I48" s="13"/>
      <c r="J48" s="13"/>
      <c r="K48" s="13">
        <f>40</f>
        <v>40</v>
      </c>
      <c r="L48" s="13"/>
      <c r="M48" s="13"/>
      <c r="N48" s="13">
        <f>46+60+32</f>
        <v>138</v>
      </c>
      <c r="O48" s="13"/>
      <c r="P48" s="13">
        <f t="shared" si="3"/>
        <v>750</v>
      </c>
    </row>
    <row r="49" spans="1:17" ht="61.15" hidden="1" customHeight="1" x14ac:dyDescent="0.25">
      <c r="A49" s="13">
        <v>48</v>
      </c>
      <c r="B49" s="196">
        <v>44799</v>
      </c>
      <c r="C49" s="13">
        <f>56</f>
        <v>56</v>
      </c>
      <c r="D49" s="13"/>
      <c r="E49" s="13"/>
      <c r="F49" s="191" t="s">
        <v>274</v>
      </c>
      <c r="G49" s="13">
        <f>40+343</f>
        <v>383</v>
      </c>
      <c r="H49" s="13"/>
      <c r="I49" s="13"/>
      <c r="J49" s="13"/>
      <c r="K49" s="13"/>
      <c r="L49" s="13"/>
      <c r="M49" s="13"/>
      <c r="N49" s="13">
        <f>100+45+34</f>
        <v>179</v>
      </c>
      <c r="O49" s="13"/>
      <c r="P49" s="13">
        <f t="shared" si="3"/>
        <v>562</v>
      </c>
    </row>
    <row r="50" spans="1:17" ht="34.9" hidden="1" customHeight="1" x14ac:dyDescent="0.25">
      <c r="A50" s="13">
        <v>49</v>
      </c>
      <c r="B50" s="196">
        <v>44800</v>
      </c>
      <c r="C50" s="13">
        <f>288+12</f>
        <v>300</v>
      </c>
      <c r="D50" s="13"/>
      <c r="E50" s="13"/>
      <c r="F50" s="13"/>
      <c r="G50" s="13"/>
      <c r="H50" s="13"/>
      <c r="I50" s="13"/>
      <c r="J50" s="13"/>
      <c r="K50" s="13">
        <f>20</f>
        <v>20</v>
      </c>
      <c r="L50" s="13"/>
      <c r="M50" s="13">
        <f>5</f>
        <v>5</v>
      </c>
      <c r="N50" s="13">
        <f>46</f>
        <v>46</v>
      </c>
      <c r="O50" s="13"/>
      <c r="P50" s="13">
        <f t="shared" si="3"/>
        <v>71</v>
      </c>
    </row>
    <row r="51" spans="1:17" ht="34.9" hidden="1" customHeight="1" x14ac:dyDescent="0.25">
      <c r="A51" s="44">
        <v>50</v>
      </c>
      <c r="B51" s="239">
        <v>44801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>
        <f t="shared" si="3"/>
        <v>0</v>
      </c>
    </row>
    <row r="52" spans="1:17" ht="34.9" hidden="1" customHeight="1" x14ac:dyDescent="0.25">
      <c r="A52" s="13">
        <v>51</v>
      </c>
      <c r="B52" s="196">
        <v>44802</v>
      </c>
      <c r="C52" s="13">
        <f>48+1693.5+90+30</f>
        <v>1861.5</v>
      </c>
      <c r="D52" s="13"/>
      <c r="E52" s="13"/>
      <c r="F52" s="13" t="s">
        <v>285</v>
      </c>
      <c r="G52" s="13">
        <f>400</f>
        <v>400</v>
      </c>
      <c r="H52" s="13"/>
      <c r="I52" s="13"/>
      <c r="J52" s="13"/>
      <c r="K52" s="13"/>
      <c r="L52" s="13"/>
      <c r="M52" s="13">
        <f>8</f>
        <v>8</v>
      </c>
      <c r="N52" s="13">
        <f>130+45+30+100</f>
        <v>305</v>
      </c>
      <c r="O52" s="13"/>
      <c r="P52" s="13">
        <f>SUM(H52:O52)+G52+E52</f>
        <v>713</v>
      </c>
    </row>
    <row r="53" spans="1:17" ht="34.9" hidden="1" customHeight="1" x14ac:dyDescent="0.25">
      <c r="A53" s="13">
        <v>52</v>
      </c>
      <c r="B53" s="196">
        <v>44803</v>
      </c>
      <c r="C53" s="13">
        <f>72</f>
        <v>72</v>
      </c>
      <c r="D53" s="13"/>
      <c r="E53" s="13"/>
      <c r="F53" s="13" t="s">
        <v>287</v>
      </c>
      <c r="G53" s="13">
        <v>100</v>
      </c>
      <c r="H53" s="13"/>
      <c r="I53" s="13"/>
      <c r="J53" s="13"/>
      <c r="K53" s="13"/>
      <c r="L53" s="13"/>
      <c r="M53" s="13">
        <f>20</f>
        <v>20</v>
      </c>
      <c r="N53" s="13">
        <f>18+73</f>
        <v>91</v>
      </c>
      <c r="O53" s="13"/>
      <c r="P53" s="13">
        <f t="shared" si="3"/>
        <v>211</v>
      </c>
    </row>
    <row r="54" spans="1:17" ht="34.9" hidden="1" customHeight="1" x14ac:dyDescent="0.25">
      <c r="A54" s="13">
        <v>53</v>
      </c>
      <c r="B54" s="196">
        <v>44804</v>
      </c>
      <c r="C54" s="13">
        <f>30</f>
        <v>30</v>
      </c>
      <c r="D54" s="13"/>
      <c r="E54" s="13"/>
      <c r="F54" s="13"/>
      <c r="G54" s="13"/>
      <c r="H54" s="13">
        <f>21.64+3</f>
        <v>24.64</v>
      </c>
      <c r="I54" s="13"/>
      <c r="J54" s="13">
        <f>4+2+16+25.36</f>
        <v>47.36</v>
      </c>
      <c r="K54" s="13">
        <f>266</f>
        <v>266</v>
      </c>
      <c r="L54" s="13"/>
      <c r="M54" s="13"/>
      <c r="N54" s="13">
        <f>470+30+3+100+30</f>
        <v>633</v>
      </c>
      <c r="O54" s="13"/>
      <c r="P54" s="13">
        <f t="shared" si="3"/>
        <v>971</v>
      </c>
    </row>
    <row r="55" spans="1:17" ht="34.9" customHeight="1" x14ac:dyDescent="0.25">
      <c r="A55" s="13">
        <v>54</v>
      </c>
      <c r="B55" s="196">
        <v>44805</v>
      </c>
      <c r="C55" s="13"/>
      <c r="D55" s="13"/>
      <c r="E55" s="13"/>
      <c r="F55" s="13" t="s">
        <v>294</v>
      </c>
      <c r="G55" s="13">
        <v>14</v>
      </c>
      <c r="H55" s="191"/>
      <c r="I55" s="13"/>
      <c r="J55" s="13"/>
      <c r="K55" s="13">
        <f>576</f>
        <v>576</v>
      </c>
      <c r="L55" s="13"/>
      <c r="M55" s="13"/>
      <c r="N55" s="13">
        <f>45+90</f>
        <v>135</v>
      </c>
      <c r="O55" s="13"/>
      <c r="P55" s="13">
        <f t="shared" si="3"/>
        <v>725</v>
      </c>
    </row>
    <row r="56" spans="1:17" ht="34.9" customHeight="1" x14ac:dyDescent="0.25">
      <c r="A56" s="13">
        <v>55</v>
      </c>
      <c r="B56" s="196">
        <v>44806</v>
      </c>
      <c r="C56" s="13">
        <f>55+35</f>
        <v>90</v>
      </c>
      <c r="D56" s="13"/>
      <c r="E56" s="13"/>
      <c r="F56" s="13" t="s">
        <v>287</v>
      </c>
      <c r="G56" s="13">
        <v>20</v>
      </c>
      <c r="H56" s="13"/>
      <c r="I56" s="13"/>
      <c r="J56" s="13"/>
      <c r="K56" s="13"/>
      <c r="L56" s="13"/>
      <c r="M56" s="13"/>
      <c r="N56" s="13">
        <f>40+577.5</f>
        <v>617.5</v>
      </c>
      <c r="O56" s="13"/>
      <c r="P56" s="13">
        <f t="shared" si="3"/>
        <v>637.5</v>
      </c>
    </row>
    <row r="57" spans="1:17" ht="34.9" customHeight="1" x14ac:dyDescent="0.25">
      <c r="A57" s="13">
        <v>56</v>
      </c>
      <c r="B57" s="196">
        <v>44807</v>
      </c>
      <c r="C57" s="13"/>
      <c r="D57" s="13"/>
      <c r="E57" s="13"/>
      <c r="F57" s="13"/>
      <c r="G57" s="13"/>
      <c r="H57" s="13"/>
      <c r="I57" s="13"/>
      <c r="J57" s="13">
        <f>35+37</f>
        <v>72</v>
      </c>
      <c r="K57" s="13">
        <f>300</f>
        <v>300</v>
      </c>
      <c r="L57" s="13"/>
      <c r="M57" s="13"/>
      <c r="N57" s="13">
        <f>328+15+53</f>
        <v>396</v>
      </c>
      <c r="O57" s="13"/>
      <c r="P57" s="13">
        <f t="shared" si="3"/>
        <v>768</v>
      </c>
    </row>
    <row r="58" spans="1:17" ht="34.9" customHeight="1" x14ac:dyDescent="0.25">
      <c r="A58" s="44">
        <v>57</v>
      </c>
      <c r="B58" s="239">
        <v>44808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>
        <f t="shared" si="3"/>
        <v>0</v>
      </c>
    </row>
    <row r="59" spans="1:17" ht="34.9" customHeight="1" x14ac:dyDescent="0.25">
      <c r="A59" s="13">
        <v>58</v>
      </c>
      <c r="B59" s="196">
        <v>44809</v>
      </c>
      <c r="C59" s="13">
        <f>474</f>
        <v>474</v>
      </c>
      <c r="D59" s="13"/>
      <c r="E59" s="13"/>
      <c r="F59" s="13" t="s">
        <v>296</v>
      </c>
      <c r="G59" s="13">
        <v>30</v>
      </c>
      <c r="H59" s="13"/>
      <c r="I59" s="13"/>
      <c r="J59" s="13">
        <f>182+84</f>
        <v>266</v>
      </c>
      <c r="K59" s="13">
        <f>200</f>
        <v>200</v>
      </c>
      <c r="L59" s="13"/>
      <c r="M59" s="13"/>
      <c r="N59" s="13">
        <f>68+100</f>
        <v>168</v>
      </c>
      <c r="O59" s="13"/>
      <c r="P59" s="13">
        <f>SUM(H59:O59)+G59+E59</f>
        <v>664</v>
      </c>
    </row>
    <row r="60" spans="1:17" ht="34.9" customHeight="1" x14ac:dyDescent="0.25">
      <c r="A60" s="13">
        <v>59</v>
      </c>
      <c r="B60" s="196">
        <v>44810</v>
      </c>
      <c r="C60" s="13">
        <f>7</f>
        <v>7</v>
      </c>
      <c r="D60" s="13"/>
      <c r="E60" s="13"/>
      <c r="F60" s="13"/>
      <c r="G60" s="13"/>
      <c r="H60" s="13"/>
      <c r="I60" s="13"/>
      <c r="J60" s="13">
        <f>21+100+96+34</f>
        <v>251</v>
      </c>
      <c r="K60" s="13"/>
      <c r="L60" s="13"/>
      <c r="M60" s="13"/>
      <c r="N60" s="13">
        <f>37+118+100</f>
        <v>255</v>
      </c>
      <c r="O60" s="13"/>
      <c r="P60" s="13">
        <f t="shared" si="3"/>
        <v>506</v>
      </c>
    </row>
    <row r="61" spans="1:17" ht="34.9" customHeight="1" x14ac:dyDescent="0.25">
      <c r="A61" s="13">
        <v>60</v>
      </c>
      <c r="B61" s="196">
        <v>44811</v>
      </c>
      <c r="C61" s="13">
        <f>48</f>
        <v>48</v>
      </c>
      <c r="D61" s="13"/>
      <c r="E61" s="13"/>
      <c r="F61" s="13"/>
      <c r="G61" s="13"/>
      <c r="H61" s="13"/>
      <c r="I61" s="13">
        <f>37</f>
        <v>37</v>
      </c>
      <c r="J61" s="13">
        <f>65</f>
        <v>65</v>
      </c>
      <c r="K61" s="13">
        <f>42</f>
        <v>42</v>
      </c>
      <c r="L61" s="13"/>
      <c r="M61" s="13">
        <f>113+141</f>
        <v>254</v>
      </c>
      <c r="N61" s="13">
        <f>100+15+9+70</f>
        <v>194</v>
      </c>
      <c r="O61" s="13"/>
      <c r="P61" s="13">
        <f t="shared" si="3"/>
        <v>592</v>
      </c>
    </row>
    <row r="62" spans="1:17" ht="34.9" customHeight="1" x14ac:dyDescent="0.25">
      <c r="A62" s="13">
        <v>61</v>
      </c>
      <c r="B62" s="196">
        <v>44812</v>
      </c>
      <c r="C62" s="13">
        <f>148</f>
        <v>148</v>
      </c>
      <c r="D62" s="13"/>
      <c r="E62" s="13"/>
      <c r="F62" s="13"/>
      <c r="G62" s="13"/>
      <c r="H62" s="13"/>
      <c r="I62" s="13" t="s">
        <v>292</v>
      </c>
      <c r="J62" s="13">
        <f>53</f>
        <v>53</v>
      </c>
      <c r="K62" s="13"/>
      <c r="L62" s="13"/>
      <c r="M62" s="13"/>
      <c r="N62" s="13">
        <f>84+90+74-3</f>
        <v>245</v>
      </c>
      <c r="O62" s="13"/>
      <c r="P62" s="13">
        <f>SUM(H62:O62)+G62+E62</f>
        <v>298</v>
      </c>
      <c r="Q62" t="s">
        <v>304</v>
      </c>
    </row>
    <row r="63" spans="1:17" ht="34.9" customHeight="1" x14ac:dyDescent="0.25">
      <c r="A63" s="13">
        <v>62</v>
      </c>
      <c r="B63" s="196">
        <v>44813</v>
      </c>
      <c r="C63" s="13">
        <f>113</f>
        <v>113</v>
      </c>
      <c r="D63" s="13"/>
      <c r="E63" s="13"/>
      <c r="F63" s="13" t="s">
        <v>297</v>
      </c>
      <c r="G63" s="13">
        <v>550</v>
      </c>
      <c r="H63" s="13"/>
      <c r="I63" s="13"/>
      <c r="J63" s="13">
        <f>37+217+15+34+12</f>
        <v>315</v>
      </c>
      <c r="K63" s="13"/>
      <c r="L63" s="13"/>
      <c r="M63" s="13"/>
      <c r="N63" s="13">
        <f>20+307</f>
        <v>327</v>
      </c>
      <c r="O63" s="13"/>
      <c r="P63" s="13">
        <f>SUM(H63:O63)+G63+E63</f>
        <v>1192</v>
      </c>
      <c r="Q63" t="s">
        <v>356</v>
      </c>
    </row>
    <row r="64" spans="1:17" ht="34.9" customHeight="1" x14ac:dyDescent="0.25">
      <c r="A64" s="13">
        <v>63</v>
      </c>
      <c r="B64" s="196">
        <v>44814</v>
      </c>
      <c r="C64" s="13">
        <v>44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>
        <v>275</v>
      </c>
      <c r="O64" s="13"/>
      <c r="P64" s="13">
        <f>SUM(H64:O64)+G64+E64</f>
        <v>275</v>
      </c>
    </row>
    <row r="65" spans="1:18" ht="34.9" customHeight="1" x14ac:dyDescent="0.25">
      <c r="A65" s="13">
        <v>64</v>
      </c>
      <c r="B65" s="196">
        <v>44815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</row>
    <row r="66" spans="1:18" ht="34.9" customHeight="1" x14ac:dyDescent="0.25">
      <c r="A66" s="13">
        <v>65</v>
      </c>
      <c r="B66" s="196">
        <v>44816</v>
      </c>
      <c r="C66" s="13"/>
      <c r="D66" s="13"/>
      <c r="E66" s="13"/>
      <c r="F66" s="191" t="s">
        <v>303</v>
      </c>
      <c r="G66" s="13">
        <v>9</v>
      </c>
      <c r="H66" s="13"/>
      <c r="I66" s="13"/>
      <c r="J66" s="13"/>
      <c r="K66" s="13"/>
      <c r="L66" s="13"/>
      <c r="M66" s="13"/>
      <c r="N66" s="13"/>
      <c r="O66" s="13"/>
      <c r="P66" s="13">
        <f t="shared" si="3"/>
        <v>9</v>
      </c>
    </row>
    <row r="67" spans="1:18" ht="34.9" customHeight="1" x14ac:dyDescent="0.25">
      <c r="A67" s="13">
        <v>66</v>
      </c>
      <c r="B67" s="196">
        <v>44817</v>
      </c>
      <c r="C67" s="13">
        <f>51</f>
        <v>51</v>
      </c>
      <c r="D67" s="13"/>
      <c r="E67" s="13"/>
      <c r="F67" s="13" t="s">
        <v>306</v>
      </c>
      <c r="G67" s="13">
        <v>500</v>
      </c>
      <c r="H67" s="13"/>
      <c r="I67" s="13">
        <f>251</f>
        <v>251</v>
      </c>
      <c r="J67" s="13">
        <f>69</f>
        <v>69</v>
      </c>
      <c r="K67" s="13"/>
      <c r="L67" s="13"/>
      <c r="M67" s="13">
        <f>116+2</f>
        <v>118</v>
      </c>
      <c r="N67" s="13">
        <f>47</f>
        <v>47</v>
      </c>
      <c r="O67" s="13"/>
      <c r="P67" s="13">
        <f t="shared" si="3"/>
        <v>985</v>
      </c>
    </row>
    <row r="68" spans="1:18" ht="34.9" customHeight="1" x14ac:dyDescent="0.25">
      <c r="A68" s="13">
        <v>67</v>
      </c>
      <c r="B68" s="196">
        <v>44818</v>
      </c>
      <c r="C68" s="13"/>
      <c r="D68" s="13"/>
      <c r="E68" s="13"/>
      <c r="F68" s="13" t="s">
        <v>309</v>
      </c>
      <c r="G68" s="13">
        <v>5</v>
      </c>
      <c r="H68" s="13"/>
      <c r="I68" s="13"/>
      <c r="J68" s="13">
        <f>105+116+100</f>
        <v>321</v>
      </c>
      <c r="K68" s="13"/>
      <c r="L68" s="13"/>
      <c r="M68" s="13">
        <f>74</f>
        <v>74</v>
      </c>
      <c r="N68" s="13">
        <f>32+193+49+53+11+212</f>
        <v>550</v>
      </c>
      <c r="O68" s="13"/>
      <c r="P68" s="13">
        <f t="shared" si="3"/>
        <v>950</v>
      </c>
    </row>
    <row r="69" spans="1:18" ht="34.9" customHeight="1" x14ac:dyDescent="0.25">
      <c r="A69" s="13">
        <v>68</v>
      </c>
      <c r="B69" s="196">
        <v>44819</v>
      </c>
      <c r="C69" s="13">
        <f>37</f>
        <v>37</v>
      </c>
      <c r="D69" s="13"/>
      <c r="E69" s="13"/>
      <c r="F69" s="191" t="s">
        <v>311</v>
      </c>
      <c r="G69" s="13">
        <f>100+100</f>
        <v>200</v>
      </c>
      <c r="H69" s="13"/>
      <c r="I69" s="13"/>
      <c r="J69" s="13"/>
      <c r="K69" s="13"/>
      <c r="L69" s="13"/>
      <c r="M69" s="13"/>
      <c r="N69" s="13">
        <f>177+49+42+53+219+177</f>
        <v>717</v>
      </c>
      <c r="O69" s="13"/>
      <c r="P69" s="13">
        <f t="shared" si="3"/>
        <v>917</v>
      </c>
    </row>
    <row r="70" spans="1:18" ht="34.9" customHeight="1" x14ac:dyDescent="0.25">
      <c r="A70" s="13">
        <v>69</v>
      </c>
      <c r="B70" s="196">
        <v>44820</v>
      </c>
      <c r="C70" s="13"/>
      <c r="D70" s="13"/>
      <c r="E70" s="13"/>
      <c r="F70" s="13"/>
      <c r="G70" s="13"/>
      <c r="H70" s="13">
        <f>3+5.5</f>
        <v>8.5</v>
      </c>
      <c r="I70" s="13"/>
      <c r="J70" s="13"/>
      <c r="K70" s="13"/>
      <c r="L70" s="13"/>
      <c r="M70" s="13"/>
      <c r="N70" s="13">
        <f>12+35+55+90</f>
        <v>192</v>
      </c>
      <c r="O70" s="13"/>
      <c r="P70" s="13">
        <f t="shared" si="3"/>
        <v>200.5</v>
      </c>
    </row>
    <row r="71" spans="1:18" ht="34.9" customHeight="1" x14ac:dyDescent="0.25">
      <c r="A71" s="13">
        <v>70</v>
      </c>
      <c r="B71" s="196">
        <v>44821</v>
      </c>
      <c r="C71" s="13">
        <f>225</f>
        <v>225</v>
      </c>
      <c r="D71" s="13"/>
      <c r="E71" s="13"/>
      <c r="F71" s="13"/>
      <c r="G71" s="13"/>
      <c r="H71" s="13"/>
      <c r="I71" s="13"/>
      <c r="J71" s="13">
        <f>28</f>
        <v>28</v>
      </c>
      <c r="K71" s="13"/>
      <c r="L71" s="13"/>
      <c r="M71" s="13">
        <f>70</f>
        <v>70</v>
      </c>
      <c r="N71" s="13">
        <f>90</f>
        <v>90</v>
      </c>
      <c r="O71" s="13"/>
      <c r="P71" s="13">
        <f t="shared" si="3"/>
        <v>188</v>
      </c>
    </row>
    <row r="72" spans="1:18" ht="34.9" customHeight="1" x14ac:dyDescent="0.25">
      <c r="A72" s="44">
        <v>71</v>
      </c>
      <c r="B72" s="239">
        <v>44822</v>
      </c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>
        <f t="shared" si="3"/>
        <v>0</v>
      </c>
    </row>
    <row r="73" spans="1:18" ht="34.9" customHeight="1" x14ac:dyDescent="0.25">
      <c r="A73" s="13">
        <v>72</v>
      </c>
      <c r="B73" s="196">
        <v>44823</v>
      </c>
      <c r="C73" s="13">
        <f>8+128</f>
        <v>136</v>
      </c>
      <c r="D73" s="13"/>
      <c r="E73" s="13"/>
      <c r="F73" s="13"/>
      <c r="G73" s="13"/>
      <c r="H73" s="13">
        <f>69-3.48-45</f>
        <v>20.519999999999996</v>
      </c>
      <c r="I73" s="13"/>
      <c r="J73" s="13">
        <f>3.48</f>
        <v>3.48</v>
      </c>
      <c r="K73" s="13">
        <f>350+28</f>
        <v>378</v>
      </c>
      <c r="L73" s="13"/>
      <c r="M73" s="13">
        <f>2+43</f>
        <v>45</v>
      </c>
      <c r="N73" s="13">
        <f>220+330+50</f>
        <v>600</v>
      </c>
      <c r="O73" s="13"/>
      <c r="P73" s="13">
        <f t="shared" si="3"/>
        <v>1047</v>
      </c>
    </row>
    <row r="74" spans="1:18" ht="34.9" customHeight="1" x14ac:dyDescent="0.25">
      <c r="A74" s="13">
        <v>73</v>
      </c>
      <c r="B74" s="196">
        <v>44824</v>
      </c>
      <c r="C74" s="13">
        <f>103</f>
        <v>103</v>
      </c>
      <c r="D74" s="13"/>
      <c r="E74" s="13"/>
      <c r="F74" s="191" t="s">
        <v>314</v>
      </c>
      <c r="G74" s="13">
        <v>7.5</v>
      </c>
      <c r="H74" s="13">
        <f>11+0.6-5-5</f>
        <v>1.5999999999999996</v>
      </c>
      <c r="I74" s="13"/>
      <c r="J74" s="13">
        <f>168+81</f>
        <v>249</v>
      </c>
      <c r="K74" s="13"/>
      <c r="L74" s="13"/>
      <c r="M74" s="13">
        <f>15</f>
        <v>15</v>
      </c>
      <c r="N74" s="13">
        <f>40+20+45+34+15+51</f>
        <v>205</v>
      </c>
      <c r="O74" s="13"/>
      <c r="P74" s="13">
        <f>SUM(H74:O74)+G74+E74</f>
        <v>478.1</v>
      </c>
    </row>
    <row r="75" spans="1:18" ht="34.9" customHeight="1" x14ac:dyDescent="0.25">
      <c r="A75" s="13">
        <v>74</v>
      </c>
      <c r="B75" s="196">
        <v>44825</v>
      </c>
      <c r="C75" s="13">
        <f>122</f>
        <v>122</v>
      </c>
      <c r="D75" s="13"/>
      <c r="E75" s="13"/>
      <c r="F75" s="13"/>
      <c r="G75" s="13"/>
      <c r="H75" s="13"/>
      <c r="I75" s="13"/>
      <c r="J75" s="13">
        <f>84+15+28+79+15</f>
        <v>221</v>
      </c>
      <c r="K75" s="13">
        <f>100</f>
        <v>100</v>
      </c>
      <c r="L75" s="13"/>
      <c r="M75" s="13">
        <f>-2+1+2</f>
        <v>1</v>
      </c>
      <c r="N75" s="13">
        <f>32+126+15+68+327+10+64+96+84-3</f>
        <v>819</v>
      </c>
      <c r="O75" s="13"/>
      <c r="P75" s="13">
        <f t="shared" si="3"/>
        <v>1141</v>
      </c>
    </row>
    <row r="76" spans="1:18" ht="34.9" customHeight="1" x14ac:dyDescent="0.25">
      <c r="A76" s="13">
        <v>75</v>
      </c>
      <c r="B76" s="196">
        <v>44826</v>
      </c>
      <c r="C76" s="13">
        <f>32</f>
        <v>32</v>
      </c>
      <c r="D76" s="13"/>
      <c r="E76" s="13"/>
      <c r="F76" s="13"/>
      <c r="G76" s="13"/>
      <c r="H76" s="13"/>
      <c r="I76" s="13"/>
      <c r="J76" s="13">
        <f>32+6</f>
        <v>38</v>
      </c>
      <c r="K76" s="13">
        <f>48</f>
        <v>48</v>
      </c>
      <c r="L76" s="13"/>
      <c r="M76" s="13"/>
      <c r="N76" s="13">
        <f>56+100+15+113+259+90+15+270</f>
        <v>918</v>
      </c>
      <c r="O76" s="13"/>
      <c r="P76" s="13">
        <f t="shared" si="3"/>
        <v>1004</v>
      </c>
      <c r="Q76" t="s">
        <v>315</v>
      </c>
    </row>
    <row r="77" spans="1:18" ht="34.9" customHeight="1" x14ac:dyDescent="0.25">
      <c r="A77" s="13">
        <v>76</v>
      </c>
      <c r="B77" s="196">
        <v>44827</v>
      </c>
      <c r="C77" s="13">
        <f>272</f>
        <v>272</v>
      </c>
      <c r="D77" s="13"/>
      <c r="E77" s="13"/>
      <c r="F77" s="191" t="s">
        <v>321</v>
      </c>
      <c r="G77" s="13">
        <f>8</f>
        <v>8</v>
      </c>
      <c r="H77" s="13"/>
      <c r="I77" s="13"/>
      <c r="J77" s="13">
        <f>15+15+56</f>
        <v>86</v>
      </c>
      <c r="K77" s="13">
        <f>532+42</f>
        <v>574</v>
      </c>
      <c r="L77" s="13"/>
      <c r="M77" s="13">
        <f>204</f>
        <v>204</v>
      </c>
      <c r="N77" s="13">
        <f>8+32+53+15+50</f>
        <v>158</v>
      </c>
      <c r="O77" s="13"/>
      <c r="P77" s="13">
        <f t="shared" si="3"/>
        <v>1030</v>
      </c>
    </row>
    <row r="78" spans="1:18" ht="34.9" customHeight="1" x14ac:dyDescent="0.25">
      <c r="A78" s="13">
        <v>77</v>
      </c>
      <c r="B78" s="196">
        <v>44828</v>
      </c>
      <c r="C78" s="13"/>
      <c r="D78" s="13"/>
      <c r="E78" s="13"/>
      <c r="F78" s="13"/>
      <c r="G78" s="13"/>
      <c r="H78" s="13"/>
      <c r="I78" s="13"/>
      <c r="J78" s="13">
        <f>15+1+11+135</f>
        <v>162</v>
      </c>
      <c r="K78" s="13">
        <f>56+11+82+48+90</f>
        <v>287</v>
      </c>
      <c r="L78" s="13"/>
      <c r="M78" s="13">
        <f>63</f>
        <v>63</v>
      </c>
      <c r="N78" s="13">
        <f>7+100+238+100+15+31+437+20+13+47+34+8+46+40+1210+10</f>
        <v>2356</v>
      </c>
      <c r="O78" s="13"/>
      <c r="P78" s="13">
        <f t="shared" si="3"/>
        <v>2868</v>
      </c>
      <c r="Q78" t="s">
        <v>319</v>
      </c>
    </row>
    <row r="79" spans="1:18" ht="34.9" customHeight="1" x14ac:dyDescent="0.25">
      <c r="A79" s="308">
        <v>78</v>
      </c>
      <c r="B79" s="309">
        <v>44829</v>
      </c>
      <c r="C79" s="308"/>
      <c r="D79" s="308"/>
      <c r="E79" s="308"/>
      <c r="F79" s="308"/>
      <c r="G79" s="308"/>
      <c r="H79" s="308"/>
      <c r="I79" s="308"/>
      <c r="J79" s="308"/>
      <c r="K79" s="308"/>
      <c r="L79" s="308"/>
      <c r="M79" s="308"/>
      <c r="N79" s="308"/>
      <c r="O79" s="308"/>
      <c r="P79" s="308">
        <f t="shared" si="3"/>
        <v>0</v>
      </c>
      <c r="R79" t="s">
        <v>292</v>
      </c>
    </row>
    <row r="80" spans="1:18" ht="34.9" customHeight="1" x14ac:dyDescent="0.25">
      <c r="A80" s="13">
        <v>79</v>
      </c>
      <c r="B80" s="196">
        <v>44830</v>
      </c>
      <c r="C80" s="13">
        <f>194</f>
        <v>194</v>
      </c>
      <c r="D80" s="13"/>
      <c r="E80" s="13"/>
      <c r="F80" s="13"/>
      <c r="G80" s="13"/>
      <c r="H80" s="13"/>
      <c r="I80" s="13">
        <f>8</f>
        <v>8</v>
      </c>
      <c r="J80" s="13">
        <f>53+28+14</f>
        <v>95</v>
      </c>
      <c r="K80" s="13">
        <f>90</f>
        <v>90</v>
      </c>
      <c r="L80" s="13"/>
      <c r="M80" s="13">
        <f>40</f>
        <v>40</v>
      </c>
      <c r="N80" s="13">
        <f>6+162+134+102+300</f>
        <v>704</v>
      </c>
      <c r="O80" s="13"/>
      <c r="P80" s="13">
        <f t="shared" si="3"/>
        <v>937</v>
      </c>
    </row>
    <row r="81" spans="1:18" ht="34.9" customHeight="1" x14ac:dyDescent="0.25">
      <c r="A81" s="13">
        <v>80</v>
      </c>
      <c r="B81" s="196">
        <v>44831</v>
      </c>
      <c r="C81" s="13"/>
      <c r="D81" s="13"/>
      <c r="E81" s="13"/>
      <c r="F81" s="13"/>
      <c r="G81" s="13"/>
      <c r="H81" s="13">
        <f>10</f>
        <v>10</v>
      </c>
      <c r="I81" s="13"/>
      <c r="J81" s="13">
        <f>32+2</f>
        <v>34</v>
      </c>
      <c r="K81" s="13"/>
      <c r="L81" s="13"/>
      <c r="M81" s="13"/>
      <c r="N81" s="13">
        <f>35+370+60+50+406</f>
        <v>921</v>
      </c>
      <c r="O81" s="13"/>
      <c r="P81" s="13">
        <f t="shared" si="3"/>
        <v>965</v>
      </c>
    </row>
    <row r="82" spans="1:18" ht="34.9" customHeight="1" x14ac:dyDescent="0.25">
      <c r="A82" s="13">
        <v>81</v>
      </c>
      <c r="B82" s="196">
        <v>44832</v>
      </c>
      <c r="C82" s="13">
        <f>151</f>
        <v>151</v>
      </c>
      <c r="D82" s="13"/>
      <c r="E82" s="13"/>
      <c r="F82" s="13"/>
      <c r="G82" s="13"/>
      <c r="H82" s="13">
        <f>1</f>
        <v>1</v>
      </c>
      <c r="I82" s="13"/>
      <c r="J82" s="13">
        <f>100+0.91+41+26</f>
        <v>167.91</v>
      </c>
      <c r="K82" s="13">
        <f>150</f>
        <v>150</v>
      </c>
      <c r="L82" s="13"/>
      <c r="M82" s="13">
        <f>75+6+13-7-9</f>
        <v>78</v>
      </c>
      <c r="N82" s="13">
        <f>30+57+88+26+361+6+49+20+20+131+113+136+7+9</f>
        <v>1053</v>
      </c>
      <c r="O82" s="13"/>
      <c r="P82" s="13">
        <f t="shared" si="3"/>
        <v>1449.9099999999999</v>
      </c>
      <c r="Q82" t="s">
        <v>338</v>
      </c>
    </row>
    <row r="83" spans="1:18" ht="34.9" customHeight="1" x14ac:dyDescent="0.25">
      <c r="A83" s="13">
        <v>82</v>
      </c>
      <c r="B83" s="196">
        <v>44833</v>
      </c>
      <c r="C83" s="13"/>
      <c r="D83" s="13"/>
      <c r="E83" s="13"/>
      <c r="F83" s="13" t="s">
        <v>339</v>
      </c>
      <c r="G83" s="207">
        <f>297-15</f>
        <v>282</v>
      </c>
      <c r="H83" s="13"/>
      <c r="I83" s="13">
        <f>52</f>
        <v>52</v>
      </c>
      <c r="J83" s="13">
        <f>50+39+16+34+34+28</f>
        <v>201</v>
      </c>
      <c r="K83" s="13">
        <f>95+20</f>
        <v>115</v>
      </c>
      <c r="L83" s="13"/>
      <c r="M83" s="13"/>
      <c r="N83" s="13">
        <f>20+300+15+11+10+100+70+50+14+45</f>
        <v>635</v>
      </c>
      <c r="O83" s="13"/>
      <c r="P83" s="207">
        <f>SUM(H83:O83)+G83+E83</f>
        <v>1285</v>
      </c>
    </row>
    <row r="84" spans="1:18" ht="34.9" customHeight="1" x14ac:dyDescent="0.25">
      <c r="A84" s="13">
        <v>83</v>
      </c>
      <c r="B84" s="196">
        <v>44834</v>
      </c>
      <c r="C84" s="13">
        <f>80</f>
        <v>80</v>
      </c>
      <c r="D84" s="13"/>
      <c r="E84" s="13"/>
      <c r="F84" s="13"/>
      <c r="G84" s="13"/>
      <c r="H84" s="13"/>
      <c r="I84" s="13"/>
      <c r="J84" s="13">
        <f>1+8</f>
        <v>9</v>
      </c>
      <c r="K84" s="13"/>
      <c r="L84" s="13"/>
      <c r="M84" s="13">
        <f>-9</f>
        <v>-9</v>
      </c>
      <c r="N84" s="13">
        <f>14+45+26+53+40+100+124+33+15+277+31+20</f>
        <v>778</v>
      </c>
      <c r="O84" s="13"/>
      <c r="P84" s="13">
        <f t="shared" si="3"/>
        <v>778</v>
      </c>
      <c r="Q84" t="s">
        <v>340</v>
      </c>
    </row>
    <row r="85" spans="1:18" ht="34.9" customHeight="1" x14ac:dyDescent="0.25">
      <c r="A85" s="13">
        <v>84</v>
      </c>
      <c r="B85" s="196">
        <v>44835</v>
      </c>
      <c r="C85" s="13"/>
      <c r="D85" s="13"/>
      <c r="E85" s="13"/>
      <c r="F85" s="13"/>
      <c r="G85" s="13"/>
      <c r="H85" s="13">
        <f>-2-1</f>
        <v>-3</v>
      </c>
      <c r="I85" s="13"/>
      <c r="J85" s="13">
        <f>2+26+10+10</f>
        <v>48</v>
      </c>
      <c r="K85" s="13">
        <f>34</f>
        <v>34</v>
      </c>
      <c r="L85" s="13"/>
      <c r="M85" s="13">
        <f>-4</f>
        <v>-4</v>
      </c>
      <c r="N85" s="13">
        <f>60+73+95+30+667+136+103+31+80+50+100</f>
        <v>1425</v>
      </c>
      <c r="O85" s="13"/>
      <c r="P85" s="13">
        <f t="shared" si="3"/>
        <v>1500</v>
      </c>
      <c r="Q85" t="s">
        <v>345</v>
      </c>
    </row>
    <row r="86" spans="1:18" ht="34.9" customHeight="1" x14ac:dyDescent="0.25">
      <c r="A86" s="308">
        <v>85</v>
      </c>
      <c r="B86" s="309">
        <v>44836</v>
      </c>
      <c r="C86" s="308"/>
      <c r="D86" s="308"/>
      <c r="E86" s="308"/>
      <c r="F86" s="308"/>
      <c r="G86" s="308"/>
      <c r="H86" s="308"/>
      <c r="I86" s="308"/>
      <c r="J86" s="308"/>
      <c r="K86" s="308"/>
      <c r="L86" s="308"/>
      <c r="M86" s="308"/>
      <c r="N86" s="308"/>
      <c r="O86" s="308"/>
      <c r="P86" s="308">
        <f t="shared" si="3"/>
        <v>0</v>
      </c>
    </row>
    <row r="87" spans="1:18" ht="34.9" customHeight="1" x14ac:dyDescent="0.25">
      <c r="A87" s="13">
        <v>86</v>
      </c>
      <c r="B87" s="196">
        <v>44837</v>
      </c>
      <c r="C87" s="13"/>
      <c r="D87" s="13"/>
      <c r="E87" s="13"/>
      <c r="F87" s="13"/>
      <c r="G87" s="13"/>
      <c r="H87" s="13"/>
      <c r="I87" s="13"/>
      <c r="J87" s="13">
        <f>7+35+318+48</f>
        <v>408</v>
      </c>
      <c r="K87" s="13">
        <f>206+191</f>
        <v>397</v>
      </c>
      <c r="L87" s="13"/>
      <c r="M87" s="13"/>
      <c r="N87" s="13">
        <f>100+100+15+135+34</f>
        <v>384</v>
      </c>
      <c r="O87" s="13"/>
      <c r="P87" s="13">
        <f t="shared" si="3"/>
        <v>1189</v>
      </c>
    </row>
    <row r="88" spans="1:18" ht="34.9" customHeight="1" x14ac:dyDescent="0.25">
      <c r="A88" s="13">
        <v>87</v>
      </c>
      <c r="B88" s="196">
        <v>44838</v>
      </c>
      <c r="C88" s="13"/>
      <c r="D88" s="13"/>
      <c r="E88" s="13"/>
      <c r="F88" s="13"/>
      <c r="G88" s="13"/>
      <c r="H88" s="13"/>
      <c r="I88" s="13"/>
      <c r="J88" s="13">
        <f>11+15+48+34</f>
        <v>108</v>
      </c>
      <c r="K88" s="13"/>
      <c r="L88" s="13"/>
      <c r="M88" s="13"/>
      <c r="N88" s="13">
        <f>85+13+106+26+20+39+34+68+340</f>
        <v>731</v>
      </c>
      <c r="O88" s="13"/>
      <c r="P88" s="13">
        <f t="shared" si="3"/>
        <v>839</v>
      </c>
    </row>
    <row r="89" spans="1:18" ht="34.9" customHeight="1" x14ac:dyDescent="0.25">
      <c r="A89" s="13">
        <v>88</v>
      </c>
      <c r="B89" s="196">
        <v>44839</v>
      </c>
      <c r="C89" s="13"/>
      <c r="D89" s="13"/>
      <c r="E89" s="13"/>
      <c r="F89" s="13" t="s">
        <v>351</v>
      </c>
      <c r="G89" s="13">
        <v>7</v>
      </c>
      <c r="H89" s="13">
        <f>15-5-5-1</f>
        <v>4</v>
      </c>
      <c r="I89" s="13"/>
      <c r="J89" s="13">
        <f>204+8+12+30+107+34</f>
        <v>395</v>
      </c>
      <c r="K89" s="13">
        <f>750</f>
        <v>750</v>
      </c>
      <c r="L89" s="13"/>
      <c r="M89" s="13">
        <f>-4</f>
        <v>-4</v>
      </c>
      <c r="N89" s="13">
        <f>30+20+20+180+400+30+15+15</f>
        <v>710</v>
      </c>
      <c r="O89" s="13"/>
      <c r="P89" s="13">
        <f t="shared" si="3"/>
        <v>1862</v>
      </c>
      <c r="Q89" t="s">
        <v>350</v>
      </c>
    </row>
    <row r="90" spans="1:18" ht="34.9" customHeight="1" x14ac:dyDescent="0.25">
      <c r="A90" s="13">
        <v>89</v>
      </c>
      <c r="B90" s="196">
        <v>44840</v>
      </c>
      <c r="C90" s="13"/>
      <c r="D90" s="13"/>
      <c r="E90" s="13"/>
      <c r="F90" s="13"/>
      <c r="G90" s="13"/>
      <c r="H90" s="13"/>
      <c r="I90" s="13">
        <f>39</f>
        <v>39</v>
      </c>
      <c r="J90" s="13">
        <f>88+270+64+204+136</f>
        <v>762</v>
      </c>
      <c r="K90" s="13"/>
      <c r="L90" s="13"/>
      <c r="M90" s="13">
        <f>19</f>
        <v>19</v>
      </c>
      <c r="N90" s="13">
        <f>121+20+850+64+150</f>
        <v>1205</v>
      </c>
      <c r="O90" s="13">
        <f>136</f>
        <v>136</v>
      </c>
      <c r="P90" s="13">
        <f t="shared" si="3"/>
        <v>2161</v>
      </c>
      <c r="Q90" s="301" t="s">
        <v>352</v>
      </c>
      <c r="R90" s="301" t="s">
        <v>355</v>
      </c>
    </row>
    <row r="91" spans="1:18" ht="34.9" customHeight="1" x14ac:dyDescent="0.25">
      <c r="A91" s="13">
        <v>90</v>
      </c>
      <c r="B91" s="196">
        <v>44841</v>
      </c>
      <c r="C91" s="13"/>
      <c r="D91" s="13"/>
      <c r="E91" s="13"/>
      <c r="F91" s="13"/>
      <c r="G91" s="13"/>
      <c r="H91" s="13"/>
      <c r="I91" s="13">
        <f>26+391</f>
        <v>417</v>
      </c>
      <c r="J91" s="13">
        <f>34+15+15+30+170+26+30+26+8+4+2+15+136+68+234+82+60+94</f>
        <v>1049</v>
      </c>
      <c r="K91" s="13">
        <f>183+34+64</f>
        <v>281</v>
      </c>
      <c r="L91" s="13">
        <f>150</f>
        <v>150</v>
      </c>
      <c r="M91" s="13">
        <f>-5</f>
        <v>-5</v>
      </c>
      <c r="N91" s="13">
        <f>168+100+20+15+20+100+130+30+14+26</f>
        <v>623</v>
      </c>
      <c r="O91" s="13">
        <f>-10</f>
        <v>-10</v>
      </c>
      <c r="P91" s="13">
        <f t="shared" si="3"/>
        <v>2505</v>
      </c>
    </row>
    <row r="92" spans="1:18" ht="34.9" customHeight="1" x14ac:dyDescent="0.25">
      <c r="A92" s="13">
        <v>91</v>
      </c>
      <c r="B92" s="196">
        <v>44842</v>
      </c>
      <c r="C92" s="13"/>
      <c r="D92" s="13"/>
      <c r="E92" s="13"/>
      <c r="F92" s="13"/>
      <c r="G92" s="13"/>
      <c r="H92" s="13">
        <f>1</f>
        <v>1</v>
      </c>
      <c r="I92" s="13">
        <f>50</f>
        <v>50</v>
      </c>
      <c r="J92" s="13">
        <f>154+40+15+100+26+34+30+8+102+26+102+19+26</f>
        <v>682</v>
      </c>
      <c r="K92" s="13">
        <f>22+201+264+407.5</f>
        <v>894.5</v>
      </c>
      <c r="L92" s="13"/>
      <c r="M92" s="13">
        <f>34-2+26</f>
        <v>58</v>
      </c>
      <c r="N92" s="13">
        <f>15+26+60+30+52+60+25+68+15+39+20+70+15+30</f>
        <v>525</v>
      </c>
      <c r="O92" s="13"/>
      <c r="P92" s="13">
        <f>SUM(H92:O92)+G92+E92</f>
        <v>2210.5</v>
      </c>
    </row>
    <row r="93" spans="1:18" ht="34.9" customHeight="1" x14ac:dyDescent="0.25">
      <c r="A93" s="13">
        <v>92</v>
      </c>
      <c r="B93" s="196">
        <v>44843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f t="shared" si="3"/>
        <v>0</v>
      </c>
    </row>
    <row r="94" spans="1:18" ht="34.9" customHeight="1" x14ac:dyDescent="0.25">
      <c r="A94" s="13">
        <v>93</v>
      </c>
      <c r="B94" s="196">
        <v>44844</v>
      </c>
      <c r="C94" s="13">
        <f>1657+10-170</f>
        <v>1497</v>
      </c>
      <c r="D94" s="13"/>
      <c r="E94" s="13"/>
      <c r="F94" s="13"/>
      <c r="G94" s="13"/>
      <c r="H94" s="13">
        <f>2</f>
        <v>2</v>
      </c>
      <c r="I94" s="13">
        <f>258</f>
        <v>258</v>
      </c>
      <c r="J94" s="13">
        <f>56+14+19+15+20+15+34+49+13+306+60+55.68+52+6+136+50+15+60</f>
        <v>975.68</v>
      </c>
      <c r="K94" s="13">
        <f>208+78+1633+46+40</f>
        <v>2005</v>
      </c>
      <c r="L94" s="13"/>
      <c r="M94" s="13">
        <f>34+1-10-7+40</f>
        <v>58</v>
      </c>
      <c r="N94" s="13">
        <f>80+20+15-5+34+135+50+39+15+39+270+50+200+30+189+100+189+68+11+90+130+50+15+39+15+98+20+15+18+39+49+34+15+100+200+90-20</f>
        <v>2526</v>
      </c>
      <c r="O94" s="13">
        <f>-7.68</f>
        <v>-7.68</v>
      </c>
      <c r="P94" s="13">
        <f>SUM(H94:O94)+G94+E94</f>
        <v>5817</v>
      </c>
    </row>
    <row r="95" spans="1:18" ht="34.9" customHeight="1" x14ac:dyDescent="0.25">
      <c r="A95" s="13">
        <v>94</v>
      </c>
      <c r="B95" s="196">
        <v>44845</v>
      </c>
      <c r="C95" s="13">
        <f>269</f>
        <v>269</v>
      </c>
      <c r="D95" s="13"/>
      <c r="E95" s="13"/>
      <c r="F95" s="13" t="s">
        <v>357</v>
      </c>
      <c r="G95" s="13">
        <v>561</v>
      </c>
      <c r="H95" s="13">
        <f>2</f>
        <v>2</v>
      </c>
      <c r="I95" s="13"/>
      <c r="J95" s="13">
        <f>61+91+139+39+68+166+39+30+5+30+39+15+61</f>
        <v>783</v>
      </c>
      <c r="K95" s="13">
        <f>113+121+100+198+35+33+135</f>
        <v>735</v>
      </c>
      <c r="L95" s="13"/>
      <c r="M95" s="13">
        <f>114+15-1-7-6</f>
        <v>115</v>
      </c>
      <c r="N95" s="13">
        <f>305+378+80+33+100+69+30+150+10+15+106+104+136+50+260+100+76+15+78+40+730+100+76+50+280+15+120+239</f>
        <v>3745</v>
      </c>
      <c r="O95" s="13">
        <f>-5+2+9.76+14.56</f>
        <v>21.32</v>
      </c>
      <c r="P95" s="13">
        <f t="shared" si="3"/>
        <v>5962.32</v>
      </c>
      <c r="Q95" t="s">
        <v>358</v>
      </c>
    </row>
    <row r="96" spans="1:18" ht="34.9" customHeight="1" x14ac:dyDescent="0.25">
      <c r="A96" s="13">
        <v>95</v>
      </c>
      <c r="B96" s="196">
        <v>44846</v>
      </c>
      <c r="C96" s="13"/>
      <c r="D96" s="13"/>
      <c r="E96" s="13"/>
      <c r="F96" s="191" t="s">
        <v>360</v>
      </c>
      <c r="G96" s="13">
        <v>61</v>
      </c>
      <c r="H96" s="13">
        <f>-0.5</f>
        <v>-0.5</v>
      </c>
      <c r="I96" s="13"/>
      <c r="J96" s="13">
        <f>68+45.24+30</f>
        <v>143.24</v>
      </c>
      <c r="K96" s="13">
        <f>-102</f>
        <v>-102</v>
      </c>
      <c r="L96" s="13"/>
      <c r="M96" s="13">
        <f>236+30</f>
        <v>266</v>
      </c>
      <c r="N96" s="13">
        <f>39+70+102+30+39+14+9+510-336-29</f>
        <v>448</v>
      </c>
      <c r="O96" s="13">
        <f>39-45.24</f>
        <v>-6.240000000000002</v>
      </c>
      <c r="P96" s="13">
        <f>SUM(H96:O96)+G96+E96</f>
        <v>809.5</v>
      </c>
    </row>
    <row r="97" spans="1:18" ht="34.9" customHeight="1" x14ac:dyDescent="0.25">
      <c r="A97" s="13">
        <v>96</v>
      </c>
      <c r="B97" s="196">
        <v>44847</v>
      </c>
      <c r="C97" s="13"/>
      <c r="D97" s="13"/>
      <c r="E97" s="13"/>
      <c r="F97" s="13"/>
      <c r="G97" s="13">
        <f>-25.76</f>
        <v>-25.76</v>
      </c>
      <c r="H97" s="13"/>
      <c r="I97" s="13"/>
      <c r="J97" s="13">
        <f>39+122+30+6+30+8+78+1+8+31+270</f>
        <v>623</v>
      </c>
      <c r="K97" s="13"/>
      <c r="L97" s="13"/>
      <c r="M97" s="13"/>
      <c r="N97" s="13">
        <f>14+90+30+60+357+90+30+98+77+22+53+60+78+100+31+30</f>
        <v>1220</v>
      </c>
      <c r="O97" s="13">
        <f>25.76</f>
        <v>25.76</v>
      </c>
      <c r="P97" s="13">
        <f t="shared" si="3"/>
        <v>1843</v>
      </c>
    </row>
    <row r="98" spans="1:18" ht="34.9" customHeight="1" x14ac:dyDescent="0.25">
      <c r="A98" s="13">
        <v>97</v>
      </c>
      <c r="B98" s="196">
        <v>44848</v>
      </c>
      <c r="C98" s="13">
        <f>27+23</f>
        <v>50</v>
      </c>
      <c r="D98" s="13"/>
      <c r="E98" s="13"/>
      <c r="F98" s="191" t="s">
        <v>362</v>
      </c>
      <c r="G98" s="13">
        <f>18.16+302.5+5</f>
        <v>325.66000000000003</v>
      </c>
      <c r="H98" s="13"/>
      <c r="I98" s="13">
        <f>184+71</f>
        <v>255</v>
      </c>
      <c r="J98" s="13">
        <f>5+107+68+68</f>
        <v>248</v>
      </c>
      <c r="K98" s="13">
        <f>268+341+131</f>
        <v>740</v>
      </c>
      <c r="L98" s="13"/>
      <c r="M98" s="13"/>
      <c r="N98" s="13">
        <f>17+68+102+17+68+90</f>
        <v>362</v>
      </c>
      <c r="O98" s="13"/>
      <c r="P98" s="13">
        <f t="shared" si="3"/>
        <v>1930.66</v>
      </c>
    </row>
    <row r="99" spans="1:18" ht="34.9" customHeight="1" x14ac:dyDescent="0.25">
      <c r="A99" s="13">
        <v>98</v>
      </c>
      <c r="B99" s="196">
        <v>44849</v>
      </c>
      <c r="C99" s="13">
        <v>218</v>
      </c>
      <c r="D99" s="13"/>
      <c r="E99" s="13"/>
      <c r="F99" s="13"/>
      <c r="G99" s="13"/>
      <c r="H99" s="13">
        <f>3-2</f>
        <v>1</v>
      </c>
      <c r="I99" s="13"/>
      <c r="J99" s="13">
        <f>77+13+34+204.82+50+39+68+34+63+94+8+69+15</f>
        <v>768.81999999999994</v>
      </c>
      <c r="K99" s="13">
        <f>35.18</f>
        <v>35.18</v>
      </c>
      <c r="L99" s="13"/>
      <c r="M99" s="13">
        <f>6+1+9+26</f>
        <v>42</v>
      </c>
      <c r="N99" s="13">
        <f>132+135+39+20+198+60+10+10+34+65+83+34+30+15+39+44+175+100+2</f>
        <v>1225</v>
      </c>
      <c r="O99" s="13"/>
      <c r="P99" s="13">
        <f t="shared" si="3"/>
        <v>2072</v>
      </c>
      <c r="Q99" t="s">
        <v>363</v>
      </c>
    </row>
    <row r="100" spans="1:18" ht="34.9" customHeight="1" x14ac:dyDescent="0.25">
      <c r="A100" s="308">
        <v>99</v>
      </c>
      <c r="B100" s="309">
        <v>44850</v>
      </c>
      <c r="C100" s="308"/>
      <c r="D100" s="308"/>
      <c r="E100" s="308"/>
      <c r="F100" s="308"/>
      <c r="G100" s="308"/>
      <c r="H100" s="308"/>
      <c r="I100" s="308"/>
      <c r="J100" s="308"/>
      <c r="K100" s="308"/>
      <c r="L100" s="308"/>
      <c r="M100" s="308"/>
      <c r="N100" s="308"/>
      <c r="O100" s="308"/>
      <c r="P100" s="308">
        <f t="shared" si="3"/>
        <v>0</v>
      </c>
    </row>
    <row r="101" spans="1:18" ht="34.9" customHeight="1" x14ac:dyDescent="0.25">
      <c r="A101" s="13">
        <v>100</v>
      </c>
      <c r="B101" s="196">
        <v>44851</v>
      </c>
      <c r="C101" s="13">
        <f>373</f>
        <v>373</v>
      </c>
      <c r="D101" s="13"/>
      <c r="E101" s="13"/>
      <c r="F101" s="191" t="s">
        <v>365</v>
      </c>
      <c r="G101" s="13">
        <f>350+5+244</f>
        <v>599</v>
      </c>
      <c r="H101" s="13"/>
      <c r="I101" s="13">
        <f>98</f>
        <v>98</v>
      </c>
      <c r="J101" s="13">
        <f>59+2</f>
        <v>61</v>
      </c>
      <c r="K101" s="13">
        <f>235+68+48+20</f>
        <v>371</v>
      </c>
      <c r="L101" s="13"/>
      <c r="M101" s="13"/>
      <c r="N101" s="13">
        <f>10+100+60+26+30+39+60+165+100+34+67+39+75+98</f>
        <v>903</v>
      </c>
      <c r="O101" s="13">
        <f>11+26+984+2-51.2</f>
        <v>971.8</v>
      </c>
      <c r="P101" s="13">
        <f>SUM(H101:O101)+C101+E101</f>
        <v>2777.8</v>
      </c>
    </row>
    <row r="102" spans="1:18" ht="34.9" customHeight="1" x14ac:dyDescent="0.25">
      <c r="A102" s="13">
        <v>101</v>
      </c>
      <c r="B102" s="196">
        <v>44852</v>
      </c>
      <c r="C102" s="13"/>
      <c r="D102" s="13"/>
      <c r="E102" s="13"/>
      <c r="F102" s="191" t="s">
        <v>367</v>
      </c>
      <c r="G102" s="13">
        <f>11.84</f>
        <v>11.84</v>
      </c>
      <c r="H102" s="13"/>
      <c r="I102" s="13"/>
      <c r="J102" s="13">
        <f>26+50+30+35+8</f>
        <v>149</v>
      </c>
      <c r="K102" s="13">
        <f>163+35</f>
        <v>198</v>
      </c>
      <c r="L102" s="13"/>
      <c r="M102" s="13">
        <f>10</f>
        <v>10</v>
      </c>
      <c r="N102" s="13">
        <f>15+60+61+316-102</f>
        <v>350</v>
      </c>
      <c r="O102" s="13"/>
      <c r="P102" s="13">
        <f t="shared" si="3"/>
        <v>718.84</v>
      </c>
      <c r="Q102" t="s">
        <v>368</v>
      </c>
    </row>
    <row r="103" spans="1:18" ht="34.9" customHeight="1" x14ac:dyDescent="0.25">
      <c r="A103" s="13">
        <v>102</v>
      </c>
      <c r="B103" s="196">
        <v>44853</v>
      </c>
      <c r="C103" s="13">
        <v>366</v>
      </c>
      <c r="D103" s="13"/>
      <c r="E103" s="13"/>
      <c r="F103" s="191"/>
      <c r="G103" s="13"/>
      <c r="H103" s="13"/>
      <c r="I103" s="13"/>
      <c r="J103" s="13">
        <f>45+30+46+30+39</f>
        <v>190</v>
      </c>
      <c r="K103" s="13">
        <f>46+27+305+493+114</f>
        <v>985</v>
      </c>
      <c r="L103" s="13"/>
      <c r="M103" s="13"/>
      <c r="N103" s="13">
        <f>29+30+30+39+14+39</f>
        <v>181</v>
      </c>
      <c r="O103" s="13"/>
      <c r="P103" s="13">
        <f t="shared" ref="P103:P166" si="4">SUM(H103:O103)+G103+E103</f>
        <v>1356</v>
      </c>
    </row>
    <row r="104" spans="1:18" ht="34.9" customHeight="1" x14ac:dyDescent="0.25">
      <c r="A104" s="13">
        <v>103</v>
      </c>
      <c r="B104" s="196">
        <v>44854</v>
      </c>
      <c r="C104" s="13"/>
      <c r="D104" s="13"/>
      <c r="E104" s="13"/>
      <c r="F104" s="191"/>
      <c r="G104" s="13"/>
      <c r="H104" s="13"/>
      <c r="I104" s="13"/>
      <c r="J104" s="13">
        <f>26+1+26+130+106</f>
        <v>289</v>
      </c>
      <c r="K104" s="13"/>
      <c r="L104" s="13"/>
      <c r="M104" s="13"/>
      <c r="N104" s="13">
        <f>105+78+15+39+78+30+138+40+140+26+30</f>
        <v>719</v>
      </c>
      <c r="O104" s="13"/>
      <c r="P104" s="13">
        <f t="shared" si="4"/>
        <v>1008</v>
      </c>
    </row>
    <row r="105" spans="1:18" ht="34.9" customHeight="1" x14ac:dyDescent="0.25">
      <c r="A105" s="13">
        <v>104</v>
      </c>
      <c r="B105" s="196">
        <v>44855</v>
      </c>
      <c r="C105" s="13"/>
      <c r="D105" s="13"/>
      <c r="E105" s="13"/>
      <c r="F105" s="191"/>
      <c r="G105" s="13"/>
      <c r="H105" s="13"/>
      <c r="I105" s="13"/>
      <c r="J105" s="13">
        <f>34+34+48+19+2+30+6+10+15+15+22.85</f>
        <v>235.85</v>
      </c>
      <c r="K105" s="13">
        <v>30</v>
      </c>
      <c r="L105" s="13"/>
      <c r="M105" s="13"/>
      <c r="N105" s="13">
        <f>60-2+52+120+212+100+26+8+7+29</f>
        <v>612</v>
      </c>
      <c r="O105" s="13"/>
      <c r="P105" s="13">
        <f t="shared" si="4"/>
        <v>877.85</v>
      </c>
    </row>
    <row r="106" spans="1:18" ht="34.9" customHeight="1" x14ac:dyDescent="0.25">
      <c r="A106" s="13">
        <v>105</v>
      </c>
      <c r="B106" s="196">
        <v>44856</v>
      </c>
      <c r="C106" s="13">
        <f>402</f>
        <v>402</v>
      </c>
      <c r="D106" s="13"/>
      <c r="E106" s="13"/>
      <c r="F106" s="191"/>
      <c r="G106" s="13"/>
      <c r="H106" s="13">
        <f>0.1</f>
        <v>0.1</v>
      </c>
      <c r="I106" s="13"/>
      <c r="J106" s="13">
        <f>34+30+50+280+8+4+31+309.9+2+35+34+34</f>
        <v>851.9</v>
      </c>
      <c r="K106" s="13">
        <f>50+76+646</f>
        <v>772</v>
      </c>
      <c r="L106" s="13"/>
      <c r="M106" s="13">
        <f>548</f>
        <v>548</v>
      </c>
      <c r="N106" s="13">
        <f>45+100+102+34+238+30+214+49+75+100+75</f>
        <v>1062</v>
      </c>
      <c r="O106" s="13"/>
      <c r="P106" s="13">
        <f t="shared" si="4"/>
        <v>3234</v>
      </c>
    </row>
    <row r="107" spans="1:18" ht="34.9" customHeight="1" x14ac:dyDescent="0.25">
      <c r="A107" s="308">
        <v>106</v>
      </c>
      <c r="B107" s="309">
        <v>44857</v>
      </c>
      <c r="C107" s="308"/>
      <c r="D107" s="308"/>
      <c r="E107" s="308"/>
      <c r="F107" s="391"/>
      <c r="G107" s="308"/>
      <c r="H107" s="308"/>
      <c r="I107" s="308"/>
      <c r="J107" s="308"/>
      <c r="K107" s="308"/>
      <c r="L107" s="308"/>
      <c r="M107" s="308"/>
      <c r="N107" s="308"/>
      <c r="O107" s="308"/>
      <c r="P107" s="308">
        <f t="shared" si="4"/>
        <v>0</v>
      </c>
    </row>
    <row r="108" spans="1:18" ht="34.9" customHeight="1" x14ac:dyDescent="0.25">
      <c r="A108" s="13">
        <v>107</v>
      </c>
      <c r="B108" s="196">
        <v>44858</v>
      </c>
      <c r="C108" s="13"/>
      <c r="D108" s="13"/>
      <c r="E108" s="13"/>
      <c r="F108" s="191"/>
      <c r="G108" s="13"/>
      <c r="H108" s="13">
        <v>10</v>
      </c>
      <c r="I108" s="13"/>
      <c r="J108" s="13">
        <f>31+26+1+50+62+14+78+31</f>
        <v>293</v>
      </c>
      <c r="K108" s="13">
        <f>14+250+78+100</f>
        <v>442</v>
      </c>
      <c r="L108" s="13"/>
      <c r="M108" s="13">
        <f>15</f>
        <v>15</v>
      </c>
      <c r="N108" s="13">
        <f>87+15+90+78+30+30+272+100+35+50</f>
        <v>787</v>
      </c>
      <c r="O108" s="13">
        <f>-107</f>
        <v>-107</v>
      </c>
      <c r="P108" s="13">
        <f>SUM(H108:O108)+G108+E108</f>
        <v>1440</v>
      </c>
      <c r="Q108" t="s">
        <v>379</v>
      </c>
    </row>
    <row r="109" spans="1:18" ht="34.9" customHeight="1" x14ac:dyDescent="0.25">
      <c r="A109" s="13">
        <v>108</v>
      </c>
      <c r="B109" s="196">
        <v>44859</v>
      </c>
      <c r="C109" s="13">
        <f>298</f>
        <v>298</v>
      </c>
      <c r="D109" s="13"/>
      <c r="E109" s="13"/>
      <c r="F109" s="191"/>
      <c r="G109" s="13"/>
      <c r="H109" s="13"/>
      <c r="I109" s="13"/>
      <c r="J109" s="13">
        <f>50+30+31+1+50+25+20</f>
        <v>207</v>
      </c>
      <c r="K109" s="13">
        <f>57+31+112</f>
        <v>200</v>
      </c>
      <c r="L109" s="13"/>
      <c r="M109" s="13">
        <f>100</f>
        <v>100</v>
      </c>
      <c r="N109" s="13">
        <f>20+45+280+104+100+106+30+31+11+248</f>
        <v>975</v>
      </c>
      <c r="O109" s="13">
        <f>46</f>
        <v>46</v>
      </c>
      <c r="P109" s="13">
        <f>SUM(H109:O109)+G109+E109</f>
        <v>1528</v>
      </c>
      <c r="Q109" t="s">
        <v>378</v>
      </c>
    </row>
    <row r="110" spans="1:18" ht="34.9" customHeight="1" x14ac:dyDescent="0.25">
      <c r="A110" s="13">
        <v>109</v>
      </c>
      <c r="B110" s="196">
        <v>44860</v>
      </c>
      <c r="C110" s="13"/>
      <c r="D110" s="13"/>
      <c r="E110" s="13"/>
      <c r="F110" s="191"/>
      <c r="G110" s="13"/>
      <c r="H110" s="13"/>
      <c r="I110" s="13"/>
      <c r="J110" s="13">
        <f>14+13</f>
        <v>27</v>
      </c>
      <c r="K110" s="13">
        <f>250+132+200+300</f>
        <v>882</v>
      </c>
      <c r="L110" s="13"/>
      <c r="M110" s="13"/>
      <c r="N110" s="13">
        <f>6+116</f>
        <v>122</v>
      </c>
      <c r="O110" s="13">
        <f>-170-200-9</f>
        <v>-379</v>
      </c>
      <c r="P110" s="13">
        <f t="shared" si="4"/>
        <v>652</v>
      </c>
      <c r="Q110" s="301" t="s">
        <v>377</v>
      </c>
      <c r="R110" t="s">
        <v>380</v>
      </c>
    </row>
    <row r="111" spans="1:18" ht="34.9" customHeight="1" x14ac:dyDescent="0.25">
      <c r="A111" s="13">
        <v>110</v>
      </c>
      <c r="B111" s="196">
        <v>44861</v>
      </c>
      <c r="C111" s="13">
        <v>220</v>
      </c>
      <c r="D111" s="13"/>
      <c r="E111" s="13"/>
      <c r="F111" s="191"/>
      <c r="G111" s="13"/>
      <c r="H111" s="13"/>
      <c r="I111" s="13">
        <f>145</f>
        <v>145</v>
      </c>
      <c r="J111" s="13">
        <f>34+2+15+7+14+15+6+77+2</f>
        <v>172</v>
      </c>
      <c r="K111" s="13">
        <f>100+100+221+174+53.36</f>
        <v>648.36</v>
      </c>
      <c r="L111" s="13"/>
      <c r="M111" s="13"/>
      <c r="N111" s="13">
        <f>50+10+50+34+15+60+93+153+30+43+100+39+26+145+15+59-9</f>
        <v>913</v>
      </c>
      <c r="O111" s="13">
        <f>46-53.36+9</f>
        <v>1.6400000000000006</v>
      </c>
      <c r="P111" s="13">
        <f t="shared" si="4"/>
        <v>1880.0000000000002</v>
      </c>
      <c r="Q111" t="s">
        <v>383</v>
      </c>
    </row>
    <row r="112" spans="1:18" ht="34.9" customHeight="1" x14ac:dyDescent="0.25">
      <c r="A112" s="13">
        <v>111</v>
      </c>
      <c r="B112" s="196">
        <v>44862</v>
      </c>
      <c r="C112" s="13"/>
      <c r="D112" s="13"/>
      <c r="E112" s="13"/>
      <c r="F112" s="191"/>
      <c r="G112" s="13"/>
      <c r="H112" s="13">
        <f>1+9</f>
        <v>10</v>
      </c>
      <c r="I112" s="13"/>
      <c r="J112" s="13">
        <f>100+6+110+26+26+136+100+8+22+8+13+3</f>
        <v>558</v>
      </c>
      <c r="K112" s="13">
        <f>82+68+104</f>
        <v>254</v>
      </c>
      <c r="L112" s="13"/>
      <c r="M112" s="13">
        <f>13+34+164+8-4</f>
        <v>215</v>
      </c>
      <c r="N112" s="13">
        <f>68+30+11+46+34+50+30+50+13+10+38+30+10+20+30</f>
        <v>470</v>
      </c>
      <c r="O112" s="13"/>
      <c r="P112" s="13">
        <f t="shared" si="4"/>
        <v>1507</v>
      </c>
    </row>
    <row r="113" spans="1:17" ht="34.9" customHeight="1" x14ac:dyDescent="0.25">
      <c r="A113" s="13">
        <v>112</v>
      </c>
      <c r="B113" s="196">
        <v>44863</v>
      </c>
      <c r="C113" s="13">
        <f>372+283</f>
        <v>655</v>
      </c>
      <c r="D113" s="13"/>
      <c r="E113" s="13">
        <v>655</v>
      </c>
      <c r="F113" s="191"/>
      <c r="G113" s="13"/>
      <c r="H113" s="13">
        <f>2+25</f>
        <v>27</v>
      </c>
      <c r="I113" s="13"/>
      <c r="J113" s="13">
        <f>31+96+39+10+8+26+8+114.84+8+8+39</f>
        <v>387.84000000000003</v>
      </c>
      <c r="K113" s="13">
        <f>400</f>
        <v>400</v>
      </c>
      <c r="L113" s="13"/>
      <c r="M113" s="13">
        <f>14+39+26+8-4</f>
        <v>83</v>
      </c>
      <c r="N113" s="13">
        <f>480+14+34+135+60+60+100+139+26+350+133+124+68+34+40</f>
        <v>1797</v>
      </c>
      <c r="O113" s="13">
        <f>-15.84</f>
        <v>-15.84</v>
      </c>
      <c r="P113" s="13">
        <f t="shared" si="4"/>
        <v>3334</v>
      </c>
    </row>
    <row r="114" spans="1:17" ht="34.9" customHeight="1" x14ac:dyDescent="0.25">
      <c r="A114" s="308">
        <v>113</v>
      </c>
      <c r="B114" s="309">
        <v>44864</v>
      </c>
      <c r="C114" s="308"/>
      <c r="D114" s="308"/>
      <c r="E114" s="308"/>
      <c r="F114" s="391"/>
      <c r="G114" s="308"/>
      <c r="H114" s="308"/>
      <c r="I114" s="308"/>
      <c r="J114" s="308"/>
      <c r="K114" s="308"/>
      <c r="L114" s="308"/>
      <c r="M114" s="308"/>
      <c r="N114" s="308"/>
      <c r="O114" s="308"/>
      <c r="P114" s="308">
        <f t="shared" si="4"/>
        <v>0</v>
      </c>
    </row>
    <row r="115" spans="1:17" ht="34.9" customHeight="1" x14ac:dyDescent="0.25">
      <c r="A115" s="13">
        <v>114</v>
      </c>
      <c r="B115" s="196">
        <v>44865</v>
      </c>
      <c r="C115" s="13">
        <f>476+94</f>
        <v>570</v>
      </c>
      <c r="D115" s="13"/>
      <c r="E115" s="13"/>
      <c r="F115" s="191"/>
      <c r="G115" s="13"/>
      <c r="H115" s="13"/>
      <c r="I115" s="13">
        <f>139</f>
        <v>139</v>
      </c>
      <c r="J115" s="13">
        <f>34+48+50+102+26+39+130+212+4+52+352+50+34+6+14+14+349</f>
        <v>1516</v>
      </c>
      <c r="K115" s="13">
        <f>102+102+48+40</f>
        <v>292</v>
      </c>
      <c r="L115" s="13"/>
      <c r="M115" s="13">
        <f>68+48+50</f>
        <v>166</v>
      </c>
      <c r="N115" s="13">
        <f>50+68+8+98+260+39+39+100+100+130+34+8+150+30+39+73+30+90+90+34+30+178+100+73+34+39+5</f>
        <v>1929</v>
      </c>
      <c r="O115" s="13"/>
      <c r="P115" s="13">
        <f t="shared" si="4"/>
        <v>4042</v>
      </c>
    </row>
    <row r="116" spans="1:17" ht="34.9" customHeight="1" x14ac:dyDescent="0.25">
      <c r="A116" s="13">
        <v>115</v>
      </c>
      <c r="B116" s="196">
        <v>44866</v>
      </c>
      <c r="C116" s="13"/>
      <c r="D116" s="13"/>
      <c r="E116" s="13"/>
      <c r="F116" s="191"/>
      <c r="G116" s="13"/>
      <c r="H116" s="13">
        <f>3+3-3-3</f>
        <v>0</v>
      </c>
      <c r="I116" s="13">
        <f>130</f>
        <v>130</v>
      </c>
      <c r="J116" s="13">
        <f>20+48+48+30+50+52+14+20.54+360+100</f>
        <v>742.54</v>
      </c>
      <c r="K116" s="13">
        <f>987+381.64+78+100+34+61.3+60</f>
        <v>1701.9399999999998</v>
      </c>
      <c r="L116" s="13"/>
      <c r="M116" s="13">
        <f>39+212+5</f>
        <v>256</v>
      </c>
      <c r="N116" s="13">
        <f>34+102+46+26+68+13+34+50+100+50+140+100+40+130+50+130+32+135+8+8+8+100+14+155-2-10+130-2+90+100+3+30+138+120</f>
        <v>2170</v>
      </c>
      <c r="O116" s="13">
        <f>-2.54-52.64-2.3</f>
        <v>-57.48</v>
      </c>
      <c r="P116" s="13">
        <f t="shared" si="4"/>
        <v>4943</v>
      </c>
      <c r="Q116" t="s">
        <v>400</v>
      </c>
    </row>
    <row r="117" spans="1:17" ht="34.9" customHeight="1" x14ac:dyDescent="0.25">
      <c r="A117" s="13">
        <v>116</v>
      </c>
      <c r="B117" s="196">
        <v>44867</v>
      </c>
      <c r="C117" s="13"/>
      <c r="D117" s="13"/>
      <c r="E117" s="13"/>
      <c r="F117" s="191" t="s">
        <v>425</v>
      </c>
      <c r="G117" s="13">
        <f>10+5+1039</f>
        <v>1054</v>
      </c>
      <c r="H117" s="13"/>
      <c r="I117" s="13"/>
      <c r="J117" s="13">
        <f>424+130+8+8+60+39</f>
        <v>669</v>
      </c>
      <c r="K117" s="13">
        <f>592</f>
        <v>592</v>
      </c>
      <c r="L117" s="13"/>
      <c r="M117" s="13">
        <f>-3</f>
        <v>-3</v>
      </c>
      <c r="N117" s="13">
        <f>15+115+8+230+11+57+130+254+115+8+32+90+130+13+120+60+11+10</f>
        <v>1409</v>
      </c>
      <c r="O117" s="13"/>
      <c r="P117" s="13">
        <f t="shared" si="4"/>
        <v>3721</v>
      </c>
    </row>
    <row r="118" spans="1:17" ht="34.9" customHeight="1" x14ac:dyDescent="0.25">
      <c r="A118" s="13">
        <v>117</v>
      </c>
      <c r="B118" s="196">
        <v>44868</v>
      </c>
      <c r="C118" s="13">
        <f>39</f>
        <v>39</v>
      </c>
      <c r="D118" s="13"/>
      <c r="E118" s="13"/>
      <c r="F118" s="191" t="s">
        <v>427</v>
      </c>
      <c r="G118" s="13">
        <v>439.25</v>
      </c>
      <c r="H118" s="13"/>
      <c r="I118" s="13"/>
      <c r="J118" s="13">
        <f>136+31+9+189+34+106+5+106</f>
        <v>616</v>
      </c>
      <c r="K118" s="13">
        <f>34</f>
        <v>34</v>
      </c>
      <c r="L118" s="13"/>
      <c r="M118" s="13">
        <f>106+30</f>
        <v>136</v>
      </c>
      <c r="N118" s="13">
        <f>8+13+19+228+9+98</f>
        <v>375</v>
      </c>
      <c r="O118" s="13">
        <f>-439.25</f>
        <v>-439.25</v>
      </c>
      <c r="P118" s="13">
        <f t="shared" si="4"/>
        <v>1161</v>
      </c>
    </row>
    <row r="119" spans="1:17" ht="34.9" customHeight="1" x14ac:dyDescent="0.25">
      <c r="A119" s="13">
        <v>118</v>
      </c>
      <c r="B119" s="196">
        <v>44869</v>
      </c>
      <c r="C119" s="13">
        <f>726</f>
        <v>726</v>
      </c>
      <c r="D119" s="13"/>
      <c r="E119" s="13"/>
      <c r="F119" s="191"/>
      <c r="G119" s="13"/>
      <c r="H119" s="13"/>
      <c r="I119" s="13"/>
      <c r="J119" s="13">
        <f>39.44+5+130+26+102+4+64+30+11+1</f>
        <v>412.44</v>
      </c>
      <c r="K119" s="13">
        <f>715.5+95</f>
        <v>810.5</v>
      </c>
      <c r="L119" s="13"/>
      <c r="M119" s="13"/>
      <c r="N119" s="13">
        <f>120+22+48+90+17+30+39+13+90+321+408+30+148+68-5+30+132+68+30</f>
        <v>1699</v>
      </c>
      <c r="O119" s="13">
        <f>-5.44-5-4</f>
        <v>-14.440000000000001</v>
      </c>
      <c r="P119" s="13">
        <f t="shared" si="4"/>
        <v>2907.5</v>
      </c>
      <c r="Q119" t="s">
        <v>436</v>
      </c>
    </row>
    <row r="120" spans="1:17" ht="34.9" customHeight="1" x14ac:dyDescent="0.25">
      <c r="A120" s="13">
        <v>119</v>
      </c>
      <c r="B120" s="196">
        <v>44870</v>
      </c>
      <c r="C120" s="13"/>
      <c r="D120" s="13"/>
      <c r="E120" s="13"/>
      <c r="F120" s="191"/>
      <c r="G120" s="13"/>
      <c r="H120" s="13"/>
      <c r="I120" s="13"/>
      <c r="J120" s="13">
        <f>102+68+14</f>
        <v>184</v>
      </c>
      <c r="K120" s="13">
        <f>438+78+481+136+45</f>
        <v>1178</v>
      </c>
      <c r="L120" s="13"/>
      <c r="M120" s="13">
        <v>200</v>
      </c>
      <c r="N120" s="13">
        <f>30+212+8+11+30+39+39+60+18+30+11</f>
        <v>488</v>
      </c>
      <c r="O120" s="13"/>
      <c r="P120" s="13">
        <f t="shared" si="4"/>
        <v>2050</v>
      </c>
    </row>
    <row r="121" spans="1:17" ht="34.9" customHeight="1" x14ac:dyDescent="0.25">
      <c r="A121" s="308">
        <v>120</v>
      </c>
      <c r="B121" s="309">
        <v>44871</v>
      </c>
      <c r="C121" s="308"/>
      <c r="D121" s="308"/>
      <c r="E121" s="308"/>
      <c r="F121" s="391"/>
      <c r="G121" s="308"/>
      <c r="H121" s="308"/>
      <c r="I121" s="308"/>
      <c r="J121" s="308"/>
      <c r="K121" s="308"/>
      <c r="L121" s="308"/>
      <c r="M121" s="308"/>
      <c r="N121" s="308"/>
      <c r="O121" s="308"/>
      <c r="P121" s="308">
        <f t="shared" si="4"/>
        <v>0</v>
      </c>
    </row>
    <row r="122" spans="1:17" ht="34.9" customHeight="1" x14ac:dyDescent="0.25">
      <c r="A122" s="13">
        <v>121</v>
      </c>
      <c r="B122" s="196">
        <v>44872</v>
      </c>
      <c r="C122" s="13"/>
      <c r="D122" s="13"/>
      <c r="E122" s="13"/>
      <c r="F122" s="191" t="s">
        <v>452</v>
      </c>
      <c r="G122" s="13">
        <v>215</v>
      </c>
      <c r="H122" s="13"/>
      <c r="I122" s="13"/>
      <c r="J122" s="13"/>
      <c r="K122" s="13"/>
      <c r="L122" s="13"/>
      <c r="M122" s="13"/>
      <c r="N122" s="13"/>
      <c r="O122" s="13"/>
      <c r="P122" s="13">
        <f t="shared" si="4"/>
        <v>215</v>
      </c>
    </row>
    <row r="123" spans="1:17" ht="34.9" customHeight="1" x14ac:dyDescent="0.25">
      <c r="A123" s="13">
        <v>122</v>
      </c>
      <c r="B123" s="196">
        <v>44873</v>
      </c>
      <c r="C123" s="13"/>
      <c r="D123" s="13"/>
      <c r="E123" s="13"/>
      <c r="F123" s="191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f t="shared" si="4"/>
        <v>0</v>
      </c>
    </row>
    <row r="124" spans="1:17" ht="34.9" customHeight="1" x14ac:dyDescent="0.25">
      <c r="A124" s="13">
        <v>123</v>
      </c>
      <c r="B124" s="196">
        <v>44874</v>
      </c>
      <c r="C124" s="13">
        <f>193</f>
        <v>193</v>
      </c>
      <c r="D124" s="13"/>
      <c r="E124" s="13"/>
      <c r="F124" s="191"/>
      <c r="G124" s="13"/>
      <c r="H124" s="13"/>
      <c r="I124" s="13"/>
      <c r="J124" s="13">
        <f>31</f>
        <v>31</v>
      </c>
      <c r="K124" s="13">
        <f>92</f>
        <v>92</v>
      </c>
      <c r="L124" s="13"/>
      <c r="M124" s="13">
        <f>39</f>
        <v>39</v>
      </c>
      <c r="N124" s="13">
        <f>558</f>
        <v>558</v>
      </c>
      <c r="O124" s="13">
        <f>9+3.7</f>
        <v>12.7</v>
      </c>
      <c r="P124" s="13">
        <f t="shared" si="4"/>
        <v>732.7</v>
      </c>
      <c r="Q124" t="s">
        <v>503</v>
      </c>
    </row>
    <row r="125" spans="1:17" ht="34.9" customHeight="1" x14ac:dyDescent="0.25">
      <c r="A125" s="479">
        <v>124</v>
      </c>
      <c r="B125" s="480">
        <v>44875</v>
      </c>
      <c r="C125" s="479">
        <f>130</f>
        <v>130</v>
      </c>
      <c r="D125" s="479"/>
      <c r="E125" s="479"/>
      <c r="F125" s="481" t="s">
        <v>451</v>
      </c>
      <c r="G125" s="479">
        <v>630</v>
      </c>
      <c r="H125" s="479"/>
      <c r="I125" s="479"/>
      <c r="J125" s="479">
        <f>60</f>
        <v>60</v>
      </c>
      <c r="K125" s="479">
        <f>289</f>
        <v>289</v>
      </c>
      <c r="L125" s="479"/>
      <c r="M125" s="479">
        <f>39</f>
        <v>39</v>
      </c>
      <c r="N125" s="479">
        <v>797</v>
      </c>
      <c r="O125" s="479">
        <f>39</f>
        <v>39</v>
      </c>
      <c r="P125" s="479">
        <f t="shared" si="4"/>
        <v>1854</v>
      </c>
    </row>
    <row r="126" spans="1:17" ht="34.9" customHeight="1" x14ac:dyDescent="0.25">
      <c r="A126" s="13">
        <v>125</v>
      </c>
      <c r="B126" s="196">
        <v>44876</v>
      </c>
      <c r="C126" s="13"/>
      <c r="D126" s="13"/>
      <c r="E126" s="13"/>
      <c r="F126" s="191"/>
      <c r="G126" s="13"/>
      <c r="H126" s="13"/>
      <c r="I126" s="13"/>
      <c r="J126" s="13"/>
      <c r="K126" s="13">
        <f>518</f>
        <v>518</v>
      </c>
      <c r="L126" s="13"/>
      <c r="M126" s="13">
        <f>10</f>
        <v>10</v>
      </c>
      <c r="N126" s="13">
        <f>1775</f>
        <v>1775</v>
      </c>
      <c r="O126" s="13"/>
      <c r="P126" s="13">
        <f t="shared" si="4"/>
        <v>2303</v>
      </c>
    </row>
    <row r="127" spans="1:17" ht="34.9" customHeight="1" x14ac:dyDescent="0.25">
      <c r="A127" s="13">
        <v>126</v>
      </c>
      <c r="B127" s="196">
        <v>44877</v>
      </c>
      <c r="C127" s="13">
        <f>18+60</f>
        <v>78</v>
      </c>
      <c r="D127" s="13"/>
      <c r="E127" s="13"/>
      <c r="F127" s="191"/>
      <c r="G127" s="13"/>
      <c r="H127" s="13"/>
      <c r="I127" s="13"/>
      <c r="J127" s="13">
        <f>190</f>
        <v>190</v>
      </c>
      <c r="K127" s="13">
        <f>626</f>
        <v>626</v>
      </c>
      <c r="L127" s="13"/>
      <c r="M127" s="13"/>
      <c r="N127" s="13">
        <f>628</f>
        <v>628</v>
      </c>
      <c r="O127" s="13"/>
      <c r="P127" s="13">
        <f t="shared" si="4"/>
        <v>1444</v>
      </c>
    </row>
    <row r="128" spans="1:17" ht="34.9" customHeight="1" x14ac:dyDescent="0.25">
      <c r="A128" s="308">
        <v>127</v>
      </c>
      <c r="B128" s="309">
        <v>44878</v>
      </c>
      <c r="C128" s="308"/>
      <c r="D128" s="308"/>
      <c r="E128" s="308"/>
      <c r="F128" s="391"/>
      <c r="G128" s="308"/>
      <c r="H128" s="308"/>
      <c r="I128" s="308"/>
      <c r="J128" s="308"/>
      <c r="K128" s="308"/>
      <c r="L128" s="308"/>
      <c r="M128" s="308"/>
      <c r="N128" s="308"/>
      <c r="O128" s="308"/>
      <c r="P128" s="308">
        <f t="shared" si="4"/>
        <v>0</v>
      </c>
    </row>
    <row r="129" spans="1:17" ht="34.9" customHeight="1" x14ac:dyDescent="0.25">
      <c r="A129" s="13">
        <v>128</v>
      </c>
      <c r="B129" s="196">
        <v>44879</v>
      </c>
      <c r="C129" s="13">
        <f>125</f>
        <v>125</v>
      </c>
      <c r="D129" s="13"/>
      <c r="E129" s="13"/>
      <c r="F129" s="191"/>
      <c r="G129" s="13"/>
      <c r="H129" s="13"/>
      <c r="I129" s="13">
        <f>374</f>
        <v>374</v>
      </c>
      <c r="J129" s="13">
        <f>365</f>
        <v>365</v>
      </c>
      <c r="K129" s="13">
        <f>547</f>
        <v>547</v>
      </c>
      <c r="L129" s="13"/>
      <c r="M129" s="13"/>
      <c r="N129" s="13">
        <f>868</f>
        <v>868</v>
      </c>
      <c r="O129" s="13"/>
      <c r="P129" s="13">
        <f t="shared" si="4"/>
        <v>2154</v>
      </c>
      <c r="Q129" t="s">
        <v>456</v>
      </c>
    </row>
    <row r="130" spans="1:17" ht="34.9" customHeight="1" x14ac:dyDescent="0.25">
      <c r="A130" s="13">
        <v>129</v>
      </c>
      <c r="B130" s="196">
        <v>44880</v>
      </c>
      <c r="C130" s="13">
        <f>127</f>
        <v>127</v>
      </c>
      <c r="D130" s="13"/>
      <c r="E130" s="13"/>
      <c r="F130" s="191"/>
      <c r="G130" s="13"/>
      <c r="H130" s="13"/>
      <c r="I130" s="13"/>
      <c r="J130" s="13">
        <f>207</f>
        <v>207</v>
      </c>
      <c r="K130" s="13">
        <f>324</f>
        <v>324</v>
      </c>
      <c r="L130" s="13"/>
      <c r="M130" s="13">
        <f>10</f>
        <v>10</v>
      </c>
      <c r="N130" s="13">
        <f>2256</f>
        <v>2256</v>
      </c>
      <c r="O130" s="13"/>
      <c r="P130" s="13">
        <f t="shared" si="4"/>
        <v>2797</v>
      </c>
    </row>
    <row r="131" spans="1:17" ht="34.9" customHeight="1" x14ac:dyDescent="0.25">
      <c r="A131" s="13">
        <v>130</v>
      </c>
      <c r="B131" s="196">
        <v>44881</v>
      </c>
      <c r="C131" s="13">
        <f>130</f>
        <v>130</v>
      </c>
      <c r="D131" s="13"/>
      <c r="E131" s="13"/>
      <c r="F131" s="191"/>
      <c r="G131" s="13"/>
      <c r="H131" s="13"/>
      <c r="I131" s="13"/>
      <c r="J131" s="13">
        <f>75</f>
        <v>75</v>
      </c>
      <c r="K131" s="13">
        <f>185</f>
        <v>185</v>
      </c>
      <c r="L131" s="13">
        <v>87</v>
      </c>
      <c r="M131" s="13">
        <f>118</f>
        <v>118</v>
      </c>
      <c r="N131" s="13">
        <f>814.5</f>
        <v>814.5</v>
      </c>
      <c r="O131" s="13"/>
      <c r="P131" s="13">
        <f t="shared" si="4"/>
        <v>1279.5</v>
      </c>
    </row>
    <row r="132" spans="1:17" ht="34.9" customHeight="1" x14ac:dyDescent="0.25">
      <c r="A132" s="13">
        <v>131</v>
      </c>
      <c r="B132" s="196">
        <v>44882</v>
      </c>
      <c r="C132" s="13"/>
      <c r="D132" s="13"/>
      <c r="E132" s="13"/>
      <c r="F132" s="191"/>
      <c r="G132" s="13"/>
      <c r="H132" s="13"/>
      <c r="I132" s="13"/>
      <c r="J132" s="13">
        <f>127</f>
        <v>127</v>
      </c>
      <c r="K132" s="13">
        <f>229</f>
        <v>229</v>
      </c>
      <c r="L132" s="13"/>
      <c r="M132" s="13">
        <f>39</f>
        <v>39</v>
      </c>
      <c r="N132" s="13">
        <f>1151-17</f>
        <v>1134</v>
      </c>
      <c r="O132" s="13">
        <v>49</v>
      </c>
      <c r="P132" s="13">
        <f t="shared" si="4"/>
        <v>1578</v>
      </c>
    </row>
    <row r="133" spans="1:17" ht="34.9" customHeight="1" x14ac:dyDescent="0.25">
      <c r="A133" s="308">
        <v>132</v>
      </c>
      <c r="B133" s="309">
        <v>44883</v>
      </c>
      <c r="C133" s="308"/>
      <c r="D133" s="308"/>
      <c r="E133" s="308"/>
      <c r="F133" s="391"/>
      <c r="G133" s="308"/>
      <c r="H133" s="308"/>
      <c r="I133" s="308"/>
      <c r="J133" s="308"/>
      <c r="K133" s="308"/>
      <c r="L133" s="308"/>
      <c r="M133" s="308"/>
      <c r="N133" s="308"/>
      <c r="O133" s="308"/>
      <c r="P133" s="308">
        <f t="shared" si="4"/>
        <v>0</v>
      </c>
    </row>
    <row r="134" spans="1:17" ht="34.9" customHeight="1" x14ac:dyDescent="0.25">
      <c r="A134" s="13">
        <v>133</v>
      </c>
      <c r="B134" s="196">
        <v>44884</v>
      </c>
      <c r="C134" s="13">
        <f>9</f>
        <v>9</v>
      </c>
      <c r="D134" s="13"/>
      <c r="E134" s="13"/>
      <c r="F134" s="191" t="s">
        <v>457</v>
      </c>
      <c r="G134" s="13">
        <f>303</f>
        <v>303</v>
      </c>
      <c r="H134" s="13"/>
      <c r="I134" s="13"/>
      <c r="J134" s="13"/>
      <c r="K134" s="13">
        <v>581</v>
      </c>
      <c r="L134" s="13"/>
      <c r="M134" s="13"/>
      <c r="N134" s="13">
        <f>501</f>
        <v>501</v>
      </c>
      <c r="O134" s="13"/>
      <c r="P134" s="13">
        <f t="shared" si="4"/>
        <v>1385</v>
      </c>
    </row>
    <row r="135" spans="1:17" ht="34.9" customHeight="1" x14ac:dyDescent="0.25">
      <c r="A135" s="308">
        <v>134</v>
      </c>
      <c r="B135" s="309">
        <v>44885</v>
      </c>
      <c r="C135" s="308"/>
      <c r="D135" s="308"/>
      <c r="E135" s="308"/>
      <c r="F135" s="391"/>
      <c r="G135" s="308"/>
      <c r="H135" s="308"/>
      <c r="I135" s="308"/>
      <c r="J135" s="308"/>
      <c r="K135" s="308"/>
      <c r="L135" s="308"/>
      <c r="M135" s="308"/>
      <c r="N135" s="308"/>
      <c r="O135" s="308"/>
      <c r="P135" s="308">
        <f t="shared" si="4"/>
        <v>0</v>
      </c>
    </row>
    <row r="136" spans="1:17" ht="34.9" customHeight="1" x14ac:dyDescent="0.25">
      <c r="A136" s="13">
        <v>135</v>
      </c>
      <c r="B136" s="196">
        <v>44886</v>
      </c>
      <c r="C136" s="13">
        <v>112</v>
      </c>
      <c r="D136" s="13"/>
      <c r="E136" s="13"/>
      <c r="F136" s="191" t="s">
        <v>457</v>
      </c>
      <c r="G136" s="13">
        <v>30</v>
      </c>
      <c r="H136" s="13"/>
      <c r="I136" s="13"/>
      <c r="J136" s="13">
        <v>30</v>
      </c>
      <c r="K136" s="13">
        <v>702</v>
      </c>
      <c r="L136" s="13"/>
      <c r="M136" s="13">
        <v>20</v>
      </c>
      <c r="N136" s="13">
        <v>447</v>
      </c>
      <c r="O136" s="13"/>
      <c r="P136" s="13">
        <f t="shared" si="4"/>
        <v>1229</v>
      </c>
    </row>
    <row r="137" spans="1:17" ht="34.9" customHeight="1" x14ac:dyDescent="0.25">
      <c r="A137" s="13">
        <v>136</v>
      </c>
      <c r="B137" s="196">
        <v>44887</v>
      </c>
      <c r="C137" s="13"/>
      <c r="D137" s="13"/>
      <c r="E137" s="13"/>
      <c r="F137" s="191" t="s">
        <v>483</v>
      </c>
      <c r="G137" s="13">
        <f>150+54.13+62</f>
        <v>266.13</v>
      </c>
      <c r="H137" s="13">
        <v>1.92</v>
      </c>
      <c r="I137" s="13"/>
      <c r="J137" s="13">
        <v>183</v>
      </c>
      <c r="K137" s="13">
        <v>513</v>
      </c>
      <c r="L137" s="13"/>
      <c r="M137" s="13"/>
      <c r="N137" s="13">
        <v>886</v>
      </c>
      <c r="O137" s="13"/>
      <c r="P137" s="13">
        <f t="shared" si="4"/>
        <v>1850.0500000000002</v>
      </c>
    </row>
    <row r="138" spans="1:17" ht="34.9" customHeight="1" x14ac:dyDescent="0.25">
      <c r="A138" s="13">
        <v>137</v>
      </c>
      <c r="B138" s="196">
        <v>44888</v>
      </c>
      <c r="C138" s="13"/>
      <c r="D138" s="13"/>
      <c r="E138" s="13"/>
      <c r="F138" s="191" t="s">
        <v>487</v>
      </c>
      <c r="G138" s="13">
        <f>200+25</f>
        <v>225</v>
      </c>
      <c r="H138" s="13"/>
      <c r="I138" s="13"/>
      <c r="J138" s="13">
        <v>111</v>
      </c>
      <c r="K138" s="13">
        <v>26</v>
      </c>
      <c r="L138" s="13"/>
      <c r="M138" s="13"/>
      <c r="N138" s="13">
        <v>1452</v>
      </c>
      <c r="O138" s="13"/>
      <c r="P138" s="13">
        <f t="shared" si="4"/>
        <v>1814</v>
      </c>
    </row>
    <row r="139" spans="1:17" ht="34.9" customHeight="1" x14ac:dyDescent="0.25">
      <c r="A139" s="13">
        <v>138</v>
      </c>
      <c r="B139" s="196">
        <v>44889</v>
      </c>
      <c r="C139" s="13">
        <v>118</v>
      </c>
      <c r="D139" s="13"/>
      <c r="E139" s="13"/>
      <c r="F139" s="191" t="s">
        <v>493</v>
      </c>
      <c r="G139" s="13">
        <f>26+25</f>
        <v>51</v>
      </c>
      <c r="H139" s="13"/>
      <c r="I139" s="13"/>
      <c r="J139" s="13">
        <v>772</v>
      </c>
      <c r="K139" s="13">
        <v>366</v>
      </c>
      <c r="L139" s="13">
        <v>100</v>
      </c>
      <c r="M139" s="13"/>
      <c r="N139" s="13">
        <v>2145</v>
      </c>
      <c r="O139" s="13"/>
      <c r="P139" s="13">
        <f t="shared" si="4"/>
        <v>3434</v>
      </c>
    </row>
    <row r="140" spans="1:17" ht="34.9" customHeight="1" x14ac:dyDescent="0.25">
      <c r="A140" s="13">
        <v>139</v>
      </c>
      <c r="B140" s="196">
        <v>44890</v>
      </c>
      <c r="C140" s="13">
        <v>877</v>
      </c>
      <c r="D140" s="13"/>
      <c r="E140" s="13"/>
      <c r="F140" s="191"/>
      <c r="G140" s="13"/>
      <c r="H140" s="13"/>
      <c r="I140" s="13"/>
      <c r="J140" s="13">
        <v>97</v>
      </c>
      <c r="K140" s="13">
        <v>305</v>
      </c>
      <c r="L140" s="13"/>
      <c r="M140" s="13"/>
      <c r="N140" s="13">
        <v>648</v>
      </c>
      <c r="O140" s="13"/>
      <c r="P140" s="13">
        <f t="shared" si="4"/>
        <v>1050</v>
      </c>
    </row>
    <row r="141" spans="1:17" ht="34.9" customHeight="1" x14ac:dyDescent="0.25">
      <c r="A141" s="13">
        <v>140</v>
      </c>
      <c r="B141" s="196">
        <v>44891</v>
      </c>
      <c r="C141" s="13"/>
      <c r="D141" s="13"/>
      <c r="E141" s="13"/>
      <c r="F141" s="191" t="s">
        <v>496</v>
      </c>
      <c r="G141" s="13">
        <f>70+120</f>
        <v>190</v>
      </c>
      <c r="H141" s="13"/>
      <c r="I141" s="13"/>
      <c r="J141" s="13">
        <v>18</v>
      </c>
      <c r="K141" s="13">
        <v>110</v>
      </c>
      <c r="L141" s="13"/>
      <c r="M141" s="13"/>
      <c r="N141" s="13">
        <v>1508</v>
      </c>
      <c r="O141" s="13">
        <v>93</v>
      </c>
      <c r="P141" s="13">
        <f t="shared" si="4"/>
        <v>1919</v>
      </c>
      <c r="Q141" t="s">
        <v>497</v>
      </c>
    </row>
    <row r="142" spans="1:17" ht="34.9" customHeight="1" x14ac:dyDescent="0.25">
      <c r="A142" s="308">
        <v>141</v>
      </c>
      <c r="B142" s="309">
        <v>44892</v>
      </c>
      <c r="C142" s="308">
        <v>46</v>
      </c>
      <c r="D142" s="308"/>
      <c r="E142" s="308"/>
      <c r="F142" s="391"/>
      <c r="G142" s="308"/>
      <c r="H142" s="308"/>
      <c r="I142" s="308"/>
      <c r="J142" s="308">
        <v>16</v>
      </c>
      <c r="K142" s="308">
        <v>39</v>
      </c>
      <c r="L142" s="308"/>
      <c r="M142" s="308"/>
      <c r="N142" s="308">
        <v>115</v>
      </c>
      <c r="O142" s="308"/>
      <c r="P142" s="308">
        <f t="shared" si="4"/>
        <v>170</v>
      </c>
    </row>
    <row r="143" spans="1:17" ht="34.9" customHeight="1" x14ac:dyDescent="0.25">
      <c r="A143" s="13">
        <v>142</v>
      </c>
      <c r="B143" s="196">
        <v>44893</v>
      </c>
      <c r="C143" s="13">
        <v>52</v>
      </c>
      <c r="D143" s="13"/>
      <c r="E143" s="13"/>
      <c r="F143" s="191"/>
      <c r="G143" s="13"/>
      <c r="H143" s="13"/>
      <c r="I143" s="13"/>
      <c r="J143" s="13">
        <v>46</v>
      </c>
      <c r="K143" s="13">
        <v>944</v>
      </c>
      <c r="L143" s="13"/>
      <c r="M143" s="13"/>
      <c r="N143" s="13">
        <v>838</v>
      </c>
      <c r="O143" s="13"/>
      <c r="P143" s="13">
        <f t="shared" si="4"/>
        <v>1828</v>
      </c>
    </row>
    <row r="144" spans="1:17" ht="34.9" customHeight="1" x14ac:dyDescent="0.25">
      <c r="A144" s="13">
        <v>143</v>
      </c>
      <c r="B144" s="196">
        <v>44894</v>
      </c>
      <c r="C144" s="13">
        <v>0</v>
      </c>
      <c r="D144" s="13"/>
      <c r="E144" s="13"/>
      <c r="F144" s="191" t="s">
        <v>501</v>
      </c>
      <c r="G144" s="13">
        <f>40</f>
        <v>40</v>
      </c>
      <c r="H144" s="13">
        <v>14.36</v>
      </c>
      <c r="I144" s="13"/>
      <c r="J144" s="13">
        <v>111.64</v>
      </c>
      <c r="K144" s="13">
        <v>325</v>
      </c>
      <c r="L144" s="13"/>
      <c r="M144" s="13"/>
      <c r="N144" s="13">
        <v>2432</v>
      </c>
      <c r="O144" s="13"/>
      <c r="P144" s="13">
        <f t="shared" si="4"/>
        <v>2923</v>
      </c>
    </row>
    <row r="145" spans="1:17" ht="34.9" customHeight="1" x14ac:dyDescent="0.25">
      <c r="A145" s="13">
        <v>144</v>
      </c>
      <c r="B145" s="196">
        <v>44895</v>
      </c>
      <c r="C145" s="13">
        <v>24</v>
      </c>
      <c r="D145" s="13"/>
      <c r="E145" s="13"/>
      <c r="F145" s="191" t="s">
        <v>502</v>
      </c>
      <c r="G145" s="13">
        <f>211+748</f>
        <v>959</v>
      </c>
      <c r="H145" s="13"/>
      <c r="I145" s="13"/>
      <c r="J145" s="13">
        <v>25</v>
      </c>
      <c r="K145" s="13">
        <v>579</v>
      </c>
      <c r="L145" s="13"/>
      <c r="M145" s="13">
        <v>62</v>
      </c>
      <c r="N145" s="13">
        <v>247</v>
      </c>
      <c r="O145" s="13"/>
      <c r="P145" s="13">
        <f t="shared" si="4"/>
        <v>1872</v>
      </c>
      <c r="Q145" s="301"/>
    </row>
    <row r="146" spans="1:17" ht="34.9" customHeight="1" x14ac:dyDescent="0.25">
      <c r="A146" s="13">
        <v>145</v>
      </c>
      <c r="B146" s="196">
        <v>44896</v>
      </c>
      <c r="C146" s="13"/>
      <c r="D146" s="13"/>
      <c r="E146" s="13"/>
      <c r="F146" s="191" t="s">
        <v>504</v>
      </c>
      <c r="G146" s="13">
        <v>100</v>
      </c>
      <c r="H146" s="13"/>
      <c r="I146" s="13"/>
      <c r="J146" s="13">
        <v>416</v>
      </c>
      <c r="K146" s="13">
        <v>371</v>
      </c>
      <c r="L146" s="13"/>
      <c r="M146" s="13">
        <v>25</v>
      </c>
      <c r="N146" s="13">
        <v>574</v>
      </c>
      <c r="O146" s="13"/>
      <c r="P146" s="13">
        <f>SUM(H146:O146)+G146+E146</f>
        <v>1486</v>
      </c>
    </row>
    <row r="147" spans="1:17" ht="34.9" customHeight="1" x14ac:dyDescent="0.25">
      <c r="A147" s="13">
        <v>146</v>
      </c>
      <c r="B147" s="196">
        <v>44897</v>
      </c>
      <c r="C147" s="477">
        <v>248</v>
      </c>
      <c r="D147" s="477"/>
      <c r="E147" s="477"/>
      <c r="F147" s="477" t="s">
        <v>514</v>
      </c>
      <c r="G147" s="477">
        <v>5</v>
      </c>
      <c r="H147" s="477"/>
      <c r="I147" s="477"/>
      <c r="J147" s="477">
        <v>21</v>
      </c>
      <c r="K147" s="477"/>
      <c r="L147" s="477"/>
      <c r="M147" s="477">
        <v>297</v>
      </c>
      <c r="N147" s="477">
        <v>1173</v>
      </c>
      <c r="O147" s="477"/>
      <c r="P147" s="13">
        <f>SUM(H147:O147)+G147+E147</f>
        <v>1496</v>
      </c>
      <c r="Q147" s="301" t="s">
        <v>505</v>
      </c>
    </row>
    <row r="148" spans="1:17" ht="34.9" customHeight="1" x14ac:dyDescent="0.25">
      <c r="A148" s="13">
        <v>147</v>
      </c>
      <c r="B148" s="196">
        <v>44898</v>
      </c>
      <c r="C148" s="477">
        <v>194</v>
      </c>
      <c r="D148" s="477"/>
      <c r="E148" s="477"/>
      <c r="F148" s="477"/>
      <c r="G148" s="477"/>
      <c r="H148" s="477"/>
      <c r="I148" s="477"/>
      <c r="J148" s="477">
        <v>45</v>
      </c>
      <c r="K148" s="477">
        <v>121</v>
      </c>
      <c r="L148" s="477"/>
      <c r="M148" s="477">
        <v>15</v>
      </c>
      <c r="N148" s="477">
        <v>289</v>
      </c>
      <c r="O148" s="477"/>
      <c r="P148" s="13">
        <f t="shared" si="4"/>
        <v>470</v>
      </c>
    </row>
    <row r="149" spans="1:17" ht="34.9" customHeight="1" x14ac:dyDescent="0.25">
      <c r="A149" s="308">
        <v>148</v>
      </c>
      <c r="B149" s="309">
        <v>44899</v>
      </c>
      <c r="C149" s="308"/>
      <c r="D149" s="308"/>
      <c r="E149" s="308"/>
      <c r="F149" s="391" t="s">
        <v>504</v>
      </c>
      <c r="G149" s="308">
        <v>100</v>
      </c>
      <c r="H149" s="308"/>
      <c r="I149" s="308"/>
      <c r="J149" s="308"/>
      <c r="K149" s="308"/>
      <c r="L149" s="308"/>
      <c r="M149" s="308"/>
      <c r="N149" s="308"/>
      <c r="O149" s="308"/>
      <c r="P149" s="308">
        <f t="shared" si="4"/>
        <v>100</v>
      </c>
    </row>
    <row r="150" spans="1:17" ht="34.9" customHeight="1" x14ac:dyDescent="0.25">
      <c r="A150" s="13">
        <v>149</v>
      </c>
      <c r="B150" s="196">
        <v>44900</v>
      </c>
      <c r="C150" s="477">
        <v>5</v>
      </c>
      <c r="D150" s="477"/>
      <c r="E150" s="477"/>
      <c r="F150" s="478"/>
      <c r="G150" s="477"/>
      <c r="H150" s="477"/>
      <c r="I150" s="477"/>
      <c r="J150" s="477">
        <v>136</v>
      </c>
      <c r="K150" s="477">
        <v>377</v>
      </c>
      <c r="L150" s="477"/>
      <c r="M150" s="477"/>
      <c r="N150" s="477">
        <v>936</v>
      </c>
      <c r="O150" s="477"/>
      <c r="P150" s="13">
        <f t="shared" si="4"/>
        <v>1449</v>
      </c>
    </row>
    <row r="151" spans="1:17" ht="34.9" customHeight="1" x14ac:dyDescent="0.25">
      <c r="A151" s="13">
        <v>150</v>
      </c>
      <c r="B151" s="196">
        <v>44901</v>
      </c>
      <c r="C151" s="477"/>
      <c r="D151" s="477"/>
      <c r="E151" s="477"/>
      <c r="F151" s="478" t="s">
        <v>506</v>
      </c>
      <c r="G151" s="477">
        <v>1300</v>
      </c>
      <c r="H151" s="477"/>
      <c r="I151" s="477">
        <v>5</v>
      </c>
      <c r="J151" s="477">
        <v>114</v>
      </c>
      <c r="K151" s="477">
        <v>76</v>
      </c>
      <c r="L151" s="477"/>
      <c r="M151" s="477"/>
      <c r="N151" s="477">
        <v>749</v>
      </c>
      <c r="O151" s="477"/>
      <c r="P151" s="13">
        <f t="shared" si="4"/>
        <v>2244</v>
      </c>
    </row>
    <row r="152" spans="1:17" ht="34.9" customHeight="1" x14ac:dyDescent="0.25">
      <c r="A152" s="13">
        <v>151</v>
      </c>
      <c r="B152" s="196">
        <v>44902</v>
      </c>
      <c r="C152" s="477">
        <v>86</v>
      </c>
      <c r="D152" s="477"/>
      <c r="E152" s="477"/>
      <c r="F152" s="478" t="s">
        <v>507</v>
      </c>
      <c r="G152" s="477">
        <v>40</v>
      </c>
      <c r="H152" s="477"/>
      <c r="I152" s="477"/>
      <c r="J152" s="477">
        <v>184</v>
      </c>
      <c r="K152" s="477">
        <v>375</v>
      </c>
      <c r="L152" s="477"/>
      <c r="M152" s="477">
        <v>25</v>
      </c>
      <c r="N152" s="477">
        <v>857</v>
      </c>
      <c r="O152" s="477"/>
      <c r="P152" s="13">
        <f t="shared" si="4"/>
        <v>1481</v>
      </c>
    </row>
    <row r="153" spans="1:17" ht="34.9" customHeight="1" x14ac:dyDescent="0.25">
      <c r="A153" s="13">
        <v>152</v>
      </c>
      <c r="B153" s="196">
        <v>44903</v>
      </c>
      <c r="C153" s="477"/>
      <c r="D153" s="477"/>
      <c r="E153" s="477"/>
      <c r="F153" s="478"/>
      <c r="G153" s="477"/>
      <c r="H153" s="477"/>
      <c r="I153" s="477"/>
      <c r="J153" s="477"/>
      <c r="K153" s="477">
        <v>60</v>
      </c>
      <c r="L153" s="477"/>
      <c r="M153" s="477"/>
      <c r="N153" s="477">
        <v>511</v>
      </c>
      <c r="O153" s="477"/>
      <c r="P153" s="13">
        <f t="shared" si="4"/>
        <v>571</v>
      </c>
      <c r="Q153" t="s">
        <v>512</v>
      </c>
    </row>
    <row r="154" spans="1:17" ht="34.9" customHeight="1" x14ac:dyDescent="0.25">
      <c r="A154" s="13">
        <v>153</v>
      </c>
      <c r="B154" s="196">
        <v>44904</v>
      </c>
      <c r="C154" s="477">
        <v>130</v>
      </c>
      <c r="D154" s="477"/>
      <c r="E154" s="477"/>
      <c r="F154" s="478"/>
      <c r="G154" s="477"/>
      <c r="H154" s="477"/>
      <c r="I154" s="477">
        <v>13</v>
      </c>
      <c r="J154" s="477">
        <v>34</v>
      </c>
      <c r="K154" s="477">
        <v>532</v>
      </c>
      <c r="L154" s="477"/>
      <c r="M154" s="477"/>
      <c r="N154" s="477">
        <v>156</v>
      </c>
      <c r="O154" s="477"/>
      <c r="P154" s="13">
        <f t="shared" si="4"/>
        <v>735</v>
      </c>
    </row>
    <row r="155" spans="1:17" ht="34.9" customHeight="1" x14ac:dyDescent="0.25">
      <c r="A155" s="13">
        <v>154</v>
      </c>
      <c r="B155" s="196">
        <v>44905</v>
      </c>
      <c r="C155" s="477"/>
      <c r="D155" s="477"/>
      <c r="E155" s="477"/>
      <c r="F155" s="478" t="s">
        <v>513</v>
      </c>
      <c r="G155" s="477">
        <v>100</v>
      </c>
      <c r="H155" s="477"/>
      <c r="I155" s="477"/>
      <c r="J155" s="477"/>
      <c r="K155" s="477"/>
      <c r="L155" s="477"/>
      <c r="M155" s="477"/>
      <c r="N155" s="477">
        <v>236</v>
      </c>
      <c r="O155" s="477"/>
      <c r="P155" s="13">
        <f t="shared" si="4"/>
        <v>336</v>
      </c>
    </row>
    <row r="156" spans="1:17" ht="34.9" customHeight="1" x14ac:dyDescent="0.25">
      <c r="A156" s="482">
        <v>155</v>
      </c>
      <c r="B156" s="483">
        <v>44906</v>
      </c>
      <c r="C156" s="482"/>
      <c r="D156" s="482"/>
      <c r="E156" s="482"/>
      <c r="F156" s="484"/>
      <c r="G156" s="482"/>
      <c r="H156" s="482"/>
      <c r="I156" s="482"/>
      <c r="J156" s="482"/>
      <c r="K156" s="482"/>
      <c r="L156" s="482"/>
      <c r="M156" s="482"/>
      <c r="N156" s="482"/>
      <c r="O156" s="482"/>
      <c r="P156" s="482">
        <f t="shared" si="4"/>
        <v>0</v>
      </c>
    </row>
    <row r="157" spans="1:17" ht="34.9" customHeight="1" x14ac:dyDescent="0.25">
      <c r="A157" s="13">
        <v>156</v>
      </c>
      <c r="B157" s="196">
        <v>44907</v>
      </c>
      <c r="C157" s="477">
        <v>18</v>
      </c>
      <c r="D157" s="477"/>
      <c r="E157" s="477"/>
      <c r="F157" s="478"/>
      <c r="G157" s="477"/>
      <c r="H157" s="477"/>
      <c r="I157" s="477"/>
      <c r="J157" s="477">
        <v>121</v>
      </c>
      <c r="K157" s="477">
        <v>212</v>
      </c>
      <c r="L157" s="477"/>
      <c r="M157" s="477"/>
      <c r="N157" s="477">
        <v>621</v>
      </c>
      <c r="O157" s="477"/>
      <c r="P157" s="13">
        <f t="shared" si="4"/>
        <v>954</v>
      </c>
    </row>
    <row r="158" spans="1:17" ht="34.9" customHeight="1" x14ac:dyDescent="0.25">
      <c r="A158" s="13">
        <v>157</v>
      </c>
      <c r="B158" s="196">
        <v>44908</v>
      </c>
      <c r="C158" s="477">
        <v>187</v>
      </c>
      <c r="D158" s="477"/>
      <c r="E158" s="477"/>
      <c r="F158" s="478"/>
      <c r="G158" s="477"/>
      <c r="H158" s="477"/>
      <c r="I158" s="477"/>
      <c r="J158" s="477">
        <v>86</v>
      </c>
      <c r="K158" s="477"/>
      <c r="L158" s="477"/>
      <c r="M158" s="477"/>
      <c r="N158" s="477">
        <v>275</v>
      </c>
      <c r="O158" s="477"/>
      <c r="P158" s="13">
        <f t="shared" si="4"/>
        <v>361</v>
      </c>
    </row>
    <row r="159" spans="1:17" ht="34.9" customHeight="1" x14ac:dyDescent="0.25">
      <c r="A159" s="13">
        <v>158</v>
      </c>
      <c r="B159" s="196">
        <v>44909</v>
      </c>
      <c r="C159" s="13">
        <v>90</v>
      </c>
      <c r="D159" s="13"/>
      <c r="E159" s="13"/>
      <c r="F159" s="191"/>
      <c r="G159" s="13"/>
      <c r="H159" s="13"/>
      <c r="I159" s="13"/>
      <c r="J159" s="13">
        <v>145</v>
      </c>
      <c r="K159" s="13">
        <v>73</v>
      </c>
      <c r="L159" s="13"/>
      <c r="M159" s="13"/>
      <c r="N159" s="13">
        <v>730</v>
      </c>
      <c r="O159" s="13"/>
      <c r="P159" s="13">
        <f t="shared" si="4"/>
        <v>948</v>
      </c>
    </row>
    <row r="160" spans="1:17" ht="34.9" customHeight="1" x14ac:dyDescent="0.25">
      <c r="A160" s="13">
        <v>159</v>
      </c>
      <c r="B160" s="196">
        <v>44910</v>
      </c>
      <c r="C160" s="13"/>
      <c r="D160" s="13"/>
      <c r="E160" s="13"/>
      <c r="F160" s="191"/>
      <c r="G160" s="13"/>
      <c r="H160" s="13"/>
      <c r="I160" s="13">
        <v>639</v>
      </c>
      <c r="J160" s="13"/>
      <c r="K160" s="13">
        <v>319</v>
      </c>
      <c r="L160" s="13"/>
      <c r="M160" s="13"/>
      <c r="N160" s="13">
        <v>379</v>
      </c>
      <c r="O160" s="13"/>
      <c r="P160" s="13">
        <f t="shared" si="4"/>
        <v>1337</v>
      </c>
    </row>
    <row r="161" spans="1:16" ht="34.9" customHeight="1" x14ac:dyDescent="0.25">
      <c r="A161" s="13">
        <v>160</v>
      </c>
      <c r="B161" s="196">
        <v>44911</v>
      </c>
      <c r="C161" s="13">
        <v>75</v>
      </c>
      <c r="D161" s="13"/>
      <c r="E161" s="13"/>
      <c r="F161" s="191" t="s">
        <v>515</v>
      </c>
      <c r="G161" s="13">
        <v>581</v>
      </c>
      <c r="H161" s="13"/>
      <c r="I161" s="13">
        <v>52</v>
      </c>
      <c r="J161" s="13">
        <v>11</v>
      </c>
      <c r="K161" s="13"/>
      <c r="L161" s="13"/>
      <c r="M161" s="13"/>
      <c r="N161" s="13">
        <v>563</v>
      </c>
      <c r="O161" s="13"/>
      <c r="P161" s="13">
        <f t="shared" si="4"/>
        <v>1207</v>
      </c>
    </row>
    <row r="162" spans="1:16" ht="34.9" customHeight="1" x14ac:dyDescent="0.25">
      <c r="A162" s="13">
        <v>161</v>
      </c>
      <c r="B162" s="196">
        <v>44912</v>
      </c>
      <c r="C162" s="13"/>
      <c r="D162" s="13"/>
      <c r="E162" s="13"/>
      <c r="F162" s="191"/>
      <c r="G162" s="13"/>
      <c r="H162" s="13"/>
      <c r="I162" s="13"/>
      <c r="J162" s="13">
        <v>1</v>
      </c>
      <c r="K162" s="13"/>
      <c r="L162" s="13"/>
      <c r="M162" s="13"/>
      <c r="N162" s="13">
        <v>312</v>
      </c>
      <c r="O162" s="13"/>
      <c r="P162" s="13">
        <f t="shared" si="4"/>
        <v>313</v>
      </c>
    </row>
    <row r="163" spans="1:16" ht="34.9" customHeight="1" x14ac:dyDescent="0.25">
      <c r="A163" s="482">
        <v>162</v>
      </c>
      <c r="B163" s="483">
        <v>44913</v>
      </c>
      <c r="C163" s="482"/>
      <c r="D163" s="482"/>
      <c r="E163" s="482"/>
      <c r="F163" s="484"/>
      <c r="G163" s="482"/>
      <c r="H163" s="482"/>
      <c r="I163" s="482"/>
      <c r="J163" s="482"/>
      <c r="K163" s="482"/>
      <c r="L163" s="482"/>
      <c r="M163" s="482"/>
      <c r="N163" s="482"/>
      <c r="O163" s="482"/>
      <c r="P163" s="482">
        <f t="shared" si="4"/>
        <v>0</v>
      </c>
    </row>
    <row r="164" spans="1:16" ht="34.9" customHeight="1" x14ac:dyDescent="0.25">
      <c r="A164" s="13">
        <v>163</v>
      </c>
      <c r="B164" s="196">
        <v>44914</v>
      </c>
      <c r="C164" s="13">
        <v>18</v>
      </c>
      <c r="D164" s="13"/>
      <c r="E164" s="13"/>
      <c r="F164" s="191" t="s">
        <v>521</v>
      </c>
      <c r="G164" s="13">
        <v>20</v>
      </c>
      <c r="H164" s="13"/>
      <c r="I164" s="13"/>
      <c r="J164" s="13"/>
      <c r="K164" s="13">
        <v>728</v>
      </c>
      <c r="L164" s="13">
        <v>408</v>
      </c>
      <c r="M164" s="13"/>
      <c r="N164" s="13">
        <v>1156</v>
      </c>
      <c r="O164" s="13"/>
      <c r="P164" s="13">
        <f t="shared" si="4"/>
        <v>2312</v>
      </c>
    </row>
    <row r="165" spans="1:16" ht="34.9" customHeight="1" x14ac:dyDescent="0.25">
      <c r="A165" s="13">
        <v>164</v>
      </c>
      <c r="B165" s="196">
        <v>44915</v>
      </c>
      <c r="C165" s="13">
        <v>168</v>
      </c>
      <c r="D165" s="13"/>
      <c r="E165" s="13"/>
      <c r="F165" s="191"/>
      <c r="G165" s="13"/>
      <c r="H165" s="13"/>
      <c r="I165" s="13"/>
      <c r="J165" s="13">
        <v>20</v>
      </c>
      <c r="K165" s="13">
        <v>245.92</v>
      </c>
      <c r="L165" s="13"/>
      <c r="M165" s="13">
        <v>8</v>
      </c>
      <c r="N165" s="13">
        <v>510</v>
      </c>
      <c r="O165" s="13"/>
      <c r="P165" s="13">
        <f t="shared" si="4"/>
        <v>783.92</v>
      </c>
    </row>
    <row r="166" spans="1:16" ht="34.9" customHeight="1" x14ac:dyDescent="0.25">
      <c r="A166" s="13">
        <v>165</v>
      </c>
      <c r="B166" s="196">
        <v>44916</v>
      </c>
      <c r="C166" s="13"/>
      <c r="D166" s="13"/>
      <c r="E166" s="13"/>
      <c r="F166" s="191"/>
      <c r="G166" s="13"/>
      <c r="H166" s="13"/>
      <c r="I166" s="13"/>
      <c r="J166" s="13">
        <v>162</v>
      </c>
      <c r="K166" s="13">
        <v>145</v>
      </c>
      <c r="L166" s="13"/>
      <c r="M166" s="13">
        <v>20</v>
      </c>
      <c r="N166" s="13">
        <v>448</v>
      </c>
      <c r="O166" s="13"/>
      <c r="P166" s="13">
        <f t="shared" si="4"/>
        <v>775</v>
      </c>
    </row>
    <row r="167" spans="1:16" ht="34.9" customHeight="1" x14ac:dyDescent="0.25">
      <c r="A167" s="13">
        <v>166</v>
      </c>
      <c r="B167" s="196">
        <v>44917</v>
      </c>
      <c r="C167" s="13"/>
      <c r="D167" s="13"/>
      <c r="E167" s="13"/>
      <c r="F167" s="191" t="s">
        <v>526</v>
      </c>
      <c r="G167" s="13">
        <v>90</v>
      </c>
      <c r="H167" s="13"/>
      <c r="I167" s="13"/>
      <c r="J167" s="13">
        <v>107</v>
      </c>
      <c r="K167" s="13">
        <v>10</v>
      </c>
      <c r="L167" s="13"/>
      <c r="M167" s="13"/>
      <c r="N167" s="13">
        <v>145</v>
      </c>
      <c r="O167" s="13"/>
      <c r="P167" s="13">
        <f t="shared" ref="P167:P230" si="5">SUM(H167:O167)+G167+E167</f>
        <v>352</v>
      </c>
    </row>
    <row r="168" spans="1:16" ht="34.9" customHeight="1" x14ac:dyDescent="0.25">
      <c r="A168" s="13">
        <v>167</v>
      </c>
      <c r="B168" s="196">
        <v>44918</v>
      </c>
      <c r="C168" s="13"/>
      <c r="D168" s="13"/>
      <c r="E168" s="13"/>
      <c r="F168" s="191"/>
      <c r="G168" s="13"/>
      <c r="H168" s="13"/>
      <c r="I168" s="13"/>
      <c r="J168" s="13"/>
      <c r="K168" s="13">
        <v>130</v>
      </c>
      <c r="L168" s="13"/>
      <c r="M168" s="13"/>
      <c r="N168" s="13">
        <v>114</v>
      </c>
      <c r="O168" s="13"/>
      <c r="P168" s="13">
        <f t="shared" si="5"/>
        <v>244</v>
      </c>
    </row>
    <row r="169" spans="1:16" ht="34.9" customHeight="1" x14ac:dyDescent="0.25">
      <c r="A169" s="13">
        <v>168</v>
      </c>
      <c r="B169" s="196">
        <v>44919</v>
      </c>
      <c r="C169" s="13">
        <v>57</v>
      </c>
      <c r="D169" s="13"/>
      <c r="E169" s="13"/>
      <c r="F169" s="191"/>
      <c r="G169" s="13"/>
      <c r="H169" s="13"/>
      <c r="I169" s="13"/>
      <c r="J169" s="13"/>
      <c r="K169" s="13">
        <v>213</v>
      </c>
      <c r="L169" s="13"/>
      <c r="M169" s="13"/>
      <c r="N169" s="13">
        <v>80</v>
      </c>
      <c r="O169" s="13"/>
      <c r="P169" s="13">
        <f t="shared" si="5"/>
        <v>293</v>
      </c>
    </row>
    <row r="170" spans="1:16" ht="34.9" customHeight="1" x14ac:dyDescent="0.25">
      <c r="A170" s="308">
        <v>169</v>
      </c>
      <c r="B170" s="309">
        <v>44920</v>
      </c>
      <c r="C170" s="308"/>
      <c r="D170" s="308"/>
      <c r="E170" s="308"/>
      <c r="F170" s="391"/>
      <c r="G170" s="308"/>
      <c r="H170" s="308"/>
      <c r="I170" s="308"/>
      <c r="J170" s="308"/>
      <c r="K170" s="308"/>
      <c r="L170" s="308"/>
      <c r="M170" s="308"/>
      <c r="N170" s="308"/>
      <c r="O170" s="308"/>
      <c r="P170" s="308">
        <f t="shared" si="5"/>
        <v>0</v>
      </c>
    </row>
    <row r="171" spans="1:16" ht="34.9" customHeight="1" x14ac:dyDescent="0.25">
      <c r="A171" s="13">
        <v>170</v>
      </c>
      <c r="B171" s="196">
        <v>44921</v>
      </c>
      <c r="C171" s="13">
        <v>268</v>
      </c>
      <c r="D171" s="13"/>
      <c r="E171" s="13"/>
      <c r="F171" s="191"/>
      <c r="G171" s="13"/>
      <c r="H171" s="13"/>
      <c r="I171" s="13"/>
      <c r="J171" s="13">
        <v>145</v>
      </c>
      <c r="K171" s="13">
        <v>212</v>
      </c>
      <c r="L171" s="13"/>
      <c r="M171" s="13"/>
      <c r="N171" s="13">
        <v>100</v>
      </c>
      <c r="O171" s="13"/>
      <c r="P171" s="13">
        <f t="shared" si="5"/>
        <v>457</v>
      </c>
    </row>
    <row r="172" spans="1:16" ht="34.9" customHeight="1" x14ac:dyDescent="0.25">
      <c r="A172" s="13">
        <v>171</v>
      </c>
      <c r="B172" s="196">
        <v>44922</v>
      </c>
      <c r="C172" s="13"/>
      <c r="D172" s="13"/>
      <c r="E172" s="13"/>
      <c r="F172" s="191"/>
      <c r="G172" s="13"/>
      <c r="H172" s="13">
        <v>10.87</v>
      </c>
      <c r="I172" s="13"/>
      <c r="J172" s="13">
        <v>2</v>
      </c>
      <c r="K172" s="13"/>
      <c r="L172" s="13"/>
      <c r="M172" s="13"/>
      <c r="N172" s="13">
        <v>507</v>
      </c>
      <c r="O172" s="13"/>
      <c r="P172" s="13">
        <f t="shared" si="5"/>
        <v>519.87</v>
      </c>
    </row>
    <row r="173" spans="1:16" ht="34.9" customHeight="1" x14ac:dyDescent="0.25">
      <c r="A173" s="13">
        <v>172</v>
      </c>
      <c r="B173" s="196">
        <v>44923</v>
      </c>
      <c r="C173" s="13"/>
      <c r="D173" s="13"/>
      <c r="E173" s="13"/>
      <c r="F173" s="191"/>
      <c r="G173" s="13"/>
      <c r="H173" s="13"/>
      <c r="I173" s="13"/>
      <c r="J173" s="13"/>
      <c r="K173" s="13"/>
      <c r="L173" s="13"/>
      <c r="M173" s="13"/>
      <c r="N173" s="13">
        <v>277</v>
      </c>
      <c r="O173" s="13"/>
      <c r="P173" s="13">
        <f t="shared" si="5"/>
        <v>277</v>
      </c>
    </row>
    <row r="174" spans="1:16" ht="34.9" customHeight="1" x14ac:dyDescent="0.25">
      <c r="A174" s="13">
        <v>173</v>
      </c>
      <c r="B174" s="196">
        <v>44924</v>
      </c>
      <c r="C174" s="13">
        <v>454</v>
      </c>
      <c r="D174" s="13"/>
      <c r="E174" s="13"/>
      <c r="F174" s="191"/>
      <c r="G174" s="13"/>
      <c r="H174" s="13"/>
      <c r="I174" s="13"/>
      <c r="J174" s="13"/>
      <c r="K174" s="13">
        <v>200</v>
      </c>
      <c r="L174" s="13"/>
      <c r="M174" s="13"/>
      <c r="N174" s="13">
        <v>28</v>
      </c>
      <c r="O174" s="13"/>
      <c r="P174" s="13">
        <f t="shared" si="5"/>
        <v>228</v>
      </c>
    </row>
    <row r="175" spans="1:16" ht="34.9" customHeight="1" x14ac:dyDescent="0.25">
      <c r="A175" s="13">
        <v>174</v>
      </c>
      <c r="B175" s="196">
        <v>44925</v>
      </c>
      <c r="C175" s="13"/>
      <c r="D175" s="13"/>
      <c r="E175" s="13"/>
      <c r="F175" s="191"/>
      <c r="G175" s="13"/>
      <c r="H175" s="13"/>
      <c r="I175" s="13"/>
      <c r="J175" s="13"/>
      <c r="K175" s="13"/>
      <c r="L175" s="13"/>
      <c r="M175" s="13"/>
      <c r="N175" s="13">
        <v>117</v>
      </c>
      <c r="O175" s="13"/>
      <c r="P175" s="13">
        <f t="shared" si="5"/>
        <v>117</v>
      </c>
    </row>
    <row r="176" spans="1:16" ht="34.9" customHeight="1" x14ac:dyDescent="0.25">
      <c r="A176" s="308">
        <v>175</v>
      </c>
      <c r="B176" s="309">
        <v>44926</v>
      </c>
      <c r="C176" s="308"/>
      <c r="D176" s="308"/>
      <c r="E176" s="308"/>
      <c r="F176" s="391"/>
      <c r="G176" s="308"/>
      <c r="H176" s="308"/>
      <c r="I176" s="308"/>
      <c r="J176" s="308"/>
      <c r="K176" s="308"/>
      <c r="L176" s="308"/>
      <c r="M176" s="308"/>
      <c r="N176" s="308"/>
      <c r="O176" s="308"/>
      <c r="P176" s="308">
        <f t="shared" si="5"/>
        <v>0</v>
      </c>
    </row>
    <row r="177" spans="1:16" ht="34.9" customHeight="1" x14ac:dyDescent="0.25">
      <c r="A177" s="308">
        <v>176</v>
      </c>
      <c r="B177" s="309">
        <v>44927</v>
      </c>
      <c r="C177" s="308"/>
      <c r="D177" s="308"/>
      <c r="E177" s="308"/>
      <c r="F177" s="391"/>
      <c r="G177" s="308"/>
      <c r="H177" s="308"/>
      <c r="I177" s="308"/>
      <c r="J177" s="308"/>
      <c r="K177" s="308"/>
      <c r="L177" s="308"/>
      <c r="M177" s="308"/>
      <c r="N177" s="308"/>
      <c r="O177" s="308"/>
      <c r="P177" s="308">
        <f t="shared" si="5"/>
        <v>0</v>
      </c>
    </row>
    <row r="178" spans="1:16" ht="34.9" customHeight="1" x14ac:dyDescent="0.25">
      <c r="A178" s="308">
        <v>177</v>
      </c>
      <c r="B178" s="309">
        <v>44928</v>
      </c>
      <c r="C178" s="308"/>
      <c r="D178" s="308"/>
      <c r="E178" s="308"/>
      <c r="F178" s="391"/>
      <c r="G178" s="308"/>
      <c r="H178" s="308"/>
      <c r="I178" s="308"/>
      <c r="J178" s="308"/>
      <c r="K178" s="308"/>
      <c r="L178" s="308"/>
      <c r="M178" s="308"/>
      <c r="N178" s="308"/>
      <c r="O178" s="308"/>
      <c r="P178" s="308">
        <f t="shared" si="5"/>
        <v>0</v>
      </c>
    </row>
    <row r="179" spans="1:16" ht="34.9" customHeight="1" x14ac:dyDescent="0.25">
      <c r="A179" s="308">
        <v>178</v>
      </c>
      <c r="B179" s="309">
        <v>44929</v>
      </c>
      <c r="C179" s="308"/>
      <c r="D179" s="308"/>
      <c r="E179" s="308"/>
      <c r="F179" s="391"/>
      <c r="G179" s="308"/>
      <c r="H179" s="308"/>
      <c r="I179" s="308"/>
      <c r="J179" s="308"/>
      <c r="K179" s="308"/>
      <c r="L179" s="308"/>
      <c r="M179" s="308"/>
      <c r="N179" s="308"/>
      <c r="O179" s="308"/>
      <c r="P179" s="308">
        <f t="shared" si="5"/>
        <v>0</v>
      </c>
    </row>
    <row r="180" spans="1:16" ht="34.9" customHeight="1" x14ac:dyDescent="0.25">
      <c r="A180" s="308">
        <v>179</v>
      </c>
      <c r="B180" s="309">
        <v>44930</v>
      </c>
      <c r="C180" s="308"/>
      <c r="D180" s="308"/>
      <c r="E180" s="308"/>
      <c r="F180" s="391"/>
      <c r="G180" s="308"/>
      <c r="H180" s="308"/>
      <c r="I180" s="308"/>
      <c r="J180" s="308"/>
      <c r="K180" s="308"/>
      <c r="L180" s="308"/>
      <c r="M180" s="308"/>
      <c r="N180" s="308"/>
      <c r="O180" s="308"/>
      <c r="P180" s="308">
        <f t="shared" si="5"/>
        <v>0</v>
      </c>
    </row>
    <row r="181" spans="1:16" ht="34.9" customHeight="1" x14ac:dyDescent="0.25">
      <c r="A181" s="308">
        <v>180</v>
      </c>
      <c r="B181" s="309">
        <v>44931</v>
      </c>
      <c r="C181" s="308"/>
      <c r="D181" s="308"/>
      <c r="E181" s="308"/>
      <c r="F181" s="391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>
        <f t="shared" si="5"/>
        <v>0</v>
      </c>
    </row>
    <row r="182" spans="1:16" ht="34.9" customHeight="1" x14ac:dyDescent="0.25">
      <c r="A182" s="308">
        <v>181</v>
      </c>
      <c r="B182" s="309">
        <v>44932</v>
      </c>
      <c r="C182" s="308"/>
      <c r="D182" s="308"/>
      <c r="E182" s="308"/>
      <c r="F182" s="391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>
        <f t="shared" si="5"/>
        <v>0</v>
      </c>
    </row>
    <row r="183" spans="1:16" ht="34.9" customHeight="1" x14ac:dyDescent="0.25">
      <c r="A183" s="308">
        <v>182</v>
      </c>
      <c r="B183" s="309">
        <v>44933</v>
      </c>
      <c r="C183" s="308"/>
      <c r="D183" s="308"/>
      <c r="E183" s="308"/>
      <c r="F183" s="391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>
        <f t="shared" si="5"/>
        <v>0</v>
      </c>
    </row>
    <row r="184" spans="1:16" ht="34.9" customHeight="1" x14ac:dyDescent="0.25">
      <c r="A184" s="308">
        <v>183</v>
      </c>
      <c r="B184" s="309">
        <v>44934</v>
      </c>
      <c r="C184" s="308"/>
      <c r="D184" s="308"/>
      <c r="E184" s="308"/>
      <c r="F184" s="391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>
        <f t="shared" si="5"/>
        <v>0</v>
      </c>
    </row>
    <row r="185" spans="1:16" ht="34.9" customHeight="1" x14ac:dyDescent="0.25">
      <c r="A185" s="13">
        <v>184</v>
      </c>
      <c r="B185" s="196">
        <v>44935</v>
      </c>
      <c r="C185" s="13">
        <v>168</v>
      </c>
      <c r="D185" s="13"/>
      <c r="E185" s="13"/>
      <c r="F185" s="191"/>
      <c r="G185" s="13"/>
      <c r="H185" s="13"/>
      <c r="I185" s="13"/>
      <c r="J185" s="13">
        <v>15</v>
      </c>
      <c r="K185" s="13">
        <v>604</v>
      </c>
      <c r="L185" s="13"/>
      <c r="M185" s="13"/>
      <c r="N185" s="13">
        <v>214</v>
      </c>
      <c r="O185" s="13"/>
      <c r="P185" s="13">
        <f t="shared" si="5"/>
        <v>833</v>
      </c>
    </row>
    <row r="186" spans="1:16" ht="34.9" customHeight="1" x14ac:dyDescent="0.25">
      <c r="A186" s="13">
        <v>185</v>
      </c>
      <c r="B186" s="196">
        <v>44936</v>
      </c>
      <c r="C186" s="13">
        <v>95</v>
      </c>
      <c r="D186" s="13"/>
      <c r="E186" s="13"/>
      <c r="F186" s="496" t="s">
        <v>529</v>
      </c>
      <c r="G186" s="495">
        <v>10.75</v>
      </c>
      <c r="H186" s="13"/>
      <c r="I186" s="13"/>
      <c r="J186" s="13"/>
      <c r="K186" s="13"/>
      <c r="L186" s="13"/>
      <c r="M186" s="13">
        <v>60</v>
      </c>
      <c r="N186" s="13"/>
      <c r="O186" s="13"/>
      <c r="P186" s="13">
        <f t="shared" si="5"/>
        <v>70.75</v>
      </c>
    </row>
    <row r="187" spans="1:16" ht="34.9" customHeight="1" x14ac:dyDescent="0.25">
      <c r="A187" s="13">
        <v>186</v>
      </c>
      <c r="B187" s="196">
        <v>44937</v>
      </c>
      <c r="C187" s="13"/>
      <c r="D187" s="13"/>
      <c r="E187" s="13"/>
      <c r="F187" s="191"/>
      <c r="G187" s="13"/>
      <c r="H187" s="13"/>
      <c r="I187" s="13"/>
      <c r="J187" s="13">
        <v>183.9</v>
      </c>
      <c r="K187" s="13"/>
      <c r="L187" s="13"/>
      <c r="M187" s="13"/>
      <c r="N187" s="13">
        <v>15</v>
      </c>
      <c r="O187" s="13"/>
      <c r="P187" s="13">
        <f t="shared" si="5"/>
        <v>198.9</v>
      </c>
    </row>
    <row r="188" spans="1:16" ht="34.9" customHeight="1" x14ac:dyDescent="0.25">
      <c r="A188" s="13">
        <v>187</v>
      </c>
      <c r="B188" s="196">
        <v>44938</v>
      </c>
      <c r="C188" s="13"/>
      <c r="D188" s="13"/>
      <c r="E188" s="13"/>
      <c r="F188" s="191"/>
      <c r="G188" s="13"/>
      <c r="H188" s="13"/>
      <c r="I188" s="13"/>
      <c r="J188" s="13">
        <v>107</v>
      </c>
      <c r="K188" s="13">
        <v>204</v>
      </c>
      <c r="L188" s="13"/>
      <c r="M188" s="13"/>
      <c r="N188" s="13">
        <v>105</v>
      </c>
      <c r="O188" s="13"/>
      <c r="P188" s="13">
        <f t="shared" si="5"/>
        <v>416</v>
      </c>
    </row>
    <row r="189" spans="1:16" ht="34.9" customHeight="1" x14ac:dyDescent="0.25">
      <c r="A189" s="13">
        <v>188</v>
      </c>
      <c r="B189" s="196">
        <v>44939</v>
      </c>
      <c r="C189" s="13"/>
      <c r="D189" s="13"/>
      <c r="E189" s="13"/>
      <c r="F189" s="191"/>
      <c r="G189" s="13"/>
      <c r="H189" s="13">
        <v>46.7</v>
      </c>
      <c r="I189" s="13"/>
      <c r="J189" s="13"/>
      <c r="K189" s="13">
        <v>298</v>
      </c>
      <c r="L189" s="13"/>
      <c r="M189" s="13"/>
      <c r="N189" s="13">
        <v>353</v>
      </c>
      <c r="O189" s="13"/>
      <c r="P189" s="13">
        <f t="shared" si="5"/>
        <v>697.7</v>
      </c>
    </row>
    <row r="190" spans="1:16" ht="34.9" customHeight="1" x14ac:dyDescent="0.25">
      <c r="A190" s="13">
        <v>189</v>
      </c>
      <c r="B190" s="196">
        <v>44940</v>
      </c>
      <c r="C190" s="13"/>
      <c r="D190" s="13"/>
      <c r="E190" s="13"/>
      <c r="F190" s="191" t="s">
        <v>530</v>
      </c>
      <c r="G190" s="13">
        <v>5</v>
      </c>
      <c r="H190" s="13"/>
      <c r="I190" s="13"/>
      <c r="J190" s="13"/>
      <c r="K190" s="13"/>
      <c r="L190" s="13"/>
      <c r="M190" s="13">
        <v>10</v>
      </c>
      <c r="N190" s="13">
        <v>325</v>
      </c>
      <c r="O190" s="13"/>
      <c r="P190" s="13">
        <f t="shared" si="5"/>
        <v>340</v>
      </c>
    </row>
    <row r="191" spans="1:16" ht="34.9" customHeight="1" x14ac:dyDescent="0.25">
      <c r="A191" s="308">
        <v>190</v>
      </c>
      <c r="B191" s="309">
        <v>44941</v>
      </c>
      <c r="C191" s="308"/>
      <c r="D191" s="308"/>
      <c r="E191" s="308"/>
      <c r="F191" s="391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>
        <f t="shared" si="5"/>
        <v>0</v>
      </c>
    </row>
    <row r="192" spans="1:16" ht="34.9" customHeight="1" x14ac:dyDescent="0.25">
      <c r="A192" s="13">
        <v>191</v>
      </c>
      <c r="B192" s="196">
        <v>44942</v>
      </c>
      <c r="C192" s="499">
        <v>286</v>
      </c>
      <c r="D192" s="499"/>
      <c r="E192" s="499"/>
      <c r="F192" s="500"/>
      <c r="G192" s="499"/>
      <c r="H192" s="499"/>
      <c r="I192" s="499"/>
      <c r="J192" s="499">
        <v>106</v>
      </c>
      <c r="K192" s="499">
        <v>213</v>
      </c>
      <c r="L192" s="499"/>
      <c r="M192" s="499">
        <v>26</v>
      </c>
      <c r="N192" s="499">
        <v>941</v>
      </c>
      <c r="O192" s="499"/>
      <c r="P192" s="13">
        <f t="shared" si="5"/>
        <v>1286</v>
      </c>
    </row>
    <row r="193" spans="1:17" ht="34.9" customHeight="1" x14ac:dyDescent="0.25">
      <c r="A193" s="13">
        <v>192</v>
      </c>
      <c r="B193" s="196">
        <v>44943</v>
      </c>
      <c r="C193" s="499"/>
      <c r="D193" s="499"/>
      <c r="E193" s="499"/>
      <c r="F193" s="500"/>
      <c r="G193" s="499"/>
      <c r="H193" s="499"/>
      <c r="I193" s="499"/>
      <c r="J193" s="499"/>
      <c r="K193" s="499">
        <v>182</v>
      </c>
      <c r="L193" s="499"/>
      <c r="M193" s="499"/>
      <c r="N193" s="499">
        <v>972</v>
      </c>
      <c r="O193" s="499"/>
      <c r="P193" s="13">
        <f t="shared" si="5"/>
        <v>1154</v>
      </c>
    </row>
    <row r="194" spans="1:17" ht="127.5" customHeight="1" x14ac:dyDescent="0.25">
      <c r="A194" s="13">
        <v>193</v>
      </c>
      <c r="B194" s="196">
        <v>44944</v>
      </c>
      <c r="C194" s="13"/>
      <c r="D194" s="13"/>
      <c r="E194" s="13"/>
      <c r="F194" s="191" t="s">
        <v>534</v>
      </c>
      <c r="G194" s="13">
        <f>345+710+100+106+100+40</f>
        <v>1401</v>
      </c>
      <c r="H194" s="13"/>
      <c r="I194" s="13"/>
      <c r="J194" s="13"/>
      <c r="K194" s="13"/>
      <c r="L194" s="13"/>
      <c r="M194" s="13"/>
      <c r="N194" s="13"/>
      <c r="O194" s="13"/>
      <c r="P194" s="13">
        <f t="shared" si="5"/>
        <v>1401</v>
      </c>
    </row>
    <row r="195" spans="1:17" ht="34.9" customHeight="1" x14ac:dyDescent="0.25">
      <c r="A195" s="13">
        <v>194</v>
      </c>
      <c r="B195" s="196">
        <v>44945</v>
      </c>
      <c r="C195" s="13"/>
      <c r="D195" s="13"/>
      <c r="E195" s="13"/>
      <c r="F195" s="191"/>
      <c r="G195" s="13"/>
      <c r="H195" s="13"/>
      <c r="I195" s="13"/>
      <c r="J195" s="13"/>
      <c r="K195" s="13">
        <v>832</v>
      </c>
      <c r="L195" s="13"/>
      <c r="M195" s="13"/>
      <c r="N195" s="13">
        <v>284</v>
      </c>
      <c r="O195" s="13"/>
      <c r="P195" s="13">
        <f t="shared" si="5"/>
        <v>1116</v>
      </c>
      <c r="Q195" t="s">
        <v>535</v>
      </c>
    </row>
    <row r="196" spans="1:17" ht="34.9" customHeight="1" x14ac:dyDescent="0.25">
      <c r="A196" s="13">
        <v>195</v>
      </c>
      <c r="B196" s="196">
        <v>44946</v>
      </c>
      <c r="C196" s="13"/>
      <c r="D196" s="13"/>
      <c r="E196" s="13"/>
      <c r="F196" s="191"/>
      <c r="G196" s="13"/>
      <c r="H196" s="13"/>
      <c r="I196" s="13"/>
      <c r="J196" s="13"/>
      <c r="K196" s="13"/>
      <c r="L196" s="13"/>
      <c r="M196" s="13"/>
      <c r="N196" s="13"/>
      <c r="O196" s="13"/>
      <c r="P196" s="13">
        <f t="shared" si="5"/>
        <v>0</v>
      </c>
    </row>
    <row r="197" spans="1:17" ht="34.9" customHeight="1" x14ac:dyDescent="0.25">
      <c r="A197" s="13">
        <v>196</v>
      </c>
      <c r="B197" s="196">
        <v>44947</v>
      </c>
      <c r="C197" s="13"/>
      <c r="D197" s="13"/>
      <c r="E197" s="13"/>
      <c r="F197" s="191"/>
      <c r="G197" s="13"/>
      <c r="H197" s="13"/>
      <c r="I197" s="13"/>
      <c r="J197" s="13"/>
      <c r="K197" s="13"/>
      <c r="L197" s="13"/>
      <c r="M197" s="13"/>
      <c r="N197" s="13"/>
      <c r="O197" s="13"/>
      <c r="P197" s="13">
        <f t="shared" si="5"/>
        <v>0</v>
      </c>
    </row>
    <row r="198" spans="1:17" ht="34.9" customHeight="1" x14ac:dyDescent="0.25">
      <c r="A198" s="13">
        <v>197</v>
      </c>
      <c r="B198" s="196">
        <v>44948</v>
      </c>
      <c r="C198" s="13"/>
      <c r="D198" s="13"/>
      <c r="E198" s="13"/>
      <c r="F198" s="191"/>
      <c r="G198" s="13"/>
      <c r="H198" s="13"/>
      <c r="I198" s="13"/>
      <c r="J198" s="13"/>
      <c r="K198" s="13"/>
      <c r="L198" s="13"/>
      <c r="M198" s="13"/>
      <c r="N198" s="13"/>
      <c r="O198" s="13"/>
      <c r="P198" s="13">
        <f t="shared" si="5"/>
        <v>0</v>
      </c>
    </row>
    <row r="199" spans="1:17" ht="34.9" customHeight="1" x14ac:dyDescent="0.25">
      <c r="A199" s="13">
        <v>198</v>
      </c>
      <c r="B199" s="196">
        <v>44949</v>
      </c>
      <c r="C199" s="13"/>
      <c r="D199" s="13"/>
      <c r="E199" s="13"/>
      <c r="F199" s="191"/>
      <c r="G199" s="13"/>
      <c r="H199" s="13"/>
      <c r="I199" s="13"/>
      <c r="J199" s="13"/>
      <c r="K199" s="13"/>
      <c r="L199" s="13"/>
      <c r="M199" s="13"/>
      <c r="N199" s="13"/>
      <c r="O199" s="13"/>
      <c r="P199" s="13">
        <f t="shared" si="5"/>
        <v>0</v>
      </c>
    </row>
    <row r="200" spans="1:17" ht="34.9" customHeight="1" x14ac:dyDescent="0.25">
      <c r="A200" s="13">
        <v>199</v>
      </c>
      <c r="B200" s="196">
        <v>44950</v>
      </c>
      <c r="C200" s="13"/>
      <c r="D200" s="13"/>
      <c r="E200" s="13"/>
      <c r="F200" s="191"/>
      <c r="G200" s="13"/>
      <c r="H200" s="13"/>
      <c r="I200" s="13"/>
      <c r="J200" s="13"/>
      <c r="K200" s="13"/>
      <c r="L200" s="13"/>
      <c r="M200" s="13"/>
      <c r="N200" s="13"/>
      <c r="O200" s="13"/>
      <c r="P200" s="13">
        <f t="shared" si="5"/>
        <v>0</v>
      </c>
    </row>
    <row r="201" spans="1:17" ht="34.9" customHeight="1" x14ac:dyDescent="0.25">
      <c r="A201" s="13">
        <v>200</v>
      </c>
      <c r="B201" s="196">
        <v>44951</v>
      </c>
      <c r="C201" s="13"/>
      <c r="D201" s="13"/>
      <c r="E201" s="13"/>
      <c r="F201" s="191"/>
      <c r="G201" s="13"/>
      <c r="H201" s="13"/>
      <c r="I201" s="13"/>
      <c r="J201" s="13"/>
      <c r="K201" s="13"/>
      <c r="L201" s="13"/>
      <c r="M201" s="13"/>
      <c r="N201" s="13"/>
      <c r="O201" s="13"/>
      <c r="P201" s="13">
        <f t="shared" si="5"/>
        <v>0</v>
      </c>
    </row>
    <row r="202" spans="1:17" ht="34.9" customHeight="1" x14ac:dyDescent="0.25">
      <c r="A202" s="13">
        <v>201</v>
      </c>
      <c r="B202" s="196">
        <v>44952</v>
      </c>
      <c r="C202" s="13"/>
      <c r="D202" s="13"/>
      <c r="E202" s="13"/>
      <c r="F202" s="191"/>
      <c r="G202" s="13"/>
      <c r="H202" s="13"/>
      <c r="I202" s="13"/>
      <c r="J202" s="13"/>
      <c r="K202" s="13"/>
      <c r="L202" s="13"/>
      <c r="M202" s="13"/>
      <c r="N202" s="13"/>
      <c r="O202" s="13"/>
      <c r="P202" s="13">
        <f t="shared" si="5"/>
        <v>0</v>
      </c>
    </row>
    <row r="203" spans="1:17" ht="34.9" customHeight="1" x14ac:dyDescent="0.25">
      <c r="A203" s="13">
        <v>202</v>
      </c>
      <c r="B203" s="196">
        <v>44953</v>
      </c>
      <c r="C203" s="13"/>
      <c r="D203" s="13"/>
      <c r="E203" s="13"/>
      <c r="F203" s="191"/>
      <c r="G203" s="13"/>
      <c r="H203" s="13"/>
      <c r="I203" s="13"/>
      <c r="J203" s="13"/>
      <c r="K203" s="13"/>
      <c r="L203" s="13"/>
      <c r="M203" s="13"/>
      <c r="N203" s="13"/>
      <c r="O203" s="13"/>
      <c r="P203" s="13">
        <f t="shared" si="5"/>
        <v>0</v>
      </c>
    </row>
    <row r="204" spans="1:17" ht="34.9" customHeight="1" x14ac:dyDescent="0.25">
      <c r="A204" s="13">
        <v>203</v>
      </c>
      <c r="B204" s="196">
        <v>44954</v>
      </c>
      <c r="C204" s="13"/>
      <c r="D204" s="13"/>
      <c r="E204" s="13"/>
      <c r="F204" s="191"/>
      <c r="G204" s="13"/>
      <c r="H204" s="13"/>
      <c r="I204" s="13"/>
      <c r="J204" s="13"/>
      <c r="K204" s="13"/>
      <c r="L204" s="13"/>
      <c r="M204" s="13"/>
      <c r="N204" s="13"/>
      <c r="O204" s="13"/>
      <c r="P204" s="13">
        <f t="shared" si="5"/>
        <v>0</v>
      </c>
    </row>
    <row r="205" spans="1:17" ht="34.9" customHeight="1" x14ac:dyDescent="0.25">
      <c r="A205" s="13">
        <v>204</v>
      </c>
      <c r="B205" s="196">
        <v>44955</v>
      </c>
      <c r="C205" s="13"/>
      <c r="D205" s="13"/>
      <c r="E205" s="13"/>
      <c r="F205" s="191"/>
      <c r="G205" s="13"/>
      <c r="H205" s="13"/>
      <c r="I205" s="13"/>
      <c r="J205" s="13"/>
      <c r="K205" s="13"/>
      <c r="L205" s="13"/>
      <c r="M205" s="13"/>
      <c r="N205" s="13"/>
      <c r="O205" s="13"/>
      <c r="P205" s="13">
        <f t="shared" si="5"/>
        <v>0</v>
      </c>
    </row>
    <row r="206" spans="1:17" ht="34.9" customHeight="1" x14ac:dyDescent="0.25">
      <c r="A206" s="13">
        <v>205</v>
      </c>
      <c r="B206" s="196">
        <v>44956</v>
      </c>
      <c r="C206" s="13"/>
      <c r="D206" s="13"/>
      <c r="E206" s="13"/>
      <c r="F206" s="191"/>
      <c r="G206" s="13"/>
      <c r="H206" s="13"/>
      <c r="I206" s="13"/>
      <c r="J206" s="13"/>
      <c r="K206" s="13"/>
      <c r="L206" s="13"/>
      <c r="M206" s="13"/>
      <c r="N206" s="13"/>
      <c r="O206" s="13"/>
      <c r="P206" s="13">
        <f t="shared" si="5"/>
        <v>0</v>
      </c>
    </row>
    <row r="207" spans="1:17" ht="34.9" customHeight="1" x14ac:dyDescent="0.25">
      <c r="A207" s="13">
        <v>206</v>
      </c>
      <c r="B207" s="196">
        <v>44957</v>
      </c>
      <c r="C207" s="13"/>
      <c r="D207" s="13"/>
      <c r="E207" s="13"/>
      <c r="F207" s="191"/>
      <c r="G207" s="13"/>
      <c r="H207" s="13"/>
      <c r="I207" s="13"/>
      <c r="J207" s="13"/>
      <c r="K207" s="13"/>
      <c r="L207" s="13"/>
      <c r="M207" s="13"/>
      <c r="N207" s="13"/>
      <c r="O207" s="13"/>
      <c r="P207" s="13">
        <f t="shared" si="5"/>
        <v>0</v>
      </c>
    </row>
    <row r="208" spans="1:17" ht="34.9" customHeight="1" x14ac:dyDescent="0.25">
      <c r="A208" s="13">
        <v>207</v>
      </c>
      <c r="B208" s="196">
        <v>44958</v>
      </c>
      <c r="C208" s="13"/>
      <c r="D208" s="13"/>
      <c r="E208" s="13"/>
      <c r="F208" s="191"/>
      <c r="G208" s="13"/>
      <c r="H208" s="13"/>
      <c r="I208" s="13"/>
      <c r="J208" s="13"/>
      <c r="K208" s="13"/>
      <c r="L208" s="13"/>
      <c r="M208" s="13"/>
      <c r="N208" s="13"/>
      <c r="O208" s="13"/>
      <c r="P208" s="13">
        <f t="shared" si="5"/>
        <v>0</v>
      </c>
    </row>
    <row r="209" spans="1:16" ht="34.9" customHeight="1" x14ac:dyDescent="0.25">
      <c r="A209" s="13">
        <v>208</v>
      </c>
      <c r="B209" s="196">
        <v>44959</v>
      </c>
      <c r="C209" s="13"/>
      <c r="D209" s="13"/>
      <c r="E209" s="13"/>
      <c r="F209" s="191"/>
      <c r="G209" s="13"/>
      <c r="H209" s="13"/>
      <c r="I209" s="13"/>
      <c r="J209" s="13"/>
      <c r="K209" s="13"/>
      <c r="L209" s="13"/>
      <c r="M209" s="13"/>
      <c r="N209" s="13"/>
      <c r="O209" s="13"/>
      <c r="P209" s="13">
        <f t="shared" si="5"/>
        <v>0</v>
      </c>
    </row>
    <row r="210" spans="1:16" ht="34.9" customHeight="1" x14ac:dyDescent="0.25">
      <c r="A210" s="13">
        <v>209</v>
      </c>
      <c r="B210" s="196">
        <v>44960</v>
      </c>
      <c r="C210" s="13"/>
      <c r="D210" s="13"/>
      <c r="E210" s="13"/>
      <c r="F210" s="191"/>
      <c r="G210" s="13"/>
      <c r="H210" s="13"/>
      <c r="I210" s="13"/>
      <c r="J210" s="13"/>
      <c r="K210" s="13"/>
      <c r="L210" s="13"/>
      <c r="M210" s="13"/>
      <c r="N210" s="13"/>
      <c r="O210" s="13"/>
      <c r="P210" s="13">
        <f t="shared" si="5"/>
        <v>0</v>
      </c>
    </row>
    <row r="211" spans="1:16" ht="34.9" customHeight="1" x14ac:dyDescent="0.25">
      <c r="A211" s="13">
        <v>210</v>
      </c>
      <c r="B211" s="196">
        <v>44961</v>
      </c>
      <c r="C211" s="13"/>
      <c r="D211" s="13"/>
      <c r="E211" s="13"/>
      <c r="F211" s="191"/>
      <c r="G211" s="13"/>
      <c r="H211" s="13"/>
      <c r="I211" s="13"/>
      <c r="J211" s="13"/>
      <c r="K211" s="13"/>
      <c r="L211" s="13"/>
      <c r="M211" s="13"/>
      <c r="N211" s="13"/>
      <c r="O211" s="13"/>
      <c r="P211" s="13">
        <f t="shared" si="5"/>
        <v>0</v>
      </c>
    </row>
    <row r="212" spans="1:16" ht="34.9" customHeight="1" x14ac:dyDescent="0.25">
      <c r="A212" s="13">
        <v>211</v>
      </c>
      <c r="B212" s="196">
        <v>44962</v>
      </c>
      <c r="C212" s="13"/>
      <c r="D212" s="13"/>
      <c r="E212" s="13"/>
      <c r="F212" s="191"/>
      <c r="G212" s="13"/>
      <c r="H212" s="13"/>
      <c r="I212" s="13"/>
      <c r="J212" s="13"/>
      <c r="K212" s="13"/>
      <c r="L212" s="13"/>
      <c r="M212" s="13"/>
      <c r="N212" s="13"/>
      <c r="O212" s="13"/>
      <c r="P212" s="13">
        <f t="shared" si="5"/>
        <v>0</v>
      </c>
    </row>
    <row r="213" spans="1:16" ht="34.9" customHeight="1" x14ac:dyDescent="0.25">
      <c r="A213" s="13">
        <v>212</v>
      </c>
      <c r="B213" s="196">
        <v>44963</v>
      </c>
      <c r="C213" s="13"/>
      <c r="D213" s="13"/>
      <c r="E213" s="13"/>
      <c r="F213" s="191"/>
      <c r="G213" s="13"/>
      <c r="H213" s="13"/>
      <c r="I213" s="13"/>
      <c r="J213" s="13"/>
      <c r="K213" s="13"/>
      <c r="L213" s="13"/>
      <c r="M213" s="13"/>
      <c r="N213" s="13"/>
      <c r="O213" s="13"/>
      <c r="P213" s="13">
        <f t="shared" si="5"/>
        <v>0</v>
      </c>
    </row>
    <row r="214" spans="1:16" ht="34.9" customHeight="1" x14ac:dyDescent="0.25">
      <c r="A214" s="13">
        <v>213</v>
      </c>
      <c r="B214" s="196">
        <v>44964</v>
      </c>
      <c r="C214" s="13"/>
      <c r="D214" s="13"/>
      <c r="E214" s="13"/>
      <c r="F214" s="191"/>
      <c r="G214" s="13"/>
      <c r="H214" s="13"/>
      <c r="I214" s="13"/>
      <c r="J214" s="13"/>
      <c r="K214" s="13"/>
      <c r="L214" s="13"/>
      <c r="M214" s="13"/>
      <c r="N214" s="13"/>
      <c r="O214" s="13"/>
      <c r="P214" s="13">
        <f t="shared" si="5"/>
        <v>0</v>
      </c>
    </row>
    <row r="215" spans="1:16" ht="34.9" customHeight="1" x14ac:dyDescent="0.25">
      <c r="A215" s="13">
        <v>214</v>
      </c>
      <c r="B215" s="196">
        <v>44965</v>
      </c>
      <c r="C215" s="13"/>
      <c r="D215" s="13"/>
      <c r="E215" s="13"/>
      <c r="F215" s="191"/>
      <c r="G215" s="13"/>
      <c r="H215" s="13"/>
      <c r="I215" s="13"/>
      <c r="J215" s="13"/>
      <c r="K215" s="13"/>
      <c r="L215" s="13"/>
      <c r="M215" s="13"/>
      <c r="N215" s="13"/>
      <c r="O215" s="13"/>
      <c r="P215" s="13">
        <f t="shared" si="5"/>
        <v>0</v>
      </c>
    </row>
    <row r="216" spans="1:16" ht="34.9" customHeight="1" x14ac:dyDescent="0.25">
      <c r="A216" s="13">
        <v>215</v>
      </c>
      <c r="B216" s="196">
        <v>44966</v>
      </c>
      <c r="C216" s="13"/>
      <c r="D216" s="13"/>
      <c r="E216" s="13"/>
      <c r="F216" s="191"/>
      <c r="G216" s="13"/>
      <c r="H216" s="13"/>
      <c r="I216" s="13"/>
      <c r="J216" s="13"/>
      <c r="K216" s="13"/>
      <c r="L216" s="13"/>
      <c r="M216" s="13"/>
      <c r="N216" s="13"/>
      <c r="O216" s="13"/>
      <c r="P216" s="13">
        <f t="shared" si="5"/>
        <v>0</v>
      </c>
    </row>
    <row r="217" spans="1:16" ht="34.9" customHeight="1" x14ac:dyDescent="0.25">
      <c r="A217" s="13">
        <v>216</v>
      </c>
      <c r="B217" s="196">
        <v>44967</v>
      </c>
      <c r="C217" s="13"/>
      <c r="D217" s="13"/>
      <c r="E217" s="13"/>
      <c r="F217" s="191"/>
      <c r="G217" s="13"/>
      <c r="H217" s="13"/>
      <c r="I217" s="13"/>
      <c r="J217" s="13"/>
      <c r="K217" s="13"/>
      <c r="L217" s="13"/>
      <c r="M217" s="13"/>
      <c r="N217" s="13"/>
      <c r="O217" s="13"/>
      <c r="P217" s="13">
        <f t="shared" si="5"/>
        <v>0</v>
      </c>
    </row>
    <row r="218" spans="1:16" ht="34.9" customHeight="1" x14ac:dyDescent="0.25">
      <c r="A218" s="13">
        <v>217</v>
      </c>
      <c r="B218" s="196">
        <v>44968</v>
      </c>
      <c r="C218" s="13"/>
      <c r="D218" s="13"/>
      <c r="E218" s="13"/>
      <c r="F218" s="191"/>
      <c r="G218" s="13"/>
      <c r="H218" s="13"/>
      <c r="I218" s="13"/>
      <c r="J218" s="13"/>
      <c r="K218" s="13"/>
      <c r="L218" s="13"/>
      <c r="M218" s="13"/>
      <c r="N218" s="13"/>
      <c r="O218" s="13"/>
      <c r="P218" s="13">
        <f t="shared" si="5"/>
        <v>0</v>
      </c>
    </row>
    <row r="219" spans="1:16" ht="34.9" customHeight="1" x14ac:dyDescent="0.25">
      <c r="A219" s="13">
        <v>218</v>
      </c>
      <c r="B219" s="196">
        <v>44969</v>
      </c>
      <c r="C219" s="13"/>
      <c r="D219" s="13"/>
      <c r="E219" s="13"/>
      <c r="F219" s="191"/>
      <c r="G219" s="13"/>
      <c r="H219" s="13"/>
      <c r="I219" s="13"/>
      <c r="J219" s="13"/>
      <c r="K219" s="13"/>
      <c r="L219" s="13"/>
      <c r="M219" s="13"/>
      <c r="N219" s="13"/>
      <c r="O219" s="13"/>
      <c r="P219" s="13">
        <f t="shared" si="5"/>
        <v>0</v>
      </c>
    </row>
    <row r="220" spans="1:16" ht="34.9" customHeight="1" x14ac:dyDescent="0.25">
      <c r="A220" s="13">
        <v>219</v>
      </c>
      <c r="B220" s="196">
        <v>44970</v>
      </c>
      <c r="C220" s="13"/>
      <c r="D220" s="13"/>
      <c r="E220" s="13"/>
      <c r="F220" s="191"/>
      <c r="G220" s="13"/>
      <c r="H220" s="13"/>
      <c r="I220" s="13"/>
      <c r="J220" s="13"/>
      <c r="K220" s="13"/>
      <c r="L220" s="13"/>
      <c r="M220" s="13"/>
      <c r="N220" s="13"/>
      <c r="O220" s="13"/>
      <c r="P220" s="13">
        <f t="shared" si="5"/>
        <v>0</v>
      </c>
    </row>
    <row r="221" spans="1:16" ht="34.9" customHeight="1" x14ac:dyDescent="0.25">
      <c r="A221" s="13">
        <v>220</v>
      </c>
      <c r="B221" s="196">
        <v>44971</v>
      </c>
      <c r="C221" s="13"/>
      <c r="D221" s="13"/>
      <c r="E221" s="13"/>
      <c r="F221" s="191"/>
      <c r="G221" s="13"/>
      <c r="H221" s="13"/>
      <c r="I221" s="13"/>
      <c r="J221" s="13"/>
      <c r="K221" s="13"/>
      <c r="L221" s="13"/>
      <c r="M221" s="13"/>
      <c r="N221" s="13"/>
      <c r="O221" s="13"/>
      <c r="P221" s="13">
        <f t="shared" si="5"/>
        <v>0</v>
      </c>
    </row>
    <row r="222" spans="1:16" ht="34.9" customHeight="1" x14ac:dyDescent="0.25">
      <c r="A222" s="13">
        <v>221</v>
      </c>
      <c r="B222" s="196">
        <v>44972</v>
      </c>
      <c r="C222" s="13"/>
      <c r="D222" s="13"/>
      <c r="E222" s="13"/>
      <c r="F222" s="191"/>
      <c r="G222" s="13"/>
      <c r="H222" s="13"/>
      <c r="I222" s="13"/>
      <c r="J222" s="13"/>
      <c r="K222" s="13"/>
      <c r="L222" s="13"/>
      <c r="M222" s="13"/>
      <c r="N222" s="13"/>
      <c r="O222" s="13"/>
      <c r="P222" s="13">
        <f t="shared" si="5"/>
        <v>0</v>
      </c>
    </row>
    <row r="223" spans="1:16" ht="34.9" customHeight="1" x14ac:dyDescent="0.25">
      <c r="A223" s="13">
        <v>222</v>
      </c>
      <c r="B223" s="196">
        <v>44973</v>
      </c>
      <c r="C223" s="13"/>
      <c r="D223" s="13"/>
      <c r="E223" s="13"/>
      <c r="F223" s="191"/>
      <c r="G223" s="13"/>
      <c r="H223" s="13"/>
      <c r="I223" s="13"/>
      <c r="J223" s="13"/>
      <c r="K223" s="13"/>
      <c r="L223" s="13"/>
      <c r="M223" s="13"/>
      <c r="N223" s="13"/>
      <c r="O223" s="13"/>
      <c r="P223" s="13">
        <f t="shared" si="5"/>
        <v>0</v>
      </c>
    </row>
    <row r="224" spans="1:16" ht="34.9" customHeight="1" x14ac:dyDescent="0.25">
      <c r="A224" s="13">
        <v>223</v>
      </c>
      <c r="B224" s="196">
        <v>44974</v>
      </c>
      <c r="C224" s="13"/>
      <c r="D224" s="13"/>
      <c r="E224" s="13"/>
      <c r="F224" s="191"/>
      <c r="G224" s="13"/>
      <c r="H224" s="13"/>
      <c r="I224" s="13"/>
      <c r="J224" s="13"/>
      <c r="K224" s="13"/>
      <c r="L224" s="13"/>
      <c r="M224" s="13"/>
      <c r="N224" s="13"/>
      <c r="O224" s="13"/>
      <c r="P224" s="13">
        <f t="shared" si="5"/>
        <v>0</v>
      </c>
    </row>
    <row r="225" spans="1:16" ht="34.9" customHeight="1" x14ac:dyDescent="0.25">
      <c r="A225" s="13">
        <v>224</v>
      </c>
      <c r="B225" s="196">
        <v>44975</v>
      </c>
      <c r="C225" s="13"/>
      <c r="D225" s="13"/>
      <c r="E225" s="13"/>
      <c r="F225" s="191"/>
      <c r="G225" s="13"/>
      <c r="H225" s="13"/>
      <c r="I225" s="13"/>
      <c r="J225" s="13"/>
      <c r="K225" s="13"/>
      <c r="L225" s="13"/>
      <c r="M225" s="13"/>
      <c r="N225" s="13"/>
      <c r="O225" s="13"/>
      <c r="P225" s="13">
        <f t="shared" si="5"/>
        <v>0</v>
      </c>
    </row>
    <row r="226" spans="1:16" ht="34.9" customHeight="1" x14ac:dyDescent="0.25">
      <c r="A226" s="13">
        <v>225</v>
      </c>
      <c r="B226" s="196">
        <v>44976</v>
      </c>
      <c r="C226" s="13"/>
      <c r="D226" s="13"/>
      <c r="E226" s="13"/>
      <c r="F226" s="191"/>
      <c r="G226" s="13"/>
      <c r="H226" s="13"/>
      <c r="I226" s="13"/>
      <c r="J226" s="13"/>
      <c r="K226" s="13"/>
      <c r="L226" s="13"/>
      <c r="M226" s="13"/>
      <c r="N226" s="13"/>
      <c r="O226" s="13"/>
      <c r="P226" s="13">
        <f t="shared" si="5"/>
        <v>0</v>
      </c>
    </row>
    <row r="227" spans="1:16" ht="34.9" customHeight="1" x14ac:dyDescent="0.25">
      <c r="A227" s="13">
        <v>226</v>
      </c>
      <c r="B227" s="196">
        <v>44977</v>
      </c>
      <c r="C227" s="13"/>
      <c r="D227" s="13"/>
      <c r="E227" s="13"/>
      <c r="F227" s="191"/>
      <c r="G227" s="13"/>
      <c r="H227" s="13"/>
      <c r="I227" s="13"/>
      <c r="J227" s="13"/>
      <c r="K227" s="13"/>
      <c r="L227" s="13"/>
      <c r="M227" s="13"/>
      <c r="N227" s="13"/>
      <c r="O227" s="13"/>
      <c r="P227" s="13">
        <f t="shared" si="5"/>
        <v>0</v>
      </c>
    </row>
    <row r="228" spans="1:16" ht="34.9" customHeight="1" x14ac:dyDescent="0.25">
      <c r="A228" s="13">
        <v>227</v>
      </c>
      <c r="B228" s="196">
        <v>44978</v>
      </c>
      <c r="C228" s="13"/>
      <c r="D228" s="13"/>
      <c r="E228" s="13"/>
      <c r="F228" s="191"/>
      <c r="G228" s="13"/>
      <c r="H228" s="13"/>
      <c r="I228" s="13"/>
      <c r="J228" s="13"/>
      <c r="K228" s="13"/>
      <c r="L228" s="13"/>
      <c r="M228" s="13"/>
      <c r="N228" s="13"/>
      <c r="O228" s="13"/>
      <c r="P228" s="13">
        <f t="shared" si="5"/>
        <v>0</v>
      </c>
    </row>
    <row r="229" spans="1:16" ht="34.9" customHeight="1" x14ac:dyDescent="0.25">
      <c r="A229" s="13">
        <v>228</v>
      </c>
      <c r="B229" s="196">
        <v>44979</v>
      </c>
      <c r="C229" s="13"/>
      <c r="D229" s="13"/>
      <c r="E229" s="13"/>
      <c r="F229" s="191"/>
      <c r="G229" s="13"/>
      <c r="H229" s="13"/>
      <c r="I229" s="13"/>
      <c r="J229" s="13"/>
      <c r="K229" s="13"/>
      <c r="L229" s="13"/>
      <c r="M229" s="13"/>
      <c r="N229" s="13"/>
      <c r="O229" s="13"/>
      <c r="P229" s="13">
        <f t="shared" si="5"/>
        <v>0</v>
      </c>
    </row>
    <row r="230" spans="1:16" ht="34.9" customHeight="1" x14ac:dyDescent="0.25">
      <c r="A230" s="13">
        <v>229</v>
      </c>
      <c r="B230" s="196">
        <v>44980</v>
      </c>
      <c r="C230" s="13"/>
      <c r="D230" s="13"/>
      <c r="E230" s="13"/>
      <c r="F230" s="191"/>
      <c r="G230" s="13"/>
      <c r="H230" s="13"/>
      <c r="I230" s="13"/>
      <c r="J230" s="13"/>
      <c r="K230" s="13"/>
      <c r="L230" s="13"/>
      <c r="M230" s="13"/>
      <c r="N230" s="13"/>
      <c r="O230" s="13"/>
      <c r="P230" s="13">
        <f t="shared" si="5"/>
        <v>0</v>
      </c>
    </row>
    <row r="231" spans="1:16" ht="34.9" customHeight="1" x14ac:dyDescent="0.25">
      <c r="A231" s="13">
        <v>230</v>
      </c>
      <c r="B231" s="196">
        <v>44981</v>
      </c>
      <c r="C231" s="13"/>
      <c r="D231" s="13"/>
      <c r="E231" s="13"/>
      <c r="F231" s="191"/>
      <c r="G231" s="13"/>
      <c r="H231" s="13"/>
      <c r="I231" s="13"/>
      <c r="J231" s="13"/>
      <c r="K231" s="13"/>
      <c r="L231" s="13"/>
      <c r="M231" s="13"/>
      <c r="N231" s="13"/>
      <c r="O231" s="13"/>
      <c r="P231" s="13">
        <f t="shared" ref="P231:P294" si="6">SUM(H231:O231)+G231+E231</f>
        <v>0</v>
      </c>
    </row>
    <row r="232" spans="1:16" ht="34.9" customHeight="1" x14ac:dyDescent="0.25">
      <c r="A232" s="13">
        <v>231</v>
      </c>
      <c r="B232" s="196">
        <v>44982</v>
      </c>
      <c r="C232" s="13"/>
      <c r="D232" s="13"/>
      <c r="E232" s="13"/>
      <c r="F232" s="191"/>
      <c r="G232" s="13"/>
      <c r="H232" s="13"/>
      <c r="I232" s="13"/>
      <c r="J232" s="13"/>
      <c r="K232" s="13"/>
      <c r="L232" s="13"/>
      <c r="M232" s="13"/>
      <c r="N232" s="13"/>
      <c r="O232" s="13"/>
      <c r="P232" s="13">
        <f t="shared" si="6"/>
        <v>0</v>
      </c>
    </row>
    <row r="233" spans="1:16" ht="34.9" customHeight="1" x14ac:dyDescent="0.25">
      <c r="A233" s="13">
        <v>232</v>
      </c>
      <c r="B233" s="196">
        <v>44983</v>
      </c>
      <c r="C233" s="13"/>
      <c r="D233" s="13"/>
      <c r="E233" s="13"/>
      <c r="F233" s="191"/>
      <c r="G233" s="13"/>
      <c r="H233" s="13"/>
      <c r="I233" s="13"/>
      <c r="J233" s="13"/>
      <c r="K233" s="13"/>
      <c r="L233" s="13"/>
      <c r="M233" s="13"/>
      <c r="N233" s="13"/>
      <c r="O233" s="13"/>
      <c r="P233" s="13">
        <f t="shared" si="6"/>
        <v>0</v>
      </c>
    </row>
    <row r="234" spans="1:16" ht="34.9" customHeight="1" x14ac:dyDescent="0.25">
      <c r="A234" s="13">
        <v>233</v>
      </c>
      <c r="B234" s="196">
        <v>44984</v>
      </c>
      <c r="C234" s="13"/>
      <c r="D234" s="13"/>
      <c r="E234" s="13"/>
      <c r="F234" s="191"/>
      <c r="G234" s="13"/>
      <c r="H234" s="13"/>
      <c r="I234" s="13"/>
      <c r="J234" s="13"/>
      <c r="K234" s="13"/>
      <c r="L234" s="13"/>
      <c r="M234" s="13"/>
      <c r="N234" s="13"/>
      <c r="O234" s="13"/>
      <c r="P234" s="13">
        <f t="shared" si="6"/>
        <v>0</v>
      </c>
    </row>
    <row r="235" spans="1:16" ht="34.9" customHeight="1" x14ac:dyDescent="0.25">
      <c r="A235" s="13">
        <v>234</v>
      </c>
      <c r="B235" s="196">
        <v>44985</v>
      </c>
      <c r="C235" s="13"/>
      <c r="D235" s="13"/>
      <c r="E235" s="13"/>
      <c r="F235" s="191"/>
      <c r="G235" s="13"/>
      <c r="H235" s="13"/>
      <c r="I235" s="13"/>
      <c r="J235" s="13"/>
      <c r="K235" s="13"/>
      <c r="L235" s="13"/>
      <c r="M235" s="13"/>
      <c r="N235" s="13"/>
      <c r="O235" s="13"/>
      <c r="P235" s="13">
        <f t="shared" si="6"/>
        <v>0</v>
      </c>
    </row>
    <row r="236" spans="1:16" ht="34.9" customHeight="1" x14ac:dyDescent="0.25">
      <c r="A236" s="13">
        <v>235</v>
      </c>
      <c r="B236" s="196">
        <v>44986</v>
      </c>
      <c r="C236" s="13"/>
      <c r="D236" s="13"/>
      <c r="E236" s="13"/>
      <c r="F236" s="191"/>
      <c r="G236" s="13"/>
      <c r="H236" s="13"/>
      <c r="I236" s="13"/>
      <c r="J236" s="13"/>
      <c r="K236" s="13"/>
      <c r="L236" s="13"/>
      <c r="M236" s="13"/>
      <c r="N236" s="13"/>
      <c r="O236" s="13"/>
      <c r="P236" s="13">
        <f t="shared" si="6"/>
        <v>0</v>
      </c>
    </row>
    <row r="237" spans="1:16" ht="34.9" customHeight="1" x14ac:dyDescent="0.25">
      <c r="A237" s="13">
        <v>236</v>
      </c>
      <c r="B237" s="196">
        <v>44987</v>
      </c>
      <c r="C237" s="13"/>
      <c r="D237" s="13"/>
      <c r="E237" s="13"/>
      <c r="F237" s="191"/>
      <c r="G237" s="13"/>
      <c r="H237" s="13"/>
      <c r="I237" s="13"/>
      <c r="J237" s="13"/>
      <c r="K237" s="13"/>
      <c r="L237" s="13"/>
      <c r="M237" s="13"/>
      <c r="N237" s="13"/>
      <c r="O237" s="13"/>
      <c r="P237" s="13">
        <f t="shared" si="6"/>
        <v>0</v>
      </c>
    </row>
    <row r="238" spans="1:16" ht="34.9" customHeight="1" x14ac:dyDescent="0.25">
      <c r="A238" s="13">
        <v>237</v>
      </c>
      <c r="B238" s="196">
        <v>44988</v>
      </c>
      <c r="C238" s="13"/>
      <c r="D238" s="13"/>
      <c r="E238" s="13"/>
      <c r="F238" s="191"/>
      <c r="G238" s="13"/>
      <c r="H238" s="13"/>
      <c r="I238" s="13"/>
      <c r="J238" s="13"/>
      <c r="K238" s="13"/>
      <c r="L238" s="13"/>
      <c r="M238" s="13"/>
      <c r="N238" s="13"/>
      <c r="O238" s="13"/>
      <c r="P238" s="13">
        <f t="shared" si="6"/>
        <v>0</v>
      </c>
    </row>
    <row r="239" spans="1:16" ht="34.9" customHeight="1" x14ac:dyDescent="0.25">
      <c r="A239" s="13">
        <v>238</v>
      </c>
      <c r="B239" s="196">
        <v>44989</v>
      </c>
      <c r="C239" s="13"/>
      <c r="D239" s="13"/>
      <c r="E239" s="13"/>
      <c r="F239" s="191"/>
      <c r="G239" s="13"/>
      <c r="H239" s="13"/>
      <c r="I239" s="13"/>
      <c r="J239" s="13"/>
      <c r="K239" s="13"/>
      <c r="L239" s="13"/>
      <c r="M239" s="13"/>
      <c r="N239" s="13"/>
      <c r="O239" s="13"/>
      <c r="P239" s="13">
        <f t="shared" si="6"/>
        <v>0</v>
      </c>
    </row>
    <row r="240" spans="1:16" ht="34.9" customHeight="1" x14ac:dyDescent="0.25">
      <c r="A240" s="13">
        <v>239</v>
      </c>
      <c r="B240" s="196">
        <v>44990</v>
      </c>
      <c r="C240" s="13"/>
      <c r="D240" s="13"/>
      <c r="E240" s="13"/>
      <c r="F240" s="191"/>
      <c r="G240" s="13"/>
      <c r="H240" s="13"/>
      <c r="I240" s="13"/>
      <c r="J240" s="13"/>
      <c r="K240" s="13"/>
      <c r="L240" s="13"/>
      <c r="M240" s="13"/>
      <c r="N240" s="13"/>
      <c r="O240" s="13"/>
      <c r="P240" s="13">
        <f t="shared" si="6"/>
        <v>0</v>
      </c>
    </row>
    <row r="241" spans="1:16" ht="34.9" customHeight="1" x14ac:dyDescent="0.25">
      <c r="A241" s="13">
        <v>240</v>
      </c>
      <c r="B241" s="196">
        <v>44991</v>
      </c>
      <c r="C241" s="13"/>
      <c r="D241" s="13"/>
      <c r="E241" s="13"/>
      <c r="F241" s="191"/>
      <c r="G241" s="13"/>
      <c r="H241" s="13"/>
      <c r="I241" s="13"/>
      <c r="J241" s="13"/>
      <c r="K241" s="13"/>
      <c r="L241" s="13"/>
      <c r="M241" s="13"/>
      <c r="N241" s="13"/>
      <c r="O241" s="13"/>
      <c r="P241" s="13">
        <f t="shared" si="6"/>
        <v>0</v>
      </c>
    </row>
    <row r="242" spans="1:16" ht="34.9" customHeight="1" x14ac:dyDescent="0.25">
      <c r="A242" s="13">
        <v>241</v>
      </c>
      <c r="B242" s="196">
        <v>44992</v>
      </c>
      <c r="C242" s="13"/>
      <c r="D242" s="13"/>
      <c r="E242" s="13"/>
      <c r="F242" s="191"/>
      <c r="G242" s="13"/>
      <c r="H242" s="13"/>
      <c r="I242" s="13"/>
      <c r="J242" s="13"/>
      <c r="K242" s="13"/>
      <c r="L242" s="13"/>
      <c r="M242" s="13"/>
      <c r="N242" s="13"/>
      <c r="O242" s="13"/>
      <c r="P242" s="13">
        <f t="shared" si="6"/>
        <v>0</v>
      </c>
    </row>
    <row r="243" spans="1:16" ht="34.9" customHeight="1" x14ac:dyDescent="0.25">
      <c r="A243" s="13">
        <v>242</v>
      </c>
      <c r="B243" s="196">
        <v>44993</v>
      </c>
      <c r="C243" s="13"/>
      <c r="D243" s="13"/>
      <c r="E243" s="13"/>
      <c r="F243" s="191"/>
      <c r="G243" s="13"/>
      <c r="H243" s="13"/>
      <c r="I243" s="13"/>
      <c r="J243" s="13"/>
      <c r="K243" s="13"/>
      <c r="L243" s="13"/>
      <c r="M243" s="13"/>
      <c r="N243" s="13"/>
      <c r="O243" s="13"/>
      <c r="P243" s="13">
        <f t="shared" si="6"/>
        <v>0</v>
      </c>
    </row>
    <row r="244" spans="1:16" ht="34.9" customHeight="1" x14ac:dyDescent="0.25">
      <c r="A244" s="13">
        <v>243</v>
      </c>
      <c r="B244" s="196">
        <v>44994</v>
      </c>
      <c r="C244" s="13"/>
      <c r="D244" s="13"/>
      <c r="E244" s="13"/>
      <c r="F244" s="191"/>
      <c r="G244" s="13"/>
      <c r="H244" s="13"/>
      <c r="I244" s="13"/>
      <c r="J244" s="13"/>
      <c r="K244" s="13"/>
      <c r="L244" s="13"/>
      <c r="M244" s="13"/>
      <c r="N244" s="13"/>
      <c r="O244" s="13"/>
      <c r="P244" s="13">
        <f t="shared" si="6"/>
        <v>0</v>
      </c>
    </row>
    <row r="245" spans="1:16" ht="34.9" customHeight="1" x14ac:dyDescent="0.25">
      <c r="A245" s="13">
        <v>244</v>
      </c>
      <c r="B245" s="196">
        <v>44995</v>
      </c>
      <c r="C245" s="13"/>
      <c r="D245" s="13"/>
      <c r="E245" s="13"/>
      <c r="F245" s="191"/>
      <c r="G245" s="13"/>
      <c r="H245" s="13"/>
      <c r="I245" s="13"/>
      <c r="J245" s="13"/>
      <c r="K245" s="13"/>
      <c r="L245" s="13"/>
      <c r="M245" s="13"/>
      <c r="N245" s="13"/>
      <c r="O245" s="13"/>
      <c r="P245" s="13">
        <f t="shared" si="6"/>
        <v>0</v>
      </c>
    </row>
    <row r="246" spans="1:16" ht="34.9" customHeight="1" x14ac:dyDescent="0.25">
      <c r="A246" s="13">
        <v>245</v>
      </c>
      <c r="B246" s="196">
        <v>44996</v>
      </c>
      <c r="C246" s="13"/>
      <c r="D246" s="13"/>
      <c r="E246" s="13"/>
      <c r="F246" s="191"/>
      <c r="G246" s="13"/>
      <c r="H246" s="13"/>
      <c r="I246" s="13"/>
      <c r="J246" s="13"/>
      <c r="K246" s="13"/>
      <c r="L246" s="13"/>
      <c r="M246" s="13"/>
      <c r="N246" s="13"/>
      <c r="O246" s="13"/>
      <c r="P246" s="13">
        <f t="shared" si="6"/>
        <v>0</v>
      </c>
    </row>
    <row r="247" spans="1:16" ht="34.9" customHeight="1" x14ac:dyDescent="0.25">
      <c r="A247" s="13">
        <v>246</v>
      </c>
      <c r="B247" s="196">
        <v>44997</v>
      </c>
      <c r="C247" s="13"/>
      <c r="D247" s="13"/>
      <c r="E247" s="13"/>
      <c r="F247" s="191"/>
      <c r="G247" s="13"/>
      <c r="H247" s="13"/>
      <c r="I247" s="13"/>
      <c r="J247" s="13"/>
      <c r="K247" s="13"/>
      <c r="L247" s="13"/>
      <c r="M247" s="13"/>
      <c r="N247" s="13"/>
      <c r="O247" s="13"/>
      <c r="P247" s="13">
        <f t="shared" si="6"/>
        <v>0</v>
      </c>
    </row>
    <row r="248" spans="1:16" ht="34.9" customHeight="1" x14ac:dyDescent="0.25">
      <c r="A248" s="13">
        <v>247</v>
      </c>
      <c r="B248" s="196">
        <v>44998</v>
      </c>
      <c r="C248" s="13"/>
      <c r="D248" s="13"/>
      <c r="E248" s="13"/>
      <c r="F248" s="191"/>
      <c r="G248" s="13"/>
      <c r="H248" s="13"/>
      <c r="I248" s="13"/>
      <c r="J248" s="13"/>
      <c r="K248" s="13"/>
      <c r="L248" s="13"/>
      <c r="M248" s="13"/>
      <c r="N248" s="13"/>
      <c r="O248" s="13"/>
      <c r="P248" s="13">
        <f t="shared" si="6"/>
        <v>0</v>
      </c>
    </row>
    <row r="249" spans="1:16" ht="34.9" customHeight="1" x14ac:dyDescent="0.25">
      <c r="A249" s="13">
        <v>248</v>
      </c>
      <c r="B249" s="196">
        <v>44999</v>
      </c>
      <c r="C249" s="13"/>
      <c r="D249" s="13"/>
      <c r="E249" s="13"/>
      <c r="F249" s="191"/>
      <c r="G249" s="13"/>
      <c r="H249" s="13"/>
      <c r="I249" s="13"/>
      <c r="J249" s="13"/>
      <c r="K249" s="13"/>
      <c r="L249" s="13"/>
      <c r="M249" s="13"/>
      <c r="N249" s="13"/>
      <c r="O249" s="13"/>
      <c r="P249" s="13">
        <f t="shared" si="6"/>
        <v>0</v>
      </c>
    </row>
    <row r="250" spans="1:16" ht="34.9" customHeight="1" x14ac:dyDescent="0.25">
      <c r="A250" s="13">
        <v>249</v>
      </c>
      <c r="B250" s="196">
        <v>45000</v>
      </c>
      <c r="C250" s="13"/>
      <c r="D250" s="13"/>
      <c r="E250" s="13"/>
      <c r="F250" s="191"/>
      <c r="G250" s="13"/>
      <c r="H250" s="13"/>
      <c r="I250" s="13"/>
      <c r="J250" s="13"/>
      <c r="K250" s="13"/>
      <c r="L250" s="13"/>
      <c r="M250" s="13"/>
      <c r="N250" s="13"/>
      <c r="O250" s="13"/>
      <c r="P250" s="13">
        <f t="shared" si="6"/>
        <v>0</v>
      </c>
    </row>
    <row r="251" spans="1:16" ht="34.9" customHeight="1" x14ac:dyDescent="0.25">
      <c r="A251" s="13">
        <v>250</v>
      </c>
      <c r="B251" s="196">
        <v>45001</v>
      </c>
      <c r="C251" s="13"/>
      <c r="D251" s="13"/>
      <c r="E251" s="13"/>
      <c r="F251" s="191"/>
      <c r="G251" s="13"/>
      <c r="H251" s="13"/>
      <c r="I251" s="13"/>
      <c r="J251" s="13"/>
      <c r="K251" s="13"/>
      <c r="L251" s="13"/>
      <c r="M251" s="13"/>
      <c r="N251" s="13"/>
      <c r="O251" s="13"/>
      <c r="P251" s="13">
        <f t="shared" si="6"/>
        <v>0</v>
      </c>
    </row>
    <row r="252" spans="1:16" ht="34.9" customHeight="1" x14ac:dyDescent="0.25">
      <c r="A252" s="13">
        <v>251</v>
      </c>
      <c r="B252" s="196">
        <v>45002</v>
      </c>
      <c r="C252" s="13"/>
      <c r="D252" s="13"/>
      <c r="E252" s="13"/>
      <c r="F252" s="191"/>
      <c r="G252" s="13"/>
      <c r="H252" s="13"/>
      <c r="I252" s="13"/>
      <c r="J252" s="13"/>
      <c r="K252" s="13"/>
      <c r="L252" s="13"/>
      <c r="M252" s="13"/>
      <c r="N252" s="13"/>
      <c r="O252" s="13"/>
      <c r="P252" s="13">
        <f t="shared" si="6"/>
        <v>0</v>
      </c>
    </row>
    <row r="253" spans="1:16" ht="34.9" customHeight="1" x14ac:dyDescent="0.25">
      <c r="A253" s="13">
        <v>252</v>
      </c>
      <c r="B253" s="196">
        <v>45003</v>
      </c>
      <c r="C253" s="13"/>
      <c r="D253" s="13"/>
      <c r="E253" s="13"/>
      <c r="F253" s="191"/>
      <c r="G253" s="13"/>
      <c r="H253" s="13"/>
      <c r="I253" s="13"/>
      <c r="J253" s="13"/>
      <c r="K253" s="13"/>
      <c r="L253" s="13"/>
      <c r="M253" s="13"/>
      <c r="N253" s="13"/>
      <c r="O253" s="13"/>
      <c r="P253" s="13">
        <f t="shared" si="6"/>
        <v>0</v>
      </c>
    </row>
    <row r="254" spans="1:16" ht="34.9" customHeight="1" x14ac:dyDescent="0.25">
      <c r="A254" s="13">
        <v>253</v>
      </c>
      <c r="B254" s="196">
        <v>45004</v>
      </c>
      <c r="C254" s="13"/>
      <c r="D254" s="13"/>
      <c r="E254" s="13"/>
      <c r="F254" s="191"/>
      <c r="G254" s="13"/>
      <c r="H254" s="13"/>
      <c r="I254" s="13"/>
      <c r="J254" s="13"/>
      <c r="K254" s="13"/>
      <c r="L254" s="13"/>
      <c r="M254" s="13"/>
      <c r="N254" s="13"/>
      <c r="O254" s="13"/>
      <c r="P254" s="13">
        <f t="shared" si="6"/>
        <v>0</v>
      </c>
    </row>
    <row r="255" spans="1:16" ht="34.9" customHeight="1" x14ac:dyDescent="0.25">
      <c r="A255" s="13">
        <v>254</v>
      </c>
      <c r="B255" s="196">
        <v>45005</v>
      </c>
      <c r="C255" s="13"/>
      <c r="D255" s="13"/>
      <c r="E255" s="13"/>
      <c r="F255" s="191"/>
      <c r="G255" s="13"/>
      <c r="H255" s="13"/>
      <c r="I255" s="13"/>
      <c r="J255" s="13"/>
      <c r="K255" s="13"/>
      <c r="L255" s="13"/>
      <c r="M255" s="13"/>
      <c r="N255" s="13"/>
      <c r="O255" s="13"/>
      <c r="P255" s="13">
        <f t="shared" si="6"/>
        <v>0</v>
      </c>
    </row>
    <row r="256" spans="1:16" ht="34.9" customHeight="1" x14ac:dyDescent="0.25">
      <c r="A256" s="13">
        <v>255</v>
      </c>
      <c r="B256" s="196">
        <v>45006</v>
      </c>
      <c r="C256" s="13"/>
      <c r="D256" s="13"/>
      <c r="E256" s="13"/>
      <c r="F256" s="191"/>
      <c r="G256" s="13"/>
      <c r="H256" s="13"/>
      <c r="I256" s="13"/>
      <c r="J256" s="13"/>
      <c r="K256" s="13"/>
      <c r="L256" s="13"/>
      <c r="M256" s="13"/>
      <c r="N256" s="13"/>
      <c r="O256" s="13"/>
      <c r="P256" s="13">
        <f t="shared" si="6"/>
        <v>0</v>
      </c>
    </row>
    <row r="257" spans="1:16" ht="34.9" customHeight="1" x14ac:dyDescent="0.25">
      <c r="A257" s="13">
        <v>256</v>
      </c>
      <c r="B257" s="196">
        <v>45007</v>
      </c>
      <c r="C257" s="13"/>
      <c r="D257" s="13"/>
      <c r="E257" s="13"/>
      <c r="F257" s="191"/>
      <c r="G257" s="13"/>
      <c r="H257" s="13"/>
      <c r="I257" s="13"/>
      <c r="J257" s="13"/>
      <c r="K257" s="13"/>
      <c r="L257" s="13"/>
      <c r="M257" s="13"/>
      <c r="N257" s="13"/>
      <c r="O257" s="13"/>
      <c r="P257" s="13">
        <f t="shared" si="6"/>
        <v>0</v>
      </c>
    </row>
    <row r="258" spans="1:16" ht="34.9" customHeight="1" x14ac:dyDescent="0.25">
      <c r="A258" s="13">
        <v>257</v>
      </c>
      <c r="B258" s="196">
        <v>45008</v>
      </c>
      <c r="C258" s="13"/>
      <c r="D258" s="13"/>
      <c r="E258" s="13"/>
      <c r="F258" s="191"/>
      <c r="G258" s="13"/>
      <c r="H258" s="13"/>
      <c r="I258" s="13"/>
      <c r="J258" s="13"/>
      <c r="K258" s="13"/>
      <c r="L258" s="13"/>
      <c r="M258" s="13"/>
      <c r="N258" s="13"/>
      <c r="O258" s="13"/>
      <c r="P258" s="13">
        <f t="shared" si="6"/>
        <v>0</v>
      </c>
    </row>
    <row r="259" spans="1:16" ht="34.9" customHeight="1" x14ac:dyDescent="0.25">
      <c r="A259" s="13">
        <v>258</v>
      </c>
      <c r="B259" s="196">
        <v>45009</v>
      </c>
      <c r="C259" s="13"/>
      <c r="D259" s="13"/>
      <c r="E259" s="13"/>
      <c r="F259" s="191"/>
      <c r="G259" s="13"/>
      <c r="H259" s="13"/>
      <c r="I259" s="13"/>
      <c r="J259" s="13"/>
      <c r="K259" s="13"/>
      <c r="L259" s="13"/>
      <c r="M259" s="13"/>
      <c r="N259" s="13"/>
      <c r="O259" s="13"/>
      <c r="P259" s="13">
        <f t="shared" si="6"/>
        <v>0</v>
      </c>
    </row>
    <row r="260" spans="1:16" ht="34.9" customHeight="1" x14ac:dyDescent="0.25">
      <c r="A260" s="13">
        <v>259</v>
      </c>
      <c r="B260" s="196">
        <v>45010</v>
      </c>
      <c r="C260" s="13"/>
      <c r="D260" s="13"/>
      <c r="E260" s="13"/>
      <c r="F260" s="191"/>
      <c r="G260" s="13"/>
      <c r="H260" s="13"/>
      <c r="I260" s="13"/>
      <c r="J260" s="13"/>
      <c r="K260" s="13"/>
      <c r="L260" s="13"/>
      <c r="M260" s="13"/>
      <c r="N260" s="13"/>
      <c r="O260" s="13"/>
      <c r="P260" s="13">
        <f t="shared" si="6"/>
        <v>0</v>
      </c>
    </row>
    <row r="261" spans="1:16" ht="34.9" customHeight="1" x14ac:dyDescent="0.25">
      <c r="A261" s="13">
        <v>260</v>
      </c>
      <c r="B261" s="196">
        <v>45011</v>
      </c>
      <c r="C261" s="13"/>
      <c r="D261" s="13"/>
      <c r="E261" s="13"/>
      <c r="F261" s="191"/>
      <c r="G261" s="13"/>
      <c r="H261" s="13"/>
      <c r="I261" s="13"/>
      <c r="J261" s="13"/>
      <c r="K261" s="13"/>
      <c r="L261" s="13"/>
      <c r="M261" s="13"/>
      <c r="N261" s="13"/>
      <c r="O261" s="13"/>
      <c r="P261" s="13">
        <f t="shared" si="6"/>
        <v>0</v>
      </c>
    </row>
    <row r="262" spans="1:16" ht="34.9" customHeight="1" x14ac:dyDescent="0.25">
      <c r="A262" s="13">
        <v>261</v>
      </c>
      <c r="B262" s="196">
        <v>45012</v>
      </c>
      <c r="C262" s="13"/>
      <c r="D262" s="13"/>
      <c r="E262" s="13"/>
      <c r="F262" s="191"/>
      <c r="G262" s="13"/>
      <c r="H262" s="13"/>
      <c r="I262" s="13"/>
      <c r="J262" s="13"/>
      <c r="K262" s="13"/>
      <c r="L262" s="13"/>
      <c r="M262" s="13"/>
      <c r="N262" s="13"/>
      <c r="O262" s="13"/>
      <c r="P262" s="13">
        <f t="shared" si="6"/>
        <v>0</v>
      </c>
    </row>
    <row r="263" spans="1:16" ht="34.9" customHeight="1" x14ac:dyDescent="0.25">
      <c r="A263" s="13">
        <v>262</v>
      </c>
      <c r="B263" s="196">
        <v>45013</v>
      </c>
      <c r="C263" s="13"/>
      <c r="D263" s="13"/>
      <c r="E263" s="13"/>
      <c r="F263" s="191"/>
      <c r="G263" s="13"/>
      <c r="H263" s="13"/>
      <c r="I263" s="13"/>
      <c r="J263" s="13"/>
      <c r="K263" s="13"/>
      <c r="L263" s="13"/>
      <c r="M263" s="13"/>
      <c r="N263" s="13"/>
      <c r="O263" s="13"/>
      <c r="P263" s="13">
        <f t="shared" si="6"/>
        <v>0</v>
      </c>
    </row>
    <row r="264" spans="1:16" ht="34.9" customHeight="1" x14ac:dyDescent="0.25">
      <c r="A264" s="13">
        <v>263</v>
      </c>
      <c r="B264" s="196">
        <v>45014</v>
      </c>
      <c r="C264" s="13"/>
      <c r="D264" s="13"/>
      <c r="E264" s="13"/>
      <c r="F264" s="191"/>
      <c r="G264" s="13"/>
      <c r="H264" s="13"/>
      <c r="I264" s="13"/>
      <c r="J264" s="13"/>
      <c r="K264" s="13"/>
      <c r="L264" s="13"/>
      <c r="M264" s="13"/>
      <c r="N264" s="13"/>
      <c r="O264" s="13"/>
      <c r="P264" s="13">
        <f t="shared" si="6"/>
        <v>0</v>
      </c>
    </row>
    <row r="265" spans="1:16" ht="34.9" customHeight="1" x14ac:dyDescent="0.25">
      <c r="A265" s="13">
        <v>264</v>
      </c>
      <c r="B265" s="196">
        <v>45015</v>
      </c>
      <c r="C265" s="13"/>
      <c r="D265" s="13"/>
      <c r="E265" s="13"/>
      <c r="F265" s="191"/>
      <c r="G265" s="13"/>
      <c r="H265" s="13"/>
      <c r="I265" s="13"/>
      <c r="J265" s="13"/>
      <c r="K265" s="13"/>
      <c r="L265" s="13"/>
      <c r="M265" s="13"/>
      <c r="N265" s="13"/>
      <c r="O265" s="13"/>
      <c r="P265" s="13">
        <f t="shared" si="6"/>
        <v>0</v>
      </c>
    </row>
    <row r="266" spans="1:16" ht="34.9" customHeight="1" x14ac:dyDescent="0.25">
      <c r="A266" s="13">
        <v>265</v>
      </c>
      <c r="B266" s="196">
        <v>45016</v>
      </c>
      <c r="C266" s="13"/>
      <c r="D266" s="13"/>
      <c r="E266" s="13"/>
      <c r="F266" s="191"/>
      <c r="G266" s="13"/>
      <c r="H266" s="13"/>
      <c r="I266" s="13"/>
      <c r="J266" s="13"/>
      <c r="K266" s="13"/>
      <c r="L266" s="13"/>
      <c r="M266" s="13"/>
      <c r="N266" s="13"/>
      <c r="O266" s="13"/>
      <c r="P266" s="13">
        <f t="shared" si="6"/>
        <v>0</v>
      </c>
    </row>
    <row r="267" spans="1:16" ht="34.9" customHeight="1" x14ac:dyDescent="0.25">
      <c r="A267" s="13">
        <v>266</v>
      </c>
      <c r="B267" s="196">
        <v>45017</v>
      </c>
      <c r="C267" s="13"/>
      <c r="D267" s="13"/>
      <c r="E267" s="13"/>
      <c r="F267" s="191"/>
      <c r="G267" s="13"/>
      <c r="H267" s="13"/>
      <c r="I267" s="13"/>
      <c r="J267" s="13"/>
      <c r="K267" s="13"/>
      <c r="L267" s="13"/>
      <c r="M267" s="13"/>
      <c r="N267" s="13"/>
      <c r="O267" s="13"/>
      <c r="P267" s="13">
        <f t="shared" si="6"/>
        <v>0</v>
      </c>
    </row>
    <row r="268" spans="1:16" ht="34.9" customHeight="1" x14ac:dyDescent="0.25">
      <c r="A268" s="13">
        <v>267</v>
      </c>
      <c r="B268" s="196">
        <v>45018</v>
      </c>
      <c r="C268" s="13"/>
      <c r="D268" s="13"/>
      <c r="E268" s="13"/>
      <c r="F268" s="191"/>
      <c r="G268" s="13"/>
      <c r="H268" s="13"/>
      <c r="I268" s="13"/>
      <c r="J268" s="13"/>
      <c r="K268" s="13"/>
      <c r="L268" s="13"/>
      <c r="M268" s="13"/>
      <c r="N268" s="13"/>
      <c r="O268" s="13"/>
      <c r="P268" s="13">
        <f t="shared" si="6"/>
        <v>0</v>
      </c>
    </row>
    <row r="269" spans="1:16" ht="34.9" customHeight="1" x14ac:dyDescent="0.25">
      <c r="A269" s="13">
        <v>268</v>
      </c>
      <c r="B269" s="196">
        <v>45019</v>
      </c>
      <c r="C269" s="13"/>
      <c r="D269" s="13"/>
      <c r="E269" s="13"/>
      <c r="F269" s="191"/>
      <c r="G269" s="13"/>
      <c r="H269" s="13"/>
      <c r="I269" s="13"/>
      <c r="J269" s="13"/>
      <c r="K269" s="13"/>
      <c r="L269" s="13"/>
      <c r="M269" s="13"/>
      <c r="N269" s="13"/>
      <c r="O269" s="13"/>
      <c r="P269" s="13">
        <f t="shared" si="6"/>
        <v>0</v>
      </c>
    </row>
    <row r="270" spans="1:16" ht="34.9" customHeight="1" x14ac:dyDescent="0.25">
      <c r="A270" s="13">
        <v>269</v>
      </c>
      <c r="B270" s="196">
        <v>45020</v>
      </c>
      <c r="C270" s="13"/>
      <c r="D270" s="13"/>
      <c r="E270" s="13"/>
      <c r="F270" s="191"/>
      <c r="G270" s="13"/>
      <c r="H270" s="13"/>
      <c r="I270" s="13"/>
      <c r="J270" s="13"/>
      <c r="K270" s="13"/>
      <c r="L270" s="13"/>
      <c r="M270" s="13"/>
      <c r="N270" s="13"/>
      <c r="O270" s="13"/>
      <c r="P270" s="13">
        <f t="shared" si="6"/>
        <v>0</v>
      </c>
    </row>
    <row r="271" spans="1:16" ht="34.9" customHeight="1" x14ac:dyDescent="0.25">
      <c r="A271" s="13">
        <v>270</v>
      </c>
      <c r="B271" s="196">
        <v>45021</v>
      </c>
      <c r="C271" s="13"/>
      <c r="D271" s="13"/>
      <c r="E271" s="13"/>
      <c r="F271" s="191"/>
      <c r="G271" s="13"/>
      <c r="H271" s="13"/>
      <c r="I271" s="13"/>
      <c r="J271" s="13"/>
      <c r="K271" s="13"/>
      <c r="L271" s="13"/>
      <c r="M271" s="13"/>
      <c r="N271" s="13"/>
      <c r="O271" s="13"/>
      <c r="P271" s="13">
        <f t="shared" si="6"/>
        <v>0</v>
      </c>
    </row>
    <row r="272" spans="1:16" ht="34.9" customHeight="1" x14ac:dyDescent="0.25">
      <c r="A272" s="13">
        <v>271</v>
      </c>
      <c r="B272" s="196">
        <v>45022</v>
      </c>
      <c r="C272" s="13"/>
      <c r="D272" s="13"/>
      <c r="E272" s="13"/>
      <c r="F272" s="191"/>
      <c r="G272" s="13"/>
      <c r="H272" s="13"/>
      <c r="I272" s="13"/>
      <c r="J272" s="13"/>
      <c r="K272" s="13"/>
      <c r="L272" s="13"/>
      <c r="M272" s="13"/>
      <c r="N272" s="13"/>
      <c r="O272" s="13"/>
      <c r="P272" s="13">
        <f t="shared" si="6"/>
        <v>0</v>
      </c>
    </row>
    <row r="273" spans="1:16" ht="34.9" customHeight="1" x14ac:dyDescent="0.25">
      <c r="A273" s="13">
        <v>272</v>
      </c>
      <c r="B273" s="196">
        <v>45023</v>
      </c>
      <c r="C273" s="13"/>
      <c r="D273" s="13"/>
      <c r="E273" s="13"/>
      <c r="F273" s="191"/>
      <c r="G273" s="13"/>
      <c r="H273" s="13"/>
      <c r="I273" s="13"/>
      <c r="J273" s="13"/>
      <c r="K273" s="13"/>
      <c r="L273" s="13"/>
      <c r="M273" s="13"/>
      <c r="N273" s="13"/>
      <c r="O273" s="13"/>
      <c r="P273" s="13">
        <f t="shared" si="6"/>
        <v>0</v>
      </c>
    </row>
    <row r="274" spans="1:16" ht="34.9" customHeight="1" x14ac:dyDescent="0.25">
      <c r="A274" s="13">
        <v>273</v>
      </c>
      <c r="B274" s="196">
        <v>45024</v>
      </c>
      <c r="C274" s="13"/>
      <c r="D274" s="13"/>
      <c r="E274" s="13"/>
      <c r="F274" s="191"/>
      <c r="G274" s="13"/>
      <c r="H274" s="13"/>
      <c r="I274" s="13"/>
      <c r="J274" s="13"/>
      <c r="K274" s="13"/>
      <c r="L274" s="13"/>
      <c r="M274" s="13"/>
      <c r="N274" s="13"/>
      <c r="O274" s="13"/>
      <c r="P274" s="13">
        <f t="shared" si="6"/>
        <v>0</v>
      </c>
    </row>
    <row r="275" spans="1:16" ht="34.9" customHeight="1" x14ac:dyDescent="0.25">
      <c r="A275" s="13">
        <v>274</v>
      </c>
      <c r="B275" s="196">
        <v>45025</v>
      </c>
      <c r="C275" s="13"/>
      <c r="D275" s="13"/>
      <c r="E275" s="13"/>
      <c r="F275" s="191"/>
      <c r="G275" s="13"/>
      <c r="H275" s="13"/>
      <c r="I275" s="13"/>
      <c r="J275" s="13"/>
      <c r="K275" s="13"/>
      <c r="L275" s="13"/>
      <c r="M275" s="13"/>
      <c r="N275" s="13"/>
      <c r="O275" s="13"/>
      <c r="P275" s="13">
        <f t="shared" si="6"/>
        <v>0</v>
      </c>
    </row>
    <row r="276" spans="1:16" ht="34.9" customHeight="1" x14ac:dyDescent="0.25">
      <c r="A276" s="13">
        <v>275</v>
      </c>
      <c r="B276" s="196">
        <v>45026</v>
      </c>
      <c r="C276" s="13"/>
      <c r="D276" s="13"/>
      <c r="E276" s="13"/>
      <c r="F276" s="191"/>
      <c r="G276" s="13"/>
      <c r="H276" s="13"/>
      <c r="I276" s="13"/>
      <c r="J276" s="13"/>
      <c r="K276" s="13"/>
      <c r="L276" s="13"/>
      <c r="M276" s="13"/>
      <c r="N276" s="13"/>
      <c r="O276" s="13"/>
      <c r="P276" s="13">
        <f t="shared" si="6"/>
        <v>0</v>
      </c>
    </row>
    <row r="277" spans="1:16" ht="34.9" customHeight="1" x14ac:dyDescent="0.25">
      <c r="A277" s="13">
        <v>276</v>
      </c>
      <c r="B277" s="196">
        <v>45027</v>
      </c>
      <c r="C277" s="13"/>
      <c r="D277" s="13"/>
      <c r="E277" s="13"/>
      <c r="F277" s="191"/>
      <c r="G277" s="13"/>
      <c r="H277" s="13"/>
      <c r="I277" s="13"/>
      <c r="J277" s="13"/>
      <c r="K277" s="13"/>
      <c r="L277" s="13"/>
      <c r="M277" s="13"/>
      <c r="N277" s="13"/>
      <c r="O277" s="13"/>
      <c r="P277" s="13">
        <f t="shared" si="6"/>
        <v>0</v>
      </c>
    </row>
    <row r="278" spans="1:16" ht="34.9" customHeight="1" x14ac:dyDescent="0.25">
      <c r="A278" s="13">
        <v>277</v>
      </c>
      <c r="B278" s="196">
        <v>45028</v>
      </c>
      <c r="C278" s="13"/>
      <c r="D278" s="13"/>
      <c r="E278" s="13"/>
      <c r="F278" s="191"/>
      <c r="G278" s="13"/>
      <c r="H278" s="13"/>
      <c r="I278" s="13"/>
      <c r="J278" s="13"/>
      <c r="K278" s="13"/>
      <c r="L278" s="13"/>
      <c r="M278" s="13"/>
      <c r="N278" s="13"/>
      <c r="O278" s="13"/>
      <c r="P278" s="13">
        <f t="shared" si="6"/>
        <v>0</v>
      </c>
    </row>
    <row r="279" spans="1:16" ht="34.9" customHeight="1" x14ac:dyDescent="0.25">
      <c r="A279" s="13">
        <v>278</v>
      </c>
      <c r="B279" s="196">
        <v>45029</v>
      </c>
      <c r="C279" s="13"/>
      <c r="D279" s="13"/>
      <c r="E279" s="13"/>
      <c r="F279" s="191"/>
      <c r="G279" s="13"/>
      <c r="H279" s="13"/>
      <c r="I279" s="13"/>
      <c r="J279" s="13"/>
      <c r="K279" s="13"/>
      <c r="L279" s="13"/>
      <c r="M279" s="13"/>
      <c r="N279" s="13"/>
      <c r="O279" s="13"/>
      <c r="P279" s="13">
        <f t="shared" si="6"/>
        <v>0</v>
      </c>
    </row>
    <row r="280" spans="1:16" ht="34.9" customHeight="1" x14ac:dyDescent="0.25">
      <c r="A280" s="13">
        <v>279</v>
      </c>
      <c r="B280" s="196">
        <v>45030</v>
      </c>
      <c r="C280" s="13"/>
      <c r="D280" s="13"/>
      <c r="E280" s="13"/>
      <c r="F280" s="191"/>
      <c r="G280" s="13"/>
      <c r="H280" s="13"/>
      <c r="I280" s="13"/>
      <c r="J280" s="13"/>
      <c r="K280" s="13"/>
      <c r="L280" s="13"/>
      <c r="M280" s="13"/>
      <c r="N280" s="13"/>
      <c r="O280" s="13"/>
      <c r="P280" s="13">
        <f t="shared" si="6"/>
        <v>0</v>
      </c>
    </row>
    <row r="281" spans="1:16" ht="34.9" customHeight="1" x14ac:dyDescent="0.25">
      <c r="A281" s="13">
        <v>280</v>
      </c>
      <c r="B281" s="196">
        <v>45031</v>
      </c>
      <c r="C281" s="13"/>
      <c r="D281" s="13"/>
      <c r="E281" s="13"/>
      <c r="F281" s="191"/>
      <c r="G281" s="13"/>
      <c r="H281" s="13"/>
      <c r="I281" s="13"/>
      <c r="J281" s="13"/>
      <c r="K281" s="13"/>
      <c r="L281" s="13"/>
      <c r="M281" s="13"/>
      <c r="N281" s="13"/>
      <c r="O281" s="13"/>
      <c r="P281" s="13">
        <f t="shared" si="6"/>
        <v>0</v>
      </c>
    </row>
    <row r="282" spans="1:16" ht="34.9" customHeight="1" x14ac:dyDescent="0.25">
      <c r="A282" s="13">
        <v>281</v>
      </c>
      <c r="B282" s="196">
        <v>45032</v>
      </c>
      <c r="C282" s="13"/>
      <c r="D282" s="13"/>
      <c r="E282" s="13"/>
      <c r="F282" s="191"/>
      <c r="G282" s="13"/>
      <c r="H282" s="13"/>
      <c r="I282" s="13"/>
      <c r="J282" s="13"/>
      <c r="K282" s="13"/>
      <c r="L282" s="13"/>
      <c r="M282" s="13"/>
      <c r="N282" s="13"/>
      <c r="O282" s="13"/>
      <c r="P282" s="13">
        <f t="shared" si="6"/>
        <v>0</v>
      </c>
    </row>
    <row r="283" spans="1:16" ht="34.9" customHeight="1" x14ac:dyDescent="0.25">
      <c r="A283" s="13">
        <v>282</v>
      </c>
      <c r="B283" s="196">
        <v>45033</v>
      </c>
      <c r="C283" s="13"/>
      <c r="D283" s="13"/>
      <c r="E283" s="13"/>
      <c r="F283" s="191"/>
      <c r="G283" s="13"/>
      <c r="H283" s="13"/>
      <c r="I283" s="13"/>
      <c r="J283" s="13"/>
      <c r="K283" s="13"/>
      <c r="L283" s="13"/>
      <c r="M283" s="13"/>
      <c r="N283" s="13"/>
      <c r="O283" s="13"/>
      <c r="P283" s="13">
        <f t="shared" si="6"/>
        <v>0</v>
      </c>
    </row>
    <row r="284" spans="1:16" ht="34.9" customHeight="1" x14ac:dyDescent="0.25">
      <c r="A284" s="13">
        <v>283</v>
      </c>
      <c r="B284" s="196">
        <v>45034</v>
      </c>
      <c r="C284" s="13"/>
      <c r="D284" s="13"/>
      <c r="E284" s="13"/>
      <c r="F284" s="191"/>
      <c r="G284" s="13"/>
      <c r="H284" s="13"/>
      <c r="I284" s="13"/>
      <c r="J284" s="13"/>
      <c r="K284" s="13"/>
      <c r="L284" s="13"/>
      <c r="M284" s="13"/>
      <c r="N284" s="13"/>
      <c r="O284" s="13"/>
      <c r="P284" s="13">
        <f t="shared" si="6"/>
        <v>0</v>
      </c>
    </row>
    <row r="285" spans="1:16" ht="34.9" customHeight="1" x14ac:dyDescent="0.25">
      <c r="A285" s="13">
        <v>284</v>
      </c>
      <c r="B285" s="196">
        <v>45035</v>
      </c>
      <c r="C285" s="13"/>
      <c r="D285" s="13"/>
      <c r="E285" s="13"/>
      <c r="F285" s="191"/>
      <c r="G285" s="13"/>
      <c r="H285" s="13"/>
      <c r="I285" s="13"/>
      <c r="J285" s="13"/>
      <c r="K285" s="13"/>
      <c r="L285" s="13"/>
      <c r="M285" s="13"/>
      <c r="N285" s="13"/>
      <c r="O285" s="13"/>
      <c r="P285" s="13">
        <f t="shared" si="6"/>
        <v>0</v>
      </c>
    </row>
    <row r="286" spans="1:16" ht="34.9" customHeight="1" x14ac:dyDescent="0.25">
      <c r="A286" s="13">
        <v>285</v>
      </c>
      <c r="B286" s="196">
        <v>45036</v>
      </c>
      <c r="C286" s="13"/>
      <c r="D286" s="13"/>
      <c r="E286" s="13"/>
      <c r="F286" s="191"/>
      <c r="G286" s="13"/>
      <c r="H286" s="13"/>
      <c r="I286" s="13"/>
      <c r="J286" s="13"/>
      <c r="K286" s="13"/>
      <c r="L286" s="13"/>
      <c r="M286" s="13"/>
      <c r="N286" s="13"/>
      <c r="O286" s="13"/>
      <c r="P286" s="13">
        <f t="shared" si="6"/>
        <v>0</v>
      </c>
    </row>
    <row r="287" spans="1:16" ht="34.9" customHeight="1" x14ac:dyDescent="0.25">
      <c r="A287" s="13">
        <v>286</v>
      </c>
      <c r="B287" s="196">
        <v>45037</v>
      </c>
      <c r="C287" s="13"/>
      <c r="D287" s="13"/>
      <c r="E287" s="13"/>
      <c r="F287" s="191"/>
      <c r="G287" s="13"/>
      <c r="H287" s="13"/>
      <c r="I287" s="13"/>
      <c r="J287" s="13"/>
      <c r="K287" s="13"/>
      <c r="L287" s="13"/>
      <c r="M287" s="13"/>
      <c r="N287" s="13"/>
      <c r="O287" s="13"/>
      <c r="P287" s="13">
        <f t="shared" si="6"/>
        <v>0</v>
      </c>
    </row>
    <row r="288" spans="1:16" ht="34.9" customHeight="1" x14ac:dyDescent="0.25">
      <c r="A288" s="13">
        <v>287</v>
      </c>
      <c r="B288" s="196">
        <v>45038</v>
      </c>
      <c r="C288" s="13"/>
      <c r="D288" s="13"/>
      <c r="E288" s="13"/>
      <c r="F288" s="191"/>
      <c r="G288" s="13"/>
      <c r="H288" s="13"/>
      <c r="I288" s="13"/>
      <c r="J288" s="13"/>
      <c r="K288" s="13"/>
      <c r="L288" s="13"/>
      <c r="M288" s="13"/>
      <c r="N288" s="13"/>
      <c r="O288" s="13"/>
      <c r="P288" s="13">
        <f t="shared" si="6"/>
        <v>0</v>
      </c>
    </row>
    <row r="289" spans="1:16" ht="34.9" customHeight="1" x14ac:dyDescent="0.25">
      <c r="A289" s="13">
        <v>288</v>
      </c>
      <c r="B289" s="196">
        <v>45039</v>
      </c>
      <c r="C289" s="13"/>
      <c r="D289" s="13"/>
      <c r="E289" s="13"/>
      <c r="F289" s="191"/>
      <c r="G289" s="13"/>
      <c r="H289" s="13"/>
      <c r="I289" s="13"/>
      <c r="J289" s="13"/>
      <c r="K289" s="13"/>
      <c r="L289" s="13"/>
      <c r="M289" s="13"/>
      <c r="N289" s="13"/>
      <c r="O289" s="13"/>
      <c r="P289" s="13">
        <f t="shared" si="6"/>
        <v>0</v>
      </c>
    </row>
    <row r="290" spans="1:16" ht="34.9" customHeight="1" x14ac:dyDescent="0.25">
      <c r="A290" s="13">
        <v>289</v>
      </c>
      <c r="B290" s="196">
        <v>45040</v>
      </c>
      <c r="C290" s="13"/>
      <c r="D290" s="13"/>
      <c r="E290" s="13"/>
      <c r="F290" s="191"/>
      <c r="G290" s="13"/>
      <c r="H290" s="13"/>
      <c r="I290" s="13"/>
      <c r="J290" s="13"/>
      <c r="K290" s="13"/>
      <c r="L290" s="13"/>
      <c r="M290" s="13"/>
      <c r="N290" s="13"/>
      <c r="O290" s="13"/>
      <c r="P290" s="13">
        <f t="shared" si="6"/>
        <v>0</v>
      </c>
    </row>
    <row r="291" spans="1:16" ht="34.9" customHeight="1" x14ac:dyDescent="0.25">
      <c r="A291" s="13">
        <v>290</v>
      </c>
      <c r="B291" s="196">
        <v>45041</v>
      </c>
      <c r="C291" s="13"/>
      <c r="D291" s="13"/>
      <c r="E291" s="13"/>
      <c r="F291" s="191"/>
      <c r="G291" s="13"/>
      <c r="H291" s="13"/>
      <c r="I291" s="13"/>
      <c r="J291" s="13"/>
      <c r="K291" s="13"/>
      <c r="L291" s="13"/>
      <c r="M291" s="13"/>
      <c r="N291" s="13"/>
      <c r="O291" s="13"/>
      <c r="P291" s="13">
        <f t="shared" si="6"/>
        <v>0</v>
      </c>
    </row>
    <row r="292" spans="1:16" ht="34.9" customHeight="1" x14ac:dyDescent="0.25">
      <c r="A292" s="13">
        <v>291</v>
      </c>
      <c r="B292" s="196">
        <v>45042</v>
      </c>
      <c r="C292" s="13"/>
      <c r="D292" s="13"/>
      <c r="E292" s="13"/>
      <c r="F292" s="191"/>
      <c r="G292" s="13"/>
      <c r="H292" s="13"/>
      <c r="I292" s="13"/>
      <c r="J292" s="13"/>
      <c r="K292" s="13"/>
      <c r="L292" s="13"/>
      <c r="M292" s="13"/>
      <c r="N292" s="13"/>
      <c r="O292" s="13"/>
      <c r="P292" s="13">
        <f t="shared" si="6"/>
        <v>0</v>
      </c>
    </row>
    <row r="293" spans="1:16" ht="34.9" customHeight="1" x14ac:dyDescent="0.25">
      <c r="A293" s="13">
        <v>292</v>
      </c>
      <c r="B293" s="196">
        <v>45043</v>
      </c>
      <c r="C293" s="13"/>
      <c r="D293" s="13"/>
      <c r="E293" s="13"/>
      <c r="F293" s="191"/>
      <c r="G293" s="13"/>
      <c r="H293" s="13"/>
      <c r="I293" s="13"/>
      <c r="J293" s="13"/>
      <c r="K293" s="13"/>
      <c r="L293" s="13"/>
      <c r="M293" s="13"/>
      <c r="N293" s="13"/>
      <c r="O293" s="13"/>
      <c r="P293" s="13">
        <f t="shared" si="6"/>
        <v>0</v>
      </c>
    </row>
    <row r="294" spans="1:16" ht="34.9" customHeight="1" x14ac:dyDescent="0.25">
      <c r="A294" s="13">
        <v>293</v>
      </c>
      <c r="B294" s="196">
        <v>45044</v>
      </c>
      <c r="C294" s="13"/>
      <c r="D294" s="13"/>
      <c r="E294" s="13"/>
      <c r="F294" s="191"/>
      <c r="G294" s="13"/>
      <c r="H294" s="13"/>
      <c r="I294" s="13"/>
      <c r="J294" s="13"/>
      <c r="K294" s="13"/>
      <c r="L294" s="13"/>
      <c r="M294" s="13"/>
      <c r="N294" s="13"/>
      <c r="O294" s="13"/>
      <c r="P294" s="13">
        <f t="shared" si="6"/>
        <v>0</v>
      </c>
    </row>
    <row r="295" spans="1:16" ht="34.9" customHeight="1" x14ac:dyDescent="0.25">
      <c r="A295" s="13">
        <v>294</v>
      </c>
      <c r="B295" s="196">
        <v>45045</v>
      </c>
      <c r="C295" s="13"/>
      <c r="D295" s="13"/>
      <c r="E295" s="13"/>
      <c r="F295" s="191"/>
      <c r="G295" s="13"/>
      <c r="H295" s="13"/>
      <c r="I295" s="13"/>
      <c r="J295" s="13"/>
      <c r="K295" s="13"/>
      <c r="L295" s="13"/>
      <c r="M295" s="13"/>
      <c r="N295" s="13"/>
      <c r="O295" s="13"/>
      <c r="P295" s="13">
        <f t="shared" ref="P295:P328" si="7">SUM(H295:O295)+G295+E295</f>
        <v>0</v>
      </c>
    </row>
    <row r="296" spans="1:16" ht="34.9" customHeight="1" x14ac:dyDescent="0.25">
      <c r="A296" s="13">
        <v>295</v>
      </c>
      <c r="B296" s="196">
        <v>45046</v>
      </c>
      <c r="C296" s="13"/>
      <c r="D296" s="13"/>
      <c r="E296" s="13"/>
      <c r="F296" s="191"/>
      <c r="G296" s="13"/>
      <c r="H296" s="13"/>
      <c r="I296" s="13"/>
      <c r="J296" s="13"/>
      <c r="K296" s="13"/>
      <c r="L296" s="13"/>
      <c r="M296" s="13"/>
      <c r="N296" s="13"/>
      <c r="O296" s="13"/>
      <c r="P296" s="13">
        <f t="shared" si="7"/>
        <v>0</v>
      </c>
    </row>
    <row r="297" spans="1:16" ht="34.9" customHeight="1" x14ac:dyDescent="0.25">
      <c r="A297" s="13">
        <v>296</v>
      </c>
      <c r="B297" s="196">
        <v>45047</v>
      </c>
      <c r="C297" s="13"/>
      <c r="D297" s="13"/>
      <c r="E297" s="13"/>
      <c r="F297" s="191"/>
      <c r="G297" s="13"/>
      <c r="H297" s="13"/>
      <c r="I297" s="13"/>
      <c r="J297" s="13"/>
      <c r="K297" s="13"/>
      <c r="L297" s="13"/>
      <c r="M297" s="13"/>
      <c r="N297" s="13"/>
      <c r="O297" s="13"/>
      <c r="P297" s="13">
        <f t="shared" si="7"/>
        <v>0</v>
      </c>
    </row>
    <row r="298" spans="1:16" ht="34.9" customHeight="1" x14ac:dyDescent="0.25">
      <c r="A298" s="13">
        <v>297</v>
      </c>
      <c r="B298" s="196">
        <v>45048</v>
      </c>
      <c r="C298" s="13"/>
      <c r="D298" s="13"/>
      <c r="E298" s="13"/>
      <c r="F298" s="191"/>
      <c r="G298" s="13"/>
      <c r="H298" s="13"/>
      <c r="I298" s="13"/>
      <c r="J298" s="13"/>
      <c r="K298" s="13"/>
      <c r="L298" s="13"/>
      <c r="M298" s="13"/>
      <c r="N298" s="13"/>
      <c r="O298" s="13"/>
      <c r="P298" s="13">
        <f t="shared" si="7"/>
        <v>0</v>
      </c>
    </row>
    <row r="299" spans="1:16" ht="34.9" customHeight="1" x14ac:dyDescent="0.25">
      <c r="A299" s="13">
        <v>298</v>
      </c>
      <c r="B299" s="196">
        <v>45049</v>
      </c>
      <c r="C299" s="13"/>
      <c r="D299" s="13"/>
      <c r="E299" s="13"/>
      <c r="F299" s="191"/>
      <c r="G299" s="13"/>
      <c r="H299" s="13"/>
      <c r="I299" s="13"/>
      <c r="J299" s="13"/>
      <c r="K299" s="13"/>
      <c r="L299" s="13"/>
      <c r="M299" s="13"/>
      <c r="N299" s="13"/>
      <c r="O299" s="13"/>
      <c r="P299" s="13">
        <f t="shared" si="7"/>
        <v>0</v>
      </c>
    </row>
    <row r="300" spans="1:16" ht="34.9" customHeight="1" x14ac:dyDescent="0.25">
      <c r="A300" s="13">
        <v>299</v>
      </c>
      <c r="B300" s="196">
        <v>45050</v>
      </c>
      <c r="C300" s="13"/>
      <c r="D300" s="13"/>
      <c r="E300" s="13"/>
      <c r="F300" s="191"/>
      <c r="G300" s="13"/>
      <c r="H300" s="13"/>
      <c r="I300" s="13"/>
      <c r="J300" s="13"/>
      <c r="K300" s="13"/>
      <c r="L300" s="13"/>
      <c r="M300" s="13"/>
      <c r="N300" s="13"/>
      <c r="O300" s="13"/>
      <c r="P300" s="13">
        <f t="shared" si="7"/>
        <v>0</v>
      </c>
    </row>
    <row r="301" spans="1:16" ht="34.9" customHeight="1" x14ac:dyDescent="0.25">
      <c r="A301" s="13">
        <v>300</v>
      </c>
      <c r="B301" s="196">
        <v>45051</v>
      </c>
      <c r="C301" s="13"/>
      <c r="D301" s="13"/>
      <c r="E301" s="13"/>
      <c r="F301" s="191"/>
      <c r="G301" s="13"/>
      <c r="H301" s="13"/>
      <c r="I301" s="13"/>
      <c r="J301" s="13"/>
      <c r="K301" s="13"/>
      <c r="L301" s="13"/>
      <c r="M301" s="13"/>
      <c r="N301" s="13"/>
      <c r="O301" s="13"/>
      <c r="P301" s="13">
        <f t="shared" si="7"/>
        <v>0</v>
      </c>
    </row>
    <row r="302" spans="1:16" ht="34.9" customHeight="1" x14ac:dyDescent="0.25">
      <c r="A302" s="13">
        <v>301</v>
      </c>
      <c r="B302" s="196">
        <v>45052</v>
      </c>
      <c r="C302" s="13"/>
      <c r="D302" s="13"/>
      <c r="E302" s="13"/>
      <c r="F302" s="191"/>
      <c r="G302" s="13"/>
      <c r="H302" s="13"/>
      <c r="I302" s="13"/>
      <c r="J302" s="13"/>
      <c r="K302" s="13"/>
      <c r="L302" s="13"/>
      <c r="M302" s="13"/>
      <c r="N302" s="13"/>
      <c r="O302" s="13"/>
      <c r="P302" s="13">
        <f t="shared" si="7"/>
        <v>0</v>
      </c>
    </row>
    <row r="303" spans="1:16" ht="34.9" customHeight="1" x14ac:dyDescent="0.25">
      <c r="A303" s="13">
        <v>302</v>
      </c>
      <c r="B303" s="196">
        <v>45053</v>
      </c>
      <c r="C303" s="13"/>
      <c r="D303" s="13"/>
      <c r="E303" s="13"/>
      <c r="F303" s="191"/>
      <c r="G303" s="13"/>
      <c r="H303" s="13"/>
      <c r="I303" s="13"/>
      <c r="J303" s="13"/>
      <c r="K303" s="13"/>
      <c r="L303" s="13"/>
      <c r="M303" s="13"/>
      <c r="N303" s="13"/>
      <c r="O303" s="13"/>
      <c r="P303" s="13">
        <f t="shared" si="7"/>
        <v>0</v>
      </c>
    </row>
    <row r="304" spans="1:16" ht="34.9" customHeight="1" x14ac:dyDescent="0.25">
      <c r="A304" s="13">
        <v>303</v>
      </c>
      <c r="B304" s="196">
        <v>45054</v>
      </c>
      <c r="C304" s="13"/>
      <c r="D304" s="13"/>
      <c r="E304" s="13"/>
      <c r="F304" s="191"/>
      <c r="G304" s="13"/>
      <c r="H304" s="13"/>
      <c r="I304" s="13"/>
      <c r="J304" s="13"/>
      <c r="K304" s="13"/>
      <c r="L304" s="13"/>
      <c r="M304" s="13"/>
      <c r="N304" s="13"/>
      <c r="O304" s="13"/>
      <c r="P304" s="13">
        <f t="shared" si="7"/>
        <v>0</v>
      </c>
    </row>
    <row r="305" spans="1:16" ht="34.9" customHeight="1" x14ac:dyDescent="0.25">
      <c r="A305" s="13">
        <v>304</v>
      </c>
      <c r="B305" s="196">
        <v>45055</v>
      </c>
      <c r="C305" s="13"/>
      <c r="D305" s="13"/>
      <c r="E305" s="13"/>
      <c r="F305" s="191"/>
      <c r="G305" s="13"/>
      <c r="H305" s="13"/>
      <c r="I305" s="13"/>
      <c r="J305" s="13"/>
      <c r="K305" s="13"/>
      <c r="L305" s="13"/>
      <c r="M305" s="13"/>
      <c r="N305" s="13"/>
      <c r="O305" s="13"/>
      <c r="P305" s="13">
        <f t="shared" si="7"/>
        <v>0</v>
      </c>
    </row>
    <row r="306" spans="1:16" ht="34.9" customHeight="1" x14ac:dyDescent="0.25">
      <c r="A306" s="13">
        <v>305</v>
      </c>
      <c r="B306" s="196">
        <v>45056</v>
      </c>
      <c r="C306" s="13"/>
      <c r="D306" s="13"/>
      <c r="E306" s="13"/>
      <c r="F306" s="191"/>
      <c r="G306" s="13"/>
      <c r="H306" s="13"/>
      <c r="I306" s="13"/>
      <c r="J306" s="13"/>
      <c r="K306" s="13"/>
      <c r="L306" s="13"/>
      <c r="M306" s="13"/>
      <c r="N306" s="13"/>
      <c r="O306" s="13"/>
      <c r="P306" s="13">
        <f t="shared" si="7"/>
        <v>0</v>
      </c>
    </row>
    <row r="307" spans="1:16" ht="34.9" customHeight="1" x14ac:dyDescent="0.25">
      <c r="A307" s="13">
        <v>306</v>
      </c>
      <c r="B307" s="196">
        <v>45057</v>
      </c>
      <c r="C307" s="13"/>
      <c r="D307" s="13"/>
      <c r="E307" s="13"/>
      <c r="F307" s="191"/>
      <c r="G307" s="13"/>
      <c r="H307" s="13"/>
      <c r="I307" s="13"/>
      <c r="J307" s="13"/>
      <c r="K307" s="13"/>
      <c r="L307" s="13"/>
      <c r="M307" s="13"/>
      <c r="N307" s="13"/>
      <c r="O307" s="13"/>
      <c r="P307" s="13">
        <f t="shared" si="7"/>
        <v>0</v>
      </c>
    </row>
    <row r="308" spans="1:16" ht="34.9" customHeight="1" x14ac:dyDescent="0.25">
      <c r="A308" s="13">
        <v>307</v>
      </c>
      <c r="B308" s="196">
        <v>45058</v>
      </c>
      <c r="C308" s="13"/>
      <c r="D308" s="13"/>
      <c r="E308" s="13"/>
      <c r="F308" s="191"/>
      <c r="G308" s="13"/>
      <c r="H308" s="13"/>
      <c r="I308" s="13"/>
      <c r="J308" s="13"/>
      <c r="K308" s="13"/>
      <c r="L308" s="13"/>
      <c r="M308" s="13"/>
      <c r="N308" s="13"/>
      <c r="O308" s="13"/>
      <c r="P308" s="13">
        <f t="shared" si="7"/>
        <v>0</v>
      </c>
    </row>
    <row r="309" spans="1:16" ht="34.9" customHeight="1" x14ac:dyDescent="0.25">
      <c r="A309" s="13">
        <v>308</v>
      </c>
      <c r="B309" s="196">
        <v>45059</v>
      </c>
      <c r="C309" s="13"/>
      <c r="D309" s="13"/>
      <c r="E309" s="13"/>
      <c r="F309" s="191"/>
      <c r="G309" s="13"/>
      <c r="H309" s="13"/>
      <c r="I309" s="13"/>
      <c r="J309" s="13"/>
      <c r="K309" s="13"/>
      <c r="L309" s="13"/>
      <c r="M309" s="13"/>
      <c r="N309" s="13"/>
      <c r="O309" s="13"/>
      <c r="P309" s="13">
        <f t="shared" si="7"/>
        <v>0</v>
      </c>
    </row>
    <row r="310" spans="1:16" ht="34.9" customHeight="1" x14ac:dyDescent="0.25">
      <c r="A310" s="13">
        <v>309</v>
      </c>
      <c r="B310" s="196">
        <v>45060</v>
      </c>
      <c r="C310" s="13"/>
      <c r="D310" s="13"/>
      <c r="E310" s="13"/>
      <c r="F310" s="191"/>
      <c r="G310" s="13"/>
      <c r="H310" s="13"/>
      <c r="I310" s="13"/>
      <c r="J310" s="13"/>
      <c r="K310" s="13"/>
      <c r="L310" s="13"/>
      <c r="M310" s="13"/>
      <c r="N310" s="13"/>
      <c r="O310" s="13"/>
      <c r="P310" s="13">
        <f t="shared" si="7"/>
        <v>0</v>
      </c>
    </row>
    <row r="311" spans="1:16" ht="34.9" customHeight="1" x14ac:dyDescent="0.25">
      <c r="A311" s="13">
        <v>310</v>
      </c>
      <c r="B311" s="196">
        <v>45061</v>
      </c>
      <c r="C311" s="13"/>
      <c r="D311" s="13"/>
      <c r="E311" s="13"/>
      <c r="F311" s="191"/>
      <c r="G311" s="13"/>
      <c r="H311" s="13"/>
      <c r="I311" s="13"/>
      <c r="J311" s="13"/>
      <c r="K311" s="13"/>
      <c r="L311" s="13"/>
      <c r="M311" s="13"/>
      <c r="N311" s="13"/>
      <c r="O311" s="13"/>
      <c r="P311" s="13">
        <f t="shared" si="7"/>
        <v>0</v>
      </c>
    </row>
    <row r="312" spans="1:16" ht="34.9" customHeight="1" x14ac:dyDescent="0.25">
      <c r="A312" s="13">
        <v>311</v>
      </c>
      <c r="B312" s="196">
        <v>45062</v>
      </c>
      <c r="C312" s="13"/>
      <c r="D312" s="13"/>
      <c r="E312" s="13"/>
      <c r="F312" s="191"/>
      <c r="G312" s="13"/>
      <c r="H312" s="13"/>
      <c r="I312" s="13"/>
      <c r="J312" s="13"/>
      <c r="K312" s="13"/>
      <c r="L312" s="13"/>
      <c r="M312" s="13"/>
      <c r="N312" s="13"/>
      <c r="O312" s="13"/>
      <c r="P312" s="13">
        <f t="shared" si="7"/>
        <v>0</v>
      </c>
    </row>
    <row r="313" spans="1:16" ht="34.9" customHeight="1" x14ac:dyDescent="0.25">
      <c r="A313" s="13">
        <v>312</v>
      </c>
      <c r="B313" s="196">
        <v>45063</v>
      </c>
      <c r="C313" s="13"/>
      <c r="D313" s="13"/>
      <c r="E313" s="13"/>
      <c r="F313" s="191"/>
      <c r="G313" s="13"/>
      <c r="H313" s="13"/>
      <c r="I313" s="13"/>
      <c r="J313" s="13"/>
      <c r="K313" s="13"/>
      <c r="L313" s="13"/>
      <c r="M313" s="13"/>
      <c r="N313" s="13"/>
      <c r="O313" s="13"/>
      <c r="P313" s="13">
        <f t="shared" si="7"/>
        <v>0</v>
      </c>
    </row>
    <row r="314" spans="1:16" ht="34.9" customHeight="1" x14ac:dyDescent="0.25">
      <c r="A314" s="13">
        <v>313</v>
      </c>
      <c r="B314" s="196">
        <v>45064</v>
      </c>
      <c r="C314" s="13"/>
      <c r="D314" s="13"/>
      <c r="E314" s="13"/>
      <c r="F314" s="191"/>
      <c r="G314" s="13"/>
      <c r="H314" s="13"/>
      <c r="I314" s="13"/>
      <c r="J314" s="13"/>
      <c r="K314" s="13"/>
      <c r="L314" s="13"/>
      <c r="M314" s="13"/>
      <c r="N314" s="13"/>
      <c r="O314" s="13"/>
      <c r="P314" s="13">
        <f t="shared" si="7"/>
        <v>0</v>
      </c>
    </row>
    <row r="315" spans="1:16" ht="34.9" customHeight="1" x14ac:dyDescent="0.25">
      <c r="A315" s="13">
        <v>314</v>
      </c>
      <c r="B315" s="196">
        <v>45065</v>
      </c>
      <c r="C315" s="13"/>
      <c r="D315" s="13"/>
      <c r="E315" s="13"/>
      <c r="F315" s="191"/>
      <c r="G315" s="13"/>
      <c r="H315" s="13"/>
      <c r="I315" s="13"/>
      <c r="J315" s="13"/>
      <c r="K315" s="13"/>
      <c r="L315" s="13"/>
      <c r="M315" s="13"/>
      <c r="N315" s="13"/>
      <c r="O315" s="13"/>
      <c r="P315" s="13">
        <f t="shared" si="7"/>
        <v>0</v>
      </c>
    </row>
    <row r="316" spans="1:16" ht="34.9" customHeight="1" x14ac:dyDescent="0.25">
      <c r="A316" s="13">
        <v>315</v>
      </c>
      <c r="B316" s="196">
        <v>45066</v>
      </c>
      <c r="C316" s="13"/>
      <c r="D316" s="13"/>
      <c r="E316" s="13"/>
      <c r="F316" s="191"/>
      <c r="G316" s="13"/>
      <c r="H316" s="13"/>
      <c r="I316" s="13"/>
      <c r="J316" s="13"/>
      <c r="K316" s="13"/>
      <c r="L316" s="13"/>
      <c r="M316" s="13"/>
      <c r="N316" s="13"/>
      <c r="O316" s="13"/>
      <c r="P316" s="13">
        <f t="shared" si="7"/>
        <v>0</v>
      </c>
    </row>
    <row r="317" spans="1:16" ht="34.9" customHeight="1" x14ac:dyDescent="0.25">
      <c r="A317" s="13">
        <v>316</v>
      </c>
      <c r="B317" s="196">
        <v>45067</v>
      </c>
      <c r="C317" s="13"/>
      <c r="D317" s="13"/>
      <c r="E317" s="13"/>
      <c r="F317" s="191"/>
      <c r="G317" s="13"/>
      <c r="H317" s="13"/>
      <c r="I317" s="13"/>
      <c r="J317" s="13"/>
      <c r="K317" s="13"/>
      <c r="L317" s="13"/>
      <c r="M317" s="13"/>
      <c r="N317" s="13"/>
      <c r="O317" s="13"/>
      <c r="P317" s="13">
        <f t="shared" si="7"/>
        <v>0</v>
      </c>
    </row>
    <row r="318" spans="1:16" ht="34.9" customHeight="1" x14ac:dyDescent="0.25">
      <c r="A318" s="13">
        <v>317</v>
      </c>
      <c r="B318" s="196">
        <v>45068</v>
      </c>
      <c r="C318" s="13"/>
      <c r="D318" s="13"/>
      <c r="E318" s="13"/>
      <c r="F318" s="191"/>
      <c r="G318" s="13"/>
      <c r="H318" s="13"/>
      <c r="I318" s="13"/>
      <c r="J318" s="13"/>
      <c r="K318" s="13"/>
      <c r="L318" s="13"/>
      <c r="M318" s="13"/>
      <c r="N318" s="13"/>
      <c r="O318" s="13"/>
      <c r="P318" s="13">
        <f t="shared" si="7"/>
        <v>0</v>
      </c>
    </row>
    <row r="319" spans="1:16" ht="34.9" customHeight="1" x14ac:dyDescent="0.25">
      <c r="A319" s="13">
        <v>318</v>
      </c>
      <c r="B319" s="196">
        <v>45069</v>
      </c>
      <c r="C319" s="13"/>
      <c r="D319" s="13"/>
      <c r="E319" s="13"/>
      <c r="F319" s="191"/>
      <c r="G319" s="13"/>
      <c r="H319" s="13"/>
      <c r="I319" s="13"/>
      <c r="J319" s="13"/>
      <c r="K319" s="13"/>
      <c r="L319" s="13"/>
      <c r="M319" s="13"/>
      <c r="N319" s="13"/>
      <c r="O319" s="13"/>
      <c r="P319" s="13">
        <f t="shared" si="7"/>
        <v>0</v>
      </c>
    </row>
    <row r="320" spans="1:16" ht="34.9" customHeight="1" x14ac:dyDescent="0.25">
      <c r="A320" s="13">
        <v>319</v>
      </c>
      <c r="B320" s="196">
        <v>45070</v>
      </c>
      <c r="C320" s="13"/>
      <c r="D320" s="13"/>
      <c r="E320" s="13"/>
      <c r="F320" s="191"/>
      <c r="G320" s="13"/>
      <c r="H320" s="13"/>
      <c r="I320" s="13"/>
      <c r="J320" s="13"/>
      <c r="K320" s="13"/>
      <c r="L320" s="13"/>
      <c r="M320" s="13"/>
      <c r="N320" s="13"/>
      <c r="O320" s="13"/>
      <c r="P320" s="13">
        <f t="shared" si="7"/>
        <v>0</v>
      </c>
    </row>
    <row r="321" spans="1:16" ht="34.9" customHeight="1" x14ac:dyDescent="0.25">
      <c r="A321" s="13">
        <v>320</v>
      </c>
      <c r="B321" s="196">
        <v>45071</v>
      </c>
      <c r="C321" s="13"/>
      <c r="D321" s="13"/>
      <c r="E321" s="13"/>
      <c r="F321" s="191"/>
      <c r="G321" s="13"/>
      <c r="H321" s="13"/>
      <c r="I321" s="13"/>
      <c r="J321" s="13"/>
      <c r="K321" s="13"/>
      <c r="L321" s="13"/>
      <c r="M321" s="13"/>
      <c r="N321" s="13"/>
      <c r="O321" s="13"/>
      <c r="P321" s="13">
        <f t="shared" si="7"/>
        <v>0</v>
      </c>
    </row>
    <row r="322" spans="1:16" ht="34.9" customHeight="1" x14ac:dyDescent="0.25">
      <c r="A322" s="13">
        <v>321</v>
      </c>
      <c r="B322" s="196">
        <v>45072</v>
      </c>
      <c r="C322" s="13"/>
      <c r="D322" s="13"/>
      <c r="E322" s="13"/>
      <c r="F322" s="191"/>
      <c r="G322" s="13"/>
      <c r="H322" s="13"/>
      <c r="I322" s="13"/>
      <c r="J322" s="13"/>
      <c r="K322" s="13"/>
      <c r="L322" s="13"/>
      <c r="M322" s="13"/>
      <c r="N322" s="13"/>
      <c r="O322" s="13"/>
      <c r="P322" s="13">
        <f t="shared" si="7"/>
        <v>0</v>
      </c>
    </row>
    <row r="323" spans="1:16" ht="34.9" customHeight="1" x14ac:dyDescent="0.25">
      <c r="A323" s="13">
        <v>322</v>
      </c>
      <c r="B323" s="196">
        <v>45073</v>
      </c>
      <c r="C323" s="13"/>
      <c r="D323" s="13"/>
      <c r="E323" s="13"/>
      <c r="F323" s="191"/>
      <c r="G323" s="13"/>
      <c r="H323" s="13"/>
      <c r="I323" s="13"/>
      <c r="J323" s="13"/>
      <c r="K323" s="13"/>
      <c r="L323" s="13"/>
      <c r="M323" s="13"/>
      <c r="N323" s="13"/>
      <c r="O323" s="13"/>
      <c r="P323" s="13">
        <f t="shared" si="7"/>
        <v>0</v>
      </c>
    </row>
    <row r="324" spans="1:16" ht="34.9" customHeight="1" x14ac:dyDescent="0.25">
      <c r="A324" s="13">
        <v>323</v>
      </c>
      <c r="B324" s="196">
        <v>45074</v>
      </c>
      <c r="C324" s="13"/>
      <c r="D324" s="13"/>
      <c r="E324" s="13"/>
      <c r="F324" s="191"/>
      <c r="G324" s="13"/>
      <c r="H324" s="13"/>
      <c r="I324" s="13"/>
      <c r="J324" s="13"/>
      <c r="K324" s="13"/>
      <c r="L324" s="13"/>
      <c r="M324" s="13"/>
      <c r="N324" s="13"/>
      <c r="O324" s="13"/>
      <c r="P324" s="13">
        <f t="shared" si="7"/>
        <v>0</v>
      </c>
    </row>
    <row r="325" spans="1:16" ht="34.9" customHeight="1" x14ac:dyDescent="0.25">
      <c r="A325" s="13">
        <v>324</v>
      </c>
      <c r="B325" s="196">
        <v>45075</v>
      </c>
      <c r="C325" s="13"/>
      <c r="D325" s="13"/>
      <c r="E325" s="13"/>
      <c r="F325" s="191"/>
      <c r="G325" s="13"/>
      <c r="H325" s="13"/>
      <c r="I325" s="13"/>
      <c r="J325" s="13"/>
      <c r="K325" s="13"/>
      <c r="L325" s="13"/>
      <c r="M325" s="13"/>
      <c r="N325" s="13"/>
      <c r="O325" s="13"/>
      <c r="P325" s="13">
        <f t="shared" si="7"/>
        <v>0</v>
      </c>
    </row>
    <row r="326" spans="1:16" ht="34.9" customHeight="1" x14ac:dyDescent="0.25">
      <c r="A326" s="13">
        <v>325</v>
      </c>
      <c r="B326" s="196">
        <v>45076</v>
      </c>
      <c r="C326" s="13"/>
      <c r="D326" s="13"/>
      <c r="E326" s="13"/>
      <c r="F326" s="191"/>
      <c r="G326" s="13"/>
      <c r="H326" s="13"/>
      <c r="I326" s="13"/>
      <c r="J326" s="13"/>
      <c r="K326" s="13"/>
      <c r="L326" s="13"/>
      <c r="M326" s="13"/>
      <c r="N326" s="13"/>
      <c r="O326" s="13"/>
      <c r="P326" s="13">
        <f t="shared" si="7"/>
        <v>0</v>
      </c>
    </row>
    <row r="327" spans="1:16" ht="34.9" customHeight="1" x14ac:dyDescent="0.25">
      <c r="A327" s="13">
        <v>326</v>
      </c>
      <c r="B327" s="196">
        <v>45077</v>
      </c>
      <c r="C327" s="13"/>
      <c r="D327" s="13"/>
      <c r="E327" s="13"/>
      <c r="F327" s="191"/>
      <c r="G327" s="13"/>
      <c r="H327" s="13"/>
      <c r="I327" s="13"/>
      <c r="J327" s="13"/>
      <c r="K327" s="13"/>
      <c r="L327" s="13"/>
      <c r="M327" s="13"/>
      <c r="N327" s="13"/>
      <c r="O327" s="13"/>
      <c r="P327" s="13">
        <f t="shared" si="7"/>
        <v>0</v>
      </c>
    </row>
    <row r="328" spans="1:16" ht="34.9" customHeight="1" x14ac:dyDescent="0.25">
      <c r="A328" s="13">
        <v>327</v>
      </c>
      <c r="B328" s="196">
        <v>45078</v>
      </c>
      <c r="C328" s="13"/>
      <c r="D328" s="13"/>
      <c r="E328" s="13"/>
      <c r="F328" s="191"/>
      <c r="G328" s="13"/>
      <c r="H328" s="13"/>
      <c r="I328" s="13"/>
      <c r="J328" s="13"/>
      <c r="K328" s="13"/>
      <c r="L328" s="13"/>
      <c r="M328" s="13"/>
      <c r="N328" s="13"/>
      <c r="O328" s="13"/>
      <c r="P328" s="13">
        <f t="shared" si="7"/>
        <v>0</v>
      </c>
    </row>
    <row r="338" spans="7:13" x14ac:dyDescent="0.25">
      <c r="G338" s="533">
        <v>3</v>
      </c>
      <c r="H338" s="534"/>
      <c r="I338" s="534"/>
      <c r="J338" s="534"/>
      <c r="K338" s="534"/>
      <c r="L338" s="534"/>
      <c r="M338" s="535"/>
    </row>
    <row r="339" spans="7:13" x14ac:dyDescent="0.25">
      <c r="G339">
        <v>1</v>
      </c>
      <c r="H339">
        <v>2</v>
      </c>
      <c r="I339">
        <v>3</v>
      </c>
      <c r="J339">
        <v>4</v>
      </c>
      <c r="K339">
        <v>5</v>
      </c>
      <c r="L339">
        <v>6</v>
      </c>
      <c r="M339">
        <v>7</v>
      </c>
    </row>
    <row r="340" spans="7:13" x14ac:dyDescent="0.25">
      <c r="I340">
        <v>123</v>
      </c>
      <c r="J340">
        <v>124</v>
      </c>
      <c r="K340">
        <v>125</v>
      </c>
      <c r="L340">
        <v>126</v>
      </c>
      <c r="M340">
        <v>127</v>
      </c>
    </row>
    <row r="341" spans="7:13" x14ac:dyDescent="0.25">
      <c r="J341">
        <v>134</v>
      </c>
      <c r="K341">
        <v>135</v>
      </c>
      <c r="L341">
        <v>136</v>
      </c>
      <c r="M341">
        <v>137</v>
      </c>
    </row>
    <row r="342" spans="7:13" x14ac:dyDescent="0.25">
      <c r="K342">
        <v>145</v>
      </c>
      <c r="L342">
        <v>146</v>
      </c>
      <c r="M342">
        <v>147</v>
      </c>
    </row>
    <row r="343" spans="7:13" x14ac:dyDescent="0.25">
      <c r="L343">
        <v>156</v>
      </c>
      <c r="M343">
        <v>157</v>
      </c>
    </row>
    <row r="344" spans="7:13" x14ac:dyDescent="0.25">
      <c r="M344">
        <v>167</v>
      </c>
    </row>
    <row r="346" spans="7:13" x14ac:dyDescent="0.25">
      <c r="I346">
        <v>1</v>
      </c>
      <c r="J346">
        <v>2</v>
      </c>
      <c r="K346">
        <v>3</v>
      </c>
      <c r="L346">
        <v>4</v>
      </c>
      <c r="M346">
        <v>5</v>
      </c>
    </row>
    <row r="349" spans="7:13" x14ac:dyDescent="0.25">
      <c r="G349" s="533">
        <v>4</v>
      </c>
      <c r="H349" s="534"/>
      <c r="I349" s="534"/>
      <c r="J349" s="534"/>
      <c r="K349" s="534"/>
      <c r="L349" s="534"/>
      <c r="M349" s="535"/>
    </row>
    <row r="350" spans="7:13" x14ac:dyDescent="0.25">
      <c r="G350">
        <v>1</v>
      </c>
      <c r="H350">
        <v>2</v>
      </c>
      <c r="I350">
        <v>3</v>
      </c>
      <c r="J350">
        <v>4</v>
      </c>
      <c r="K350">
        <v>5</v>
      </c>
      <c r="L350">
        <v>6</v>
      </c>
      <c r="M350">
        <v>7</v>
      </c>
    </row>
    <row r="351" spans="7:13" x14ac:dyDescent="0.25">
      <c r="J351">
        <v>1234</v>
      </c>
      <c r="K351">
        <v>1235</v>
      </c>
      <c r="L351">
        <v>1236</v>
      </c>
      <c r="M351">
        <v>1237</v>
      </c>
    </row>
    <row r="352" spans="7:13" x14ac:dyDescent="0.25">
      <c r="K352">
        <v>1245</v>
      </c>
      <c r="L352">
        <v>1246</v>
      </c>
      <c r="M352">
        <v>1247</v>
      </c>
    </row>
    <row r="353" spans="10:13" x14ac:dyDescent="0.25">
      <c r="L353">
        <v>1256</v>
      </c>
      <c r="M353">
        <v>1257</v>
      </c>
    </row>
    <row r="354" spans="10:13" x14ac:dyDescent="0.25">
      <c r="M354">
        <v>1267</v>
      </c>
    </row>
    <row r="356" spans="10:13" x14ac:dyDescent="0.25">
      <c r="J356">
        <v>1</v>
      </c>
      <c r="K356">
        <v>2</v>
      </c>
      <c r="L356">
        <v>3</v>
      </c>
      <c r="M356">
        <v>4</v>
      </c>
    </row>
  </sheetData>
  <mergeCells count="5">
    <mergeCell ref="D1:E1"/>
    <mergeCell ref="F1:G1"/>
    <mergeCell ref="Q39:W39"/>
    <mergeCell ref="G338:M338"/>
    <mergeCell ref="G349:M349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0"/>
  <sheetViews>
    <sheetView workbookViewId="0">
      <selection activeCell="D20" sqref="D20"/>
    </sheetView>
  </sheetViews>
  <sheetFormatPr baseColWidth="10" defaultRowHeight="15" x14ac:dyDescent="0.25"/>
  <cols>
    <col min="2" max="2" width="45.140625" customWidth="1"/>
  </cols>
  <sheetData>
    <row r="2" spans="1:6" x14ac:dyDescent="0.25">
      <c r="B2" s="225" t="s">
        <v>256</v>
      </c>
      <c r="C2" s="225" t="s">
        <v>257</v>
      </c>
      <c r="D2" s="455" t="s">
        <v>467</v>
      </c>
      <c r="E2" s="455" t="s">
        <v>72</v>
      </c>
      <c r="F2" s="503">
        <f>SUM(E3:E132)</f>
        <v>2577.2399999999998</v>
      </c>
    </row>
    <row r="3" spans="1:6" x14ac:dyDescent="0.25">
      <c r="A3" t="s">
        <v>482</v>
      </c>
      <c r="B3" s="449" t="s">
        <v>499</v>
      </c>
      <c r="C3" s="449">
        <f>'DETALLE DE CREDITOS'!H112+'DETALLE DE CREDITOS'!H144+'DETALLE DE CREDITOS'!H160</f>
        <v>1167</v>
      </c>
      <c r="D3" s="238">
        <f>439.25+297</f>
        <v>736.25</v>
      </c>
      <c r="E3" s="427">
        <f t="shared" ref="E3:E13" si="0">C3-D3</f>
        <v>430.75</v>
      </c>
      <c r="F3" s="313"/>
    </row>
    <row r="4" spans="1:6" x14ac:dyDescent="0.25">
      <c r="B4" s="449" t="s">
        <v>316</v>
      </c>
      <c r="C4" s="449">
        <f>'DETALLE DE CREDITOS'!H240</f>
        <v>860</v>
      </c>
      <c r="D4" s="238">
        <v>710</v>
      </c>
      <c r="E4" s="427">
        <f>C4-D4</f>
        <v>150</v>
      </c>
    </row>
    <row r="5" spans="1:6" x14ac:dyDescent="0.25">
      <c r="A5" t="s">
        <v>481</v>
      </c>
      <c r="B5" s="449" t="s">
        <v>353</v>
      </c>
      <c r="C5" s="449">
        <f>'DETALLE DE CREDITOS'!H128+'DETALLE DE CREDITOS'!H176</f>
        <v>30</v>
      </c>
      <c r="D5" s="238"/>
      <c r="E5" s="427">
        <f t="shared" si="0"/>
        <v>30</v>
      </c>
    </row>
    <row r="6" spans="1:6" x14ac:dyDescent="0.25">
      <c r="A6" t="s">
        <v>481</v>
      </c>
      <c r="B6" s="449" t="s">
        <v>500</v>
      </c>
      <c r="C6" s="449">
        <f>'DETALLE DE CREDITOS'!H80+'DETALLE DE CREDITOS'!H96</f>
        <v>410</v>
      </c>
      <c r="D6" s="238"/>
      <c r="E6" s="427">
        <f t="shared" si="0"/>
        <v>410</v>
      </c>
    </row>
    <row r="7" spans="1:6" x14ac:dyDescent="0.25">
      <c r="A7" t="s">
        <v>481</v>
      </c>
      <c r="B7" s="449" t="s">
        <v>449</v>
      </c>
      <c r="C7" s="449">
        <f>'DETALLE DE CREDITOS'!H16+'DETALLE DE CREDITOS'!H208</f>
        <v>151</v>
      </c>
      <c r="D7" s="238"/>
      <c r="E7" s="427">
        <f t="shared" si="0"/>
        <v>151</v>
      </c>
    </row>
    <row r="8" spans="1:6" x14ac:dyDescent="0.25">
      <c r="A8" t="s">
        <v>481</v>
      </c>
      <c r="B8" s="13" t="s">
        <v>498</v>
      </c>
      <c r="C8" s="13">
        <f>'DETALLE DE CREDITOS'!H192</f>
        <v>276</v>
      </c>
      <c r="D8" s="238">
        <f>200+40</f>
        <v>240</v>
      </c>
      <c r="E8" s="427">
        <f t="shared" si="0"/>
        <v>36</v>
      </c>
    </row>
    <row r="9" spans="1:6" x14ac:dyDescent="0.25">
      <c r="A9" t="s">
        <v>481</v>
      </c>
      <c r="B9" s="13" t="s">
        <v>494</v>
      </c>
      <c r="C9" s="13">
        <f>'DETALLE DE CREDITOS'!H32+'DETALLE DE CREDITOS'!H224</f>
        <v>476</v>
      </c>
      <c r="D9" s="238"/>
      <c r="E9" s="427">
        <f t="shared" si="0"/>
        <v>476</v>
      </c>
    </row>
    <row r="10" spans="1:6" x14ac:dyDescent="0.25">
      <c r="B10" s="13" t="s">
        <v>511</v>
      </c>
      <c r="C10" s="13">
        <f>'DETALLE DE CREDITOS'!H256</f>
        <v>78</v>
      </c>
      <c r="D10" s="238"/>
      <c r="E10" s="427">
        <f t="shared" si="0"/>
        <v>78</v>
      </c>
    </row>
    <row r="11" spans="1:6" x14ac:dyDescent="0.25">
      <c r="B11" s="13" t="s">
        <v>522</v>
      </c>
      <c r="C11" s="13">
        <f>'DETALLE DE CREDITOS'!H272</f>
        <v>530</v>
      </c>
      <c r="D11" s="238">
        <v>90</v>
      </c>
      <c r="E11" s="427">
        <f t="shared" si="0"/>
        <v>440</v>
      </c>
      <c r="F11" t="s">
        <v>528</v>
      </c>
    </row>
    <row r="12" spans="1:6" x14ac:dyDescent="0.25">
      <c r="B12" s="13" t="s">
        <v>527</v>
      </c>
      <c r="C12" s="13">
        <f>'DETALLE DE CREDITOS'!H288</f>
        <v>30</v>
      </c>
      <c r="D12" s="238">
        <f>8.76+10.75+5</f>
        <v>24.509999999999998</v>
      </c>
      <c r="E12" s="427">
        <f t="shared" si="0"/>
        <v>5.490000000000002</v>
      </c>
      <c r="F12" t="s">
        <v>528</v>
      </c>
    </row>
    <row r="13" spans="1:6" x14ac:dyDescent="0.25">
      <c r="B13" s="13" t="s">
        <v>531</v>
      </c>
      <c r="C13" s="13">
        <f>'DETALLE DE CREDITOS'!H303</f>
        <v>715</v>
      </c>
      <c r="D13" s="238">
        <f>345</f>
        <v>345</v>
      </c>
      <c r="E13" s="427">
        <f t="shared" si="0"/>
        <v>370</v>
      </c>
      <c r="F13" t="s">
        <v>528</v>
      </c>
    </row>
    <row r="14" spans="1:6" x14ac:dyDescent="0.25">
      <c r="B14" s="13"/>
      <c r="C14" s="13"/>
      <c r="D14" s="238"/>
      <c r="E14" s="115"/>
    </row>
    <row r="15" spans="1:6" x14ac:dyDescent="0.25">
      <c r="B15" s="13"/>
      <c r="C15" s="13"/>
      <c r="D15" s="238"/>
      <c r="E15" s="115"/>
    </row>
    <row r="16" spans="1:6" x14ac:dyDescent="0.25">
      <c r="B16" s="13"/>
      <c r="C16" s="13"/>
      <c r="D16" s="238"/>
      <c r="E16" s="115"/>
    </row>
    <row r="17" spans="2:5" x14ac:dyDescent="0.25">
      <c r="B17" s="13"/>
      <c r="C17" s="13"/>
      <c r="D17" s="238"/>
      <c r="E17" s="115"/>
    </row>
    <row r="18" spans="2:5" x14ac:dyDescent="0.25">
      <c r="B18" s="13"/>
      <c r="C18" s="13"/>
      <c r="D18" s="450"/>
      <c r="E18" s="115"/>
    </row>
    <row r="19" spans="2:5" x14ac:dyDescent="0.25">
      <c r="B19" s="13"/>
      <c r="C19" s="13"/>
      <c r="D19" s="450"/>
      <c r="E19" s="115"/>
    </row>
    <row r="20" spans="2:5" x14ac:dyDescent="0.25">
      <c r="B20" s="13"/>
      <c r="C20" s="13"/>
      <c r="D20" s="450"/>
      <c r="E20" s="115"/>
    </row>
    <row r="21" spans="2:5" x14ac:dyDescent="0.25">
      <c r="B21" s="13"/>
      <c r="C21" s="13"/>
    </row>
    <row r="22" spans="2:5" x14ac:dyDescent="0.25">
      <c r="B22" s="13"/>
      <c r="C22" s="13"/>
    </row>
    <row r="23" spans="2:5" x14ac:dyDescent="0.25">
      <c r="B23" s="13"/>
      <c r="C23" s="13"/>
    </row>
    <row r="24" spans="2:5" x14ac:dyDescent="0.25">
      <c r="B24" s="13"/>
      <c r="C24" s="13"/>
    </row>
    <row r="25" spans="2:5" x14ac:dyDescent="0.25">
      <c r="B25" s="13"/>
      <c r="C25" s="13"/>
    </row>
    <row r="26" spans="2:5" x14ac:dyDescent="0.25">
      <c r="B26" s="13"/>
      <c r="C26" s="13"/>
    </row>
    <row r="27" spans="2:5" x14ac:dyDescent="0.25">
      <c r="B27" s="13"/>
      <c r="C27" s="13"/>
    </row>
    <row r="28" spans="2:5" x14ac:dyDescent="0.25">
      <c r="B28" s="13"/>
      <c r="C28" s="13"/>
    </row>
    <row r="29" spans="2:5" x14ac:dyDescent="0.25">
      <c r="B29" s="13"/>
      <c r="C29" s="13"/>
    </row>
    <row r="30" spans="2:5" x14ac:dyDescent="0.25">
      <c r="B30" s="13"/>
      <c r="C30" s="13"/>
    </row>
    <row r="31" spans="2:5" x14ac:dyDescent="0.25">
      <c r="B31" s="13"/>
      <c r="C31" s="13"/>
    </row>
    <row r="32" spans="2:5" x14ac:dyDescent="0.25">
      <c r="B32" s="13"/>
      <c r="C32" s="13"/>
    </row>
    <row r="33" spans="2:3" x14ac:dyDescent="0.25">
      <c r="B33" s="13"/>
      <c r="C33" s="13"/>
    </row>
    <row r="34" spans="2:3" x14ac:dyDescent="0.25">
      <c r="B34" s="13"/>
      <c r="C34" s="13"/>
    </row>
    <row r="35" spans="2:3" x14ac:dyDescent="0.25">
      <c r="B35" s="13"/>
      <c r="C35" s="13"/>
    </row>
    <row r="36" spans="2:3" x14ac:dyDescent="0.25">
      <c r="B36" s="13"/>
      <c r="C36" s="13"/>
    </row>
    <row r="37" spans="2:3" x14ac:dyDescent="0.25">
      <c r="B37" s="13"/>
      <c r="C37" s="13"/>
    </row>
    <row r="38" spans="2:3" x14ac:dyDescent="0.25">
      <c r="B38" s="13"/>
      <c r="C38" s="13"/>
    </row>
    <row r="39" spans="2:3" x14ac:dyDescent="0.25">
      <c r="B39" s="13"/>
      <c r="C39" s="13"/>
    </row>
    <row r="40" spans="2:3" x14ac:dyDescent="0.25">
      <c r="B40" s="13"/>
      <c r="C40" s="13"/>
    </row>
    <row r="41" spans="2:3" x14ac:dyDescent="0.25">
      <c r="B41" s="13"/>
      <c r="C41" s="13"/>
    </row>
    <row r="42" spans="2:3" x14ac:dyDescent="0.25">
      <c r="B42" s="13"/>
      <c r="C42" s="13"/>
    </row>
    <row r="43" spans="2:3" x14ac:dyDescent="0.25">
      <c r="B43" s="13"/>
      <c r="C43" s="13"/>
    </row>
    <row r="44" spans="2:3" x14ac:dyDescent="0.25">
      <c r="B44" s="13"/>
      <c r="C44" s="13"/>
    </row>
    <row r="45" spans="2:3" x14ac:dyDescent="0.25">
      <c r="B45" s="13"/>
      <c r="C45" s="13"/>
    </row>
    <row r="46" spans="2:3" x14ac:dyDescent="0.25">
      <c r="B46" s="13"/>
      <c r="C46" s="13"/>
    </row>
    <row r="47" spans="2:3" x14ac:dyDescent="0.25">
      <c r="B47" s="13"/>
      <c r="C47" s="13"/>
    </row>
    <row r="48" spans="2:3" x14ac:dyDescent="0.25">
      <c r="B48" s="13"/>
      <c r="C48" s="13"/>
    </row>
    <row r="49" spans="2:3" x14ac:dyDescent="0.25">
      <c r="B49" s="13"/>
      <c r="C49" s="13"/>
    </row>
    <row r="50" spans="2:3" x14ac:dyDescent="0.25">
      <c r="B50" s="13"/>
      <c r="C50" s="13"/>
    </row>
    <row r="51" spans="2:3" x14ac:dyDescent="0.25">
      <c r="B51" s="13"/>
      <c r="C51" s="13"/>
    </row>
    <row r="52" spans="2:3" x14ac:dyDescent="0.25">
      <c r="B52" s="13"/>
      <c r="C52" s="13"/>
    </row>
    <row r="53" spans="2:3" x14ac:dyDescent="0.25">
      <c r="B53" s="13"/>
      <c r="C53" s="13"/>
    </row>
    <row r="54" spans="2:3" x14ac:dyDescent="0.25">
      <c r="B54" s="13"/>
      <c r="C54" s="13"/>
    </row>
    <row r="55" spans="2:3" x14ac:dyDescent="0.25">
      <c r="B55" s="13"/>
      <c r="C55" s="13"/>
    </row>
    <row r="56" spans="2:3" x14ac:dyDescent="0.25">
      <c r="B56" s="13"/>
      <c r="C56" s="13"/>
    </row>
    <row r="57" spans="2:3" x14ac:dyDescent="0.25">
      <c r="B57" s="13"/>
      <c r="C57" s="13"/>
    </row>
    <row r="58" spans="2:3" x14ac:dyDescent="0.25">
      <c r="B58" s="13"/>
      <c r="C58" s="13"/>
    </row>
    <row r="59" spans="2:3" x14ac:dyDescent="0.25">
      <c r="B59" s="13"/>
      <c r="C59" s="13"/>
    </row>
    <row r="60" spans="2:3" x14ac:dyDescent="0.25">
      <c r="B60" s="13"/>
      <c r="C60" s="13"/>
    </row>
    <row r="61" spans="2:3" x14ac:dyDescent="0.25">
      <c r="B61" s="13"/>
      <c r="C61" s="13"/>
    </row>
    <row r="62" spans="2:3" x14ac:dyDescent="0.25">
      <c r="B62" s="13"/>
      <c r="C62" s="13"/>
    </row>
    <row r="63" spans="2:3" x14ac:dyDescent="0.25">
      <c r="B63" s="13"/>
      <c r="C63" s="13"/>
    </row>
    <row r="64" spans="2:3" x14ac:dyDescent="0.25">
      <c r="B64" s="13"/>
      <c r="C64" s="13"/>
    </row>
    <row r="65" spans="2:3" x14ac:dyDescent="0.25">
      <c r="B65" s="13"/>
      <c r="C65" s="13"/>
    </row>
    <row r="66" spans="2:3" x14ac:dyDescent="0.25">
      <c r="B66" s="13"/>
      <c r="C66" s="13"/>
    </row>
    <row r="67" spans="2:3" x14ac:dyDescent="0.25">
      <c r="B67" s="13"/>
      <c r="C67" s="13"/>
    </row>
    <row r="68" spans="2:3" x14ac:dyDescent="0.25">
      <c r="B68" s="13"/>
      <c r="C68" s="13"/>
    </row>
    <row r="69" spans="2:3" x14ac:dyDescent="0.25">
      <c r="B69" s="13"/>
      <c r="C69" s="13"/>
    </row>
    <row r="70" spans="2:3" x14ac:dyDescent="0.25">
      <c r="B70" s="13"/>
      <c r="C70" s="13"/>
    </row>
    <row r="71" spans="2:3" x14ac:dyDescent="0.25">
      <c r="B71" s="13"/>
      <c r="C71" s="13"/>
    </row>
    <row r="72" spans="2:3" x14ac:dyDescent="0.25">
      <c r="B72" s="13"/>
      <c r="C72" s="13"/>
    </row>
    <row r="73" spans="2:3" x14ac:dyDescent="0.25">
      <c r="B73" s="13"/>
      <c r="C73" s="13"/>
    </row>
    <row r="74" spans="2:3" x14ac:dyDescent="0.25">
      <c r="B74" s="13"/>
      <c r="C74" s="13"/>
    </row>
    <row r="75" spans="2:3" x14ac:dyDescent="0.25">
      <c r="B75" s="13"/>
      <c r="C75" s="13"/>
    </row>
    <row r="76" spans="2:3" x14ac:dyDescent="0.25">
      <c r="B76" s="13"/>
      <c r="C76" s="13"/>
    </row>
    <row r="77" spans="2:3" x14ac:dyDescent="0.25">
      <c r="B77" s="13"/>
      <c r="C77" s="13"/>
    </row>
    <row r="78" spans="2:3" x14ac:dyDescent="0.25">
      <c r="B78" s="13"/>
      <c r="C78" s="13"/>
    </row>
    <row r="79" spans="2:3" x14ac:dyDescent="0.25">
      <c r="B79" s="13"/>
      <c r="C79" s="13"/>
    </row>
    <row r="80" spans="2:3" x14ac:dyDescent="0.25">
      <c r="B80" s="13"/>
      <c r="C80" s="13"/>
    </row>
    <row r="81" spans="2:3" x14ac:dyDescent="0.25">
      <c r="B81" s="13"/>
      <c r="C81" s="13"/>
    </row>
    <row r="82" spans="2:3" x14ac:dyDescent="0.25">
      <c r="B82" s="13"/>
      <c r="C82" s="13"/>
    </row>
    <row r="83" spans="2:3" x14ac:dyDescent="0.25">
      <c r="B83" s="13"/>
      <c r="C83" s="13"/>
    </row>
    <row r="84" spans="2:3" x14ac:dyDescent="0.25">
      <c r="B84" s="13"/>
      <c r="C84" s="13"/>
    </row>
    <row r="85" spans="2:3" x14ac:dyDescent="0.25">
      <c r="B85" s="13"/>
      <c r="C85" s="13"/>
    </row>
    <row r="86" spans="2:3" x14ac:dyDescent="0.25">
      <c r="B86" s="13"/>
      <c r="C86" s="13"/>
    </row>
    <row r="87" spans="2:3" x14ac:dyDescent="0.25">
      <c r="B87" s="13"/>
      <c r="C87" s="13"/>
    </row>
    <row r="88" spans="2:3" x14ac:dyDescent="0.25">
      <c r="B88" s="13"/>
      <c r="C88" s="13"/>
    </row>
    <row r="89" spans="2:3" x14ac:dyDescent="0.25">
      <c r="B89" s="13"/>
      <c r="C89" s="13"/>
    </row>
    <row r="90" spans="2:3" x14ac:dyDescent="0.25">
      <c r="B90" s="13"/>
      <c r="C90" s="13"/>
    </row>
    <row r="91" spans="2:3" x14ac:dyDescent="0.25">
      <c r="B91" s="13"/>
      <c r="C91" s="13"/>
    </row>
    <row r="92" spans="2:3" x14ac:dyDescent="0.25">
      <c r="B92" s="13"/>
      <c r="C92" s="13"/>
    </row>
    <row r="93" spans="2:3" x14ac:dyDescent="0.25">
      <c r="B93" s="13"/>
      <c r="C93" s="13"/>
    </row>
    <row r="94" spans="2:3" x14ac:dyDescent="0.25">
      <c r="B94" s="13"/>
      <c r="C94" s="13"/>
    </row>
    <row r="95" spans="2:3" x14ac:dyDescent="0.25">
      <c r="B95" s="13"/>
      <c r="C95" s="13"/>
    </row>
    <row r="96" spans="2:3" x14ac:dyDescent="0.25">
      <c r="B96" s="13"/>
      <c r="C96" s="13"/>
    </row>
    <row r="97" spans="2:3" x14ac:dyDescent="0.25">
      <c r="B97" s="13"/>
      <c r="C97" s="13"/>
    </row>
    <row r="98" spans="2:3" x14ac:dyDescent="0.25">
      <c r="B98" s="13"/>
      <c r="C98" s="13"/>
    </row>
    <row r="99" spans="2:3" x14ac:dyDescent="0.25">
      <c r="B99" s="13"/>
      <c r="C99" s="13"/>
    </row>
    <row r="100" spans="2:3" x14ac:dyDescent="0.25">
      <c r="B100" s="13"/>
      <c r="C100" s="13"/>
    </row>
    <row r="101" spans="2:3" x14ac:dyDescent="0.25">
      <c r="B101" s="13"/>
      <c r="C101" s="13"/>
    </row>
    <row r="102" spans="2:3" x14ac:dyDescent="0.25">
      <c r="B102" s="13"/>
      <c r="C102" s="13"/>
    </row>
    <row r="103" spans="2:3" x14ac:dyDescent="0.25">
      <c r="B103" s="13"/>
      <c r="C103" s="13"/>
    </row>
    <row r="104" spans="2:3" x14ac:dyDescent="0.25">
      <c r="B104" s="13"/>
      <c r="C104" s="13"/>
    </row>
    <row r="105" spans="2:3" x14ac:dyDescent="0.25">
      <c r="B105" s="13"/>
      <c r="C105" s="13"/>
    </row>
    <row r="106" spans="2:3" x14ac:dyDescent="0.25">
      <c r="B106" s="13"/>
      <c r="C106" s="13"/>
    </row>
    <row r="107" spans="2:3" x14ac:dyDescent="0.25">
      <c r="B107" s="13"/>
      <c r="C107" s="13"/>
    </row>
    <row r="108" spans="2:3" x14ac:dyDescent="0.25">
      <c r="B108" s="13"/>
      <c r="C108" s="13"/>
    </row>
    <row r="109" spans="2:3" x14ac:dyDescent="0.25">
      <c r="B109" s="13"/>
      <c r="C109" s="13"/>
    </row>
    <row r="110" spans="2:3" x14ac:dyDescent="0.25">
      <c r="B110" s="13"/>
      <c r="C110" s="13"/>
    </row>
    <row r="111" spans="2:3" x14ac:dyDescent="0.25">
      <c r="B111" s="13"/>
      <c r="C111" s="13"/>
    </row>
    <row r="112" spans="2:3" x14ac:dyDescent="0.25">
      <c r="B112" s="13"/>
      <c r="C112" s="13"/>
    </row>
    <row r="113" spans="2:3" x14ac:dyDescent="0.25">
      <c r="B113" s="13"/>
      <c r="C113" s="13"/>
    </row>
    <row r="114" spans="2:3" x14ac:dyDescent="0.25">
      <c r="B114" s="13"/>
      <c r="C114" s="13"/>
    </row>
    <row r="115" spans="2:3" x14ac:dyDescent="0.25">
      <c r="B115" s="13"/>
      <c r="C115" s="13"/>
    </row>
    <row r="116" spans="2:3" x14ac:dyDescent="0.25">
      <c r="B116" s="13"/>
      <c r="C116" s="13"/>
    </row>
    <row r="117" spans="2:3" x14ac:dyDescent="0.25">
      <c r="B117" s="13"/>
      <c r="C117" s="13"/>
    </row>
    <row r="118" spans="2:3" x14ac:dyDescent="0.25">
      <c r="B118" s="13"/>
      <c r="C118" s="13"/>
    </row>
    <row r="119" spans="2:3" x14ac:dyDescent="0.25">
      <c r="B119" s="13"/>
      <c r="C119" s="13"/>
    </row>
    <row r="120" spans="2:3" x14ac:dyDescent="0.25">
      <c r="B120" s="13"/>
      <c r="C120" s="13"/>
    </row>
    <row r="121" spans="2:3" x14ac:dyDescent="0.25">
      <c r="B121" s="13"/>
      <c r="C121" s="13"/>
    </row>
    <row r="122" spans="2:3" x14ac:dyDescent="0.25">
      <c r="B122" s="13"/>
      <c r="C122" s="13"/>
    </row>
    <row r="123" spans="2:3" x14ac:dyDescent="0.25">
      <c r="B123" s="13"/>
      <c r="C123" s="13"/>
    </row>
    <row r="124" spans="2:3" x14ac:dyDescent="0.25">
      <c r="B124" s="13"/>
      <c r="C124" s="13"/>
    </row>
    <row r="125" spans="2:3" x14ac:dyDescent="0.25">
      <c r="B125" s="13"/>
      <c r="C125" s="13"/>
    </row>
    <row r="126" spans="2:3" x14ac:dyDescent="0.25">
      <c r="B126" s="13"/>
      <c r="C126" s="13"/>
    </row>
    <row r="127" spans="2:3" x14ac:dyDescent="0.25">
      <c r="B127" s="13"/>
      <c r="C127" s="13"/>
    </row>
    <row r="128" spans="2:3" x14ac:dyDescent="0.25">
      <c r="B128" s="13"/>
      <c r="C128" s="13"/>
    </row>
    <row r="129" spans="2:3" x14ac:dyDescent="0.25">
      <c r="B129" s="13"/>
      <c r="C129" s="13"/>
    </row>
    <row r="130" spans="2:3" x14ac:dyDescent="0.25">
      <c r="B130" s="13"/>
      <c r="C130" s="13"/>
    </row>
    <row r="131" spans="2:3" x14ac:dyDescent="0.25">
      <c r="B131" s="13"/>
      <c r="C131" s="13"/>
    </row>
    <row r="132" spans="2:3" x14ac:dyDescent="0.25">
      <c r="B132" s="13"/>
      <c r="C132" s="13"/>
    </row>
    <row r="133" spans="2:3" x14ac:dyDescent="0.25">
      <c r="B133" s="13"/>
      <c r="C133" s="13"/>
    </row>
    <row r="134" spans="2:3" x14ac:dyDescent="0.25">
      <c r="B134" s="13"/>
      <c r="C134" s="13"/>
    </row>
    <row r="135" spans="2:3" x14ac:dyDescent="0.25">
      <c r="B135" s="13"/>
      <c r="C135" s="13"/>
    </row>
    <row r="136" spans="2:3" x14ac:dyDescent="0.25">
      <c r="B136" s="13"/>
      <c r="C136" s="13"/>
    </row>
    <row r="137" spans="2:3" x14ac:dyDescent="0.25">
      <c r="B137" s="13"/>
      <c r="C137" s="13"/>
    </row>
    <row r="138" spans="2:3" x14ac:dyDescent="0.25">
      <c r="B138" s="13"/>
      <c r="C138" s="13"/>
    </row>
    <row r="139" spans="2:3" x14ac:dyDescent="0.25">
      <c r="B139" s="13"/>
      <c r="C139" s="13"/>
    </row>
    <row r="140" spans="2:3" x14ac:dyDescent="0.25">
      <c r="B140" s="13"/>
      <c r="C140" s="13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3"/>
  <sheetViews>
    <sheetView topLeftCell="A58" zoomScaleNormal="100" workbookViewId="0">
      <selection activeCell="A65" sqref="A65:XFD80"/>
    </sheetView>
  </sheetViews>
  <sheetFormatPr baseColWidth="10" defaultRowHeight="15" x14ac:dyDescent="0.25"/>
  <cols>
    <col min="8" max="8" width="13.140625" customWidth="1"/>
  </cols>
  <sheetData>
    <row r="2" spans="1:16" x14ac:dyDescent="0.25">
      <c r="A2" s="459"/>
      <c r="B2" s="460" t="s">
        <v>458</v>
      </c>
      <c r="C2" s="721" t="s">
        <v>462</v>
      </c>
      <c r="D2" s="721"/>
      <c r="E2" s="721"/>
      <c r="F2" s="721"/>
      <c r="G2" s="459"/>
      <c r="H2" s="459"/>
      <c r="J2" s="450" t="s">
        <v>458</v>
      </c>
      <c r="K2" s="542"/>
      <c r="L2" s="542"/>
      <c r="M2" s="542"/>
      <c r="N2" s="542"/>
    </row>
    <row r="3" spans="1:16" x14ac:dyDescent="0.25">
      <c r="A3" s="459"/>
      <c r="B3" s="460" t="s">
        <v>459</v>
      </c>
      <c r="C3" s="722">
        <v>44876</v>
      </c>
      <c r="D3" s="721"/>
      <c r="E3" s="721"/>
      <c r="F3" s="721"/>
      <c r="G3" s="459"/>
      <c r="H3" s="459"/>
      <c r="J3" s="450" t="s">
        <v>459</v>
      </c>
      <c r="K3" s="719"/>
      <c r="L3" s="542"/>
      <c r="M3" s="542"/>
      <c r="N3" s="542"/>
    </row>
    <row r="4" spans="1:16" x14ac:dyDescent="0.25">
      <c r="A4" s="459"/>
      <c r="B4" s="459"/>
      <c r="C4" s="459"/>
      <c r="D4" s="459"/>
      <c r="E4" s="459"/>
      <c r="F4" s="459"/>
      <c r="G4" s="459"/>
      <c r="H4" s="459"/>
    </row>
    <row r="5" spans="1:16" x14ac:dyDescent="0.25">
      <c r="A5" s="459"/>
      <c r="B5" s="461" t="s">
        <v>460</v>
      </c>
      <c r="C5" s="720" t="s">
        <v>2</v>
      </c>
      <c r="D5" s="720"/>
      <c r="E5" s="720"/>
      <c r="F5" s="720"/>
      <c r="G5" s="461" t="s">
        <v>461</v>
      </c>
      <c r="H5" s="461" t="s">
        <v>313</v>
      </c>
      <c r="J5" s="451" t="s">
        <v>460</v>
      </c>
      <c r="K5" s="532" t="s">
        <v>2</v>
      </c>
      <c r="L5" s="532"/>
      <c r="M5" s="532"/>
      <c r="N5" s="532"/>
      <c r="O5" s="451" t="s">
        <v>461</v>
      </c>
      <c r="P5" s="451" t="s">
        <v>313</v>
      </c>
    </row>
    <row r="6" spans="1:16" x14ac:dyDescent="0.25">
      <c r="A6" s="459"/>
      <c r="B6" s="461">
        <v>1</v>
      </c>
      <c r="C6" s="720" t="s">
        <v>463</v>
      </c>
      <c r="D6" s="720"/>
      <c r="E6" s="720"/>
      <c r="F6" s="720"/>
      <c r="G6" s="461">
        <v>106</v>
      </c>
      <c r="H6" s="461">
        <f>G6*B6</f>
        <v>106</v>
      </c>
      <c r="J6" s="451"/>
      <c r="K6" s="532"/>
      <c r="L6" s="532"/>
      <c r="M6" s="532"/>
      <c r="N6" s="532"/>
      <c r="O6" s="451"/>
      <c r="P6" s="451">
        <f>O6*J6</f>
        <v>0</v>
      </c>
    </row>
    <row r="7" spans="1:16" x14ac:dyDescent="0.25">
      <c r="A7" s="459"/>
      <c r="B7" s="461">
        <v>1</v>
      </c>
      <c r="C7" s="720" t="s">
        <v>464</v>
      </c>
      <c r="D7" s="720"/>
      <c r="E7" s="720"/>
      <c r="F7" s="720"/>
      <c r="G7" s="461">
        <v>15</v>
      </c>
      <c r="H7" s="461">
        <f t="shared" ref="H7:H15" si="0">G7*B7</f>
        <v>15</v>
      </c>
      <c r="J7" s="451"/>
      <c r="K7" s="532"/>
      <c r="L7" s="532"/>
      <c r="M7" s="532"/>
      <c r="N7" s="532"/>
      <c r="O7" s="451"/>
      <c r="P7" s="451">
        <f t="shared" ref="P7:P15" si="1">O7*J7</f>
        <v>0</v>
      </c>
    </row>
    <row r="8" spans="1:16" x14ac:dyDescent="0.25">
      <c r="A8" s="459"/>
      <c r="B8" s="461"/>
      <c r="C8" s="720"/>
      <c r="D8" s="720"/>
      <c r="E8" s="720"/>
      <c r="F8" s="720"/>
      <c r="G8" s="461"/>
      <c r="H8" s="461">
        <f t="shared" si="0"/>
        <v>0</v>
      </c>
      <c r="J8" s="451"/>
      <c r="K8" s="532"/>
      <c r="L8" s="532"/>
      <c r="M8" s="532"/>
      <c r="N8" s="532"/>
      <c r="O8" s="451"/>
      <c r="P8" s="451">
        <f t="shared" si="1"/>
        <v>0</v>
      </c>
    </row>
    <row r="9" spans="1:16" x14ac:dyDescent="0.25">
      <c r="A9" s="459"/>
      <c r="B9" s="461"/>
      <c r="C9" s="720"/>
      <c r="D9" s="720"/>
      <c r="E9" s="720"/>
      <c r="F9" s="720"/>
      <c r="G9" s="461"/>
      <c r="H9" s="461">
        <f t="shared" si="0"/>
        <v>0</v>
      </c>
      <c r="J9" s="451"/>
      <c r="K9" s="532"/>
      <c r="L9" s="532"/>
      <c r="M9" s="532"/>
      <c r="N9" s="532"/>
      <c r="O9" s="451"/>
      <c r="P9" s="451">
        <f t="shared" si="1"/>
        <v>0</v>
      </c>
    </row>
    <row r="10" spans="1:16" x14ac:dyDescent="0.25">
      <c r="A10" s="459"/>
      <c r="B10" s="461"/>
      <c r="C10" s="720"/>
      <c r="D10" s="720"/>
      <c r="E10" s="720"/>
      <c r="F10" s="720"/>
      <c r="G10" s="461"/>
      <c r="H10" s="461">
        <f t="shared" si="0"/>
        <v>0</v>
      </c>
      <c r="J10" s="451"/>
      <c r="K10" s="532"/>
      <c r="L10" s="532"/>
      <c r="M10" s="532"/>
      <c r="N10" s="532"/>
      <c r="O10" s="451"/>
      <c r="P10" s="451">
        <f t="shared" si="1"/>
        <v>0</v>
      </c>
    </row>
    <row r="11" spans="1:16" x14ac:dyDescent="0.25">
      <c r="A11" s="459"/>
      <c r="B11" s="461"/>
      <c r="C11" s="720"/>
      <c r="D11" s="720"/>
      <c r="E11" s="720"/>
      <c r="F11" s="720"/>
      <c r="G11" s="461"/>
      <c r="H11" s="461">
        <f t="shared" si="0"/>
        <v>0</v>
      </c>
      <c r="J11" s="451"/>
      <c r="K11" s="532"/>
      <c r="L11" s="532"/>
      <c r="M11" s="532"/>
      <c r="N11" s="532"/>
      <c r="O11" s="451"/>
      <c r="P11" s="451">
        <f t="shared" si="1"/>
        <v>0</v>
      </c>
    </row>
    <row r="12" spans="1:16" x14ac:dyDescent="0.25">
      <c r="A12" s="459"/>
      <c r="B12" s="461"/>
      <c r="C12" s="720"/>
      <c r="D12" s="720"/>
      <c r="E12" s="720"/>
      <c r="F12" s="720"/>
      <c r="G12" s="461"/>
      <c r="H12" s="461">
        <f t="shared" si="0"/>
        <v>0</v>
      </c>
      <c r="J12" s="451"/>
      <c r="K12" s="532"/>
      <c r="L12" s="532"/>
      <c r="M12" s="532"/>
      <c r="N12" s="532"/>
      <c r="O12" s="451"/>
      <c r="P12" s="451">
        <f t="shared" si="1"/>
        <v>0</v>
      </c>
    </row>
    <row r="13" spans="1:16" x14ac:dyDescent="0.25">
      <c r="A13" s="459"/>
      <c r="B13" s="461"/>
      <c r="C13" s="720"/>
      <c r="D13" s="720"/>
      <c r="E13" s="720"/>
      <c r="F13" s="720"/>
      <c r="G13" s="461"/>
      <c r="H13" s="461">
        <f t="shared" si="0"/>
        <v>0</v>
      </c>
      <c r="J13" s="451"/>
      <c r="K13" s="532"/>
      <c r="L13" s="532"/>
      <c r="M13" s="532"/>
      <c r="N13" s="532"/>
      <c r="O13" s="451"/>
      <c r="P13" s="451">
        <f t="shared" si="1"/>
        <v>0</v>
      </c>
    </row>
    <row r="14" spans="1:16" x14ac:dyDescent="0.25">
      <c r="A14" s="459"/>
      <c r="B14" s="461"/>
      <c r="C14" s="720"/>
      <c r="D14" s="720"/>
      <c r="E14" s="720"/>
      <c r="F14" s="720"/>
      <c r="G14" s="461"/>
      <c r="H14" s="461">
        <f t="shared" si="0"/>
        <v>0</v>
      </c>
      <c r="J14" s="451"/>
      <c r="K14" s="532"/>
      <c r="L14" s="532"/>
      <c r="M14" s="532"/>
      <c r="N14" s="532"/>
      <c r="O14" s="451"/>
      <c r="P14" s="451">
        <f t="shared" si="1"/>
        <v>0</v>
      </c>
    </row>
    <row r="15" spans="1:16" x14ac:dyDescent="0.25">
      <c r="A15" s="459"/>
      <c r="B15" s="461"/>
      <c r="C15" s="720"/>
      <c r="D15" s="720"/>
      <c r="E15" s="720"/>
      <c r="F15" s="720"/>
      <c r="G15" s="461"/>
      <c r="H15" s="461">
        <f t="shared" si="0"/>
        <v>0</v>
      </c>
      <c r="J15" s="451"/>
      <c r="K15" s="532"/>
      <c r="L15" s="532"/>
      <c r="M15" s="532"/>
      <c r="N15" s="532"/>
      <c r="O15" s="451"/>
      <c r="P15" s="451">
        <f t="shared" si="1"/>
        <v>0</v>
      </c>
    </row>
    <row r="16" spans="1:16" x14ac:dyDescent="0.25">
      <c r="A16" s="459"/>
      <c r="B16" s="462"/>
      <c r="C16" s="462"/>
      <c r="D16" s="462"/>
      <c r="E16" s="462"/>
      <c r="F16" s="462"/>
      <c r="G16" s="462"/>
      <c r="H16" s="461">
        <f>SUM(H6:H15)</f>
        <v>121</v>
      </c>
      <c r="J16" s="452"/>
      <c r="K16" s="452"/>
      <c r="L16" s="452"/>
      <c r="M16" s="452"/>
      <c r="N16" s="452"/>
      <c r="O16" s="452"/>
      <c r="P16" s="451">
        <f>SUM(P6:P15)</f>
        <v>0</v>
      </c>
    </row>
    <row r="18" spans="1:8" x14ac:dyDescent="0.25">
      <c r="A18" s="467"/>
      <c r="B18" s="468" t="s">
        <v>458</v>
      </c>
      <c r="C18" s="723" t="s">
        <v>495</v>
      </c>
      <c r="D18" s="723"/>
      <c r="E18" s="723"/>
      <c r="F18" s="723"/>
      <c r="G18" s="467"/>
      <c r="H18" s="467"/>
    </row>
    <row r="19" spans="1:8" x14ac:dyDescent="0.25">
      <c r="A19" s="467"/>
      <c r="B19" s="468" t="s">
        <v>459</v>
      </c>
      <c r="C19" s="724"/>
      <c r="D19" s="723"/>
      <c r="E19" s="723"/>
      <c r="F19" s="723"/>
      <c r="G19" s="467"/>
      <c r="H19" s="467"/>
    </row>
    <row r="20" spans="1:8" x14ac:dyDescent="0.25">
      <c r="A20" s="467"/>
      <c r="B20" s="467"/>
      <c r="C20" s="467"/>
      <c r="D20" s="467"/>
      <c r="E20" s="467"/>
      <c r="F20" s="467"/>
      <c r="G20" s="467"/>
      <c r="H20" s="467"/>
    </row>
    <row r="21" spans="1:8" x14ac:dyDescent="0.25">
      <c r="A21" s="467"/>
      <c r="B21" s="453" t="s">
        <v>460</v>
      </c>
      <c r="C21" s="704" t="s">
        <v>2</v>
      </c>
      <c r="D21" s="704"/>
      <c r="E21" s="704"/>
      <c r="F21" s="704"/>
      <c r="G21" s="453" t="s">
        <v>461</v>
      </c>
      <c r="H21" s="453" t="s">
        <v>313</v>
      </c>
    </row>
    <row r="22" spans="1:8" x14ac:dyDescent="0.25">
      <c r="A22" s="467"/>
      <c r="B22" s="453">
        <v>13</v>
      </c>
      <c r="C22" s="704" t="s">
        <v>466</v>
      </c>
      <c r="D22" s="704"/>
      <c r="E22" s="704"/>
      <c r="F22" s="704"/>
      <c r="G22" s="453">
        <v>34</v>
      </c>
      <c r="H22" s="453">
        <f>G22*B22</f>
        <v>442</v>
      </c>
    </row>
    <row r="23" spans="1:8" x14ac:dyDescent="0.25">
      <c r="A23" s="467"/>
      <c r="B23" s="453"/>
      <c r="C23" s="704"/>
      <c r="D23" s="704"/>
      <c r="E23" s="704"/>
      <c r="F23" s="704"/>
      <c r="G23" s="453"/>
      <c r="H23" s="453">
        <f t="shared" ref="H23:H31" si="2">G23*B23</f>
        <v>0</v>
      </c>
    </row>
    <row r="24" spans="1:8" x14ac:dyDescent="0.25">
      <c r="A24" s="467"/>
      <c r="B24" s="453"/>
      <c r="C24" s="704"/>
      <c r="D24" s="704"/>
      <c r="E24" s="704"/>
      <c r="F24" s="704"/>
      <c r="G24" s="453"/>
      <c r="H24" s="453">
        <f t="shared" si="2"/>
        <v>0</v>
      </c>
    </row>
    <row r="25" spans="1:8" x14ac:dyDescent="0.25">
      <c r="A25" s="467"/>
      <c r="B25" s="453"/>
      <c r="C25" s="704"/>
      <c r="D25" s="704"/>
      <c r="E25" s="704"/>
      <c r="F25" s="704"/>
      <c r="G25" s="453"/>
      <c r="H25" s="453">
        <f t="shared" si="2"/>
        <v>0</v>
      </c>
    </row>
    <row r="26" spans="1:8" x14ac:dyDescent="0.25">
      <c r="A26" s="467"/>
      <c r="B26" s="453"/>
      <c r="C26" s="704"/>
      <c r="D26" s="704"/>
      <c r="E26" s="704"/>
      <c r="F26" s="704"/>
      <c r="G26" s="453"/>
      <c r="H26" s="453">
        <f t="shared" si="2"/>
        <v>0</v>
      </c>
    </row>
    <row r="27" spans="1:8" x14ac:dyDescent="0.25">
      <c r="A27" s="467"/>
      <c r="B27" s="453"/>
      <c r="C27" s="704"/>
      <c r="D27" s="704"/>
      <c r="E27" s="704"/>
      <c r="F27" s="704"/>
      <c r="G27" s="453"/>
      <c r="H27" s="453">
        <f t="shared" si="2"/>
        <v>0</v>
      </c>
    </row>
    <row r="28" spans="1:8" x14ac:dyDescent="0.25">
      <c r="A28" s="467"/>
      <c r="B28" s="453"/>
      <c r="C28" s="704"/>
      <c r="D28" s="704"/>
      <c r="E28" s="704"/>
      <c r="F28" s="704"/>
      <c r="G28" s="453"/>
      <c r="H28" s="453">
        <f t="shared" si="2"/>
        <v>0</v>
      </c>
    </row>
    <row r="29" spans="1:8" x14ac:dyDescent="0.25">
      <c r="A29" s="467"/>
      <c r="B29" s="453"/>
      <c r="C29" s="704"/>
      <c r="D29" s="704"/>
      <c r="E29" s="704"/>
      <c r="F29" s="704"/>
      <c r="G29" s="453"/>
      <c r="H29" s="453">
        <f t="shared" si="2"/>
        <v>0</v>
      </c>
    </row>
    <row r="30" spans="1:8" x14ac:dyDescent="0.25">
      <c r="A30" s="467"/>
      <c r="B30" s="453"/>
      <c r="C30" s="704"/>
      <c r="D30" s="704"/>
      <c r="E30" s="704"/>
      <c r="F30" s="704"/>
      <c r="G30" s="453"/>
      <c r="H30" s="453">
        <f t="shared" si="2"/>
        <v>0</v>
      </c>
    </row>
    <row r="31" spans="1:8" x14ac:dyDescent="0.25">
      <c r="A31" s="467"/>
      <c r="B31" s="453"/>
      <c r="C31" s="704"/>
      <c r="D31" s="704"/>
      <c r="E31" s="704"/>
      <c r="F31" s="704"/>
      <c r="G31" s="453"/>
      <c r="H31" s="453">
        <f t="shared" si="2"/>
        <v>0</v>
      </c>
    </row>
    <row r="32" spans="1:8" x14ac:dyDescent="0.25">
      <c r="A32" s="467"/>
      <c r="B32" s="469"/>
      <c r="C32" s="469"/>
      <c r="D32" s="469"/>
      <c r="E32" s="469"/>
      <c r="F32" s="469"/>
      <c r="G32" s="469"/>
      <c r="H32" s="453">
        <f>SUM(H22:H31)</f>
        <v>442</v>
      </c>
    </row>
    <row r="34" spans="1:8" x14ac:dyDescent="0.25">
      <c r="A34" s="456"/>
      <c r="B34" s="454" t="s">
        <v>458</v>
      </c>
      <c r="C34" s="717" t="s">
        <v>469</v>
      </c>
      <c r="D34" s="717"/>
      <c r="E34" s="717"/>
      <c r="F34" s="717"/>
      <c r="G34" s="456"/>
      <c r="H34" s="456"/>
    </row>
    <row r="35" spans="1:8" x14ac:dyDescent="0.25">
      <c r="A35" s="456"/>
      <c r="B35" s="454" t="s">
        <v>459</v>
      </c>
      <c r="C35" s="718">
        <v>44830</v>
      </c>
      <c r="D35" s="717"/>
      <c r="E35" s="717"/>
      <c r="F35" s="717"/>
      <c r="G35" s="456"/>
      <c r="H35" s="456"/>
    </row>
    <row r="36" spans="1:8" x14ac:dyDescent="0.25">
      <c r="A36" s="456"/>
      <c r="B36" s="456"/>
      <c r="C36" s="456"/>
      <c r="D36" s="456"/>
      <c r="E36" s="456"/>
      <c r="F36" s="456"/>
      <c r="G36" s="456"/>
      <c r="H36" s="456"/>
    </row>
    <row r="37" spans="1:8" x14ac:dyDescent="0.25">
      <c r="A37" s="456"/>
      <c r="B37" s="457" t="s">
        <v>460</v>
      </c>
      <c r="C37" s="716" t="s">
        <v>2</v>
      </c>
      <c r="D37" s="716"/>
      <c r="E37" s="716"/>
      <c r="F37" s="716"/>
      <c r="G37" s="457" t="s">
        <v>461</v>
      </c>
      <c r="H37" s="457" t="s">
        <v>313</v>
      </c>
    </row>
    <row r="38" spans="1:8" x14ac:dyDescent="0.25">
      <c r="A38" s="456"/>
      <c r="B38" s="457">
        <v>1</v>
      </c>
      <c r="C38" s="716" t="s">
        <v>470</v>
      </c>
      <c r="D38" s="716"/>
      <c r="E38" s="716"/>
      <c r="F38" s="716"/>
      <c r="G38" s="457">
        <v>80</v>
      </c>
      <c r="H38" s="457">
        <f>G38*B38</f>
        <v>80</v>
      </c>
    </row>
    <row r="39" spans="1:8" x14ac:dyDescent="0.25">
      <c r="A39" s="456"/>
      <c r="B39" s="457"/>
      <c r="C39" s="716"/>
      <c r="D39" s="716"/>
      <c r="E39" s="716"/>
      <c r="F39" s="716"/>
      <c r="G39" s="457"/>
      <c r="H39" s="457">
        <f t="shared" ref="H39:H47" si="3">G39*B39</f>
        <v>0</v>
      </c>
    </row>
    <row r="40" spans="1:8" x14ac:dyDescent="0.25">
      <c r="A40" s="456"/>
      <c r="B40" s="457"/>
      <c r="C40" s="716"/>
      <c r="D40" s="716"/>
      <c r="E40" s="716"/>
      <c r="F40" s="716"/>
      <c r="G40" s="457"/>
      <c r="H40" s="457">
        <f t="shared" si="3"/>
        <v>0</v>
      </c>
    </row>
    <row r="41" spans="1:8" x14ac:dyDescent="0.25">
      <c r="A41" s="456"/>
      <c r="B41" s="457"/>
      <c r="C41" s="716"/>
      <c r="D41" s="716"/>
      <c r="E41" s="716"/>
      <c r="F41" s="716"/>
      <c r="G41" s="457"/>
      <c r="H41" s="457">
        <f t="shared" si="3"/>
        <v>0</v>
      </c>
    </row>
    <row r="42" spans="1:8" x14ac:dyDescent="0.25">
      <c r="A42" s="456"/>
      <c r="B42" s="457"/>
      <c r="C42" s="716"/>
      <c r="D42" s="716"/>
      <c r="E42" s="716"/>
      <c r="F42" s="716"/>
      <c r="G42" s="457"/>
      <c r="H42" s="457">
        <f t="shared" si="3"/>
        <v>0</v>
      </c>
    </row>
    <row r="43" spans="1:8" x14ac:dyDescent="0.25">
      <c r="A43" s="456"/>
      <c r="B43" s="457"/>
      <c r="C43" s="716"/>
      <c r="D43" s="716"/>
      <c r="E43" s="716"/>
      <c r="F43" s="716"/>
      <c r="G43" s="457"/>
      <c r="H43" s="457">
        <f t="shared" si="3"/>
        <v>0</v>
      </c>
    </row>
    <row r="44" spans="1:8" x14ac:dyDescent="0.25">
      <c r="A44" s="456"/>
      <c r="B44" s="457"/>
      <c r="C44" s="716"/>
      <c r="D44" s="716"/>
      <c r="E44" s="716"/>
      <c r="F44" s="716"/>
      <c r="G44" s="457"/>
      <c r="H44" s="457">
        <f t="shared" si="3"/>
        <v>0</v>
      </c>
    </row>
    <row r="45" spans="1:8" x14ac:dyDescent="0.25">
      <c r="A45" s="456"/>
      <c r="B45" s="457"/>
      <c r="C45" s="716"/>
      <c r="D45" s="716"/>
      <c r="E45" s="716"/>
      <c r="F45" s="716"/>
      <c r="G45" s="457"/>
      <c r="H45" s="457">
        <f t="shared" si="3"/>
        <v>0</v>
      </c>
    </row>
    <row r="46" spans="1:8" x14ac:dyDescent="0.25">
      <c r="A46" s="456"/>
      <c r="B46" s="457"/>
      <c r="C46" s="716"/>
      <c r="D46" s="716"/>
      <c r="E46" s="716"/>
      <c r="F46" s="716"/>
      <c r="G46" s="457"/>
      <c r="H46" s="457">
        <f t="shared" si="3"/>
        <v>0</v>
      </c>
    </row>
    <row r="47" spans="1:8" x14ac:dyDescent="0.25">
      <c r="A47" s="456"/>
      <c r="B47" s="457"/>
      <c r="C47" s="716"/>
      <c r="D47" s="716"/>
      <c r="E47" s="716"/>
      <c r="F47" s="716"/>
      <c r="G47" s="457"/>
      <c r="H47" s="457">
        <f t="shared" si="3"/>
        <v>0</v>
      </c>
    </row>
    <row r="48" spans="1:8" x14ac:dyDescent="0.25">
      <c r="A48" s="456"/>
      <c r="B48" s="458"/>
      <c r="C48" s="458"/>
      <c r="D48" s="458"/>
      <c r="E48" s="458"/>
      <c r="F48" s="458"/>
      <c r="G48" s="458"/>
      <c r="H48" s="457">
        <f>SUM(H38:H47)</f>
        <v>80</v>
      </c>
    </row>
    <row r="50" spans="1:8" x14ac:dyDescent="0.25">
      <c r="A50" s="456"/>
      <c r="B50" s="454" t="s">
        <v>458</v>
      </c>
      <c r="C50" s="717" t="s">
        <v>434</v>
      </c>
      <c r="D50" s="717"/>
      <c r="E50" s="717"/>
      <c r="F50" s="717"/>
      <c r="G50" s="456"/>
      <c r="H50" s="456"/>
    </row>
    <row r="51" spans="1:8" x14ac:dyDescent="0.25">
      <c r="A51" s="456"/>
      <c r="B51" s="454" t="s">
        <v>459</v>
      </c>
      <c r="C51" s="718">
        <v>44855</v>
      </c>
      <c r="D51" s="717"/>
      <c r="E51" s="717"/>
      <c r="F51" s="717"/>
      <c r="G51" s="456"/>
      <c r="H51" s="456"/>
    </row>
    <row r="52" spans="1:8" x14ac:dyDescent="0.25">
      <c r="A52" s="456"/>
      <c r="B52" s="456"/>
      <c r="C52" s="456"/>
      <c r="D52" s="456"/>
      <c r="E52" s="456"/>
      <c r="F52" s="456"/>
      <c r="G52" s="456"/>
      <c r="H52" s="456"/>
    </row>
    <row r="53" spans="1:8" x14ac:dyDescent="0.25">
      <c r="A53" s="456"/>
      <c r="B53" s="457" t="s">
        <v>460</v>
      </c>
      <c r="C53" s="716" t="s">
        <v>2</v>
      </c>
      <c r="D53" s="716"/>
      <c r="E53" s="716"/>
      <c r="F53" s="716"/>
      <c r="G53" s="457" t="s">
        <v>461</v>
      </c>
      <c r="H53" s="457" t="s">
        <v>313</v>
      </c>
    </row>
    <row r="54" spans="1:8" x14ac:dyDescent="0.25">
      <c r="A54" s="456"/>
      <c r="B54" s="457">
        <v>1</v>
      </c>
      <c r="C54" s="716" t="s">
        <v>474</v>
      </c>
      <c r="D54" s="716"/>
      <c r="E54" s="716"/>
      <c r="F54" s="716"/>
      <c r="G54" s="457">
        <v>9</v>
      </c>
      <c r="H54" s="457">
        <f>G54*B54</f>
        <v>9</v>
      </c>
    </row>
    <row r="55" spans="1:8" x14ac:dyDescent="0.25">
      <c r="A55" s="456"/>
      <c r="B55" s="457"/>
      <c r="C55" s="716"/>
      <c r="D55" s="716"/>
      <c r="E55" s="716"/>
      <c r="F55" s="716"/>
      <c r="G55" s="457"/>
      <c r="H55" s="457">
        <f t="shared" ref="H55:H63" si="4">G55*B55</f>
        <v>0</v>
      </c>
    </row>
    <row r="56" spans="1:8" x14ac:dyDescent="0.25">
      <c r="A56" s="456"/>
      <c r="B56" s="457"/>
      <c r="C56" s="716"/>
      <c r="D56" s="716"/>
      <c r="E56" s="716"/>
      <c r="F56" s="716"/>
      <c r="G56" s="457"/>
      <c r="H56" s="457">
        <f t="shared" si="4"/>
        <v>0</v>
      </c>
    </row>
    <row r="57" spans="1:8" x14ac:dyDescent="0.25">
      <c r="A57" s="456"/>
      <c r="B57" s="457"/>
      <c r="C57" s="716"/>
      <c r="D57" s="716"/>
      <c r="E57" s="716"/>
      <c r="F57" s="716"/>
      <c r="G57" s="457"/>
      <c r="H57" s="457">
        <f t="shared" si="4"/>
        <v>0</v>
      </c>
    </row>
    <row r="58" spans="1:8" x14ac:dyDescent="0.25">
      <c r="A58" s="456"/>
      <c r="B58" s="457"/>
      <c r="C58" s="716"/>
      <c r="D58" s="716"/>
      <c r="E58" s="716"/>
      <c r="F58" s="716"/>
      <c r="G58" s="457"/>
      <c r="H58" s="457">
        <f t="shared" si="4"/>
        <v>0</v>
      </c>
    </row>
    <row r="59" spans="1:8" x14ac:dyDescent="0.25">
      <c r="A59" s="456"/>
      <c r="B59" s="457"/>
      <c r="C59" s="716"/>
      <c r="D59" s="716"/>
      <c r="E59" s="716"/>
      <c r="F59" s="716"/>
      <c r="G59" s="457"/>
      <c r="H59" s="457">
        <f t="shared" si="4"/>
        <v>0</v>
      </c>
    </row>
    <row r="60" spans="1:8" x14ac:dyDescent="0.25">
      <c r="A60" s="456"/>
      <c r="B60" s="457"/>
      <c r="C60" s="716"/>
      <c r="D60" s="716"/>
      <c r="E60" s="716"/>
      <c r="F60" s="716"/>
      <c r="G60" s="457"/>
      <c r="H60" s="457">
        <f t="shared" si="4"/>
        <v>0</v>
      </c>
    </row>
    <row r="61" spans="1:8" x14ac:dyDescent="0.25">
      <c r="A61" s="456"/>
      <c r="B61" s="457"/>
      <c r="C61" s="716"/>
      <c r="D61" s="716"/>
      <c r="E61" s="716"/>
      <c r="F61" s="716"/>
      <c r="G61" s="457"/>
      <c r="H61" s="457">
        <f t="shared" si="4"/>
        <v>0</v>
      </c>
    </row>
    <row r="62" spans="1:8" x14ac:dyDescent="0.25">
      <c r="A62" s="456"/>
      <c r="B62" s="457"/>
      <c r="C62" s="716"/>
      <c r="D62" s="716"/>
      <c r="E62" s="716"/>
      <c r="F62" s="716"/>
      <c r="G62" s="457"/>
      <c r="H62" s="457">
        <f t="shared" si="4"/>
        <v>0</v>
      </c>
    </row>
    <row r="63" spans="1:8" x14ac:dyDescent="0.25">
      <c r="A63" s="456"/>
      <c r="B63" s="457"/>
      <c r="C63" s="716"/>
      <c r="D63" s="716"/>
      <c r="E63" s="716"/>
      <c r="F63" s="716"/>
      <c r="G63" s="457"/>
      <c r="H63" s="457">
        <f t="shared" si="4"/>
        <v>0</v>
      </c>
    </row>
    <row r="64" spans="1:8" x14ac:dyDescent="0.25">
      <c r="A64" s="456"/>
      <c r="B64" s="458"/>
      <c r="C64" s="458"/>
      <c r="D64" s="458"/>
      <c r="E64" s="458"/>
      <c r="F64" s="458"/>
      <c r="G64" s="458"/>
      <c r="H64" s="457">
        <f>SUM(H54:H63)</f>
        <v>9</v>
      </c>
    </row>
    <row r="66" spans="1:8" x14ac:dyDescent="0.25">
      <c r="A66" s="456"/>
      <c r="B66" s="454" t="s">
        <v>458</v>
      </c>
      <c r="C66" s="717" t="s">
        <v>435</v>
      </c>
      <c r="D66" s="717"/>
      <c r="E66" s="717"/>
      <c r="F66" s="717"/>
      <c r="G66" s="456"/>
      <c r="H66" s="456"/>
    </row>
    <row r="67" spans="1:8" x14ac:dyDescent="0.25">
      <c r="A67" s="456"/>
      <c r="B67" s="454" t="s">
        <v>459</v>
      </c>
      <c r="C67" s="718"/>
      <c r="D67" s="717"/>
      <c r="E67" s="717"/>
      <c r="F67" s="717"/>
      <c r="G67" s="456"/>
      <c r="H67" s="456"/>
    </row>
    <row r="68" spans="1:8" x14ac:dyDescent="0.25">
      <c r="A68" s="456"/>
      <c r="B68" s="456"/>
      <c r="C68" s="456"/>
      <c r="D68" s="456"/>
      <c r="E68" s="456"/>
      <c r="F68" s="456"/>
      <c r="G68" s="456"/>
      <c r="H68" s="456"/>
    </row>
    <row r="69" spans="1:8" x14ac:dyDescent="0.25">
      <c r="A69" s="456"/>
      <c r="B69" s="457" t="s">
        <v>460</v>
      </c>
      <c r="C69" s="716" t="s">
        <v>2</v>
      </c>
      <c r="D69" s="716"/>
      <c r="E69" s="716"/>
      <c r="F69" s="716"/>
      <c r="G69" s="457" t="s">
        <v>461</v>
      </c>
      <c r="H69" s="457" t="s">
        <v>313</v>
      </c>
    </row>
    <row r="70" spans="1:8" x14ac:dyDescent="0.25">
      <c r="A70" s="456"/>
      <c r="B70" s="457">
        <v>2</v>
      </c>
      <c r="C70" s="716" t="s">
        <v>473</v>
      </c>
      <c r="D70" s="716"/>
      <c r="E70" s="716"/>
      <c r="F70" s="716"/>
      <c r="G70" s="457">
        <v>130</v>
      </c>
      <c r="H70" s="457">
        <f>G70*B70</f>
        <v>260</v>
      </c>
    </row>
    <row r="71" spans="1:8" x14ac:dyDescent="0.25">
      <c r="A71" s="456"/>
      <c r="B71" s="457"/>
      <c r="C71" s="716"/>
      <c r="D71" s="716"/>
      <c r="E71" s="716"/>
      <c r="F71" s="716"/>
      <c r="G71" s="457"/>
      <c r="H71" s="457">
        <f t="shared" ref="H71:H79" si="5">G71*B71</f>
        <v>0</v>
      </c>
    </row>
    <row r="72" spans="1:8" x14ac:dyDescent="0.25">
      <c r="A72" s="456"/>
      <c r="B72" s="457"/>
      <c r="C72" s="716"/>
      <c r="D72" s="716"/>
      <c r="E72" s="716"/>
      <c r="F72" s="716"/>
      <c r="G72" s="457"/>
      <c r="H72" s="457">
        <f t="shared" si="5"/>
        <v>0</v>
      </c>
    </row>
    <row r="73" spans="1:8" x14ac:dyDescent="0.25">
      <c r="A73" s="456"/>
      <c r="B73" s="457"/>
      <c r="C73" s="716"/>
      <c r="D73" s="716"/>
      <c r="E73" s="716"/>
      <c r="F73" s="716"/>
      <c r="G73" s="457"/>
      <c r="H73" s="457">
        <f t="shared" si="5"/>
        <v>0</v>
      </c>
    </row>
    <row r="74" spans="1:8" x14ac:dyDescent="0.25">
      <c r="A74" s="456"/>
      <c r="B74" s="457"/>
      <c r="C74" s="716"/>
      <c r="D74" s="716"/>
      <c r="E74" s="716"/>
      <c r="F74" s="716"/>
      <c r="G74" s="457"/>
      <c r="H74" s="457">
        <f t="shared" si="5"/>
        <v>0</v>
      </c>
    </row>
    <row r="75" spans="1:8" x14ac:dyDescent="0.25">
      <c r="A75" s="456"/>
      <c r="B75" s="457"/>
      <c r="C75" s="716"/>
      <c r="D75" s="716"/>
      <c r="E75" s="716"/>
      <c r="F75" s="716"/>
      <c r="G75" s="457"/>
      <c r="H75" s="457">
        <f t="shared" si="5"/>
        <v>0</v>
      </c>
    </row>
    <row r="76" spans="1:8" x14ac:dyDescent="0.25">
      <c r="A76" s="456"/>
      <c r="B76" s="457"/>
      <c r="C76" s="716"/>
      <c r="D76" s="716"/>
      <c r="E76" s="716"/>
      <c r="F76" s="716"/>
      <c r="G76" s="457"/>
      <c r="H76" s="457">
        <f t="shared" si="5"/>
        <v>0</v>
      </c>
    </row>
    <row r="77" spans="1:8" x14ac:dyDescent="0.25">
      <c r="A77" s="456"/>
      <c r="B77" s="457"/>
      <c r="C77" s="716"/>
      <c r="D77" s="716"/>
      <c r="E77" s="716"/>
      <c r="F77" s="716"/>
      <c r="G77" s="457"/>
      <c r="H77" s="457">
        <f t="shared" si="5"/>
        <v>0</v>
      </c>
    </row>
    <row r="78" spans="1:8" x14ac:dyDescent="0.25">
      <c r="A78" s="456"/>
      <c r="B78" s="457"/>
      <c r="C78" s="716"/>
      <c r="D78" s="716"/>
      <c r="E78" s="716"/>
      <c r="F78" s="716"/>
      <c r="G78" s="457"/>
      <c r="H78" s="457">
        <f t="shared" si="5"/>
        <v>0</v>
      </c>
    </row>
    <row r="79" spans="1:8" x14ac:dyDescent="0.25">
      <c r="A79" s="456"/>
      <c r="B79" s="457"/>
      <c r="C79" s="716"/>
      <c r="D79" s="716"/>
      <c r="E79" s="716"/>
      <c r="F79" s="716"/>
      <c r="G79" s="457"/>
      <c r="H79" s="457">
        <f t="shared" si="5"/>
        <v>0</v>
      </c>
    </row>
    <row r="80" spans="1:8" x14ac:dyDescent="0.25">
      <c r="A80" s="456"/>
      <c r="B80" s="458"/>
      <c r="C80" s="458"/>
      <c r="D80" s="458"/>
      <c r="E80" s="458"/>
      <c r="F80" s="458"/>
      <c r="G80" s="458"/>
      <c r="H80" s="457">
        <f>SUM(H70:H79)</f>
        <v>260</v>
      </c>
    </row>
    <row r="82" spans="1:8" x14ac:dyDescent="0.25">
      <c r="A82" s="463"/>
      <c r="B82" s="498" t="s">
        <v>458</v>
      </c>
      <c r="C82" s="725" t="s">
        <v>435</v>
      </c>
      <c r="D82" s="725"/>
      <c r="E82" s="725"/>
      <c r="F82" s="725"/>
      <c r="G82" s="463"/>
      <c r="H82" s="463"/>
    </row>
    <row r="83" spans="1:8" x14ac:dyDescent="0.25">
      <c r="A83" s="463"/>
      <c r="B83" s="498" t="s">
        <v>459</v>
      </c>
      <c r="C83" s="726">
        <v>44841</v>
      </c>
      <c r="D83" s="725"/>
      <c r="E83" s="725"/>
      <c r="F83" s="725"/>
      <c r="G83" s="463"/>
      <c r="H83" s="463"/>
    </row>
    <row r="84" spans="1:8" x14ac:dyDescent="0.25">
      <c r="A84" s="463"/>
      <c r="B84" s="463"/>
      <c r="C84" s="463"/>
      <c r="D84" s="463"/>
      <c r="E84" s="463"/>
      <c r="F84" s="463"/>
      <c r="G84" s="463"/>
      <c r="H84" s="463"/>
    </row>
    <row r="85" spans="1:8" x14ac:dyDescent="0.25">
      <c r="A85" s="463"/>
      <c r="B85" s="497" t="s">
        <v>460</v>
      </c>
      <c r="C85" s="727" t="s">
        <v>2</v>
      </c>
      <c r="D85" s="727"/>
      <c r="E85" s="727"/>
      <c r="F85" s="727"/>
      <c r="G85" s="497" t="s">
        <v>461</v>
      </c>
      <c r="H85" s="497" t="s">
        <v>313</v>
      </c>
    </row>
    <row r="86" spans="1:8" x14ac:dyDescent="0.25">
      <c r="A86" s="463"/>
      <c r="B86" s="497">
        <v>1</v>
      </c>
      <c r="C86" s="727" t="s">
        <v>473</v>
      </c>
      <c r="D86" s="727"/>
      <c r="E86" s="727"/>
      <c r="F86" s="727"/>
      <c r="G86" s="497">
        <v>135</v>
      </c>
      <c r="H86" s="497">
        <f>G86*B86</f>
        <v>135</v>
      </c>
    </row>
    <row r="87" spans="1:8" x14ac:dyDescent="0.25">
      <c r="A87" s="463"/>
      <c r="B87" s="497">
        <v>1</v>
      </c>
      <c r="C87" s="727" t="s">
        <v>464</v>
      </c>
      <c r="D87" s="727"/>
      <c r="E87" s="727"/>
      <c r="F87" s="727"/>
      <c r="G87" s="497">
        <v>15</v>
      </c>
      <c r="H87" s="497">
        <f t="shared" ref="H87:H95" si="6">G87*B87</f>
        <v>15</v>
      </c>
    </row>
    <row r="88" spans="1:8" x14ac:dyDescent="0.25">
      <c r="A88" s="463"/>
      <c r="B88" s="497"/>
      <c r="C88" s="727"/>
      <c r="D88" s="727"/>
      <c r="E88" s="727"/>
      <c r="F88" s="727"/>
      <c r="G88" s="497"/>
      <c r="H88" s="497">
        <f t="shared" si="6"/>
        <v>0</v>
      </c>
    </row>
    <row r="89" spans="1:8" x14ac:dyDescent="0.25">
      <c r="A89" s="463"/>
      <c r="B89" s="497"/>
      <c r="C89" s="727"/>
      <c r="D89" s="727"/>
      <c r="E89" s="727"/>
      <c r="F89" s="727"/>
      <c r="G89" s="497"/>
      <c r="H89" s="497">
        <f t="shared" si="6"/>
        <v>0</v>
      </c>
    </row>
    <row r="90" spans="1:8" x14ac:dyDescent="0.25">
      <c r="A90" s="463"/>
      <c r="B90" s="497"/>
      <c r="C90" s="727"/>
      <c r="D90" s="727"/>
      <c r="E90" s="727"/>
      <c r="F90" s="727"/>
      <c r="G90" s="497"/>
      <c r="H90" s="497">
        <f t="shared" si="6"/>
        <v>0</v>
      </c>
    </row>
    <row r="91" spans="1:8" x14ac:dyDescent="0.25">
      <c r="A91" s="463"/>
      <c r="B91" s="497"/>
      <c r="C91" s="727"/>
      <c r="D91" s="727"/>
      <c r="E91" s="727"/>
      <c r="F91" s="727"/>
      <c r="G91" s="497"/>
      <c r="H91" s="497">
        <f t="shared" si="6"/>
        <v>0</v>
      </c>
    </row>
    <row r="92" spans="1:8" x14ac:dyDescent="0.25">
      <c r="A92" s="463"/>
      <c r="B92" s="497"/>
      <c r="C92" s="727"/>
      <c r="D92" s="727"/>
      <c r="E92" s="727"/>
      <c r="F92" s="727"/>
      <c r="G92" s="497"/>
      <c r="H92" s="497">
        <f t="shared" si="6"/>
        <v>0</v>
      </c>
    </row>
    <row r="93" spans="1:8" x14ac:dyDescent="0.25">
      <c r="A93" s="463"/>
      <c r="B93" s="497"/>
      <c r="C93" s="727"/>
      <c r="D93" s="727"/>
      <c r="E93" s="727"/>
      <c r="F93" s="727"/>
      <c r="G93" s="497"/>
      <c r="H93" s="497">
        <f t="shared" si="6"/>
        <v>0</v>
      </c>
    </row>
    <row r="94" spans="1:8" x14ac:dyDescent="0.25">
      <c r="A94" s="463"/>
      <c r="B94" s="497"/>
      <c r="C94" s="727"/>
      <c r="D94" s="727"/>
      <c r="E94" s="727"/>
      <c r="F94" s="727"/>
      <c r="G94" s="497"/>
      <c r="H94" s="497">
        <f t="shared" si="6"/>
        <v>0</v>
      </c>
    </row>
    <row r="95" spans="1:8" x14ac:dyDescent="0.25">
      <c r="A95" s="463"/>
      <c r="B95" s="497"/>
      <c r="C95" s="727"/>
      <c r="D95" s="727"/>
      <c r="E95" s="727"/>
      <c r="F95" s="727"/>
      <c r="G95" s="497"/>
      <c r="H95" s="497">
        <f t="shared" si="6"/>
        <v>0</v>
      </c>
    </row>
    <row r="96" spans="1:8" x14ac:dyDescent="0.25">
      <c r="A96" s="463"/>
      <c r="B96" s="466"/>
      <c r="C96" s="466"/>
      <c r="D96" s="466"/>
      <c r="E96" s="466"/>
      <c r="F96" s="466"/>
      <c r="G96" s="466"/>
      <c r="H96" s="497">
        <f>SUM(H86:H95)</f>
        <v>150</v>
      </c>
    </row>
    <row r="98" spans="1:8" x14ac:dyDescent="0.25">
      <c r="A98" s="456"/>
      <c r="B98" s="454" t="s">
        <v>458</v>
      </c>
      <c r="C98" s="717" t="s">
        <v>476</v>
      </c>
      <c r="D98" s="717"/>
      <c r="E98" s="717"/>
      <c r="F98" s="717"/>
      <c r="G98" s="456"/>
      <c r="H98" s="456"/>
    </row>
    <row r="99" spans="1:8" x14ac:dyDescent="0.25">
      <c r="A99" s="456"/>
      <c r="B99" s="454" t="s">
        <v>459</v>
      </c>
      <c r="C99" s="718">
        <v>44823</v>
      </c>
      <c r="D99" s="717"/>
      <c r="E99" s="717"/>
      <c r="F99" s="717"/>
      <c r="G99" s="456"/>
      <c r="H99" s="456"/>
    </row>
    <row r="100" spans="1:8" x14ac:dyDescent="0.25">
      <c r="A100" s="456"/>
      <c r="B100" s="456"/>
      <c r="C100" s="456"/>
      <c r="D100" s="456"/>
      <c r="E100" s="456"/>
      <c r="F100" s="456"/>
      <c r="G100" s="456"/>
      <c r="H100" s="456"/>
    </row>
    <row r="101" spans="1:8" x14ac:dyDescent="0.25">
      <c r="A101" s="456"/>
      <c r="B101" s="457" t="s">
        <v>460</v>
      </c>
      <c r="C101" s="716" t="s">
        <v>2</v>
      </c>
      <c r="D101" s="716"/>
      <c r="E101" s="716"/>
      <c r="F101" s="716"/>
      <c r="G101" s="457" t="s">
        <v>461</v>
      </c>
      <c r="H101" s="457" t="s">
        <v>313</v>
      </c>
    </row>
    <row r="102" spans="1:8" x14ac:dyDescent="0.25">
      <c r="A102" s="456"/>
      <c r="B102" s="457">
        <v>4</v>
      </c>
      <c r="C102" s="716" t="s">
        <v>477</v>
      </c>
      <c r="D102" s="716"/>
      <c r="E102" s="716"/>
      <c r="F102" s="716"/>
      <c r="G102" s="457">
        <f>14</f>
        <v>14</v>
      </c>
      <c r="H102" s="457">
        <f>G102*B102</f>
        <v>56</v>
      </c>
    </row>
    <row r="103" spans="1:8" x14ac:dyDescent="0.25">
      <c r="A103" s="456"/>
      <c r="B103" s="457">
        <v>4</v>
      </c>
      <c r="C103" s="716" t="s">
        <v>464</v>
      </c>
      <c r="D103" s="716"/>
      <c r="E103" s="716"/>
      <c r="F103" s="716"/>
      <c r="G103" s="457">
        <v>15</v>
      </c>
      <c r="H103" s="457">
        <f t="shared" ref="H103:H111" si="7">G103*B103</f>
        <v>60</v>
      </c>
    </row>
    <row r="104" spans="1:8" x14ac:dyDescent="0.25">
      <c r="A104" s="456"/>
      <c r="B104" s="457">
        <v>2</v>
      </c>
      <c r="C104" s="716" t="s">
        <v>478</v>
      </c>
      <c r="D104" s="716"/>
      <c r="E104" s="716"/>
      <c r="F104" s="716"/>
      <c r="G104" s="457">
        <v>34</v>
      </c>
      <c r="H104" s="457">
        <f t="shared" si="7"/>
        <v>68</v>
      </c>
    </row>
    <row r="105" spans="1:8" x14ac:dyDescent="0.25">
      <c r="A105" s="456"/>
      <c r="B105" s="457">
        <v>1</v>
      </c>
      <c r="C105" s="716" t="s">
        <v>463</v>
      </c>
      <c r="D105" s="716"/>
      <c r="E105" s="716"/>
      <c r="F105" s="716"/>
      <c r="G105" s="457">
        <v>113</v>
      </c>
      <c r="H105" s="457">
        <f t="shared" si="7"/>
        <v>113</v>
      </c>
    </row>
    <row r="106" spans="1:8" x14ac:dyDescent="0.25">
      <c r="A106" s="456"/>
      <c r="B106" s="457"/>
      <c r="C106" s="716"/>
      <c r="D106" s="716"/>
      <c r="E106" s="716"/>
      <c r="F106" s="716"/>
      <c r="G106" s="457"/>
      <c r="H106" s="457">
        <f t="shared" si="7"/>
        <v>0</v>
      </c>
    </row>
    <row r="107" spans="1:8" x14ac:dyDescent="0.25">
      <c r="A107" s="456"/>
      <c r="B107" s="457"/>
      <c r="C107" s="716"/>
      <c r="D107" s="716"/>
      <c r="E107" s="716"/>
      <c r="F107" s="716"/>
      <c r="G107" s="457"/>
      <c r="H107" s="457">
        <f t="shared" si="7"/>
        <v>0</v>
      </c>
    </row>
    <row r="108" spans="1:8" x14ac:dyDescent="0.25">
      <c r="A108" s="456"/>
      <c r="B108" s="457"/>
      <c r="C108" s="716"/>
      <c r="D108" s="716"/>
      <c r="E108" s="716"/>
      <c r="F108" s="716"/>
      <c r="G108" s="457"/>
      <c r="H108" s="457">
        <f t="shared" si="7"/>
        <v>0</v>
      </c>
    </row>
    <row r="109" spans="1:8" x14ac:dyDescent="0.25">
      <c r="A109" s="456"/>
      <c r="B109" s="457"/>
      <c r="C109" s="716"/>
      <c r="D109" s="716"/>
      <c r="E109" s="716"/>
      <c r="F109" s="716"/>
      <c r="G109" s="457"/>
      <c r="H109" s="457">
        <f t="shared" si="7"/>
        <v>0</v>
      </c>
    </row>
    <row r="110" spans="1:8" x14ac:dyDescent="0.25">
      <c r="A110" s="456"/>
      <c r="B110" s="457"/>
      <c r="C110" s="716"/>
      <c r="D110" s="716"/>
      <c r="E110" s="716"/>
      <c r="F110" s="716"/>
      <c r="G110" s="457"/>
      <c r="H110" s="457">
        <f t="shared" si="7"/>
        <v>0</v>
      </c>
    </row>
    <row r="111" spans="1:8" x14ac:dyDescent="0.25">
      <c r="A111" s="456"/>
      <c r="B111" s="457"/>
      <c r="C111" s="716"/>
      <c r="D111" s="716"/>
      <c r="E111" s="716"/>
      <c r="F111" s="716"/>
      <c r="G111" s="457"/>
      <c r="H111" s="457">
        <f t="shared" si="7"/>
        <v>0</v>
      </c>
    </row>
    <row r="112" spans="1:8" x14ac:dyDescent="0.25">
      <c r="A112" s="456"/>
      <c r="B112" s="458"/>
      <c r="C112" s="458"/>
      <c r="D112" s="458"/>
      <c r="E112" s="458"/>
      <c r="F112" s="458"/>
      <c r="G112" s="458"/>
      <c r="H112" s="457">
        <f>SUM(H102:H111)</f>
        <v>297</v>
      </c>
    </row>
    <row r="114" spans="1:8" x14ac:dyDescent="0.25">
      <c r="A114" s="463"/>
      <c r="B114" s="464" t="s">
        <v>458</v>
      </c>
      <c r="C114" s="725" t="s">
        <v>475</v>
      </c>
      <c r="D114" s="725"/>
      <c r="E114" s="725"/>
      <c r="F114" s="725"/>
      <c r="G114" s="463"/>
      <c r="H114" s="463"/>
    </row>
    <row r="115" spans="1:8" x14ac:dyDescent="0.25">
      <c r="A115" s="463"/>
      <c r="B115" s="464" t="s">
        <v>459</v>
      </c>
      <c r="C115" s="726">
        <v>44827</v>
      </c>
      <c r="D115" s="725"/>
      <c r="E115" s="725"/>
      <c r="F115" s="725"/>
      <c r="G115" s="463"/>
      <c r="H115" s="463"/>
    </row>
    <row r="116" spans="1:8" x14ac:dyDescent="0.25">
      <c r="A116" s="463"/>
      <c r="B116" s="463"/>
      <c r="C116" s="463"/>
      <c r="D116" s="463"/>
      <c r="E116" s="463"/>
      <c r="F116" s="463"/>
      <c r="G116" s="463"/>
      <c r="H116" s="463"/>
    </row>
    <row r="117" spans="1:8" x14ac:dyDescent="0.25">
      <c r="A117" s="463"/>
      <c r="B117" s="465" t="s">
        <v>460</v>
      </c>
      <c r="C117" s="727" t="s">
        <v>2</v>
      </c>
      <c r="D117" s="727"/>
      <c r="E117" s="727"/>
      <c r="F117" s="727"/>
      <c r="G117" s="465" t="s">
        <v>461</v>
      </c>
      <c r="H117" s="465" t="s">
        <v>313</v>
      </c>
    </row>
    <row r="118" spans="1:8" x14ac:dyDescent="0.25">
      <c r="A118" s="463"/>
      <c r="B118" s="465">
        <v>1</v>
      </c>
      <c r="C118" s="727" t="s">
        <v>464</v>
      </c>
      <c r="D118" s="727"/>
      <c r="E118" s="727"/>
      <c r="F118" s="727"/>
      <c r="G118" s="465">
        <v>15</v>
      </c>
      <c r="H118" s="465">
        <f>G118*B118</f>
        <v>15</v>
      </c>
    </row>
    <row r="119" spans="1:8" x14ac:dyDescent="0.25">
      <c r="A119" s="463"/>
      <c r="B119" s="465"/>
      <c r="C119" s="727"/>
      <c r="D119" s="727"/>
      <c r="E119" s="727"/>
      <c r="F119" s="727"/>
      <c r="G119" s="465"/>
      <c r="H119" s="465">
        <f t="shared" ref="H119:H127" si="8">G119*B119</f>
        <v>0</v>
      </c>
    </row>
    <row r="120" spans="1:8" x14ac:dyDescent="0.25">
      <c r="A120" s="463"/>
      <c r="B120" s="465"/>
      <c r="C120" s="727"/>
      <c r="D120" s="727"/>
      <c r="E120" s="727"/>
      <c r="F120" s="727"/>
      <c r="G120" s="465"/>
      <c r="H120" s="465">
        <f t="shared" si="8"/>
        <v>0</v>
      </c>
    </row>
    <row r="121" spans="1:8" x14ac:dyDescent="0.25">
      <c r="A121" s="463"/>
      <c r="B121" s="465"/>
      <c r="C121" s="727"/>
      <c r="D121" s="727"/>
      <c r="E121" s="727"/>
      <c r="F121" s="727"/>
      <c r="G121" s="465"/>
      <c r="H121" s="465">
        <f t="shared" si="8"/>
        <v>0</v>
      </c>
    </row>
    <row r="122" spans="1:8" x14ac:dyDescent="0.25">
      <c r="A122" s="463"/>
      <c r="B122" s="465"/>
      <c r="C122" s="727"/>
      <c r="D122" s="727"/>
      <c r="E122" s="727"/>
      <c r="F122" s="727"/>
      <c r="G122" s="465"/>
      <c r="H122" s="465">
        <f t="shared" si="8"/>
        <v>0</v>
      </c>
    </row>
    <row r="123" spans="1:8" x14ac:dyDescent="0.25">
      <c r="A123" s="463"/>
      <c r="B123" s="465"/>
      <c r="C123" s="727"/>
      <c r="D123" s="727"/>
      <c r="E123" s="727"/>
      <c r="F123" s="727"/>
      <c r="G123" s="465"/>
      <c r="H123" s="465">
        <f t="shared" si="8"/>
        <v>0</v>
      </c>
    </row>
    <row r="124" spans="1:8" x14ac:dyDescent="0.25">
      <c r="A124" s="463"/>
      <c r="B124" s="465"/>
      <c r="C124" s="727"/>
      <c r="D124" s="727"/>
      <c r="E124" s="727"/>
      <c r="F124" s="727"/>
      <c r="G124" s="465"/>
      <c r="H124" s="465">
        <f t="shared" si="8"/>
        <v>0</v>
      </c>
    </row>
    <row r="125" spans="1:8" x14ac:dyDescent="0.25">
      <c r="A125" s="463"/>
      <c r="B125" s="465"/>
      <c r="C125" s="727"/>
      <c r="D125" s="727"/>
      <c r="E125" s="727"/>
      <c r="F125" s="727"/>
      <c r="G125" s="465"/>
      <c r="H125" s="465">
        <f t="shared" si="8"/>
        <v>0</v>
      </c>
    </row>
    <row r="126" spans="1:8" x14ac:dyDescent="0.25">
      <c r="A126" s="463"/>
      <c r="B126" s="465"/>
      <c r="C126" s="727"/>
      <c r="D126" s="727"/>
      <c r="E126" s="727"/>
      <c r="F126" s="727"/>
      <c r="G126" s="465"/>
      <c r="H126" s="465">
        <f t="shared" si="8"/>
        <v>0</v>
      </c>
    </row>
    <row r="127" spans="1:8" x14ac:dyDescent="0.25">
      <c r="A127" s="463"/>
      <c r="B127" s="465"/>
      <c r="C127" s="727"/>
      <c r="D127" s="727"/>
      <c r="E127" s="727"/>
      <c r="F127" s="727"/>
      <c r="G127" s="465"/>
      <c r="H127" s="465">
        <f t="shared" si="8"/>
        <v>0</v>
      </c>
    </row>
    <row r="128" spans="1:8" x14ac:dyDescent="0.25">
      <c r="A128" s="463"/>
      <c r="B128" s="466"/>
      <c r="C128" s="466"/>
      <c r="D128" s="466"/>
      <c r="E128" s="466"/>
      <c r="F128" s="466"/>
      <c r="G128" s="466"/>
      <c r="H128" s="465">
        <f>SUM(H118:H127)</f>
        <v>15</v>
      </c>
    </row>
    <row r="130" spans="1:8" x14ac:dyDescent="0.25">
      <c r="A130" s="456"/>
      <c r="B130" s="454" t="s">
        <v>458</v>
      </c>
      <c r="C130" s="717" t="s">
        <v>476</v>
      </c>
      <c r="D130" s="717"/>
      <c r="E130" s="717"/>
      <c r="F130" s="717"/>
      <c r="G130" s="456"/>
      <c r="H130" s="456"/>
    </row>
    <row r="131" spans="1:8" x14ac:dyDescent="0.25">
      <c r="A131" s="456"/>
      <c r="B131" s="454" t="s">
        <v>459</v>
      </c>
      <c r="C131" s="718">
        <v>44828</v>
      </c>
      <c r="D131" s="717"/>
      <c r="E131" s="717"/>
      <c r="F131" s="717"/>
      <c r="G131" s="456"/>
      <c r="H131" s="456"/>
    </row>
    <row r="132" spans="1:8" x14ac:dyDescent="0.25">
      <c r="A132" s="456"/>
      <c r="B132" s="456"/>
      <c r="C132" s="456"/>
      <c r="D132" s="456"/>
      <c r="E132" s="456"/>
      <c r="F132" s="456"/>
      <c r="G132" s="456"/>
      <c r="H132" s="456"/>
    </row>
    <row r="133" spans="1:8" x14ac:dyDescent="0.25">
      <c r="A133" s="456"/>
      <c r="B133" s="457" t="s">
        <v>460</v>
      </c>
      <c r="C133" s="716" t="s">
        <v>2</v>
      </c>
      <c r="D133" s="716"/>
      <c r="E133" s="716"/>
      <c r="F133" s="716"/>
      <c r="G133" s="457" t="s">
        <v>461</v>
      </c>
      <c r="H133" s="457" t="s">
        <v>313</v>
      </c>
    </row>
    <row r="134" spans="1:8" x14ac:dyDescent="0.25">
      <c r="A134" s="456"/>
      <c r="B134" s="457">
        <v>8</v>
      </c>
      <c r="C134" s="716" t="s">
        <v>464</v>
      </c>
      <c r="D134" s="716"/>
      <c r="E134" s="716"/>
      <c r="F134" s="716"/>
      <c r="G134" s="457">
        <v>15</v>
      </c>
      <c r="H134" s="457">
        <f>G134*B134</f>
        <v>120</v>
      </c>
    </row>
    <row r="135" spans="1:8" x14ac:dyDescent="0.25">
      <c r="A135" s="456"/>
      <c r="B135" s="457">
        <v>12</v>
      </c>
      <c r="C135" s="716" t="s">
        <v>479</v>
      </c>
      <c r="D135" s="716"/>
      <c r="E135" s="716"/>
      <c r="F135" s="716"/>
      <c r="G135" s="457">
        <v>8</v>
      </c>
      <c r="H135" s="457">
        <f t="shared" ref="H135:H143" si="9">G135*B135</f>
        <v>96</v>
      </c>
    </row>
    <row r="136" spans="1:8" x14ac:dyDescent="0.25">
      <c r="A136" s="456"/>
      <c r="B136" s="457">
        <v>1</v>
      </c>
      <c r="C136" s="716" t="s">
        <v>472</v>
      </c>
      <c r="D136" s="716"/>
      <c r="E136" s="716"/>
      <c r="F136" s="716"/>
      <c r="G136" s="457">
        <v>42</v>
      </c>
      <c r="H136" s="457">
        <f t="shared" si="9"/>
        <v>42</v>
      </c>
    </row>
    <row r="137" spans="1:8" x14ac:dyDescent="0.25">
      <c r="A137" s="456"/>
      <c r="B137" s="457">
        <v>1</v>
      </c>
      <c r="C137" s="716" t="s">
        <v>471</v>
      </c>
      <c r="D137" s="716"/>
      <c r="E137" s="716"/>
      <c r="F137" s="716"/>
      <c r="G137" s="457">
        <v>33</v>
      </c>
      <c r="H137" s="457">
        <f t="shared" si="9"/>
        <v>33</v>
      </c>
    </row>
    <row r="138" spans="1:8" x14ac:dyDescent="0.25">
      <c r="A138" s="456"/>
      <c r="B138" s="457"/>
      <c r="C138" s="716"/>
      <c r="D138" s="716"/>
      <c r="E138" s="716"/>
      <c r="F138" s="716"/>
      <c r="G138" s="457"/>
      <c r="H138" s="457">
        <f t="shared" si="9"/>
        <v>0</v>
      </c>
    </row>
    <row r="139" spans="1:8" x14ac:dyDescent="0.25">
      <c r="A139" s="456"/>
      <c r="B139" s="457"/>
      <c r="C139" s="716"/>
      <c r="D139" s="716"/>
      <c r="E139" s="716"/>
      <c r="F139" s="716"/>
      <c r="G139" s="457"/>
      <c r="H139" s="457">
        <f t="shared" si="9"/>
        <v>0</v>
      </c>
    </row>
    <row r="140" spans="1:8" x14ac:dyDescent="0.25">
      <c r="A140" s="456"/>
      <c r="B140" s="457"/>
      <c r="C140" s="716"/>
      <c r="D140" s="716"/>
      <c r="E140" s="716"/>
      <c r="F140" s="716"/>
      <c r="G140" s="457"/>
      <c r="H140" s="457">
        <f t="shared" si="9"/>
        <v>0</v>
      </c>
    </row>
    <row r="141" spans="1:8" x14ac:dyDescent="0.25">
      <c r="A141" s="456"/>
      <c r="B141" s="457"/>
      <c r="C141" s="716"/>
      <c r="D141" s="716"/>
      <c r="E141" s="716"/>
      <c r="F141" s="716"/>
      <c r="G141" s="457"/>
      <c r="H141" s="457">
        <f t="shared" si="9"/>
        <v>0</v>
      </c>
    </row>
    <row r="142" spans="1:8" x14ac:dyDescent="0.25">
      <c r="A142" s="456"/>
      <c r="B142" s="457"/>
      <c r="C142" s="716"/>
      <c r="D142" s="716"/>
      <c r="E142" s="716"/>
      <c r="F142" s="716"/>
      <c r="G142" s="457"/>
      <c r="H142" s="457">
        <f t="shared" si="9"/>
        <v>0</v>
      </c>
    </row>
    <row r="143" spans="1:8" x14ac:dyDescent="0.25">
      <c r="A143" s="456"/>
      <c r="B143" s="457"/>
      <c r="C143" s="716"/>
      <c r="D143" s="716"/>
      <c r="E143" s="716"/>
      <c r="F143" s="716"/>
      <c r="G143" s="457"/>
      <c r="H143" s="457">
        <f t="shared" si="9"/>
        <v>0</v>
      </c>
    </row>
    <row r="144" spans="1:8" x14ac:dyDescent="0.25">
      <c r="A144" s="456"/>
      <c r="B144" s="458"/>
      <c r="C144" s="458"/>
      <c r="D144" s="458"/>
      <c r="E144" s="458"/>
      <c r="F144" s="458"/>
      <c r="G144" s="458"/>
      <c r="H144" s="457">
        <f>SUM(H134:H143)</f>
        <v>291</v>
      </c>
    </row>
    <row r="146" spans="1:8" x14ac:dyDescent="0.25">
      <c r="A146" s="463"/>
      <c r="B146" s="464" t="s">
        <v>458</v>
      </c>
      <c r="C146" s="725" t="s">
        <v>476</v>
      </c>
      <c r="D146" s="725"/>
      <c r="E146" s="725"/>
      <c r="F146" s="725"/>
      <c r="G146" s="463"/>
      <c r="H146" s="463"/>
    </row>
    <row r="147" spans="1:8" x14ac:dyDescent="0.25">
      <c r="A147" s="463"/>
      <c r="B147" s="464" t="s">
        <v>459</v>
      </c>
      <c r="C147" s="726">
        <v>44802</v>
      </c>
      <c r="D147" s="725"/>
      <c r="E147" s="725"/>
      <c r="F147" s="725"/>
      <c r="G147" s="463"/>
      <c r="H147" s="463"/>
    </row>
    <row r="148" spans="1:8" x14ac:dyDescent="0.25">
      <c r="A148" s="463"/>
      <c r="B148" s="463"/>
      <c r="C148" s="463"/>
      <c r="D148" s="463"/>
      <c r="E148" s="463"/>
      <c r="F148" s="463"/>
      <c r="G148" s="463"/>
      <c r="H148" s="463"/>
    </row>
    <row r="149" spans="1:8" x14ac:dyDescent="0.25">
      <c r="A149" s="463"/>
      <c r="B149" s="465" t="s">
        <v>460</v>
      </c>
      <c r="C149" s="727" t="s">
        <v>2</v>
      </c>
      <c r="D149" s="727"/>
      <c r="E149" s="727"/>
      <c r="F149" s="727"/>
      <c r="G149" s="465" t="s">
        <v>461</v>
      </c>
      <c r="H149" s="465" t="s">
        <v>313</v>
      </c>
    </row>
    <row r="150" spans="1:8" x14ac:dyDescent="0.25">
      <c r="A150" s="463"/>
      <c r="B150" s="465">
        <v>10</v>
      </c>
      <c r="C150" s="727" t="s">
        <v>464</v>
      </c>
      <c r="D150" s="727"/>
      <c r="E150" s="727"/>
      <c r="F150" s="727"/>
      <c r="G150" s="465">
        <v>15</v>
      </c>
      <c r="H150" s="465">
        <f>G150*B150</f>
        <v>150</v>
      </c>
    </row>
    <row r="151" spans="1:8" x14ac:dyDescent="0.25">
      <c r="A151" s="463"/>
      <c r="B151" s="465">
        <v>3</v>
      </c>
      <c r="C151" s="727" t="s">
        <v>472</v>
      </c>
      <c r="D151" s="727"/>
      <c r="E151" s="727"/>
      <c r="F151" s="727"/>
      <c r="G151" s="465">
        <v>39</v>
      </c>
      <c r="H151" s="465">
        <f t="shared" ref="H151:H159" si="10">G151*B151</f>
        <v>117</v>
      </c>
    </row>
    <row r="152" spans="1:8" x14ac:dyDescent="0.25">
      <c r="A152" s="463"/>
      <c r="B152" s="465">
        <v>10</v>
      </c>
      <c r="C152" s="727" t="s">
        <v>477</v>
      </c>
      <c r="D152" s="727"/>
      <c r="E152" s="727"/>
      <c r="F152" s="727"/>
      <c r="G152" s="465">
        <v>14</v>
      </c>
      <c r="H152" s="465">
        <f t="shared" si="10"/>
        <v>140</v>
      </c>
    </row>
    <row r="153" spans="1:8" x14ac:dyDescent="0.25">
      <c r="A153" s="463"/>
      <c r="B153" s="465">
        <v>10</v>
      </c>
      <c r="C153" s="727" t="s">
        <v>480</v>
      </c>
      <c r="D153" s="727"/>
      <c r="E153" s="727"/>
      <c r="F153" s="727"/>
      <c r="G153" s="465">
        <v>11</v>
      </c>
      <c r="H153" s="465">
        <f t="shared" si="10"/>
        <v>110</v>
      </c>
    </row>
    <row r="154" spans="1:8" x14ac:dyDescent="0.25">
      <c r="A154" s="463"/>
      <c r="B154" s="465">
        <v>2</v>
      </c>
      <c r="C154" s="727" t="s">
        <v>478</v>
      </c>
      <c r="D154" s="727"/>
      <c r="E154" s="727"/>
      <c r="F154" s="727"/>
      <c r="G154" s="465">
        <v>31</v>
      </c>
      <c r="H154" s="465">
        <f t="shared" si="10"/>
        <v>62</v>
      </c>
    </row>
    <row r="155" spans="1:8" x14ac:dyDescent="0.25">
      <c r="A155" s="463"/>
      <c r="B155" s="465"/>
      <c r="C155" s="727"/>
      <c r="D155" s="727"/>
      <c r="E155" s="727"/>
      <c r="F155" s="727"/>
      <c r="G155" s="465"/>
      <c r="H155" s="465">
        <f t="shared" si="10"/>
        <v>0</v>
      </c>
    </row>
    <row r="156" spans="1:8" x14ac:dyDescent="0.25">
      <c r="A156" s="463"/>
      <c r="B156" s="465"/>
      <c r="C156" s="727"/>
      <c r="D156" s="727"/>
      <c r="E156" s="727"/>
      <c r="F156" s="727"/>
      <c r="G156" s="465"/>
      <c r="H156" s="465">
        <f t="shared" si="10"/>
        <v>0</v>
      </c>
    </row>
    <row r="157" spans="1:8" x14ac:dyDescent="0.25">
      <c r="A157" s="463"/>
      <c r="B157" s="465"/>
      <c r="C157" s="727"/>
      <c r="D157" s="727"/>
      <c r="E157" s="727"/>
      <c r="F157" s="727"/>
      <c r="G157" s="465"/>
      <c r="H157" s="465">
        <f t="shared" si="10"/>
        <v>0</v>
      </c>
    </row>
    <row r="158" spans="1:8" x14ac:dyDescent="0.25">
      <c r="A158" s="463"/>
      <c r="B158" s="465"/>
      <c r="C158" s="727"/>
      <c r="D158" s="727"/>
      <c r="E158" s="727"/>
      <c r="F158" s="727"/>
      <c r="G158" s="465"/>
      <c r="H158" s="465">
        <f t="shared" si="10"/>
        <v>0</v>
      </c>
    </row>
    <row r="159" spans="1:8" x14ac:dyDescent="0.25">
      <c r="A159" s="463"/>
      <c r="B159" s="465"/>
      <c r="C159" s="727"/>
      <c r="D159" s="727"/>
      <c r="E159" s="727"/>
      <c r="F159" s="727"/>
      <c r="G159" s="465"/>
      <c r="H159" s="465">
        <f t="shared" si="10"/>
        <v>0</v>
      </c>
    </row>
    <row r="160" spans="1:8" x14ac:dyDescent="0.25">
      <c r="A160" s="463"/>
      <c r="B160" s="466"/>
      <c r="C160" s="466"/>
      <c r="D160" s="466"/>
      <c r="E160" s="466"/>
      <c r="F160" s="466"/>
      <c r="G160" s="466"/>
      <c r="H160" s="465">
        <f>SUM(H150:H159)</f>
        <v>579</v>
      </c>
    </row>
    <row r="162" spans="1:8" x14ac:dyDescent="0.25">
      <c r="A162" s="456"/>
      <c r="B162" s="454" t="s">
        <v>458</v>
      </c>
      <c r="C162" s="717" t="s">
        <v>475</v>
      </c>
      <c r="D162" s="717"/>
      <c r="E162" s="717"/>
      <c r="F162" s="717"/>
      <c r="G162" s="456"/>
      <c r="H162" s="456"/>
    </row>
    <row r="163" spans="1:8" x14ac:dyDescent="0.25">
      <c r="A163" s="456"/>
      <c r="B163" s="454" t="s">
        <v>459</v>
      </c>
      <c r="C163" s="718">
        <v>44832</v>
      </c>
      <c r="D163" s="717"/>
      <c r="E163" s="717"/>
      <c r="F163" s="717"/>
      <c r="G163" s="456"/>
      <c r="H163" s="456"/>
    </row>
    <row r="164" spans="1:8" x14ac:dyDescent="0.25">
      <c r="A164" s="456"/>
      <c r="B164" s="456"/>
      <c r="C164" s="456"/>
      <c r="D164" s="456"/>
      <c r="E164" s="456"/>
      <c r="F164" s="456"/>
      <c r="G164" s="456"/>
      <c r="H164" s="456"/>
    </row>
    <row r="165" spans="1:8" x14ac:dyDescent="0.25">
      <c r="A165" s="456"/>
      <c r="B165" s="457" t="s">
        <v>460</v>
      </c>
      <c r="C165" s="716" t="s">
        <v>2</v>
      </c>
      <c r="D165" s="716"/>
      <c r="E165" s="716"/>
      <c r="F165" s="716"/>
      <c r="G165" s="457" t="s">
        <v>461</v>
      </c>
      <c r="H165" s="457" t="s">
        <v>313</v>
      </c>
    </row>
    <row r="166" spans="1:8" x14ac:dyDescent="0.25">
      <c r="A166" s="456"/>
      <c r="B166" s="457">
        <v>1</v>
      </c>
      <c r="C166" s="716" t="s">
        <v>464</v>
      </c>
      <c r="D166" s="716"/>
      <c r="E166" s="716"/>
      <c r="F166" s="716"/>
      <c r="G166" s="457">
        <v>15</v>
      </c>
      <c r="H166" s="457">
        <f>G166*B166</f>
        <v>15</v>
      </c>
    </row>
    <row r="167" spans="1:8" x14ac:dyDescent="0.25">
      <c r="A167" s="456"/>
      <c r="B167" s="457"/>
      <c r="C167" s="716"/>
      <c r="D167" s="716"/>
      <c r="E167" s="716"/>
      <c r="F167" s="716"/>
      <c r="G167" s="457"/>
      <c r="H167" s="457">
        <f t="shared" ref="H167:H175" si="11">G167*B167</f>
        <v>0</v>
      </c>
    </row>
    <row r="168" spans="1:8" x14ac:dyDescent="0.25">
      <c r="A168" s="456"/>
      <c r="B168" s="457"/>
      <c r="C168" s="716"/>
      <c r="D168" s="716"/>
      <c r="E168" s="716"/>
      <c r="F168" s="716"/>
      <c r="G168" s="457"/>
      <c r="H168" s="457">
        <f t="shared" si="11"/>
        <v>0</v>
      </c>
    </row>
    <row r="169" spans="1:8" x14ac:dyDescent="0.25">
      <c r="A169" s="456"/>
      <c r="B169" s="457"/>
      <c r="C169" s="716"/>
      <c r="D169" s="716"/>
      <c r="E169" s="716"/>
      <c r="F169" s="716"/>
      <c r="G169" s="457"/>
      <c r="H169" s="457">
        <f t="shared" si="11"/>
        <v>0</v>
      </c>
    </row>
    <row r="170" spans="1:8" x14ac:dyDescent="0.25">
      <c r="A170" s="456"/>
      <c r="B170" s="457"/>
      <c r="C170" s="716"/>
      <c r="D170" s="716"/>
      <c r="E170" s="716"/>
      <c r="F170" s="716"/>
      <c r="G170" s="457"/>
      <c r="H170" s="457">
        <f t="shared" si="11"/>
        <v>0</v>
      </c>
    </row>
    <row r="171" spans="1:8" x14ac:dyDescent="0.25">
      <c r="A171" s="456"/>
      <c r="B171" s="457"/>
      <c r="C171" s="716"/>
      <c r="D171" s="716"/>
      <c r="E171" s="716"/>
      <c r="F171" s="716"/>
      <c r="G171" s="457"/>
      <c r="H171" s="457">
        <f t="shared" si="11"/>
        <v>0</v>
      </c>
    </row>
    <row r="172" spans="1:8" x14ac:dyDescent="0.25">
      <c r="A172" s="456"/>
      <c r="B172" s="457"/>
      <c r="C172" s="716"/>
      <c r="D172" s="716"/>
      <c r="E172" s="716"/>
      <c r="F172" s="716"/>
      <c r="G172" s="457"/>
      <c r="H172" s="457">
        <f t="shared" si="11"/>
        <v>0</v>
      </c>
    </row>
    <row r="173" spans="1:8" x14ac:dyDescent="0.25">
      <c r="A173" s="456"/>
      <c r="B173" s="457"/>
      <c r="C173" s="716"/>
      <c r="D173" s="716"/>
      <c r="E173" s="716"/>
      <c r="F173" s="716"/>
      <c r="G173" s="457"/>
      <c r="H173" s="457">
        <f t="shared" si="11"/>
        <v>0</v>
      </c>
    </row>
    <row r="174" spans="1:8" x14ac:dyDescent="0.25">
      <c r="A174" s="456"/>
      <c r="B174" s="457"/>
      <c r="C174" s="716"/>
      <c r="D174" s="716"/>
      <c r="E174" s="716"/>
      <c r="F174" s="716"/>
      <c r="G174" s="457"/>
      <c r="H174" s="457">
        <f t="shared" si="11"/>
        <v>0</v>
      </c>
    </row>
    <row r="175" spans="1:8" x14ac:dyDescent="0.25">
      <c r="A175" s="456"/>
      <c r="B175" s="457"/>
      <c r="C175" s="716"/>
      <c r="D175" s="716"/>
      <c r="E175" s="716"/>
      <c r="F175" s="716"/>
      <c r="G175" s="457"/>
      <c r="H175" s="457">
        <f t="shared" si="11"/>
        <v>0</v>
      </c>
    </row>
    <row r="176" spans="1:8" x14ac:dyDescent="0.25">
      <c r="A176" s="456"/>
      <c r="B176" s="458"/>
      <c r="C176" s="458"/>
      <c r="D176" s="458"/>
      <c r="E176" s="458"/>
      <c r="F176" s="458"/>
      <c r="G176" s="458"/>
      <c r="H176" s="457">
        <f>SUM(H166:H175)</f>
        <v>15</v>
      </c>
    </row>
    <row r="178" spans="1:8" x14ac:dyDescent="0.25">
      <c r="A178" s="463"/>
      <c r="B178" s="464" t="s">
        <v>458</v>
      </c>
      <c r="C178" s="725" t="s">
        <v>484</v>
      </c>
      <c r="D178" s="725"/>
      <c r="E178" s="725"/>
      <c r="F178" s="725"/>
      <c r="G178" s="463"/>
      <c r="H178" s="463"/>
    </row>
    <row r="179" spans="1:8" x14ac:dyDescent="0.25">
      <c r="A179" s="463"/>
      <c r="B179" s="464" t="s">
        <v>459</v>
      </c>
      <c r="C179" s="726">
        <v>44888</v>
      </c>
      <c r="D179" s="725"/>
      <c r="E179" s="725"/>
      <c r="F179" s="725"/>
      <c r="G179" s="463"/>
      <c r="H179" s="463"/>
    </row>
    <row r="180" spans="1:8" x14ac:dyDescent="0.25">
      <c r="A180" s="463"/>
      <c r="B180" s="463"/>
      <c r="C180" s="463"/>
      <c r="D180" s="463"/>
      <c r="E180" s="463"/>
      <c r="F180" s="463"/>
      <c r="G180" s="463"/>
      <c r="H180" s="463"/>
    </row>
    <row r="181" spans="1:8" x14ac:dyDescent="0.25">
      <c r="A181" s="463"/>
      <c r="B181" s="465" t="s">
        <v>460</v>
      </c>
      <c r="C181" s="727" t="s">
        <v>2</v>
      </c>
      <c r="D181" s="727"/>
      <c r="E181" s="727"/>
      <c r="F181" s="727"/>
      <c r="G181" s="465" t="s">
        <v>461</v>
      </c>
      <c r="H181" s="465" t="s">
        <v>313</v>
      </c>
    </row>
    <row r="182" spans="1:8" x14ac:dyDescent="0.25">
      <c r="A182" s="463"/>
      <c r="B182" s="465">
        <v>2</v>
      </c>
      <c r="C182" s="727" t="s">
        <v>485</v>
      </c>
      <c r="D182" s="727"/>
      <c r="E182" s="727"/>
      <c r="F182" s="727"/>
      <c r="G182" s="465">
        <v>50</v>
      </c>
      <c r="H182" s="465">
        <f>G182*B182</f>
        <v>100</v>
      </c>
    </row>
    <row r="183" spans="1:8" x14ac:dyDescent="0.25">
      <c r="A183" s="463"/>
      <c r="B183" s="465">
        <v>1</v>
      </c>
      <c r="C183" s="727" t="s">
        <v>463</v>
      </c>
      <c r="D183" s="727"/>
      <c r="E183" s="727"/>
      <c r="F183" s="727"/>
      <c r="G183" s="465">
        <v>106</v>
      </c>
      <c r="H183" s="465">
        <f t="shared" ref="H183:H191" si="12">G183*B183</f>
        <v>106</v>
      </c>
    </row>
    <row r="184" spans="1:8" x14ac:dyDescent="0.25">
      <c r="A184" s="463"/>
      <c r="B184" s="465">
        <v>1</v>
      </c>
      <c r="C184" s="727" t="s">
        <v>486</v>
      </c>
      <c r="D184" s="727"/>
      <c r="E184" s="727"/>
      <c r="F184" s="727"/>
      <c r="G184" s="465">
        <v>31</v>
      </c>
      <c r="H184" s="465">
        <f t="shared" si="12"/>
        <v>31</v>
      </c>
    </row>
    <row r="185" spans="1:8" x14ac:dyDescent="0.25">
      <c r="A185" s="463"/>
      <c r="B185" s="465">
        <v>1</v>
      </c>
      <c r="C185" s="727" t="s">
        <v>472</v>
      </c>
      <c r="D185" s="727"/>
      <c r="E185" s="727"/>
      <c r="F185" s="727"/>
      <c r="G185" s="465">
        <v>39</v>
      </c>
      <c r="H185" s="465">
        <f t="shared" si="12"/>
        <v>39</v>
      </c>
    </row>
    <row r="186" spans="1:8" x14ac:dyDescent="0.25">
      <c r="A186" s="463"/>
      <c r="B186" s="465"/>
      <c r="C186" s="727"/>
      <c r="D186" s="727"/>
      <c r="E186" s="727"/>
      <c r="F186" s="727"/>
      <c r="G186" s="465"/>
      <c r="H186" s="465">
        <f t="shared" si="12"/>
        <v>0</v>
      </c>
    </row>
    <row r="187" spans="1:8" x14ac:dyDescent="0.25">
      <c r="A187" s="463"/>
      <c r="B187" s="465"/>
      <c r="C187" s="727"/>
      <c r="D187" s="727"/>
      <c r="E187" s="727"/>
      <c r="F187" s="727"/>
      <c r="G187" s="465"/>
      <c r="H187" s="465">
        <f t="shared" si="12"/>
        <v>0</v>
      </c>
    </row>
    <row r="188" spans="1:8" x14ac:dyDescent="0.25">
      <c r="A188" s="463"/>
      <c r="B188" s="465"/>
      <c r="C188" s="727"/>
      <c r="D188" s="727"/>
      <c r="E188" s="727"/>
      <c r="F188" s="727"/>
      <c r="G188" s="465"/>
      <c r="H188" s="465">
        <f t="shared" si="12"/>
        <v>0</v>
      </c>
    </row>
    <row r="189" spans="1:8" x14ac:dyDescent="0.25">
      <c r="A189" s="463"/>
      <c r="B189" s="465"/>
      <c r="C189" s="727"/>
      <c r="D189" s="727"/>
      <c r="E189" s="727"/>
      <c r="F189" s="727"/>
      <c r="G189" s="465"/>
      <c r="H189" s="465">
        <f t="shared" si="12"/>
        <v>0</v>
      </c>
    </row>
    <row r="190" spans="1:8" x14ac:dyDescent="0.25">
      <c r="A190" s="463"/>
      <c r="B190" s="465"/>
      <c r="C190" s="727"/>
      <c r="D190" s="727"/>
      <c r="E190" s="727"/>
      <c r="F190" s="727"/>
      <c r="G190" s="465"/>
      <c r="H190" s="465">
        <f t="shared" si="12"/>
        <v>0</v>
      </c>
    </row>
    <row r="191" spans="1:8" x14ac:dyDescent="0.25">
      <c r="A191" s="463"/>
      <c r="B191" s="465"/>
      <c r="C191" s="727"/>
      <c r="D191" s="727"/>
      <c r="E191" s="727"/>
      <c r="F191" s="727"/>
      <c r="G191" s="465"/>
      <c r="H191" s="465">
        <f t="shared" si="12"/>
        <v>0</v>
      </c>
    </row>
    <row r="192" spans="1:8" x14ac:dyDescent="0.25">
      <c r="A192" s="463"/>
      <c r="B192" s="466"/>
      <c r="C192" s="466"/>
      <c r="D192" s="466"/>
      <c r="E192" s="466"/>
      <c r="F192" s="466"/>
      <c r="G192" s="466"/>
      <c r="H192" s="465">
        <f>SUM(H182:H191)</f>
        <v>276</v>
      </c>
    </row>
    <row r="194" spans="1:8" x14ac:dyDescent="0.25">
      <c r="A194" s="463"/>
      <c r="B194" s="464" t="s">
        <v>458</v>
      </c>
      <c r="C194" s="725" t="s">
        <v>462</v>
      </c>
      <c r="D194" s="725"/>
      <c r="E194" s="725"/>
      <c r="F194" s="725"/>
      <c r="G194" s="463"/>
      <c r="H194" s="463"/>
    </row>
    <row r="195" spans="1:8" x14ac:dyDescent="0.25">
      <c r="A195" s="463"/>
      <c r="B195" s="464" t="s">
        <v>459</v>
      </c>
      <c r="C195" s="726">
        <v>44890</v>
      </c>
      <c r="D195" s="725"/>
      <c r="E195" s="725"/>
      <c r="F195" s="725"/>
      <c r="G195" s="463"/>
      <c r="H195" s="463"/>
    </row>
    <row r="196" spans="1:8" x14ac:dyDescent="0.25">
      <c r="A196" s="463"/>
      <c r="B196" s="463"/>
      <c r="C196" s="463"/>
      <c r="D196" s="463"/>
      <c r="E196" s="463"/>
      <c r="F196" s="463"/>
      <c r="G196" s="463"/>
      <c r="H196" s="463"/>
    </row>
    <row r="197" spans="1:8" x14ac:dyDescent="0.25">
      <c r="A197" s="463"/>
      <c r="B197" s="465" t="s">
        <v>460</v>
      </c>
      <c r="C197" s="727" t="s">
        <v>2</v>
      </c>
      <c r="D197" s="727"/>
      <c r="E197" s="727"/>
      <c r="F197" s="727"/>
      <c r="G197" s="465" t="s">
        <v>461</v>
      </c>
      <c r="H197" s="465" t="s">
        <v>313</v>
      </c>
    </row>
    <row r="198" spans="1:8" x14ac:dyDescent="0.25">
      <c r="A198" s="463"/>
      <c r="B198" s="465">
        <v>2</v>
      </c>
      <c r="C198" s="727" t="s">
        <v>464</v>
      </c>
      <c r="D198" s="727"/>
      <c r="E198" s="727"/>
      <c r="F198" s="727"/>
      <c r="G198" s="465">
        <v>15</v>
      </c>
      <c r="H198" s="465">
        <f>G198*B198</f>
        <v>30</v>
      </c>
    </row>
    <row r="199" spans="1:8" x14ac:dyDescent="0.25">
      <c r="A199" s="463"/>
      <c r="B199" s="465"/>
      <c r="C199" s="727"/>
      <c r="D199" s="727"/>
      <c r="E199" s="727"/>
      <c r="F199" s="727"/>
      <c r="G199" s="465"/>
      <c r="H199" s="465">
        <f t="shared" ref="H199:H207" si="13">G199*B199</f>
        <v>0</v>
      </c>
    </row>
    <row r="200" spans="1:8" x14ac:dyDescent="0.25">
      <c r="A200" s="463"/>
      <c r="B200" s="465"/>
      <c r="C200" s="727"/>
      <c r="D200" s="727"/>
      <c r="E200" s="727"/>
      <c r="F200" s="727"/>
      <c r="G200" s="465"/>
      <c r="H200" s="465">
        <f t="shared" si="13"/>
        <v>0</v>
      </c>
    </row>
    <row r="201" spans="1:8" x14ac:dyDescent="0.25">
      <c r="A201" s="463"/>
      <c r="B201" s="465"/>
      <c r="C201" s="727"/>
      <c r="D201" s="727"/>
      <c r="E201" s="727"/>
      <c r="F201" s="727"/>
      <c r="G201" s="465"/>
      <c r="H201" s="465">
        <f t="shared" si="13"/>
        <v>0</v>
      </c>
    </row>
    <row r="202" spans="1:8" x14ac:dyDescent="0.25">
      <c r="A202" s="463"/>
      <c r="B202" s="465"/>
      <c r="C202" s="727"/>
      <c r="D202" s="727"/>
      <c r="E202" s="727"/>
      <c r="F202" s="727"/>
      <c r="G202" s="465"/>
      <c r="H202" s="465">
        <f t="shared" si="13"/>
        <v>0</v>
      </c>
    </row>
    <row r="203" spans="1:8" x14ac:dyDescent="0.25">
      <c r="A203" s="463"/>
      <c r="B203" s="465"/>
      <c r="C203" s="727"/>
      <c r="D203" s="727"/>
      <c r="E203" s="727"/>
      <c r="F203" s="727"/>
      <c r="G203" s="465"/>
      <c r="H203" s="465">
        <f t="shared" si="13"/>
        <v>0</v>
      </c>
    </row>
    <row r="204" spans="1:8" x14ac:dyDescent="0.25">
      <c r="A204" s="463"/>
      <c r="B204" s="465"/>
      <c r="C204" s="727"/>
      <c r="D204" s="727"/>
      <c r="E204" s="727"/>
      <c r="F204" s="727"/>
      <c r="G204" s="465"/>
      <c r="H204" s="465">
        <f t="shared" si="13"/>
        <v>0</v>
      </c>
    </row>
    <row r="205" spans="1:8" x14ac:dyDescent="0.25">
      <c r="A205" s="463"/>
      <c r="B205" s="465"/>
      <c r="C205" s="727"/>
      <c r="D205" s="727"/>
      <c r="E205" s="727"/>
      <c r="F205" s="727"/>
      <c r="G205" s="465"/>
      <c r="H205" s="465">
        <f t="shared" si="13"/>
        <v>0</v>
      </c>
    </row>
    <row r="206" spans="1:8" x14ac:dyDescent="0.25">
      <c r="A206" s="463"/>
      <c r="B206" s="465"/>
      <c r="C206" s="727"/>
      <c r="D206" s="727"/>
      <c r="E206" s="727"/>
      <c r="F206" s="727"/>
      <c r="G206" s="465"/>
      <c r="H206" s="465">
        <f t="shared" si="13"/>
        <v>0</v>
      </c>
    </row>
    <row r="207" spans="1:8" x14ac:dyDescent="0.25">
      <c r="A207" s="463"/>
      <c r="B207" s="465"/>
      <c r="C207" s="727"/>
      <c r="D207" s="727"/>
      <c r="E207" s="727"/>
      <c r="F207" s="727"/>
      <c r="G207" s="465"/>
      <c r="H207" s="465">
        <f t="shared" si="13"/>
        <v>0</v>
      </c>
    </row>
    <row r="208" spans="1:8" x14ac:dyDescent="0.25">
      <c r="A208" s="463"/>
      <c r="B208" s="466"/>
      <c r="C208" s="466"/>
      <c r="D208" s="466"/>
      <c r="E208" s="466"/>
      <c r="F208" s="466"/>
      <c r="G208" s="466"/>
      <c r="H208" s="465">
        <f>SUM(H198:H207)</f>
        <v>30</v>
      </c>
    </row>
    <row r="210" spans="1:8" x14ac:dyDescent="0.25">
      <c r="A210" s="456"/>
      <c r="B210" s="454" t="s">
        <v>458</v>
      </c>
      <c r="C210" s="717" t="s">
        <v>495</v>
      </c>
      <c r="D210" s="717"/>
      <c r="E210" s="717"/>
      <c r="F210" s="717"/>
      <c r="G210" s="456"/>
      <c r="H210" s="456"/>
    </row>
    <row r="211" spans="1:8" x14ac:dyDescent="0.25">
      <c r="A211" s="456"/>
      <c r="B211" s="454" t="s">
        <v>459</v>
      </c>
      <c r="C211" s="718">
        <v>44891</v>
      </c>
      <c r="D211" s="717"/>
      <c r="E211" s="717"/>
      <c r="F211" s="717"/>
      <c r="G211" s="456"/>
      <c r="H211" s="456"/>
    </row>
    <row r="212" spans="1:8" x14ac:dyDescent="0.25">
      <c r="A212" s="456"/>
      <c r="B212" s="456"/>
      <c r="C212" s="456"/>
      <c r="D212" s="456"/>
      <c r="E212" s="456"/>
      <c r="F212" s="456"/>
      <c r="G212" s="456"/>
      <c r="H212" s="456"/>
    </row>
    <row r="213" spans="1:8" x14ac:dyDescent="0.25">
      <c r="A213" s="456"/>
      <c r="B213" s="457" t="s">
        <v>460</v>
      </c>
      <c r="C213" s="716" t="s">
        <v>2</v>
      </c>
      <c r="D213" s="716"/>
      <c r="E213" s="716"/>
      <c r="F213" s="716"/>
      <c r="G213" s="457" t="s">
        <v>461</v>
      </c>
      <c r="H213" s="457" t="s">
        <v>313</v>
      </c>
    </row>
    <row r="214" spans="1:8" x14ac:dyDescent="0.25">
      <c r="A214" s="456"/>
      <c r="B214" s="457">
        <v>1</v>
      </c>
      <c r="C214" s="716" t="s">
        <v>465</v>
      </c>
      <c r="D214" s="716"/>
      <c r="E214" s="716"/>
      <c r="F214" s="716"/>
      <c r="G214" s="457">
        <v>34</v>
      </c>
      <c r="H214" s="457">
        <f>G214*B214</f>
        <v>34</v>
      </c>
    </row>
    <row r="215" spans="1:8" x14ac:dyDescent="0.25">
      <c r="A215" s="456"/>
      <c r="B215" s="457"/>
      <c r="C215" s="716"/>
      <c r="D215" s="716"/>
      <c r="E215" s="716"/>
      <c r="F215" s="716"/>
      <c r="G215" s="457"/>
      <c r="H215" s="457">
        <f t="shared" ref="H215:H223" si="14">G215*B215</f>
        <v>0</v>
      </c>
    </row>
    <row r="216" spans="1:8" x14ac:dyDescent="0.25">
      <c r="A216" s="456"/>
      <c r="B216" s="457"/>
      <c r="C216" s="716"/>
      <c r="D216" s="716"/>
      <c r="E216" s="716"/>
      <c r="F216" s="716"/>
      <c r="G216" s="457"/>
      <c r="H216" s="457">
        <f t="shared" si="14"/>
        <v>0</v>
      </c>
    </row>
    <row r="217" spans="1:8" x14ac:dyDescent="0.25">
      <c r="A217" s="456"/>
      <c r="B217" s="457"/>
      <c r="C217" s="716"/>
      <c r="D217" s="716"/>
      <c r="E217" s="716"/>
      <c r="F217" s="716"/>
      <c r="G217" s="457"/>
      <c r="H217" s="457">
        <f t="shared" si="14"/>
        <v>0</v>
      </c>
    </row>
    <row r="218" spans="1:8" x14ac:dyDescent="0.25">
      <c r="A218" s="456"/>
      <c r="B218" s="457"/>
      <c r="C218" s="716"/>
      <c r="D218" s="716"/>
      <c r="E218" s="716"/>
      <c r="F218" s="716"/>
      <c r="G218" s="457"/>
      <c r="H218" s="457">
        <f t="shared" si="14"/>
        <v>0</v>
      </c>
    </row>
    <row r="219" spans="1:8" x14ac:dyDescent="0.25">
      <c r="A219" s="456"/>
      <c r="B219" s="457"/>
      <c r="C219" s="716"/>
      <c r="D219" s="716"/>
      <c r="E219" s="716"/>
      <c r="F219" s="716"/>
      <c r="G219" s="457"/>
      <c r="H219" s="457">
        <f t="shared" si="14"/>
        <v>0</v>
      </c>
    </row>
    <row r="220" spans="1:8" x14ac:dyDescent="0.25">
      <c r="A220" s="456"/>
      <c r="B220" s="457"/>
      <c r="C220" s="716"/>
      <c r="D220" s="716"/>
      <c r="E220" s="716"/>
      <c r="F220" s="716"/>
      <c r="G220" s="457"/>
      <c r="H220" s="457">
        <f t="shared" si="14"/>
        <v>0</v>
      </c>
    </row>
    <row r="221" spans="1:8" x14ac:dyDescent="0.25">
      <c r="A221" s="456"/>
      <c r="B221" s="457"/>
      <c r="C221" s="716"/>
      <c r="D221" s="716"/>
      <c r="E221" s="716"/>
      <c r="F221" s="716"/>
      <c r="G221" s="457"/>
      <c r="H221" s="457">
        <f t="shared" si="14"/>
        <v>0</v>
      </c>
    </row>
    <row r="222" spans="1:8" x14ac:dyDescent="0.25">
      <c r="A222" s="456"/>
      <c r="B222" s="457"/>
      <c r="C222" s="716"/>
      <c r="D222" s="716"/>
      <c r="E222" s="716"/>
      <c r="F222" s="716"/>
      <c r="G222" s="457"/>
      <c r="H222" s="457">
        <f t="shared" si="14"/>
        <v>0</v>
      </c>
    </row>
    <row r="223" spans="1:8" x14ac:dyDescent="0.25">
      <c r="A223" s="456"/>
      <c r="B223" s="457"/>
      <c r="C223" s="716"/>
      <c r="D223" s="716"/>
      <c r="E223" s="716"/>
      <c r="F223" s="716"/>
      <c r="G223" s="457"/>
      <c r="H223" s="457">
        <f t="shared" si="14"/>
        <v>0</v>
      </c>
    </row>
    <row r="224" spans="1:8" x14ac:dyDescent="0.25">
      <c r="A224" s="456"/>
      <c r="B224" s="458"/>
      <c r="C224" s="458"/>
      <c r="D224" s="458"/>
      <c r="E224" s="458"/>
      <c r="F224" s="458"/>
      <c r="G224" s="458"/>
      <c r="H224" s="457">
        <f>SUM(H214:H223)</f>
        <v>34</v>
      </c>
    </row>
    <row r="226" spans="1:8" x14ac:dyDescent="0.25">
      <c r="A226" s="456"/>
      <c r="B226" s="454" t="s">
        <v>458</v>
      </c>
      <c r="C226" s="717" t="s">
        <v>468</v>
      </c>
      <c r="D226" s="717"/>
      <c r="E226" s="717"/>
      <c r="F226" s="717"/>
      <c r="G226" s="456"/>
      <c r="H226" s="456"/>
    </row>
    <row r="227" spans="1:8" x14ac:dyDescent="0.25">
      <c r="A227" s="456"/>
      <c r="B227" s="454" t="s">
        <v>459</v>
      </c>
      <c r="C227" s="718">
        <v>44902</v>
      </c>
      <c r="D227" s="717"/>
      <c r="E227" s="717"/>
      <c r="F227" s="717"/>
      <c r="G227" s="456"/>
      <c r="H227" s="456"/>
    </row>
    <row r="228" spans="1:8" x14ac:dyDescent="0.25">
      <c r="A228" s="456"/>
      <c r="B228" s="456"/>
      <c r="C228" s="456"/>
      <c r="D228" s="456"/>
      <c r="E228" s="456"/>
      <c r="F228" s="456"/>
      <c r="G228" s="456"/>
      <c r="H228" s="456"/>
    </row>
    <row r="229" spans="1:8" x14ac:dyDescent="0.25">
      <c r="A229" s="456"/>
      <c r="B229" s="457" t="s">
        <v>460</v>
      </c>
      <c r="C229" s="716" t="s">
        <v>2</v>
      </c>
      <c r="D229" s="716"/>
      <c r="E229" s="716"/>
      <c r="F229" s="716"/>
      <c r="G229" s="457" t="s">
        <v>461</v>
      </c>
      <c r="H229" s="457" t="s">
        <v>313</v>
      </c>
    </row>
    <row r="230" spans="1:8" x14ac:dyDescent="0.25">
      <c r="A230" s="456"/>
      <c r="B230" s="457">
        <v>20</v>
      </c>
      <c r="C230" s="716" t="s">
        <v>465</v>
      </c>
      <c r="D230" s="716"/>
      <c r="E230" s="716"/>
      <c r="F230" s="716"/>
      <c r="G230" s="457">
        <v>34</v>
      </c>
      <c r="H230" s="457">
        <f>G230*B230</f>
        <v>680</v>
      </c>
    </row>
    <row r="231" spans="1:8" x14ac:dyDescent="0.25">
      <c r="A231" s="456"/>
      <c r="B231" s="457">
        <v>12</v>
      </c>
      <c r="C231" s="716" t="s">
        <v>464</v>
      </c>
      <c r="D231" s="716"/>
      <c r="E231" s="716"/>
      <c r="F231" s="716"/>
      <c r="G231" s="457">
        <v>15</v>
      </c>
      <c r="H231" s="457">
        <f t="shared" ref="H231:H239" si="15">G231*B231</f>
        <v>180</v>
      </c>
    </row>
    <row r="232" spans="1:8" x14ac:dyDescent="0.25">
      <c r="A232" s="456"/>
      <c r="B232" s="457"/>
      <c r="C232" s="716"/>
      <c r="D232" s="716"/>
      <c r="E232" s="716"/>
      <c r="F232" s="716"/>
      <c r="G232" s="457"/>
      <c r="H232" s="457">
        <f t="shared" si="15"/>
        <v>0</v>
      </c>
    </row>
    <row r="233" spans="1:8" x14ac:dyDescent="0.25">
      <c r="A233" s="456"/>
      <c r="B233" s="457"/>
      <c r="C233" s="716"/>
      <c r="D233" s="716"/>
      <c r="E233" s="716"/>
      <c r="F233" s="716"/>
      <c r="G233" s="457"/>
      <c r="H233" s="457">
        <f t="shared" si="15"/>
        <v>0</v>
      </c>
    </row>
    <row r="234" spans="1:8" x14ac:dyDescent="0.25">
      <c r="A234" s="456"/>
      <c r="B234" s="457"/>
      <c r="C234" s="716"/>
      <c r="D234" s="716"/>
      <c r="E234" s="716"/>
      <c r="F234" s="716"/>
      <c r="G234" s="457"/>
      <c r="H234" s="457">
        <f t="shared" si="15"/>
        <v>0</v>
      </c>
    </row>
    <row r="235" spans="1:8" x14ac:dyDescent="0.25">
      <c r="A235" s="456"/>
      <c r="B235" s="457"/>
      <c r="C235" s="716"/>
      <c r="D235" s="716"/>
      <c r="E235" s="716"/>
      <c r="F235" s="716"/>
      <c r="G235" s="457"/>
      <c r="H235" s="457">
        <f t="shared" si="15"/>
        <v>0</v>
      </c>
    </row>
    <row r="236" spans="1:8" x14ac:dyDescent="0.25">
      <c r="A236" s="456"/>
      <c r="B236" s="457"/>
      <c r="C236" s="716"/>
      <c r="D236" s="716"/>
      <c r="E236" s="716"/>
      <c r="F236" s="716"/>
      <c r="G236" s="457"/>
      <c r="H236" s="457">
        <f t="shared" si="15"/>
        <v>0</v>
      </c>
    </row>
    <row r="237" spans="1:8" x14ac:dyDescent="0.25">
      <c r="A237" s="456"/>
      <c r="B237" s="457"/>
      <c r="C237" s="716"/>
      <c r="D237" s="716"/>
      <c r="E237" s="716"/>
      <c r="F237" s="716"/>
      <c r="G237" s="457"/>
      <c r="H237" s="457">
        <f t="shared" si="15"/>
        <v>0</v>
      </c>
    </row>
    <row r="238" spans="1:8" x14ac:dyDescent="0.25">
      <c r="A238" s="456"/>
      <c r="B238" s="457"/>
      <c r="C238" s="716"/>
      <c r="D238" s="716"/>
      <c r="E238" s="716"/>
      <c r="F238" s="716"/>
      <c r="G238" s="457"/>
      <c r="H238" s="457">
        <f t="shared" si="15"/>
        <v>0</v>
      </c>
    </row>
    <row r="239" spans="1:8" x14ac:dyDescent="0.25">
      <c r="A239" s="456"/>
      <c r="B239" s="457"/>
      <c r="C239" s="716"/>
      <c r="D239" s="716"/>
      <c r="E239" s="716"/>
      <c r="F239" s="716"/>
      <c r="G239" s="457"/>
      <c r="H239" s="457">
        <f t="shared" si="15"/>
        <v>0</v>
      </c>
    </row>
    <row r="240" spans="1:8" x14ac:dyDescent="0.25">
      <c r="A240" s="456"/>
      <c r="B240" s="458"/>
      <c r="C240" s="458"/>
      <c r="D240" s="458"/>
      <c r="E240" s="458"/>
      <c r="F240" s="458"/>
      <c r="G240" s="458"/>
      <c r="H240" s="457">
        <f>SUM(H230:H239)</f>
        <v>860</v>
      </c>
    </row>
    <row r="242" spans="1:8" x14ac:dyDescent="0.25">
      <c r="A242" s="463"/>
      <c r="B242" s="464" t="s">
        <v>458</v>
      </c>
      <c r="C242" s="725" t="s">
        <v>508</v>
      </c>
      <c r="D242" s="725"/>
      <c r="E242" s="725"/>
      <c r="F242" s="725"/>
      <c r="G242" s="463"/>
      <c r="H242" s="463"/>
    </row>
    <row r="243" spans="1:8" x14ac:dyDescent="0.25">
      <c r="A243" s="463"/>
      <c r="B243" s="464" t="s">
        <v>459</v>
      </c>
      <c r="C243" s="726">
        <v>44903</v>
      </c>
      <c r="D243" s="725"/>
      <c r="E243" s="725"/>
      <c r="F243" s="725"/>
      <c r="G243" s="463"/>
      <c r="H243" s="463"/>
    </row>
    <row r="244" spans="1:8" x14ac:dyDescent="0.25">
      <c r="A244" s="463"/>
      <c r="B244" s="463"/>
      <c r="C244" s="463"/>
      <c r="D244" s="463"/>
      <c r="E244" s="463"/>
      <c r="F244" s="463"/>
      <c r="G244" s="463"/>
      <c r="H244" s="463"/>
    </row>
    <row r="245" spans="1:8" x14ac:dyDescent="0.25">
      <c r="A245" s="463"/>
      <c r="B245" s="465" t="s">
        <v>460</v>
      </c>
      <c r="C245" s="727" t="s">
        <v>2</v>
      </c>
      <c r="D245" s="727"/>
      <c r="E245" s="727"/>
      <c r="F245" s="727"/>
      <c r="G245" s="465" t="s">
        <v>461</v>
      </c>
      <c r="H245" s="465" t="s">
        <v>313</v>
      </c>
    </row>
    <row r="246" spans="1:8" x14ac:dyDescent="0.25">
      <c r="A246" s="463"/>
      <c r="B246" s="465">
        <v>4</v>
      </c>
      <c r="C246" s="727" t="s">
        <v>509</v>
      </c>
      <c r="D246" s="727"/>
      <c r="E246" s="727"/>
      <c r="F246" s="727"/>
      <c r="G246" s="465">
        <v>15</v>
      </c>
      <c r="H246" s="465">
        <f>G246*B246</f>
        <v>60</v>
      </c>
    </row>
    <row r="247" spans="1:8" x14ac:dyDescent="0.25">
      <c r="A247" s="463"/>
      <c r="B247" s="465">
        <v>1</v>
      </c>
      <c r="C247" s="727" t="s">
        <v>510</v>
      </c>
      <c r="D247" s="727"/>
      <c r="E247" s="727"/>
      <c r="F247" s="727"/>
      <c r="G247" s="465">
        <v>18</v>
      </c>
      <c r="H247" s="465">
        <f t="shared" ref="H247:H255" si="16">G247*B247</f>
        <v>18</v>
      </c>
    </row>
    <row r="248" spans="1:8" x14ac:dyDescent="0.25">
      <c r="A248" s="463"/>
      <c r="B248" s="465"/>
      <c r="C248" s="727"/>
      <c r="D248" s="727"/>
      <c r="E248" s="727"/>
      <c r="F248" s="727"/>
      <c r="G248" s="465"/>
      <c r="H248" s="465">
        <f t="shared" si="16"/>
        <v>0</v>
      </c>
    </row>
    <row r="249" spans="1:8" x14ac:dyDescent="0.25">
      <c r="A249" s="463"/>
      <c r="B249" s="465"/>
      <c r="C249" s="727"/>
      <c r="D249" s="727"/>
      <c r="E249" s="727"/>
      <c r="F249" s="727"/>
      <c r="G249" s="465"/>
      <c r="H249" s="465">
        <f t="shared" si="16"/>
        <v>0</v>
      </c>
    </row>
    <row r="250" spans="1:8" x14ac:dyDescent="0.25">
      <c r="A250" s="463"/>
      <c r="B250" s="465"/>
      <c r="C250" s="727"/>
      <c r="D250" s="727"/>
      <c r="E250" s="727"/>
      <c r="F250" s="727"/>
      <c r="G250" s="465"/>
      <c r="H250" s="465">
        <f t="shared" si="16"/>
        <v>0</v>
      </c>
    </row>
    <row r="251" spans="1:8" x14ac:dyDescent="0.25">
      <c r="A251" s="463"/>
      <c r="B251" s="465"/>
      <c r="C251" s="727"/>
      <c r="D251" s="727"/>
      <c r="E251" s="727"/>
      <c r="F251" s="727"/>
      <c r="G251" s="465"/>
      <c r="H251" s="465">
        <f t="shared" si="16"/>
        <v>0</v>
      </c>
    </row>
    <row r="252" spans="1:8" x14ac:dyDescent="0.25">
      <c r="A252" s="463"/>
      <c r="B252" s="465"/>
      <c r="C252" s="727"/>
      <c r="D252" s="727"/>
      <c r="E252" s="727"/>
      <c r="F252" s="727"/>
      <c r="G252" s="465"/>
      <c r="H252" s="465">
        <f t="shared" si="16"/>
        <v>0</v>
      </c>
    </row>
    <row r="253" spans="1:8" x14ac:dyDescent="0.25">
      <c r="A253" s="463"/>
      <c r="B253" s="465"/>
      <c r="C253" s="727"/>
      <c r="D253" s="727"/>
      <c r="E253" s="727"/>
      <c r="F253" s="727"/>
      <c r="G253" s="465"/>
      <c r="H253" s="465">
        <f t="shared" si="16"/>
        <v>0</v>
      </c>
    </row>
    <row r="254" spans="1:8" x14ac:dyDescent="0.25">
      <c r="A254" s="463"/>
      <c r="B254" s="465"/>
      <c r="C254" s="727"/>
      <c r="D254" s="727"/>
      <c r="E254" s="727"/>
      <c r="F254" s="727"/>
      <c r="G254" s="465"/>
      <c r="H254" s="465">
        <f t="shared" si="16"/>
        <v>0</v>
      </c>
    </row>
    <row r="255" spans="1:8" x14ac:dyDescent="0.25">
      <c r="A255" s="463"/>
      <c r="B255" s="465"/>
      <c r="C255" s="727"/>
      <c r="D255" s="727"/>
      <c r="E255" s="727"/>
      <c r="F255" s="727"/>
      <c r="G255" s="465"/>
      <c r="H255" s="465">
        <f t="shared" si="16"/>
        <v>0</v>
      </c>
    </row>
    <row r="256" spans="1:8" x14ac:dyDescent="0.25">
      <c r="A256" s="463"/>
      <c r="B256" s="466"/>
      <c r="C256" s="466"/>
      <c r="D256" s="466"/>
      <c r="E256" s="466"/>
      <c r="F256" s="466"/>
      <c r="G256" s="466"/>
      <c r="H256" s="465">
        <f>SUM(H246:H255)</f>
        <v>78</v>
      </c>
    </row>
    <row r="258" spans="2:8" x14ac:dyDescent="0.25">
      <c r="B258" s="489" t="s">
        <v>458</v>
      </c>
      <c r="C258" s="542" t="s">
        <v>523</v>
      </c>
      <c r="D258" s="542"/>
      <c r="E258" s="542"/>
      <c r="F258" s="542"/>
    </row>
    <row r="259" spans="2:8" x14ac:dyDescent="0.25">
      <c r="B259" s="489" t="s">
        <v>459</v>
      </c>
      <c r="C259" s="719">
        <v>44917</v>
      </c>
      <c r="D259" s="542"/>
      <c r="E259" s="542"/>
      <c r="F259" s="542"/>
    </row>
    <row r="261" spans="2:8" x14ac:dyDescent="0.25">
      <c r="B261" s="488" t="s">
        <v>460</v>
      </c>
      <c r="C261" s="532" t="s">
        <v>2</v>
      </c>
      <c r="D261" s="532"/>
      <c r="E261" s="532"/>
      <c r="F261" s="532"/>
      <c r="G261" s="488" t="s">
        <v>461</v>
      </c>
      <c r="H261" s="488" t="s">
        <v>313</v>
      </c>
    </row>
    <row r="262" spans="2:8" x14ac:dyDescent="0.25">
      <c r="B262" s="488">
        <v>11</v>
      </c>
      <c r="C262" s="532" t="s">
        <v>466</v>
      </c>
      <c r="D262" s="532"/>
      <c r="E262" s="532"/>
      <c r="F262" s="532"/>
      <c r="G262" s="488">
        <v>33</v>
      </c>
      <c r="H262" s="488">
        <f>G262*B262</f>
        <v>363</v>
      </c>
    </row>
    <row r="263" spans="2:8" x14ac:dyDescent="0.25">
      <c r="B263" s="488">
        <v>1</v>
      </c>
      <c r="C263" s="532" t="s">
        <v>524</v>
      </c>
      <c r="D263" s="532"/>
      <c r="E263" s="532"/>
      <c r="F263" s="532"/>
      <c r="G263" s="488">
        <v>31</v>
      </c>
      <c r="H263" s="488">
        <f t="shared" ref="H263:H271" si="17">G263*B263</f>
        <v>31</v>
      </c>
    </row>
    <row r="264" spans="2:8" x14ac:dyDescent="0.25">
      <c r="B264" s="488">
        <v>1</v>
      </c>
      <c r="C264" s="532" t="s">
        <v>525</v>
      </c>
      <c r="D264" s="532"/>
      <c r="E264" s="532"/>
      <c r="F264" s="532"/>
      <c r="G264" s="488">
        <v>106</v>
      </c>
      <c r="H264" s="488">
        <f t="shared" si="17"/>
        <v>106</v>
      </c>
    </row>
    <row r="265" spans="2:8" x14ac:dyDescent="0.25">
      <c r="B265" s="488">
        <v>2</v>
      </c>
      <c r="C265" s="532" t="s">
        <v>464</v>
      </c>
      <c r="D265" s="532"/>
      <c r="E265" s="532"/>
      <c r="F265" s="532"/>
      <c r="G265" s="488">
        <v>15</v>
      </c>
      <c r="H265" s="488">
        <f t="shared" si="17"/>
        <v>30</v>
      </c>
    </row>
    <row r="266" spans="2:8" x14ac:dyDescent="0.25">
      <c r="B266" s="488"/>
      <c r="C266" s="532"/>
      <c r="D266" s="532"/>
      <c r="E266" s="532"/>
      <c r="F266" s="532"/>
      <c r="G266" s="488"/>
      <c r="H266" s="488">
        <f t="shared" si="17"/>
        <v>0</v>
      </c>
    </row>
    <row r="267" spans="2:8" x14ac:dyDescent="0.25">
      <c r="B267" s="488"/>
      <c r="C267" s="532"/>
      <c r="D267" s="532"/>
      <c r="E267" s="532"/>
      <c r="F267" s="532"/>
      <c r="G267" s="488"/>
      <c r="H267" s="488">
        <f t="shared" si="17"/>
        <v>0</v>
      </c>
    </row>
    <row r="268" spans="2:8" x14ac:dyDescent="0.25">
      <c r="B268" s="488"/>
      <c r="C268" s="532"/>
      <c r="D268" s="532"/>
      <c r="E268" s="532"/>
      <c r="F268" s="532"/>
      <c r="G268" s="488"/>
      <c r="H268" s="488">
        <f t="shared" si="17"/>
        <v>0</v>
      </c>
    </row>
    <row r="269" spans="2:8" x14ac:dyDescent="0.25">
      <c r="B269" s="488"/>
      <c r="C269" s="532"/>
      <c r="D269" s="532"/>
      <c r="E269" s="532"/>
      <c r="F269" s="532"/>
      <c r="G269" s="488"/>
      <c r="H269" s="488">
        <f t="shared" si="17"/>
        <v>0</v>
      </c>
    </row>
    <row r="270" spans="2:8" x14ac:dyDescent="0.25">
      <c r="B270" s="488"/>
      <c r="C270" s="532"/>
      <c r="D270" s="532"/>
      <c r="E270" s="532"/>
      <c r="F270" s="532"/>
      <c r="G270" s="488"/>
      <c r="H270" s="488">
        <f t="shared" si="17"/>
        <v>0</v>
      </c>
    </row>
    <row r="271" spans="2:8" x14ac:dyDescent="0.25">
      <c r="B271" s="488"/>
      <c r="C271" s="532"/>
      <c r="D271" s="532"/>
      <c r="E271" s="532"/>
      <c r="F271" s="532"/>
      <c r="G271" s="488"/>
      <c r="H271" s="488">
        <f t="shared" si="17"/>
        <v>0</v>
      </c>
    </row>
    <row r="272" spans="2:8" x14ac:dyDescent="0.25">
      <c r="B272" s="490"/>
      <c r="C272" s="490"/>
      <c r="D272" s="490"/>
      <c r="E272" s="490"/>
      <c r="F272" s="490"/>
      <c r="G272" s="490"/>
      <c r="H272" s="488">
        <f>SUM(H262:H271)</f>
        <v>530</v>
      </c>
    </row>
    <row r="274" spans="2:8" x14ac:dyDescent="0.25">
      <c r="B274" s="492" t="s">
        <v>458</v>
      </c>
      <c r="C274" s="542" t="s">
        <v>527</v>
      </c>
      <c r="D274" s="542"/>
      <c r="E274" s="542"/>
      <c r="F274" s="542"/>
    </row>
    <row r="275" spans="2:8" x14ac:dyDescent="0.25">
      <c r="B275" s="492" t="s">
        <v>459</v>
      </c>
      <c r="C275" s="719">
        <v>44922</v>
      </c>
      <c r="D275" s="542"/>
      <c r="E275" s="542"/>
      <c r="F275" s="542"/>
    </row>
    <row r="277" spans="2:8" x14ac:dyDescent="0.25">
      <c r="B277" s="491" t="s">
        <v>460</v>
      </c>
      <c r="C277" s="532" t="s">
        <v>2</v>
      </c>
      <c r="D277" s="532"/>
      <c r="E277" s="532"/>
      <c r="F277" s="532"/>
      <c r="G277" s="491" t="s">
        <v>461</v>
      </c>
      <c r="H277" s="491" t="s">
        <v>313</v>
      </c>
    </row>
    <row r="278" spans="2:8" x14ac:dyDescent="0.25">
      <c r="B278" s="491">
        <v>1</v>
      </c>
      <c r="C278" s="532" t="s">
        <v>524</v>
      </c>
      <c r="D278" s="532"/>
      <c r="E278" s="532"/>
      <c r="F278" s="532"/>
      <c r="G278" s="491">
        <v>30</v>
      </c>
      <c r="H278" s="491">
        <f>G278*B278</f>
        <v>30</v>
      </c>
    </row>
    <row r="279" spans="2:8" x14ac:dyDescent="0.25">
      <c r="B279" s="491"/>
      <c r="C279" s="532"/>
      <c r="D279" s="532"/>
      <c r="E279" s="532"/>
      <c r="F279" s="532"/>
      <c r="G279" s="491"/>
      <c r="H279" s="491">
        <f t="shared" ref="H279:H287" si="18">G279*B279</f>
        <v>0</v>
      </c>
    </row>
    <row r="280" spans="2:8" x14ac:dyDescent="0.25">
      <c r="B280" s="491"/>
      <c r="C280" s="532"/>
      <c r="D280" s="532"/>
      <c r="E280" s="532"/>
      <c r="F280" s="532"/>
      <c r="G280" s="491"/>
      <c r="H280" s="491">
        <f t="shared" si="18"/>
        <v>0</v>
      </c>
    </row>
    <row r="281" spans="2:8" x14ac:dyDescent="0.25">
      <c r="B281" s="491"/>
      <c r="C281" s="532"/>
      <c r="D281" s="532"/>
      <c r="E281" s="532"/>
      <c r="F281" s="532"/>
      <c r="G281" s="491"/>
      <c r="H281" s="491">
        <f t="shared" si="18"/>
        <v>0</v>
      </c>
    </row>
    <row r="282" spans="2:8" x14ac:dyDescent="0.25">
      <c r="B282" s="491"/>
      <c r="C282" s="532"/>
      <c r="D282" s="532"/>
      <c r="E282" s="532"/>
      <c r="F282" s="532"/>
      <c r="G282" s="491"/>
      <c r="H282" s="491">
        <f t="shared" si="18"/>
        <v>0</v>
      </c>
    </row>
    <row r="283" spans="2:8" x14ac:dyDescent="0.25">
      <c r="B283" s="491"/>
      <c r="C283" s="532"/>
      <c r="D283" s="532"/>
      <c r="E283" s="532"/>
      <c r="F283" s="532"/>
      <c r="G283" s="491"/>
      <c r="H283" s="491">
        <f t="shared" si="18"/>
        <v>0</v>
      </c>
    </row>
    <row r="284" spans="2:8" x14ac:dyDescent="0.25">
      <c r="B284" s="491"/>
      <c r="C284" s="532"/>
      <c r="D284" s="532"/>
      <c r="E284" s="532"/>
      <c r="F284" s="532"/>
      <c r="G284" s="491"/>
      <c r="H284" s="491">
        <f t="shared" si="18"/>
        <v>0</v>
      </c>
    </row>
    <row r="285" spans="2:8" x14ac:dyDescent="0.25">
      <c r="B285" s="491"/>
      <c r="C285" s="532"/>
      <c r="D285" s="532"/>
      <c r="E285" s="532"/>
      <c r="F285" s="532"/>
      <c r="G285" s="491"/>
      <c r="H285" s="491">
        <f t="shared" si="18"/>
        <v>0</v>
      </c>
    </row>
    <row r="286" spans="2:8" x14ac:dyDescent="0.25">
      <c r="B286" s="491"/>
      <c r="C286" s="532"/>
      <c r="D286" s="532"/>
      <c r="E286" s="532"/>
      <c r="F286" s="532"/>
      <c r="G286" s="491"/>
      <c r="H286" s="491">
        <f t="shared" si="18"/>
        <v>0</v>
      </c>
    </row>
    <row r="287" spans="2:8" x14ac:dyDescent="0.25">
      <c r="B287" s="491"/>
      <c r="C287" s="532"/>
      <c r="D287" s="532"/>
      <c r="E287" s="532"/>
      <c r="F287" s="532"/>
      <c r="G287" s="491"/>
      <c r="H287" s="491">
        <f t="shared" si="18"/>
        <v>0</v>
      </c>
    </row>
    <row r="288" spans="2:8" x14ac:dyDescent="0.25">
      <c r="B288" s="493"/>
      <c r="C288" s="493"/>
      <c r="D288" s="493"/>
      <c r="E288" s="493"/>
      <c r="F288" s="493"/>
      <c r="G288" s="493"/>
      <c r="H288" s="491">
        <f>SUM(H278:H287)</f>
        <v>30</v>
      </c>
    </row>
    <row r="289" spans="1:8" x14ac:dyDescent="0.25">
      <c r="A289" s="456"/>
      <c r="B289" s="501" t="s">
        <v>458</v>
      </c>
      <c r="C289" s="717" t="s">
        <v>531</v>
      </c>
      <c r="D289" s="717"/>
      <c r="E289" s="717"/>
      <c r="F289" s="717"/>
      <c r="G289" s="456"/>
      <c r="H289" s="456"/>
    </row>
    <row r="290" spans="1:8" x14ac:dyDescent="0.25">
      <c r="A290" s="456"/>
      <c r="B290" s="501" t="s">
        <v>459</v>
      </c>
      <c r="C290" s="718">
        <v>44944</v>
      </c>
      <c r="D290" s="717"/>
      <c r="E290" s="717"/>
      <c r="F290" s="717"/>
      <c r="G290" s="456"/>
      <c r="H290" s="456"/>
    </row>
    <row r="291" spans="1:8" x14ac:dyDescent="0.25">
      <c r="A291" s="456"/>
      <c r="B291" s="456"/>
      <c r="C291" s="456"/>
      <c r="D291" s="456"/>
      <c r="E291" s="456"/>
      <c r="F291" s="456"/>
      <c r="G291" s="456"/>
      <c r="H291" s="456"/>
    </row>
    <row r="292" spans="1:8" x14ac:dyDescent="0.25">
      <c r="A292" s="456"/>
      <c r="B292" s="502" t="s">
        <v>460</v>
      </c>
      <c r="C292" s="716" t="s">
        <v>2</v>
      </c>
      <c r="D292" s="716"/>
      <c r="E292" s="716"/>
      <c r="F292" s="716"/>
      <c r="G292" s="502" t="s">
        <v>461</v>
      </c>
      <c r="H292" s="502" t="s">
        <v>313</v>
      </c>
    </row>
    <row r="293" spans="1:8" x14ac:dyDescent="0.25">
      <c r="A293" s="456"/>
      <c r="B293" s="502">
        <v>15</v>
      </c>
      <c r="C293" s="716" t="s">
        <v>532</v>
      </c>
      <c r="D293" s="716"/>
      <c r="E293" s="716"/>
      <c r="F293" s="716"/>
      <c r="G293" s="502">
        <v>34</v>
      </c>
      <c r="H293" s="502">
        <f>G293*B293</f>
        <v>510</v>
      </c>
    </row>
    <row r="294" spans="1:8" x14ac:dyDescent="0.25">
      <c r="A294" s="456"/>
      <c r="B294" s="502">
        <v>2</v>
      </c>
      <c r="C294" s="716" t="s">
        <v>524</v>
      </c>
      <c r="D294" s="716"/>
      <c r="E294" s="716"/>
      <c r="F294" s="716"/>
      <c r="G294" s="502">
        <v>30</v>
      </c>
      <c r="H294" s="502">
        <f t="shared" ref="H294:H302" si="19">G294*B294</f>
        <v>60</v>
      </c>
    </row>
    <row r="295" spans="1:8" x14ac:dyDescent="0.25">
      <c r="A295" s="456"/>
      <c r="B295" s="502">
        <v>1</v>
      </c>
      <c r="C295" s="716" t="s">
        <v>463</v>
      </c>
      <c r="D295" s="716"/>
      <c r="E295" s="716"/>
      <c r="F295" s="716"/>
      <c r="G295" s="502">
        <v>106</v>
      </c>
      <c r="H295" s="502">
        <f t="shared" si="19"/>
        <v>106</v>
      </c>
    </row>
    <row r="296" spans="1:8" x14ac:dyDescent="0.25">
      <c r="A296" s="456"/>
      <c r="B296" s="502">
        <v>1</v>
      </c>
      <c r="C296" s="716" t="s">
        <v>472</v>
      </c>
      <c r="D296" s="716"/>
      <c r="E296" s="716"/>
      <c r="F296" s="716"/>
      <c r="G296" s="502">
        <v>39</v>
      </c>
      <c r="H296" s="502">
        <f t="shared" si="19"/>
        <v>39</v>
      </c>
    </row>
    <row r="297" spans="1:8" x14ac:dyDescent="0.25">
      <c r="A297" s="456"/>
      <c r="B297" s="502"/>
      <c r="C297" s="716"/>
      <c r="D297" s="716"/>
      <c r="E297" s="716"/>
      <c r="F297" s="716"/>
      <c r="G297" s="502"/>
      <c r="H297" s="502">
        <f t="shared" si="19"/>
        <v>0</v>
      </c>
    </row>
    <row r="298" spans="1:8" x14ac:dyDescent="0.25">
      <c r="A298" s="456"/>
      <c r="B298" s="502"/>
      <c r="C298" s="716"/>
      <c r="D298" s="716"/>
      <c r="E298" s="716"/>
      <c r="F298" s="716"/>
      <c r="G298" s="502"/>
      <c r="H298" s="502">
        <f t="shared" si="19"/>
        <v>0</v>
      </c>
    </row>
    <row r="299" spans="1:8" x14ac:dyDescent="0.25">
      <c r="A299" s="456"/>
      <c r="B299" s="502"/>
      <c r="C299" s="716"/>
      <c r="D299" s="716"/>
      <c r="E299" s="716"/>
      <c r="F299" s="716"/>
      <c r="G299" s="502"/>
      <c r="H299" s="502">
        <f t="shared" si="19"/>
        <v>0</v>
      </c>
    </row>
    <row r="300" spans="1:8" x14ac:dyDescent="0.25">
      <c r="A300" s="456"/>
      <c r="B300" s="502"/>
      <c r="C300" s="716"/>
      <c r="D300" s="716"/>
      <c r="E300" s="716"/>
      <c r="F300" s="716"/>
      <c r="G300" s="502"/>
      <c r="H300" s="502">
        <f t="shared" si="19"/>
        <v>0</v>
      </c>
    </row>
    <row r="301" spans="1:8" x14ac:dyDescent="0.25">
      <c r="A301" s="456"/>
      <c r="B301" s="502"/>
      <c r="C301" s="716"/>
      <c r="D301" s="716"/>
      <c r="E301" s="716"/>
      <c r="F301" s="716"/>
      <c r="G301" s="502"/>
      <c r="H301" s="502">
        <f t="shared" si="19"/>
        <v>0</v>
      </c>
    </row>
    <row r="302" spans="1:8" x14ac:dyDescent="0.25">
      <c r="A302" s="456"/>
      <c r="B302" s="502"/>
      <c r="C302" s="716"/>
      <c r="D302" s="716"/>
      <c r="E302" s="716"/>
      <c r="F302" s="716"/>
      <c r="G302" s="502"/>
      <c r="H302" s="502">
        <f t="shared" si="19"/>
        <v>0</v>
      </c>
    </row>
    <row r="303" spans="1:8" x14ac:dyDescent="0.25">
      <c r="A303" s="456"/>
      <c r="B303" s="458"/>
      <c r="C303" s="458"/>
      <c r="D303" s="458"/>
      <c r="E303" s="458"/>
      <c r="F303" s="458"/>
      <c r="G303" s="458"/>
      <c r="H303" s="502">
        <f>SUM(H293:H302)</f>
        <v>715</v>
      </c>
    </row>
  </sheetData>
  <mergeCells count="260">
    <mergeCell ref="C234:F234"/>
    <mergeCell ref="C235:F235"/>
    <mergeCell ref="C236:F236"/>
    <mergeCell ref="C237:F237"/>
    <mergeCell ref="C238:F238"/>
    <mergeCell ref="C239:F239"/>
    <mergeCell ref="C227:F227"/>
    <mergeCell ref="C229:F229"/>
    <mergeCell ref="C255:F255"/>
    <mergeCell ref="C249:F249"/>
    <mergeCell ref="C250:F250"/>
    <mergeCell ref="C251:F251"/>
    <mergeCell ref="C252:F252"/>
    <mergeCell ref="C253:F253"/>
    <mergeCell ref="C254:F254"/>
    <mergeCell ref="C242:F242"/>
    <mergeCell ref="C243:F243"/>
    <mergeCell ref="C245:F245"/>
    <mergeCell ref="C246:F246"/>
    <mergeCell ref="C247:F247"/>
    <mergeCell ref="C248:F248"/>
    <mergeCell ref="C230:F230"/>
    <mergeCell ref="C231:F231"/>
    <mergeCell ref="C232:F232"/>
    <mergeCell ref="C233:F233"/>
    <mergeCell ref="C226:F226"/>
    <mergeCell ref="C220:F220"/>
    <mergeCell ref="C221:F221"/>
    <mergeCell ref="C222:F222"/>
    <mergeCell ref="C223:F223"/>
    <mergeCell ref="C214:F214"/>
    <mergeCell ref="C215:F215"/>
    <mergeCell ref="C216:F216"/>
    <mergeCell ref="C217:F217"/>
    <mergeCell ref="C218:F218"/>
    <mergeCell ref="C219:F219"/>
    <mergeCell ref="C205:F205"/>
    <mergeCell ref="C206:F206"/>
    <mergeCell ref="C207:F207"/>
    <mergeCell ref="C210:F210"/>
    <mergeCell ref="C211:F211"/>
    <mergeCell ref="C213:F213"/>
    <mergeCell ref="C191:F191"/>
    <mergeCell ref="C199:F199"/>
    <mergeCell ref="C200:F200"/>
    <mergeCell ref="C201:F201"/>
    <mergeCell ref="C202:F202"/>
    <mergeCell ref="C203:F203"/>
    <mergeCell ref="C204:F204"/>
    <mergeCell ref="C194:F194"/>
    <mergeCell ref="C195:F195"/>
    <mergeCell ref="C197:F197"/>
    <mergeCell ref="C198:F198"/>
    <mergeCell ref="C185:F185"/>
    <mergeCell ref="C186:F186"/>
    <mergeCell ref="C187:F187"/>
    <mergeCell ref="C188:F188"/>
    <mergeCell ref="C189:F189"/>
    <mergeCell ref="C190:F190"/>
    <mergeCell ref="C178:F178"/>
    <mergeCell ref="C179:F179"/>
    <mergeCell ref="C181:F181"/>
    <mergeCell ref="C182:F182"/>
    <mergeCell ref="C183:F183"/>
    <mergeCell ref="C184:F184"/>
    <mergeCell ref="C174:F174"/>
    <mergeCell ref="C175:F175"/>
    <mergeCell ref="C168:F168"/>
    <mergeCell ref="C169:F169"/>
    <mergeCell ref="C170:F170"/>
    <mergeCell ref="C171:F171"/>
    <mergeCell ref="C172:F172"/>
    <mergeCell ref="C173:F173"/>
    <mergeCell ref="C159:F159"/>
    <mergeCell ref="C162:F162"/>
    <mergeCell ref="C163:F163"/>
    <mergeCell ref="C165:F165"/>
    <mergeCell ref="C166:F166"/>
    <mergeCell ref="C167:F167"/>
    <mergeCell ref="C153:F153"/>
    <mergeCell ref="C154:F154"/>
    <mergeCell ref="C155:F155"/>
    <mergeCell ref="C156:F156"/>
    <mergeCell ref="C157:F157"/>
    <mergeCell ref="C158:F158"/>
    <mergeCell ref="C146:F146"/>
    <mergeCell ref="C147:F147"/>
    <mergeCell ref="C149:F149"/>
    <mergeCell ref="C150:F150"/>
    <mergeCell ref="C151:F151"/>
    <mergeCell ref="C152:F152"/>
    <mergeCell ref="C138:F138"/>
    <mergeCell ref="C139:F139"/>
    <mergeCell ref="C140:F140"/>
    <mergeCell ref="C141:F141"/>
    <mergeCell ref="C142:F142"/>
    <mergeCell ref="C143:F143"/>
    <mergeCell ref="C131:F131"/>
    <mergeCell ref="C133:F133"/>
    <mergeCell ref="C134:F134"/>
    <mergeCell ref="C135:F135"/>
    <mergeCell ref="C136:F136"/>
    <mergeCell ref="C137:F137"/>
    <mergeCell ref="C123:F123"/>
    <mergeCell ref="C124:F124"/>
    <mergeCell ref="C125:F125"/>
    <mergeCell ref="C126:F126"/>
    <mergeCell ref="C127:F127"/>
    <mergeCell ref="C130:F130"/>
    <mergeCell ref="C117:F117"/>
    <mergeCell ref="C118:F118"/>
    <mergeCell ref="C119:F119"/>
    <mergeCell ref="C120:F120"/>
    <mergeCell ref="C121:F121"/>
    <mergeCell ref="C122:F122"/>
    <mergeCell ref="C108:F108"/>
    <mergeCell ref="C109:F109"/>
    <mergeCell ref="C110:F110"/>
    <mergeCell ref="C111:F111"/>
    <mergeCell ref="C114:F114"/>
    <mergeCell ref="C115:F115"/>
    <mergeCell ref="C102:F102"/>
    <mergeCell ref="C103:F103"/>
    <mergeCell ref="C104:F104"/>
    <mergeCell ref="C105:F105"/>
    <mergeCell ref="C106:F106"/>
    <mergeCell ref="C107:F107"/>
    <mergeCell ref="C98:F98"/>
    <mergeCell ref="C99:F99"/>
    <mergeCell ref="C101:F101"/>
    <mergeCell ref="C82:F82"/>
    <mergeCell ref="C83:F83"/>
    <mergeCell ref="C85:F85"/>
    <mergeCell ref="C86:F86"/>
    <mergeCell ref="C87:F87"/>
    <mergeCell ref="C88:F88"/>
    <mergeCell ref="C89:F89"/>
    <mergeCell ref="C90:F90"/>
    <mergeCell ref="C91:F91"/>
    <mergeCell ref="C92:F92"/>
    <mergeCell ref="C93:F93"/>
    <mergeCell ref="C94:F94"/>
    <mergeCell ref="C95:F95"/>
    <mergeCell ref="C74:F74"/>
    <mergeCell ref="C75:F75"/>
    <mergeCell ref="C76:F76"/>
    <mergeCell ref="C77:F77"/>
    <mergeCell ref="C78:F78"/>
    <mergeCell ref="C79:F79"/>
    <mergeCell ref="C67:F67"/>
    <mergeCell ref="C69:F69"/>
    <mergeCell ref="C70:F70"/>
    <mergeCell ref="C71:F71"/>
    <mergeCell ref="C72:F72"/>
    <mergeCell ref="C73:F73"/>
    <mergeCell ref="C66:F66"/>
    <mergeCell ref="C62:F62"/>
    <mergeCell ref="C63:F63"/>
    <mergeCell ref="C56:F56"/>
    <mergeCell ref="C57:F57"/>
    <mergeCell ref="C58:F58"/>
    <mergeCell ref="C59:F59"/>
    <mergeCell ref="C60:F60"/>
    <mergeCell ref="C61:F61"/>
    <mergeCell ref="C50:F50"/>
    <mergeCell ref="C51:F51"/>
    <mergeCell ref="C53:F53"/>
    <mergeCell ref="C54:F54"/>
    <mergeCell ref="C55:F55"/>
    <mergeCell ref="C44:F44"/>
    <mergeCell ref="C45:F45"/>
    <mergeCell ref="C46:F46"/>
    <mergeCell ref="C47:F47"/>
    <mergeCell ref="C38:F38"/>
    <mergeCell ref="C39:F39"/>
    <mergeCell ref="C40:F40"/>
    <mergeCell ref="C41:F41"/>
    <mergeCell ref="C42:F42"/>
    <mergeCell ref="C43:F43"/>
    <mergeCell ref="C34:F34"/>
    <mergeCell ref="C35:F35"/>
    <mergeCell ref="C37:F37"/>
    <mergeCell ref="C31:F31"/>
    <mergeCell ref="C25:F25"/>
    <mergeCell ref="C26:F26"/>
    <mergeCell ref="C27:F27"/>
    <mergeCell ref="C28:F28"/>
    <mergeCell ref="C29:F29"/>
    <mergeCell ref="C30:F30"/>
    <mergeCell ref="K10:N10"/>
    <mergeCell ref="K11:N11"/>
    <mergeCell ref="K12:N12"/>
    <mergeCell ref="K13:N13"/>
    <mergeCell ref="K14:N14"/>
    <mergeCell ref="K15:N15"/>
    <mergeCell ref="C13:F13"/>
    <mergeCell ref="C14:F14"/>
    <mergeCell ref="C15:F15"/>
    <mergeCell ref="C10:F10"/>
    <mergeCell ref="C11:F11"/>
    <mergeCell ref="C12:F12"/>
    <mergeCell ref="C268:F268"/>
    <mergeCell ref="C269:F269"/>
    <mergeCell ref="C270:F270"/>
    <mergeCell ref="C271:F271"/>
    <mergeCell ref="K2:N2"/>
    <mergeCell ref="K3:N3"/>
    <mergeCell ref="K5:N5"/>
    <mergeCell ref="K6:N6"/>
    <mergeCell ref="K7:N7"/>
    <mergeCell ref="K8:N8"/>
    <mergeCell ref="K9:N9"/>
    <mergeCell ref="C7:F7"/>
    <mergeCell ref="C8:F8"/>
    <mergeCell ref="C9:F9"/>
    <mergeCell ref="C5:F5"/>
    <mergeCell ref="C2:F2"/>
    <mergeCell ref="C3:F3"/>
    <mergeCell ref="C6:F6"/>
    <mergeCell ref="C18:F18"/>
    <mergeCell ref="C19:F19"/>
    <mergeCell ref="C21:F21"/>
    <mergeCell ref="C22:F22"/>
    <mergeCell ref="C23:F23"/>
    <mergeCell ref="C24:F24"/>
    <mergeCell ref="C258:F258"/>
    <mergeCell ref="C259:F259"/>
    <mergeCell ref="C261:F261"/>
    <mergeCell ref="C262:F262"/>
    <mergeCell ref="C263:F263"/>
    <mergeCell ref="C264:F264"/>
    <mergeCell ref="C265:F265"/>
    <mergeCell ref="C266:F266"/>
    <mergeCell ref="C267:F267"/>
    <mergeCell ref="C284:F284"/>
    <mergeCell ref="C285:F285"/>
    <mergeCell ref="C286:F286"/>
    <mergeCell ref="C287:F287"/>
    <mergeCell ref="C274:F274"/>
    <mergeCell ref="C275:F275"/>
    <mergeCell ref="C277:F277"/>
    <mergeCell ref="C278:F278"/>
    <mergeCell ref="C279:F279"/>
    <mergeCell ref="C280:F280"/>
    <mergeCell ref="C281:F281"/>
    <mergeCell ref="C282:F282"/>
    <mergeCell ref="C283:F283"/>
    <mergeCell ref="C299:F299"/>
    <mergeCell ref="C300:F300"/>
    <mergeCell ref="C301:F301"/>
    <mergeCell ref="C302:F302"/>
    <mergeCell ref="C289:F289"/>
    <mergeCell ref="C290:F290"/>
    <mergeCell ref="C292:F292"/>
    <mergeCell ref="C293:F293"/>
    <mergeCell ref="C294:F294"/>
    <mergeCell ref="C295:F295"/>
    <mergeCell ref="C296:F296"/>
    <mergeCell ref="C297:F297"/>
    <mergeCell ref="C298:F29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N47"/>
  <sheetViews>
    <sheetView zoomScale="85" zoomScaleNormal="85" workbookViewId="0">
      <selection activeCell="L23" sqref="L23"/>
    </sheetView>
  </sheetViews>
  <sheetFormatPr baseColWidth="10" defaultRowHeight="15" x14ac:dyDescent="0.25"/>
  <cols>
    <col min="2" max="11" width="8.7109375" customWidth="1"/>
  </cols>
  <sheetData>
    <row r="3" spans="2:30" ht="15.75" thickBot="1" x14ac:dyDescent="0.3"/>
    <row r="4" spans="2:30" x14ac:dyDescent="0.25">
      <c r="B4" s="729" t="s">
        <v>401</v>
      </c>
      <c r="C4" s="730"/>
      <c r="D4" s="730"/>
      <c r="E4" s="730"/>
      <c r="F4" s="730"/>
      <c r="G4" s="730"/>
      <c r="H4" s="730"/>
      <c r="I4" s="730"/>
      <c r="J4" s="730"/>
      <c r="K4" s="731"/>
    </row>
    <row r="5" spans="2:30" ht="15.75" thickBot="1" x14ac:dyDescent="0.3">
      <c r="B5" s="732" t="s">
        <v>402</v>
      </c>
      <c r="C5" s="733"/>
      <c r="D5" s="733"/>
      <c r="E5" s="733"/>
      <c r="F5" s="733"/>
      <c r="G5" s="733"/>
      <c r="H5" s="733"/>
      <c r="I5" s="733"/>
      <c r="J5" s="733"/>
      <c r="K5" s="734"/>
      <c r="M5" s="728" t="s">
        <v>403</v>
      </c>
      <c r="N5" s="728"/>
      <c r="O5" s="728" t="s">
        <v>405</v>
      </c>
      <c r="P5" s="728"/>
      <c r="Q5" s="728"/>
      <c r="R5" s="728"/>
      <c r="S5" s="728"/>
      <c r="T5" s="728"/>
      <c r="U5" s="728"/>
      <c r="V5" s="728"/>
      <c r="W5" s="728"/>
      <c r="X5" s="728"/>
      <c r="Y5" s="728"/>
      <c r="Z5" s="728"/>
      <c r="AA5" s="728"/>
      <c r="AB5" s="728"/>
      <c r="AC5" s="728"/>
      <c r="AD5" s="728"/>
    </row>
    <row r="6" spans="2:30" ht="19.899999999999999" customHeight="1" x14ac:dyDescent="0.25">
      <c r="B6" s="399">
        <v>1</v>
      </c>
      <c r="C6" s="414">
        <v>2</v>
      </c>
      <c r="D6" s="400">
        <v>3</v>
      </c>
      <c r="E6" s="400">
        <v>4</v>
      </c>
      <c r="F6" s="414">
        <v>5</v>
      </c>
      <c r="G6" s="400">
        <v>6</v>
      </c>
      <c r="H6" s="414">
        <v>7</v>
      </c>
      <c r="I6" s="400">
        <v>8</v>
      </c>
      <c r="J6" s="414">
        <v>9</v>
      </c>
      <c r="K6" s="401">
        <v>10</v>
      </c>
      <c r="M6" s="728" t="s">
        <v>404</v>
      </c>
      <c r="N6" s="728"/>
      <c r="O6" s="398">
        <v>86</v>
      </c>
      <c r="P6" s="396"/>
      <c r="Q6" s="396"/>
      <c r="R6" s="396"/>
      <c r="S6" s="396"/>
      <c r="T6" s="396"/>
      <c r="U6" s="423"/>
      <c r="V6" s="423"/>
      <c r="W6" s="423"/>
      <c r="X6" s="423"/>
      <c r="Y6" s="423"/>
      <c r="Z6" s="423"/>
      <c r="AA6" s="423"/>
      <c r="AB6" s="423"/>
      <c r="AC6" s="423"/>
      <c r="AD6" s="423"/>
    </row>
    <row r="7" spans="2:30" ht="19.899999999999999" customHeight="1" x14ac:dyDescent="0.25">
      <c r="B7" s="402">
        <v>11</v>
      </c>
      <c r="C7" s="396">
        <v>12</v>
      </c>
      <c r="D7" s="396">
        <v>13</v>
      </c>
      <c r="E7" s="396">
        <v>14</v>
      </c>
      <c r="F7" s="397">
        <v>15</v>
      </c>
      <c r="G7" s="396">
        <v>16</v>
      </c>
      <c r="H7" s="397">
        <v>17</v>
      </c>
      <c r="I7" s="397">
        <v>18</v>
      </c>
      <c r="J7" s="396">
        <v>19</v>
      </c>
      <c r="K7" s="415">
        <v>20</v>
      </c>
      <c r="M7" s="728" t="s">
        <v>406</v>
      </c>
      <c r="N7" s="728"/>
      <c r="O7" s="398">
        <v>160</v>
      </c>
      <c r="P7" s="396">
        <v>141</v>
      </c>
      <c r="Q7" s="396"/>
      <c r="R7" s="396"/>
      <c r="S7" s="396"/>
      <c r="T7" s="396"/>
      <c r="U7" s="423"/>
      <c r="V7" s="423"/>
      <c r="W7" s="423"/>
      <c r="X7" s="423"/>
      <c r="Y7" s="423"/>
      <c r="Z7" s="423"/>
      <c r="AA7" s="423"/>
      <c r="AB7" s="423"/>
      <c r="AC7" s="423"/>
      <c r="AD7" s="423"/>
    </row>
    <row r="8" spans="2:30" ht="19.899999999999999" customHeight="1" x14ac:dyDescent="0.25">
      <c r="B8" s="413">
        <v>21</v>
      </c>
      <c r="C8" s="396">
        <v>22</v>
      </c>
      <c r="D8" s="397">
        <v>23</v>
      </c>
      <c r="E8" s="396">
        <v>24</v>
      </c>
      <c r="F8" s="397">
        <v>25</v>
      </c>
      <c r="G8" s="396">
        <v>26</v>
      </c>
      <c r="H8" s="397">
        <v>27</v>
      </c>
      <c r="I8" s="396">
        <v>28</v>
      </c>
      <c r="J8" s="396">
        <v>29</v>
      </c>
      <c r="K8" s="403">
        <v>30</v>
      </c>
      <c r="M8" s="728" t="s">
        <v>407</v>
      </c>
      <c r="N8" s="728"/>
      <c r="O8" s="398">
        <v>153</v>
      </c>
      <c r="P8" s="396">
        <v>154</v>
      </c>
      <c r="Q8" s="396"/>
      <c r="R8" s="396"/>
      <c r="S8" s="396"/>
      <c r="T8" s="396"/>
      <c r="U8" s="423"/>
      <c r="V8" s="423"/>
      <c r="W8" s="423"/>
      <c r="X8" s="423"/>
      <c r="Y8" s="423"/>
      <c r="Z8" s="423"/>
      <c r="AA8" s="423"/>
      <c r="AB8" s="423"/>
      <c r="AC8" s="423"/>
      <c r="AD8" s="423"/>
    </row>
    <row r="9" spans="2:30" ht="19.899999999999999" customHeight="1" x14ac:dyDescent="0.25">
      <c r="B9" s="413">
        <v>31</v>
      </c>
      <c r="C9" s="397">
        <v>32</v>
      </c>
      <c r="D9" s="397">
        <v>33</v>
      </c>
      <c r="E9" s="397">
        <v>34</v>
      </c>
      <c r="F9" s="397">
        <v>35</v>
      </c>
      <c r="G9" s="396">
        <v>36</v>
      </c>
      <c r="H9" s="396">
        <v>37</v>
      </c>
      <c r="I9" s="396">
        <v>38</v>
      </c>
      <c r="J9" s="396">
        <v>39</v>
      </c>
      <c r="K9" s="403">
        <v>40</v>
      </c>
      <c r="M9" s="728" t="s">
        <v>408</v>
      </c>
      <c r="N9" s="728"/>
      <c r="O9" s="398">
        <v>170</v>
      </c>
      <c r="P9" s="396">
        <v>155</v>
      </c>
      <c r="Q9" s="396">
        <v>156</v>
      </c>
      <c r="R9" s="396">
        <v>157</v>
      </c>
      <c r="S9" s="396">
        <v>178</v>
      </c>
      <c r="T9" s="396"/>
      <c r="U9" s="396"/>
      <c r="V9" s="423"/>
      <c r="W9" s="423"/>
      <c r="X9" s="423"/>
      <c r="Y9" s="423"/>
      <c r="Z9" s="423"/>
      <c r="AA9" s="423"/>
      <c r="AB9" s="423"/>
      <c r="AC9" s="423"/>
      <c r="AD9" s="423"/>
    </row>
    <row r="10" spans="2:30" ht="19.899999999999999" customHeight="1" x14ac:dyDescent="0.25">
      <c r="B10" s="402">
        <v>41</v>
      </c>
      <c r="C10" s="396">
        <v>42</v>
      </c>
      <c r="D10" s="396">
        <v>43</v>
      </c>
      <c r="E10" s="396">
        <v>44</v>
      </c>
      <c r="F10" s="396">
        <v>45</v>
      </c>
      <c r="G10" s="396">
        <v>46</v>
      </c>
      <c r="H10" s="396">
        <v>47</v>
      </c>
      <c r="I10" s="396">
        <v>48</v>
      </c>
      <c r="J10" s="396">
        <v>49</v>
      </c>
      <c r="K10" s="403">
        <v>50</v>
      </c>
      <c r="M10" s="728" t="s">
        <v>409</v>
      </c>
      <c r="N10" s="728"/>
      <c r="O10" s="398">
        <v>1</v>
      </c>
      <c r="P10" s="396">
        <v>18</v>
      </c>
      <c r="Q10" s="396">
        <v>118</v>
      </c>
      <c r="R10" s="396"/>
      <c r="S10" s="396"/>
      <c r="T10" s="396"/>
      <c r="U10" s="423"/>
      <c r="V10" s="423"/>
      <c r="W10" s="423"/>
      <c r="X10" s="423"/>
      <c r="Y10" s="423"/>
      <c r="Z10" s="423"/>
      <c r="AA10" s="423"/>
      <c r="AB10" s="423"/>
      <c r="AC10" s="423"/>
      <c r="AD10" s="423"/>
    </row>
    <row r="11" spans="2:30" ht="19.899999999999999" customHeight="1" x14ac:dyDescent="0.25">
      <c r="B11" s="402">
        <v>51</v>
      </c>
      <c r="C11" s="396">
        <v>52</v>
      </c>
      <c r="D11" s="396">
        <v>53</v>
      </c>
      <c r="E11" s="396">
        <v>54</v>
      </c>
      <c r="F11" s="396">
        <v>55</v>
      </c>
      <c r="G11" s="396">
        <v>56</v>
      </c>
      <c r="H11" s="396">
        <v>57</v>
      </c>
      <c r="I11" s="396">
        <v>58</v>
      </c>
      <c r="J11" s="396">
        <v>59</v>
      </c>
      <c r="K11" s="403">
        <v>60</v>
      </c>
      <c r="M11" s="728" t="s">
        <v>410</v>
      </c>
      <c r="N11" s="728"/>
      <c r="O11" s="398">
        <v>23</v>
      </c>
      <c r="P11" s="396"/>
      <c r="Q11" s="396"/>
      <c r="R11" s="396"/>
      <c r="S11" s="396"/>
      <c r="T11" s="396"/>
      <c r="U11" s="423"/>
      <c r="V11" s="423"/>
      <c r="W11" s="423"/>
      <c r="X11" s="423"/>
      <c r="Y11" s="423"/>
      <c r="Z11" s="423"/>
      <c r="AA11" s="423"/>
      <c r="AB11" s="423"/>
      <c r="AC11" s="423"/>
      <c r="AD11" s="423"/>
    </row>
    <row r="12" spans="2:30" ht="19.899999999999999" customHeight="1" x14ac:dyDescent="0.25">
      <c r="B12" s="402">
        <v>61</v>
      </c>
      <c r="C12" s="396">
        <v>62</v>
      </c>
      <c r="D12" s="396">
        <v>63</v>
      </c>
      <c r="E12" s="396">
        <v>64</v>
      </c>
      <c r="F12" s="396">
        <v>65</v>
      </c>
      <c r="G12" s="396">
        <v>66</v>
      </c>
      <c r="H12" s="396">
        <v>67</v>
      </c>
      <c r="I12" s="396">
        <v>68</v>
      </c>
      <c r="J12" s="396">
        <v>69</v>
      </c>
      <c r="K12" s="403">
        <v>70</v>
      </c>
      <c r="M12" s="728" t="s">
        <v>415</v>
      </c>
      <c r="N12" s="728"/>
      <c r="O12" s="398">
        <v>98</v>
      </c>
      <c r="P12" s="396"/>
      <c r="Q12" s="396"/>
      <c r="R12" s="396"/>
      <c r="S12" s="396"/>
      <c r="T12" s="396"/>
      <c r="U12" s="423"/>
      <c r="V12" s="423"/>
      <c r="W12" s="423"/>
      <c r="X12" s="423"/>
      <c r="Y12" s="423"/>
      <c r="Z12" s="423"/>
      <c r="AA12" s="423"/>
      <c r="AB12" s="423"/>
      <c r="AC12" s="423"/>
      <c r="AD12" s="423"/>
    </row>
    <row r="13" spans="2:30" ht="19.899999999999999" customHeight="1" x14ac:dyDescent="0.25">
      <c r="B13" s="402">
        <v>71</v>
      </c>
      <c r="C13" s="396">
        <v>72</v>
      </c>
      <c r="D13" s="396">
        <v>73</v>
      </c>
      <c r="E13" s="397">
        <v>74</v>
      </c>
      <c r="F13" s="396">
        <v>75</v>
      </c>
      <c r="G13" s="396">
        <v>76</v>
      </c>
      <c r="H13" s="396">
        <v>77</v>
      </c>
      <c r="I13" s="396">
        <v>78</v>
      </c>
      <c r="J13" s="396">
        <v>79</v>
      </c>
      <c r="K13" s="403">
        <v>80</v>
      </c>
      <c r="M13" s="728" t="s">
        <v>411</v>
      </c>
      <c r="N13" s="728"/>
      <c r="O13" s="398">
        <v>191</v>
      </c>
      <c r="P13" s="396">
        <v>192</v>
      </c>
      <c r="Q13" s="396">
        <v>193</v>
      </c>
      <c r="R13" s="396"/>
      <c r="S13" s="396"/>
      <c r="T13" s="396"/>
      <c r="U13" s="423"/>
      <c r="V13" s="423"/>
      <c r="W13" s="423"/>
      <c r="X13" s="423"/>
      <c r="Y13" s="423"/>
      <c r="Z13" s="423"/>
      <c r="AA13" s="423"/>
      <c r="AB13" s="423"/>
      <c r="AC13" s="423"/>
      <c r="AD13" s="423"/>
    </row>
    <row r="14" spans="2:30" ht="19.899999999999999" customHeight="1" x14ac:dyDescent="0.25">
      <c r="B14" s="402">
        <v>81</v>
      </c>
      <c r="C14" s="396">
        <v>82</v>
      </c>
      <c r="D14" s="396">
        <v>83</v>
      </c>
      <c r="E14" s="396">
        <v>84</v>
      </c>
      <c r="F14" s="396">
        <v>85</v>
      </c>
      <c r="G14" s="397">
        <v>86</v>
      </c>
      <c r="H14" s="396">
        <v>87</v>
      </c>
      <c r="I14" s="396">
        <v>88</v>
      </c>
      <c r="J14" s="396">
        <v>89</v>
      </c>
      <c r="K14" s="403">
        <v>90</v>
      </c>
      <c r="M14" s="728" t="s">
        <v>412</v>
      </c>
      <c r="N14" s="728"/>
      <c r="O14" s="398">
        <v>151</v>
      </c>
      <c r="P14" s="396">
        <v>152</v>
      </c>
      <c r="Q14" s="396">
        <v>161</v>
      </c>
      <c r="R14" s="396">
        <v>171</v>
      </c>
      <c r="S14" s="396">
        <v>181</v>
      </c>
      <c r="T14" s="396"/>
      <c r="U14" s="396"/>
      <c r="V14" s="423"/>
      <c r="W14" s="423"/>
      <c r="X14" s="423"/>
      <c r="Y14" s="423"/>
      <c r="Z14" s="423"/>
      <c r="AA14" s="423"/>
      <c r="AB14" s="423"/>
      <c r="AC14" s="423"/>
      <c r="AD14" s="423"/>
    </row>
    <row r="15" spans="2:30" ht="19.899999999999999" customHeight="1" x14ac:dyDescent="0.25">
      <c r="B15" s="402">
        <v>91</v>
      </c>
      <c r="C15" s="396">
        <v>92</v>
      </c>
      <c r="D15" s="396">
        <v>93</v>
      </c>
      <c r="E15" s="396">
        <v>94</v>
      </c>
      <c r="F15" s="396">
        <v>95</v>
      </c>
      <c r="G15" s="396">
        <v>96</v>
      </c>
      <c r="H15" s="396">
        <v>97</v>
      </c>
      <c r="I15" s="397">
        <v>98</v>
      </c>
      <c r="J15" s="396">
        <v>99</v>
      </c>
      <c r="K15" s="415">
        <v>100</v>
      </c>
      <c r="M15" s="728" t="s">
        <v>413</v>
      </c>
      <c r="N15" s="728"/>
      <c r="O15" s="398">
        <v>162</v>
      </c>
      <c r="P15" s="396">
        <v>172</v>
      </c>
      <c r="Q15" s="396">
        <v>182</v>
      </c>
      <c r="R15" s="396"/>
      <c r="S15" s="396"/>
      <c r="T15" s="396"/>
      <c r="U15" s="423"/>
      <c r="V15" s="423"/>
      <c r="W15" s="423"/>
      <c r="X15" s="423"/>
      <c r="Y15" s="423"/>
      <c r="Z15" s="423"/>
      <c r="AA15" s="423"/>
      <c r="AB15" s="423"/>
      <c r="AC15" s="423"/>
      <c r="AD15" s="423"/>
    </row>
    <row r="16" spans="2:30" ht="19.899999999999999" customHeight="1" x14ac:dyDescent="0.25">
      <c r="B16" s="402">
        <v>101</v>
      </c>
      <c r="C16" s="396">
        <v>102</v>
      </c>
      <c r="D16" s="396">
        <v>103</v>
      </c>
      <c r="E16" s="396">
        <v>104</v>
      </c>
      <c r="F16" s="396">
        <v>105</v>
      </c>
      <c r="G16" s="396">
        <v>106</v>
      </c>
      <c r="H16" s="396">
        <v>107</v>
      </c>
      <c r="I16" s="396">
        <v>108</v>
      </c>
      <c r="J16" s="396">
        <v>109</v>
      </c>
      <c r="K16" s="403">
        <v>110</v>
      </c>
      <c r="M16" s="728" t="s">
        <v>414</v>
      </c>
      <c r="N16" s="728"/>
      <c r="O16" s="398">
        <v>163</v>
      </c>
      <c r="P16" s="396">
        <v>173</v>
      </c>
      <c r="Q16" s="396">
        <v>183</v>
      </c>
      <c r="R16" s="396"/>
      <c r="S16" s="396"/>
      <c r="T16" s="396"/>
      <c r="U16" s="423"/>
      <c r="V16" s="423"/>
      <c r="W16" s="423"/>
      <c r="X16" s="423"/>
      <c r="Y16" s="423"/>
      <c r="Z16" s="423"/>
      <c r="AA16" s="423"/>
      <c r="AB16" s="423"/>
      <c r="AC16" s="423"/>
      <c r="AD16" s="423"/>
    </row>
    <row r="17" spans="2:40" ht="19.899999999999999" customHeight="1" x14ac:dyDescent="0.25">
      <c r="B17" s="402">
        <v>111</v>
      </c>
      <c r="C17" s="396">
        <v>112</v>
      </c>
      <c r="D17" s="397">
        <v>113</v>
      </c>
      <c r="E17" s="396">
        <v>114</v>
      </c>
      <c r="F17" s="396">
        <v>115</v>
      </c>
      <c r="G17" s="396">
        <v>116</v>
      </c>
      <c r="H17" s="396">
        <v>117</v>
      </c>
      <c r="I17" s="397">
        <v>118</v>
      </c>
      <c r="J17" s="396">
        <v>119</v>
      </c>
      <c r="K17" s="403">
        <v>120</v>
      </c>
      <c r="M17" s="728" t="s">
        <v>416</v>
      </c>
      <c r="N17" s="728"/>
      <c r="O17" s="398">
        <v>31</v>
      </c>
      <c r="P17" s="396">
        <v>32</v>
      </c>
      <c r="Q17" s="396">
        <v>33</v>
      </c>
      <c r="R17" s="396">
        <v>34</v>
      </c>
      <c r="S17" s="396">
        <v>35</v>
      </c>
      <c r="T17" s="396"/>
      <c r="U17" s="396"/>
      <c r="V17" s="423"/>
      <c r="W17" s="423"/>
      <c r="X17" s="423"/>
      <c r="Y17" s="423"/>
      <c r="Z17" s="423"/>
      <c r="AA17" s="423"/>
      <c r="AB17" s="423"/>
      <c r="AC17" s="423"/>
      <c r="AD17" s="423"/>
    </row>
    <row r="18" spans="2:40" ht="19.899999999999999" customHeight="1" x14ac:dyDescent="0.25">
      <c r="B18" s="413">
        <v>121</v>
      </c>
      <c r="C18" s="396">
        <v>122</v>
      </c>
      <c r="D18" s="396">
        <v>123</v>
      </c>
      <c r="E18" s="396">
        <v>124</v>
      </c>
      <c r="F18" s="396">
        <v>125</v>
      </c>
      <c r="G18" s="396">
        <v>126</v>
      </c>
      <c r="H18" s="396">
        <v>127</v>
      </c>
      <c r="I18" s="396">
        <v>128</v>
      </c>
      <c r="J18" s="397">
        <v>129</v>
      </c>
      <c r="K18" s="403">
        <v>130</v>
      </c>
      <c r="M18" s="728" t="s">
        <v>417</v>
      </c>
      <c r="N18" s="728"/>
      <c r="O18" s="398">
        <v>21</v>
      </c>
      <c r="P18" s="396">
        <v>9</v>
      </c>
      <c r="Q18" s="396">
        <v>2</v>
      </c>
      <c r="R18" s="396"/>
      <c r="S18" s="396"/>
      <c r="T18" s="396"/>
      <c r="U18" s="423"/>
      <c r="V18" s="423"/>
      <c r="W18" s="423"/>
      <c r="X18" s="423"/>
      <c r="Y18" s="423"/>
      <c r="Z18" s="423"/>
      <c r="AA18" s="423"/>
      <c r="AB18" s="423"/>
      <c r="AC18" s="423"/>
      <c r="AD18" s="423"/>
    </row>
    <row r="19" spans="2:40" ht="19.899999999999999" customHeight="1" x14ac:dyDescent="0.25">
      <c r="B19" s="413">
        <v>131</v>
      </c>
      <c r="C19" s="397">
        <v>132</v>
      </c>
      <c r="D19" s="397">
        <v>133</v>
      </c>
      <c r="E19" s="397">
        <v>134</v>
      </c>
      <c r="F19" s="397">
        <v>135</v>
      </c>
      <c r="G19" s="397">
        <v>136</v>
      </c>
      <c r="H19" s="397">
        <v>137</v>
      </c>
      <c r="I19" s="397">
        <v>138</v>
      </c>
      <c r="J19" s="396">
        <v>139</v>
      </c>
      <c r="K19" s="403">
        <v>140</v>
      </c>
      <c r="M19" s="728" t="s">
        <v>418</v>
      </c>
      <c r="N19" s="728"/>
      <c r="O19" s="398">
        <v>20</v>
      </c>
      <c r="P19" s="396"/>
      <c r="Q19" s="396"/>
      <c r="R19" s="396"/>
      <c r="S19" s="396"/>
      <c r="T19" s="396"/>
      <c r="U19" s="423"/>
      <c r="V19" s="423"/>
      <c r="W19" s="423"/>
      <c r="X19" s="423"/>
      <c r="Y19" s="423"/>
      <c r="Z19" s="423"/>
      <c r="AA19" s="423"/>
      <c r="AB19" s="423"/>
      <c r="AC19" s="423"/>
      <c r="AD19" s="423"/>
    </row>
    <row r="20" spans="2:40" ht="19.899999999999999" customHeight="1" x14ac:dyDescent="0.25">
      <c r="B20" s="413">
        <v>141</v>
      </c>
      <c r="C20" s="397">
        <v>142</v>
      </c>
      <c r="D20" s="397">
        <v>143</v>
      </c>
      <c r="E20" s="397">
        <v>144</v>
      </c>
      <c r="F20" s="397">
        <v>145</v>
      </c>
      <c r="G20" s="397">
        <v>146</v>
      </c>
      <c r="H20" s="397">
        <v>147</v>
      </c>
      <c r="I20" s="397">
        <v>148</v>
      </c>
      <c r="J20" s="397">
        <v>149</v>
      </c>
      <c r="K20" s="415">
        <v>150</v>
      </c>
      <c r="M20" s="728" t="s">
        <v>375</v>
      </c>
      <c r="N20" s="728"/>
      <c r="O20" s="398">
        <v>142</v>
      </c>
      <c r="P20" s="396"/>
      <c r="Q20" s="396"/>
      <c r="R20" s="396"/>
      <c r="S20" s="396"/>
      <c r="T20" s="396"/>
      <c r="U20" s="423"/>
      <c r="V20" s="423"/>
      <c r="W20" s="423"/>
      <c r="X20" s="423"/>
      <c r="Y20" s="423"/>
      <c r="Z20" s="423"/>
      <c r="AA20" s="423"/>
      <c r="AB20" s="423"/>
      <c r="AC20" s="423"/>
      <c r="AD20" s="423"/>
    </row>
    <row r="21" spans="2:40" ht="19.899999999999999" customHeight="1" x14ac:dyDescent="0.25">
      <c r="B21" s="413">
        <v>151</v>
      </c>
      <c r="C21" s="397">
        <v>152</v>
      </c>
      <c r="D21" s="397">
        <v>153</v>
      </c>
      <c r="E21" s="397">
        <v>154</v>
      </c>
      <c r="F21" s="397">
        <v>155</v>
      </c>
      <c r="G21" s="397">
        <v>156</v>
      </c>
      <c r="H21" s="397">
        <v>157</v>
      </c>
      <c r="I21" s="397">
        <v>158</v>
      </c>
      <c r="J21" s="397">
        <v>159</v>
      </c>
      <c r="K21" s="415">
        <v>160</v>
      </c>
      <c r="M21" s="728" t="s">
        <v>421</v>
      </c>
      <c r="N21" s="728"/>
      <c r="O21" s="398">
        <v>159</v>
      </c>
      <c r="P21" s="396"/>
      <c r="Q21" s="396"/>
      <c r="R21" s="396"/>
      <c r="S21" s="396"/>
      <c r="T21" s="396"/>
      <c r="U21" s="423"/>
      <c r="V21" s="423"/>
      <c r="W21" s="423"/>
      <c r="X21" s="423"/>
      <c r="Y21" s="423"/>
      <c r="Z21" s="423"/>
      <c r="AA21" s="423"/>
      <c r="AB21" s="423"/>
      <c r="AC21" s="423"/>
      <c r="AD21" s="423"/>
    </row>
    <row r="22" spans="2:40" ht="19.899999999999999" customHeight="1" x14ac:dyDescent="0.25">
      <c r="B22" s="413">
        <v>161</v>
      </c>
      <c r="C22" s="397">
        <v>162</v>
      </c>
      <c r="D22" s="397">
        <v>163</v>
      </c>
      <c r="E22" s="397">
        <v>164</v>
      </c>
      <c r="F22" s="397">
        <v>165</v>
      </c>
      <c r="G22" s="397">
        <v>166</v>
      </c>
      <c r="H22" s="397">
        <v>167</v>
      </c>
      <c r="I22" s="397">
        <v>168</v>
      </c>
      <c r="J22" s="397">
        <v>169</v>
      </c>
      <c r="K22" s="415">
        <v>170</v>
      </c>
      <c r="M22" s="728" t="s">
        <v>422</v>
      </c>
      <c r="N22" s="728"/>
      <c r="O22" s="398">
        <v>158</v>
      </c>
      <c r="P22" s="396"/>
      <c r="Q22" s="396"/>
      <c r="R22" s="396"/>
      <c r="S22" s="396"/>
      <c r="T22" s="396"/>
      <c r="U22" s="423"/>
      <c r="V22" s="423"/>
      <c r="W22" s="423"/>
      <c r="X22" s="423"/>
      <c r="Y22" s="423"/>
      <c r="Z22" s="423"/>
      <c r="AA22" s="423"/>
      <c r="AB22" s="423"/>
      <c r="AC22" s="423"/>
      <c r="AD22" s="423"/>
    </row>
    <row r="23" spans="2:40" ht="19.899999999999999" customHeight="1" x14ac:dyDescent="0.25">
      <c r="B23" s="413">
        <v>171</v>
      </c>
      <c r="C23" s="397">
        <v>172</v>
      </c>
      <c r="D23" s="397">
        <v>173</v>
      </c>
      <c r="E23" s="397">
        <v>174</v>
      </c>
      <c r="F23" s="397">
        <v>175</v>
      </c>
      <c r="G23" s="397">
        <v>176</v>
      </c>
      <c r="H23" s="397">
        <v>177</v>
      </c>
      <c r="I23" s="397">
        <v>178</v>
      </c>
      <c r="J23" s="397">
        <v>179</v>
      </c>
      <c r="K23" s="415">
        <v>180</v>
      </c>
      <c r="M23" s="728" t="s">
        <v>423</v>
      </c>
      <c r="N23" s="728"/>
      <c r="O23" s="398">
        <v>169</v>
      </c>
      <c r="P23" s="396"/>
      <c r="Q23" s="396"/>
      <c r="R23" s="396"/>
      <c r="S23" s="396"/>
      <c r="T23" s="396"/>
      <c r="U23" s="423"/>
      <c r="V23" s="423"/>
      <c r="W23" s="423"/>
      <c r="X23" s="423"/>
      <c r="Y23" s="423"/>
      <c r="Z23" s="423"/>
      <c r="AA23" s="423"/>
      <c r="AB23" s="423"/>
      <c r="AC23" s="423"/>
      <c r="AD23" s="423"/>
    </row>
    <row r="24" spans="2:40" ht="19.899999999999999" customHeight="1" x14ac:dyDescent="0.25">
      <c r="B24" s="413">
        <v>181</v>
      </c>
      <c r="C24" s="397">
        <v>182</v>
      </c>
      <c r="D24" s="397">
        <v>183</v>
      </c>
      <c r="E24" s="397">
        <v>184</v>
      </c>
      <c r="F24" s="397">
        <v>185</v>
      </c>
      <c r="G24" s="397">
        <v>186</v>
      </c>
      <c r="H24" s="397">
        <v>187</v>
      </c>
      <c r="I24" s="397">
        <v>188</v>
      </c>
      <c r="J24" s="397">
        <v>189</v>
      </c>
      <c r="K24" s="415">
        <v>190</v>
      </c>
      <c r="M24" s="542" t="s">
        <v>426</v>
      </c>
      <c r="N24" s="542"/>
      <c r="O24" s="398">
        <v>184</v>
      </c>
      <c r="P24" s="396">
        <v>185</v>
      </c>
      <c r="Q24" s="396">
        <v>186</v>
      </c>
      <c r="R24" s="396">
        <v>187</v>
      </c>
      <c r="S24" s="396">
        <v>188</v>
      </c>
      <c r="T24" s="396">
        <v>189</v>
      </c>
      <c r="U24" s="396">
        <v>194</v>
      </c>
      <c r="V24" s="396">
        <v>195</v>
      </c>
      <c r="W24" s="396">
        <v>196</v>
      </c>
      <c r="X24" s="396">
        <v>197</v>
      </c>
      <c r="Y24" s="396">
        <v>198</v>
      </c>
      <c r="Z24" s="396">
        <v>199</v>
      </c>
      <c r="AA24" s="396">
        <v>200</v>
      </c>
      <c r="AB24" s="396">
        <v>164</v>
      </c>
      <c r="AC24" s="396">
        <v>174</v>
      </c>
      <c r="AD24" s="396">
        <v>190</v>
      </c>
      <c r="AE24" s="424"/>
      <c r="AF24" s="424"/>
      <c r="AG24" s="424"/>
      <c r="AH24" s="424"/>
      <c r="AI24" s="424"/>
      <c r="AJ24" s="424"/>
      <c r="AK24" s="424"/>
      <c r="AL24" s="424"/>
      <c r="AM24" s="424"/>
      <c r="AN24" s="424"/>
    </row>
    <row r="25" spans="2:40" ht="19.899999999999999" customHeight="1" thickBot="1" x14ac:dyDescent="0.3">
      <c r="B25" s="411">
        <v>191</v>
      </c>
      <c r="C25" s="412">
        <v>192</v>
      </c>
      <c r="D25" s="412">
        <v>193</v>
      </c>
      <c r="E25" s="412">
        <v>194</v>
      </c>
      <c r="F25" s="412">
        <v>195</v>
      </c>
      <c r="G25" s="412">
        <v>196</v>
      </c>
      <c r="H25" s="412">
        <v>197</v>
      </c>
      <c r="I25" s="412">
        <v>198</v>
      </c>
      <c r="J25" s="412">
        <v>199</v>
      </c>
      <c r="K25" s="422">
        <v>200</v>
      </c>
      <c r="M25" s="542" t="s">
        <v>428</v>
      </c>
      <c r="N25" s="542"/>
      <c r="O25" s="398">
        <v>165</v>
      </c>
      <c r="P25" s="396">
        <v>166</v>
      </c>
      <c r="Q25" s="396">
        <v>167</v>
      </c>
      <c r="R25" s="396">
        <v>168</v>
      </c>
      <c r="S25" s="396">
        <v>177</v>
      </c>
      <c r="T25" s="396">
        <v>179</v>
      </c>
      <c r="U25" s="396">
        <v>180</v>
      </c>
      <c r="V25" s="423"/>
      <c r="W25" s="423"/>
      <c r="X25" s="423"/>
      <c r="Y25" s="423"/>
      <c r="Z25" s="423"/>
      <c r="AA25" s="423"/>
      <c r="AB25" s="423"/>
      <c r="AC25" s="423"/>
      <c r="AD25" s="423"/>
    </row>
    <row r="26" spans="2:40" ht="18.75" x14ac:dyDescent="0.25">
      <c r="M26" s="542" t="s">
        <v>429</v>
      </c>
      <c r="N26" s="542"/>
      <c r="O26" s="398">
        <v>175</v>
      </c>
      <c r="P26" s="396">
        <v>176</v>
      </c>
      <c r="Q26" s="396"/>
      <c r="R26" s="396"/>
      <c r="S26" s="396"/>
      <c r="T26" s="396"/>
      <c r="U26" s="423"/>
      <c r="V26" s="423"/>
      <c r="W26" s="423"/>
      <c r="X26" s="423"/>
      <c r="Y26" s="423"/>
      <c r="Z26" s="423"/>
      <c r="AA26" s="423"/>
      <c r="AB26" s="423"/>
      <c r="AC26" s="423"/>
      <c r="AD26" s="423"/>
    </row>
    <row r="27" spans="2:40" ht="18.75" x14ac:dyDescent="0.25">
      <c r="M27" s="542" t="s">
        <v>430</v>
      </c>
      <c r="N27" s="542"/>
      <c r="O27" s="398">
        <v>74</v>
      </c>
      <c r="P27" s="396"/>
      <c r="Q27" s="396"/>
      <c r="R27" s="396"/>
      <c r="S27" s="396"/>
      <c r="T27" s="396"/>
      <c r="U27" s="423"/>
      <c r="V27" s="423"/>
      <c r="W27" s="423"/>
      <c r="X27" s="423"/>
      <c r="Y27" s="423"/>
      <c r="Z27" s="423"/>
      <c r="AA27" s="423"/>
      <c r="AB27" s="423"/>
      <c r="AC27" s="423"/>
      <c r="AD27" s="423"/>
    </row>
    <row r="28" spans="2:40" ht="18.75" x14ac:dyDescent="0.25">
      <c r="M28" s="542" t="s">
        <v>431</v>
      </c>
      <c r="N28" s="542"/>
      <c r="O28" s="398">
        <v>121</v>
      </c>
      <c r="P28" s="396"/>
      <c r="Q28" s="396"/>
      <c r="R28" s="396"/>
      <c r="S28" s="396"/>
      <c r="T28" s="396"/>
      <c r="U28" s="423"/>
      <c r="V28" s="423"/>
      <c r="W28" s="423"/>
      <c r="X28" s="423"/>
      <c r="Y28" s="423"/>
      <c r="Z28" s="423"/>
      <c r="AA28" s="423"/>
      <c r="AB28" s="423"/>
      <c r="AC28" s="423"/>
      <c r="AD28" s="423"/>
    </row>
    <row r="29" spans="2:40" ht="18.75" x14ac:dyDescent="0.25">
      <c r="M29" s="542" t="s">
        <v>433</v>
      </c>
      <c r="N29" s="542"/>
      <c r="O29" s="398">
        <v>143</v>
      </c>
      <c r="P29" s="396">
        <v>144</v>
      </c>
      <c r="Q29" s="396">
        <v>145</v>
      </c>
      <c r="R29" s="396"/>
      <c r="S29" s="396"/>
      <c r="T29" s="396"/>
      <c r="U29" s="423"/>
      <c r="V29" s="423"/>
      <c r="W29" s="423"/>
      <c r="X29" s="423"/>
      <c r="Y29" s="423"/>
      <c r="Z29" s="423"/>
      <c r="AA29" s="423"/>
      <c r="AB29" s="423"/>
      <c r="AC29" s="423"/>
      <c r="AD29" s="423"/>
    </row>
    <row r="30" spans="2:40" ht="18.75" x14ac:dyDescent="0.25">
      <c r="M30" s="542" t="s">
        <v>432</v>
      </c>
      <c r="N30" s="542"/>
      <c r="O30" s="398">
        <v>17</v>
      </c>
      <c r="P30" s="396"/>
      <c r="Q30" s="396"/>
      <c r="R30" s="396"/>
      <c r="S30" s="396"/>
      <c r="T30" s="396"/>
      <c r="U30" s="423"/>
      <c r="V30" s="423"/>
      <c r="W30" s="423"/>
      <c r="X30" s="423"/>
      <c r="Y30" s="423"/>
      <c r="Z30" s="423"/>
      <c r="AA30" s="423"/>
      <c r="AB30" s="423"/>
      <c r="AC30" s="423"/>
      <c r="AD30" s="423"/>
    </row>
    <row r="31" spans="2:40" ht="18.75" x14ac:dyDescent="0.25">
      <c r="M31" s="542" t="s">
        <v>437</v>
      </c>
      <c r="N31" s="542"/>
      <c r="O31" s="398">
        <v>146</v>
      </c>
      <c r="P31" s="396">
        <v>147</v>
      </c>
      <c r="Q31" s="396"/>
      <c r="R31" s="396"/>
      <c r="S31" s="396"/>
      <c r="T31" s="396"/>
      <c r="U31" s="423"/>
      <c r="V31" s="423"/>
      <c r="W31" s="423"/>
      <c r="X31" s="423"/>
      <c r="Y31" s="423"/>
      <c r="Z31" s="423"/>
      <c r="AA31" s="423"/>
      <c r="AB31" s="423"/>
      <c r="AC31" s="423"/>
      <c r="AD31" s="423"/>
    </row>
    <row r="32" spans="2:40" ht="18.75" x14ac:dyDescent="0.25">
      <c r="M32" s="542" t="s">
        <v>438</v>
      </c>
      <c r="N32" s="542"/>
      <c r="O32" s="398">
        <v>148</v>
      </c>
      <c r="P32" s="396"/>
      <c r="Q32" s="396"/>
      <c r="R32" s="396"/>
      <c r="S32" s="396"/>
      <c r="T32" s="396"/>
      <c r="U32" s="423"/>
      <c r="V32" s="423"/>
      <c r="W32" s="423"/>
      <c r="X32" s="423"/>
      <c r="Y32" s="423"/>
      <c r="Z32" s="423"/>
      <c r="AA32" s="423"/>
      <c r="AB32" s="423"/>
      <c r="AC32" s="423"/>
      <c r="AD32" s="423"/>
    </row>
    <row r="33" spans="13:20" ht="18.75" x14ac:dyDescent="0.25">
      <c r="M33" s="542" t="s">
        <v>440</v>
      </c>
      <c r="N33" s="542"/>
      <c r="O33" s="398">
        <v>5</v>
      </c>
      <c r="P33" s="396">
        <v>15</v>
      </c>
      <c r="Q33" s="396">
        <v>25</v>
      </c>
      <c r="R33" s="396"/>
      <c r="S33" s="396"/>
      <c r="T33" s="396"/>
    </row>
    <row r="34" spans="13:20" ht="18.75" x14ac:dyDescent="0.25">
      <c r="M34" s="542" t="s">
        <v>441</v>
      </c>
      <c r="N34" s="542"/>
      <c r="O34" s="398">
        <v>7</v>
      </c>
      <c r="P34" s="396"/>
      <c r="Q34" s="396"/>
      <c r="R34" s="396"/>
      <c r="S34" s="396"/>
      <c r="T34" s="396"/>
    </row>
    <row r="35" spans="13:20" ht="18.75" x14ac:dyDescent="0.25">
      <c r="M35" s="542" t="s">
        <v>442</v>
      </c>
      <c r="N35" s="542"/>
      <c r="O35" s="398">
        <v>100</v>
      </c>
      <c r="P35" s="396"/>
      <c r="Q35" s="396"/>
      <c r="R35" s="396"/>
      <c r="S35" s="396"/>
      <c r="T35" s="396"/>
    </row>
    <row r="36" spans="13:20" ht="18.75" x14ac:dyDescent="0.25">
      <c r="M36" s="542" t="s">
        <v>443</v>
      </c>
      <c r="N36" s="542"/>
      <c r="O36" s="398">
        <v>135</v>
      </c>
      <c r="P36" s="396"/>
      <c r="Q36" s="396"/>
      <c r="R36" s="396"/>
      <c r="S36" s="396"/>
      <c r="T36" s="396"/>
    </row>
    <row r="37" spans="13:20" ht="18.75" x14ac:dyDescent="0.25">
      <c r="M37" s="542" t="s">
        <v>444</v>
      </c>
      <c r="N37" s="542"/>
      <c r="O37" s="398">
        <v>129</v>
      </c>
      <c r="P37" s="396"/>
      <c r="Q37" s="396"/>
      <c r="R37" s="396"/>
      <c r="S37" s="396"/>
      <c r="T37" s="396"/>
    </row>
    <row r="38" spans="13:20" ht="18.75" x14ac:dyDescent="0.25">
      <c r="M38" s="542" t="s">
        <v>445</v>
      </c>
      <c r="N38" s="542"/>
      <c r="O38" s="398">
        <v>131</v>
      </c>
      <c r="P38" s="396">
        <v>149</v>
      </c>
      <c r="Q38" s="396">
        <v>150</v>
      </c>
      <c r="R38" s="396"/>
      <c r="S38" s="396"/>
      <c r="T38" s="396"/>
    </row>
    <row r="39" spans="13:20" ht="18.75" x14ac:dyDescent="0.25">
      <c r="M39" s="542" t="s">
        <v>446</v>
      </c>
      <c r="N39" s="542"/>
      <c r="O39" s="398">
        <v>132</v>
      </c>
      <c r="P39" s="396">
        <v>133</v>
      </c>
      <c r="Q39" s="396">
        <v>134</v>
      </c>
      <c r="R39" s="396">
        <v>136</v>
      </c>
      <c r="S39" s="396"/>
      <c r="T39" s="396"/>
    </row>
    <row r="40" spans="13:20" ht="18.75" x14ac:dyDescent="0.25">
      <c r="M40" s="542" t="s">
        <v>447</v>
      </c>
      <c r="N40" s="542"/>
      <c r="O40" s="398">
        <v>137</v>
      </c>
      <c r="P40" s="396">
        <v>138</v>
      </c>
      <c r="Q40" s="396"/>
      <c r="R40" s="396"/>
      <c r="S40" s="396"/>
      <c r="T40" s="396"/>
    </row>
    <row r="41" spans="13:20" ht="18.75" x14ac:dyDescent="0.25">
      <c r="M41" s="542" t="s">
        <v>448</v>
      </c>
      <c r="N41" s="542"/>
      <c r="O41" s="398">
        <v>27</v>
      </c>
      <c r="P41" s="396"/>
      <c r="Q41" s="396"/>
      <c r="R41" s="396"/>
      <c r="S41" s="396"/>
      <c r="T41" s="396"/>
    </row>
    <row r="42" spans="13:20" ht="18.75" x14ac:dyDescent="0.25">
      <c r="M42" s="542"/>
      <c r="N42" s="542"/>
      <c r="O42" s="398"/>
      <c r="P42" s="396"/>
      <c r="Q42" s="396"/>
      <c r="R42" s="396"/>
      <c r="S42" s="396"/>
      <c r="T42" s="396"/>
    </row>
    <row r="43" spans="13:20" ht="18.75" x14ac:dyDescent="0.25">
      <c r="M43" s="542"/>
      <c r="N43" s="542"/>
      <c r="O43" s="398"/>
      <c r="P43" s="396"/>
      <c r="Q43" s="396"/>
      <c r="R43" s="396"/>
      <c r="S43" s="396"/>
      <c r="T43" s="396"/>
    </row>
    <row r="44" spans="13:20" ht="18.75" x14ac:dyDescent="0.25">
      <c r="M44" s="542"/>
      <c r="N44" s="542"/>
      <c r="O44" s="398"/>
      <c r="P44" s="396"/>
      <c r="Q44" s="396"/>
      <c r="R44" s="396"/>
      <c r="S44" s="396"/>
      <c r="T44" s="396"/>
    </row>
    <row r="45" spans="13:20" ht="18.75" x14ac:dyDescent="0.25">
      <c r="M45" s="542"/>
      <c r="N45" s="542"/>
      <c r="O45" s="398"/>
      <c r="P45" s="396"/>
      <c r="Q45" s="396"/>
      <c r="R45" s="396"/>
      <c r="S45" s="396"/>
      <c r="T45" s="396"/>
    </row>
    <row r="46" spans="13:20" ht="18.75" x14ac:dyDescent="0.25">
      <c r="M46" s="542"/>
      <c r="N46" s="542"/>
      <c r="O46" s="398"/>
      <c r="P46" s="396"/>
      <c r="Q46" s="396"/>
      <c r="R46" s="396"/>
      <c r="S46" s="396"/>
      <c r="T46" s="396"/>
    </row>
    <row r="47" spans="13:20" ht="18.75" x14ac:dyDescent="0.25">
      <c r="M47" s="542"/>
      <c r="N47" s="542"/>
      <c r="O47" s="398"/>
      <c r="P47" s="396"/>
      <c r="Q47" s="396"/>
      <c r="R47" s="396"/>
      <c r="S47" s="396"/>
      <c r="T47" s="396"/>
    </row>
  </sheetData>
  <mergeCells count="46">
    <mergeCell ref="B4:K4"/>
    <mergeCell ref="B5:K5"/>
    <mergeCell ref="M5:N5"/>
    <mergeCell ref="M22:N22"/>
    <mergeCell ref="M23:N23"/>
    <mergeCell ref="M6:N6"/>
    <mergeCell ref="M7:N7"/>
    <mergeCell ref="M8:N8"/>
    <mergeCell ref="M9:N9"/>
    <mergeCell ref="M16:N16"/>
    <mergeCell ref="M17:N17"/>
    <mergeCell ref="M18:N18"/>
    <mergeCell ref="M10:N10"/>
    <mergeCell ref="O5:AD5"/>
    <mergeCell ref="M14:N14"/>
    <mergeCell ref="M15:N15"/>
    <mergeCell ref="M37:N37"/>
    <mergeCell ref="M36:N36"/>
    <mergeCell ref="M32:N32"/>
    <mergeCell ref="M33:N33"/>
    <mergeCell ref="M34:N34"/>
    <mergeCell ref="M35:N35"/>
    <mergeCell ref="M27:N27"/>
    <mergeCell ref="M28:N28"/>
    <mergeCell ref="M29:N29"/>
    <mergeCell ref="M30:N30"/>
    <mergeCell ref="M31:N31"/>
    <mergeCell ref="M24:N24"/>
    <mergeCell ref="M25:N25"/>
    <mergeCell ref="M26:N26"/>
    <mergeCell ref="M11:N11"/>
    <mergeCell ref="M12:N12"/>
    <mergeCell ref="M13:N13"/>
    <mergeCell ref="M19:N19"/>
    <mergeCell ref="M20:N20"/>
    <mergeCell ref="M21:N21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12"/>
  <sheetViews>
    <sheetView topLeftCell="A133" zoomScaleNormal="100" workbookViewId="0">
      <selection activeCell="F144" sqref="F14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6.28515625" customWidth="1"/>
    <col min="4" max="4" width="8.140625" customWidth="1"/>
    <col min="5" max="5" width="2.28515625" customWidth="1"/>
    <col min="6" max="6" width="24.28515625" customWidth="1"/>
    <col min="7" max="7" width="7.7109375" customWidth="1"/>
    <col min="8" max="8" width="6.28515625" customWidth="1"/>
    <col min="9" max="9" width="8.28515625" customWidth="1"/>
    <col min="10" max="10" width="30.5703125" customWidth="1"/>
  </cols>
  <sheetData>
    <row r="1" spans="2:15" hidden="1" x14ac:dyDescent="0.25">
      <c r="B1" s="735" t="s">
        <v>2</v>
      </c>
      <c r="C1" s="345"/>
      <c r="D1" s="346"/>
      <c r="E1" s="134"/>
      <c r="F1" s="134"/>
    </row>
    <row r="2" spans="2:15" ht="30" hidden="1" customHeight="1" x14ac:dyDescent="0.25">
      <c r="B2" s="736"/>
      <c r="C2" s="162" t="s">
        <v>1</v>
      </c>
      <c r="D2" s="134"/>
      <c r="E2" s="134"/>
    </row>
    <row r="3" spans="2:15" ht="24" hidden="1" x14ac:dyDescent="0.25">
      <c r="B3" s="163" t="str">
        <f>'DETALLE DE VENTAS'!C108</f>
        <v>CEMENTO PLASTICO 1/4 GLN BITUPLAST</v>
      </c>
      <c r="C3" s="164">
        <f>'DETALLE DE VENTAS'!Y108</f>
        <v>27</v>
      </c>
      <c r="D3" s="134"/>
      <c r="E3" s="134"/>
    </row>
    <row r="4" spans="2:15" hidden="1" x14ac:dyDescent="0.25">
      <c r="B4" s="163" t="str">
        <f>'DETALLE DE VENTAS'!C109</f>
        <v>CEMENTO PLASTICO GLN BITUPLAST</v>
      </c>
      <c r="C4" s="164">
        <f>'DETALLE DE VENTAS'!Y109</f>
        <v>91</v>
      </c>
      <c r="D4" s="134"/>
      <c r="E4" s="134"/>
    </row>
    <row r="5" spans="2:15" ht="24" hidden="1" x14ac:dyDescent="0.25">
      <c r="B5" s="163" t="str">
        <f>'DETALLE DE VENTAS'!C110</f>
        <v>CEMENTO PLASTICO 4 GLN BITUPLAST</v>
      </c>
      <c r="C5" s="164">
        <f>'DETALLE DE VENTAS'!Y110</f>
        <v>41</v>
      </c>
      <c r="D5" s="134"/>
      <c r="E5" s="134"/>
    </row>
    <row r="6" spans="2:15" hidden="1" x14ac:dyDescent="0.25">
      <c r="B6" s="163" t="str">
        <f>'DETALLE DE VENTAS'!C111</f>
        <v>ASFALTO LIQUIDO GLN BITUPLAST</v>
      </c>
      <c r="C6" s="164">
        <f>'DETALLE DE VENTAS'!Y111</f>
        <v>13</v>
      </c>
      <c r="D6" s="134"/>
      <c r="E6" s="134"/>
    </row>
    <row r="7" spans="2:15" hidden="1" x14ac:dyDescent="0.25">
      <c r="B7" s="163" t="str">
        <f>'DETALLE DE VENTAS'!C112</f>
        <v>ASFALTO LIQUIDO 4 GLN BITUPLAST</v>
      </c>
      <c r="C7" s="164">
        <f>'DETALLE DE VENTAS'!Y112</f>
        <v>42</v>
      </c>
      <c r="D7" s="134"/>
      <c r="E7" s="134"/>
      <c r="K7" s="696"/>
      <c r="L7" s="696"/>
      <c r="M7" s="696"/>
      <c r="N7" s="696"/>
      <c r="O7" s="696"/>
    </row>
    <row r="8" spans="2:15" ht="24" hidden="1" x14ac:dyDescent="0.25">
      <c r="B8" s="163" t="str">
        <f>'DETALLE DE VENTAS'!C113</f>
        <v>ASFALTO PLASTICO 1/4 GLN BITUPLAST</v>
      </c>
      <c r="C8" s="164">
        <f>'DETALLE DE VENTAS'!Y113</f>
        <v>14</v>
      </c>
      <c r="D8" s="134"/>
      <c r="E8" s="134"/>
      <c r="K8" s="696"/>
      <c r="L8" s="696"/>
      <c r="M8" s="696"/>
      <c r="N8" s="696"/>
      <c r="O8" s="696"/>
    </row>
    <row r="9" spans="2:15" hidden="1" x14ac:dyDescent="0.25">
      <c r="B9" s="163" t="str">
        <f>'DETALLE DE VENTAS'!C114</f>
        <v>ASFALTO PLASTICO GLN BITUPLAST</v>
      </c>
      <c r="C9" s="164">
        <f>'DETALLE DE VENTAS'!Y114</f>
        <v>24</v>
      </c>
      <c r="D9" s="134"/>
      <c r="E9" s="134"/>
      <c r="K9" s="696"/>
      <c r="L9" s="696"/>
      <c r="M9" s="696"/>
      <c r="N9" s="696"/>
      <c r="O9" s="696"/>
    </row>
    <row r="10" spans="2:15" hidden="1" x14ac:dyDescent="0.25">
      <c r="B10" s="163" t="str">
        <f>'DETALLE DE VENTAS'!C115</f>
        <v>ASFALTO PLASTICO 4 GLN BITUPLAST</v>
      </c>
      <c r="C10" s="164">
        <f>'DETALLE DE VENTAS'!Y115</f>
        <v>11</v>
      </c>
      <c r="D10" s="134"/>
      <c r="E10" s="134"/>
      <c r="K10" s="696"/>
      <c r="L10" s="696"/>
      <c r="M10" s="696"/>
      <c r="N10" s="696"/>
      <c r="O10" s="696"/>
    </row>
    <row r="11" spans="2:15" hidden="1" x14ac:dyDescent="0.25">
      <c r="B11" s="163" t="str">
        <f>'DETALLE DE VENTAS'!C116</f>
        <v>PRIMER GLN BITUPLAST</v>
      </c>
      <c r="C11" s="164">
        <f>'DETALLE DE VENTAS'!Y116</f>
        <v>39</v>
      </c>
      <c r="D11" s="134"/>
      <c r="E11" s="134"/>
      <c r="K11" s="696"/>
      <c r="L11" s="696"/>
      <c r="M11" s="696"/>
      <c r="N11" s="696"/>
      <c r="O11" s="696"/>
    </row>
    <row r="12" spans="2:15" hidden="1" x14ac:dyDescent="0.25">
      <c r="B12" s="163" t="str">
        <f>'DETALLE DE VENTAS'!C117</f>
        <v>PRIMER 4 GLN BITUPLAST</v>
      </c>
      <c r="C12" s="164">
        <f>'DETALLE DE VENTAS'!Y117</f>
        <v>55</v>
      </c>
      <c r="D12" s="134"/>
      <c r="E12" s="134"/>
      <c r="K12" s="696"/>
      <c r="L12" s="696"/>
      <c r="M12" s="696"/>
      <c r="N12" s="696"/>
      <c r="O12" s="696"/>
    </row>
    <row r="13" spans="2:15" hidden="1" x14ac:dyDescent="0.25">
      <c r="B13" s="163" t="str">
        <f>'DETALLE DE VENTAS'!C118</f>
        <v>PINT ALUMINIZADA GLN BITUPLAST</v>
      </c>
      <c r="C13" s="164">
        <f>'DETALLE DE VENTAS'!Y118</f>
        <v>19</v>
      </c>
      <c r="D13" s="134"/>
      <c r="E13" s="134"/>
      <c r="K13" s="696"/>
      <c r="L13" s="696"/>
      <c r="M13" s="696"/>
      <c r="N13" s="696"/>
      <c r="O13" s="696"/>
    </row>
    <row r="14" spans="2:15" ht="24" hidden="1" x14ac:dyDescent="0.25">
      <c r="B14" s="163" t="str">
        <f>'DETALLE DE VENTAS'!C119</f>
        <v>PINT ALUMINIZADA 4 GLN BITUPLAST</v>
      </c>
      <c r="C14" s="164">
        <f>'DETALLE DE VENTAS'!Y119</f>
        <v>28</v>
      </c>
      <c r="D14" s="134"/>
      <c r="E14" s="134"/>
      <c r="K14" s="696"/>
      <c r="L14" s="696"/>
      <c r="M14" s="696"/>
      <c r="N14" s="696"/>
      <c r="O14" s="696"/>
    </row>
    <row r="15" spans="2:15" ht="18" hidden="1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34"/>
      <c r="E15" s="134"/>
      <c r="K15" s="696"/>
      <c r="L15" s="696"/>
      <c r="M15" s="696"/>
      <c r="N15" s="696"/>
      <c r="O15" s="696"/>
    </row>
    <row r="16" spans="2:15" ht="24" hidden="1" x14ac:dyDescent="0.25">
      <c r="B16" s="163" t="str">
        <f>'DETALLE DE VENTAS'!C121</f>
        <v>SELLADOR DE CAPAS 4GLN BITUPLAST</v>
      </c>
      <c r="C16" s="164">
        <f>'DETALLE DE VENTAS'!Y121</f>
        <v>7</v>
      </c>
      <c r="D16" s="134"/>
      <c r="E16" s="134"/>
      <c r="K16" s="696"/>
      <c r="L16" s="696"/>
      <c r="M16" s="696"/>
      <c r="N16" s="696"/>
      <c r="O16" s="696"/>
    </row>
    <row r="17" spans="2:15" hidden="1" x14ac:dyDescent="0.25">
      <c r="B17" s="163" t="str">
        <f>'DETALLE DE VENTAS'!C122</f>
        <v>MANTO ALUMINIZADO 3 MM</v>
      </c>
      <c r="C17" s="164">
        <f>'DETALLE DE VENTAS'!Y122</f>
        <v>0</v>
      </c>
      <c r="D17" s="134"/>
      <c r="E17" s="134"/>
      <c r="K17" s="696"/>
      <c r="L17" s="696"/>
      <c r="M17" s="696"/>
      <c r="N17" s="696"/>
      <c r="O17" s="696"/>
    </row>
    <row r="18" spans="2:15" hidden="1" x14ac:dyDescent="0.25">
      <c r="B18" s="163" t="str">
        <f>'DETALLE DE VENTAS'!C123</f>
        <v>MANTO 2,7 MM</v>
      </c>
      <c r="C18" s="164">
        <f>'DETALLE DE VENTAS'!Y123</f>
        <v>28</v>
      </c>
      <c r="D18" s="134"/>
      <c r="E18" s="134"/>
      <c r="K18" s="696"/>
      <c r="L18" s="696"/>
      <c r="M18" s="696"/>
      <c r="N18" s="696"/>
      <c r="O18" s="696"/>
    </row>
    <row r="19" spans="2:15" hidden="1" x14ac:dyDescent="0.25">
      <c r="B19" s="163" t="str">
        <f>'DETALLE DE VENTAS'!C124</f>
        <v>MANTO 3,2 MM (R-34)</v>
      </c>
      <c r="C19" s="164">
        <f>'DETALLE DE VENTAS'!Y124</f>
        <v>196</v>
      </c>
      <c r="D19" s="134"/>
      <c r="E19" s="134"/>
      <c r="K19" s="696"/>
      <c r="L19" s="696"/>
      <c r="M19" s="696"/>
      <c r="N19" s="696"/>
      <c r="O19" s="696"/>
    </row>
    <row r="20" spans="2:15" hidden="1" x14ac:dyDescent="0.25">
      <c r="B20" s="163" t="str">
        <f>'DETALLE DE VENTAS'!C125</f>
        <v>MANTO 3.2 MM SEGUNDA</v>
      </c>
      <c r="C20" s="164">
        <f>'DETALLE DE VENTAS'!Y125</f>
        <v>0</v>
      </c>
      <c r="D20" s="134"/>
      <c r="E20" s="134"/>
      <c r="K20" s="696"/>
      <c r="L20" s="696"/>
      <c r="M20" s="696"/>
      <c r="N20" s="696"/>
      <c r="O20" s="696"/>
    </row>
    <row r="21" spans="2:15" ht="24" hidden="1" x14ac:dyDescent="0.25">
      <c r="B21" s="163" t="str">
        <f>'DETALLE DE VENTAS'!C126</f>
        <v>MANTO LIQUIDO CUNETE 4 GLN ROJO</v>
      </c>
      <c r="C21" s="164">
        <f>'DETALLE DE VENTAS'!Y126</f>
        <v>0</v>
      </c>
      <c r="D21" s="134"/>
      <c r="E21" s="134"/>
      <c r="K21" s="696"/>
      <c r="L21" s="696"/>
      <c r="M21" s="696"/>
      <c r="N21" s="696"/>
      <c r="O21" s="696"/>
    </row>
    <row r="22" spans="2:15" ht="24" hidden="1" x14ac:dyDescent="0.25">
      <c r="B22" s="163" t="str">
        <f>'DETALLE DE VENTAS'!C127</f>
        <v>MANTO LIQUIDO CUNETE 4 GLN BLANCO</v>
      </c>
      <c r="C22" s="164">
        <f>'DETALLE DE VENTAS'!Y127</f>
        <v>1</v>
      </c>
      <c r="D22" s="134"/>
      <c r="E22" s="134"/>
      <c r="K22" s="696"/>
      <c r="L22" s="696"/>
      <c r="M22" s="696"/>
      <c r="N22" s="696"/>
      <c r="O22" s="696"/>
    </row>
    <row r="23" spans="2:15" ht="24" hidden="1" x14ac:dyDescent="0.25">
      <c r="B23" s="163" t="str">
        <f>'DETALLE DE VENTAS'!C128</f>
        <v>MANTO LIQUIDO CUNETE 4 GLN GRIS</v>
      </c>
      <c r="C23" s="164">
        <f>'DETALLE DE VENTAS'!Y128</f>
        <v>0</v>
      </c>
      <c r="D23" s="134"/>
      <c r="E23" s="134"/>
      <c r="K23" s="696"/>
      <c r="L23" s="696"/>
      <c r="M23" s="696"/>
      <c r="N23" s="696"/>
      <c r="O23" s="696"/>
    </row>
    <row r="24" spans="2:15" ht="24" hidden="1" x14ac:dyDescent="0.25">
      <c r="B24" s="163" t="str">
        <f>'DETALLE DE VENTAS'!C129</f>
        <v>MANTO LIQUIDO CUNETE 4 GLN VERDE</v>
      </c>
      <c r="C24" s="164">
        <f>'DETALLE DE VENTAS'!Y129</f>
        <v>0</v>
      </c>
      <c r="D24" s="134"/>
      <c r="E24" s="134"/>
      <c r="K24" s="697"/>
      <c r="L24" s="697"/>
      <c r="M24" s="697"/>
      <c r="N24" s="697"/>
      <c r="O24" s="697"/>
    </row>
    <row r="25" spans="2:15" hidden="1" x14ac:dyDescent="0.25">
      <c r="B25" s="163" t="str">
        <f>'DETALLE DE VENTAS'!C130</f>
        <v>BITUBACHE SACO</v>
      </c>
      <c r="C25" s="164">
        <f>'DETALLE DE VENTAS'!Y130</f>
        <v>0</v>
      </c>
      <c r="D25" s="134"/>
      <c r="E25" s="134"/>
      <c r="K25" s="696"/>
      <c r="L25" s="696"/>
      <c r="M25" s="696"/>
      <c r="N25" s="696"/>
      <c r="O25" s="3"/>
    </row>
    <row r="26" spans="2:15" hidden="1" x14ac:dyDescent="0.25">
      <c r="B26" s="163" t="str">
        <f>'DETALLE DE VENTAS'!C131</f>
        <v>TANQUE CILIND 500 LT</v>
      </c>
      <c r="C26" s="164">
        <f>'DETALLE DE VENTAS'!Y131</f>
        <v>3</v>
      </c>
      <c r="D26" s="134"/>
      <c r="E26" s="134"/>
      <c r="K26" s="696"/>
      <c r="L26" s="696"/>
      <c r="M26" s="696"/>
      <c r="N26" s="696"/>
      <c r="O26" s="3"/>
    </row>
    <row r="27" spans="2:15" hidden="1" x14ac:dyDescent="0.25">
      <c r="B27" s="163" t="str">
        <f>'DETALLE DE VENTAS'!C132</f>
        <v>TANQUE CILIND 560 LT</v>
      </c>
      <c r="C27" s="164">
        <f>'DETALLE DE VENTAS'!Y132</f>
        <v>2</v>
      </c>
      <c r="D27" s="134"/>
      <c r="E27" s="134"/>
      <c r="K27" s="696"/>
      <c r="L27" s="696"/>
      <c r="M27" s="696"/>
      <c r="N27" s="696"/>
      <c r="O27" s="3"/>
    </row>
    <row r="28" spans="2:15" hidden="1" x14ac:dyDescent="0.25">
      <c r="B28" s="163" t="str">
        <f>'DETALLE DE VENTAS'!C133</f>
        <v>TANQUE CILIND 1000 LT</v>
      </c>
      <c r="C28" s="164">
        <f>'DETALLE DE VENTAS'!Y133</f>
        <v>0</v>
      </c>
      <c r="D28" s="134"/>
      <c r="E28" s="134"/>
      <c r="K28" s="696"/>
      <c r="L28" s="696"/>
      <c r="M28" s="696"/>
      <c r="N28" s="696"/>
      <c r="O28" s="3"/>
    </row>
    <row r="29" spans="2:15" hidden="1" x14ac:dyDescent="0.25">
      <c r="B29" s="163" t="str">
        <f>'DETALLE DE VENTAS'!C134</f>
        <v>TANQUE CILIND 1000 LT TUBENCA</v>
      </c>
      <c r="C29" s="164">
        <f>'DETALLE DE VENTAS'!Y134</f>
        <v>6</v>
      </c>
      <c r="D29" s="134"/>
      <c r="E29" s="134"/>
      <c r="K29" s="696"/>
      <c r="L29" s="696"/>
      <c r="M29" s="696"/>
      <c r="N29" s="696"/>
      <c r="O29" s="696"/>
    </row>
    <row r="30" spans="2:15" hidden="1" x14ac:dyDescent="0.25">
      <c r="B30" s="163" t="str">
        <f>'DETALLE DE VENTAS'!C135</f>
        <v>TANQUE T/VASO 1100 LT</v>
      </c>
      <c r="C30" s="164">
        <f>'DETALLE DE VENTAS'!Y135</f>
        <v>0</v>
      </c>
      <c r="D30" s="134"/>
      <c r="E30" s="134"/>
      <c r="K30" s="696"/>
      <c r="L30" s="696"/>
      <c r="M30" s="696"/>
      <c r="N30" s="696"/>
      <c r="O30" s="696"/>
    </row>
    <row r="31" spans="2:15" hidden="1" x14ac:dyDescent="0.25">
      <c r="B31" s="163" t="str">
        <f>'DETALLE DE VENTAS'!C136</f>
        <v>TANQUE T/VASO 1400 LT TUVENCA</v>
      </c>
      <c r="C31" s="164">
        <f>'DETALLE DE VENTAS'!Y136</f>
        <v>6</v>
      </c>
      <c r="D31" s="134"/>
      <c r="E31" s="134"/>
      <c r="K31" s="696"/>
      <c r="L31" s="696"/>
      <c r="M31" s="696"/>
      <c r="N31" s="696"/>
      <c r="O31" s="696"/>
    </row>
    <row r="32" spans="2:15" hidden="1" x14ac:dyDescent="0.25">
      <c r="B32" s="163" t="str">
        <f>'DETALLE DE VENTAS'!C137</f>
        <v>TANQUE T/VASO 2200 LT</v>
      </c>
      <c r="C32" s="164">
        <f>'DETALLE DE VENTAS'!Y137</f>
        <v>0</v>
      </c>
      <c r="D32" s="134"/>
      <c r="E32" s="134"/>
      <c r="K32" s="696"/>
      <c r="L32" s="696"/>
      <c r="M32" s="696"/>
      <c r="N32" s="696"/>
      <c r="O32" s="696"/>
    </row>
    <row r="33" spans="2:15" hidden="1" x14ac:dyDescent="0.25">
      <c r="B33" s="163" t="str">
        <f>'DETALLE DE VENTAS'!C138</f>
        <v>TANQUE TINACO 2000 LT</v>
      </c>
      <c r="C33" s="164">
        <f>'DETALLE DE VENTAS'!Y138</f>
        <v>0</v>
      </c>
      <c r="D33" s="134"/>
      <c r="E33" s="134"/>
      <c r="K33" s="696"/>
      <c r="L33" s="696"/>
      <c r="M33" s="696"/>
      <c r="N33" s="696"/>
      <c r="O33" s="696"/>
    </row>
    <row r="34" spans="2:15" hidden="1" x14ac:dyDescent="0.25">
      <c r="B34" s="163" t="str">
        <f>'DETALLE DE VENTAS'!C139</f>
        <v>MAPEI UNO GARRAFA 0,8 KG</v>
      </c>
      <c r="C34" s="164">
        <f>'DETALLE DE VENTAS'!Y139</f>
        <v>1</v>
      </c>
      <c r="D34" s="134"/>
      <c r="E34" s="134"/>
      <c r="K34" s="696"/>
      <c r="L34" s="696"/>
      <c r="M34" s="696"/>
      <c r="N34" s="696"/>
      <c r="O34" s="696"/>
    </row>
    <row r="35" spans="2:15" hidden="1" x14ac:dyDescent="0.25">
      <c r="B35" s="163" t="str">
        <f>'DETALLE DE VENTAS'!C140</f>
        <v>MAPEI UNO GARRAFA 2 KG</v>
      </c>
      <c r="C35" s="164">
        <f>'DETALLE DE VENTAS'!Y140</f>
        <v>4</v>
      </c>
      <c r="D35" s="134"/>
      <c r="E35" s="134"/>
      <c r="K35" s="696"/>
      <c r="L35" s="696"/>
      <c r="M35" s="696"/>
      <c r="N35" s="696"/>
      <c r="O35" s="696"/>
    </row>
    <row r="36" spans="2:15" hidden="1" x14ac:dyDescent="0.25">
      <c r="B36" s="163" t="str">
        <f>'DETALLE DE VENTAS'!C141</f>
        <v>MAPELATEX  CO GARRAFA 0,8 KG</v>
      </c>
      <c r="C36" s="164">
        <f>'DETALLE DE VENTAS'!Y141</f>
        <v>0</v>
      </c>
      <c r="D36" s="134"/>
      <c r="E36" s="134"/>
      <c r="K36" s="696"/>
      <c r="L36" s="696"/>
      <c r="M36" s="696"/>
      <c r="N36" s="696"/>
      <c r="O36" s="696"/>
    </row>
    <row r="37" spans="2:15" hidden="1" x14ac:dyDescent="0.25">
      <c r="B37" s="163" t="str">
        <f>'DETALLE DE VENTAS'!C142</f>
        <v>MAPELATEX PVA GARRAFA 0,25 KG</v>
      </c>
      <c r="C37" s="164">
        <f>'DETALLE DE VENTAS'!Y142</f>
        <v>0</v>
      </c>
      <c r="D37" s="134"/>
      <c r="E37" s="134"/>
      <c r="K37" s="696"/>
      <c r="L37" s="696"/>
      <c r="M37" s="696"/>
      <c r="N37" s="696"/>
      <c r="O37" s="696"/>
    </row>
    <row r="38" spans="2:15" hidden="1" x14ac:dyDescent="0.25">
      <c r="B38" s="163" t="str">
        <f>'DETALLE DE VENTAS'!C143</f>
        <v>MAPELATEX PVA GARRAFA 1 KG</v>
      </c>
      <c r="C38" s="164">
        <f>'DETALLE DE VENTAS'!Y143</f>
        <v>1</v>
      </c>
      <c r="D38" s="134"/>
      <c r="E38" s="134"/>
      <c r="K38" s="696"/>
      <c r="L38" s="696"/>
      <c r="M38" s="696"/>
      <c r="N38" s="696"/>
      <c r="O38" s="696"/>
    </row>
    <row r="39" spans="2:15" hidden="1" x14ac:dyDescent="0.25">
      <c r="B39" s="163" t="str">
        <f>'DETALLE DE VENTAS'!C144</f>
        <v>MAPEPLAST WP20 GARRAFA 4,5 KG</v>
      </c>
      <c r="C39" s="164">
        <f>'DETALLE DE VENTAS'!Y144</f>
        <v>0</v>
      </c>
      <c r="D39" s="134"/>
      <c r="E39" s="134"/>
      <c r="K39" s="696"/>
      <c r="L39" s="696"/>
      <c r="M39" s="696"/>
      <c r="N39" s="696"/>
      <c r="O39" s="696"/>
    </row>
    <row r="40" spans="2:15" hidden="1" x14ac:dyDescent="0.25">
      <c r="B40" s="163" t="str">
        <f>'DETALLE DE VENTAS'!C145</f>
        <v>MAPEBAND EASY H130 ROLLO 10M</v>
      </c>
      <c r="C40" s="164">
        <f>'DETALLE DE VENTAS'!Y145</f>
        <v>0</v>
      </c>
      <c r="D40" s="134"/>
      <c r="E40" s="134"/>
      <c r="K40" s="696"/>
      <c r="L40" s="696"/>
      <c r="M40" s="696"/>
      <c r="N40" s="696"/>
      <c r="O40" s="696"/>
    </row>
    <row r="41" spans="2:15" hidden="1" x14ac:dyDescent="0.25">
      <c r="B41" s="163" t="str">
        <f>'DETALLE DE VENTAS'!C146</f>
        <v>AQUAFLEX TECHO MAXI 5GL BLANCO</v>
      </c>
      <c r="C41" s="164">
        <f>'DETALLE DE VENTAS'!Y146</f>
        <v>2</v>
      </c>
      <c r="D41" s="134"/>
      <c r="E41" s="134"/>
      <c r="K41" s="696"/>
      <c r="L41" s="696"/>
      <c r="M41" s="696"/>
      <c r="N41" s="696"/>
      <c r="O41" s="696"/>
    </row>
    <row r="42" spans="2:15" ht="15.6" hidden="1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34"/>
      <c r="E42" s="134"/>
      <c r="K42" s="696"/>
      <c r="L42" s="696"/>
      <c r="M42" s="696"/>
      <c r="N42" s="696"/>
      <c r="O42" s="696"/>
    </row>
    <row r="43" spans="2:15" hidden="1" x14ac:dyDescent="0.25">
      <c r="B43" s="163" t="str">
        <f>'DETALLE DE VENTAS'!C148</f>
        <v>AQUAFLEX TECHO MAXI 5GL GRIS</v>
      </c>
      <c r="C43" s="164">
        <f>'DETALLE DE VENTAS'!Y148</f>
        <v>6</v>
      </c>
      <c r="D43" s="134"/>
      <c r="E43" s="134"/>
      <c r="K43" s="696"/>
      <c r="L43" s="696"/>
      <c r="M43" s="696"/>
      <c r="N43" s="696"/>
      <c r="O43" s="696"/>
    </row>
    <row r="44" spans="2:15" hidden="1" x14ac:dyDescent="0.25">
      <c r="B44" s="163" t="str">
        <f>'DETALLE DE VENTAS'!C149</f>
        <v>AQUAFLEX TECHO MAXI GL GRIS</v>
      </c>
      <c r="C44" s="164">
        <f>'DETALLE DE VENTAS'!Y149</f>
        <v>2</v>
      </c>
      <c r="D44" s="134"/>
      <c r="E44" s="134"/>
      <c r="K44" s="696"/>
      <c r="L44" s="696"/>
      <c r="M44" s="696"/>
      <c r="N44" s="696"/>
      <c r="O44" s="696"/>
    </row>
    <row r="45" spans="2:15" hidden="1" x14ac:dyDescent="0.25">
      <c r="B45" s="163" t="str">
        <f>'DETALLE DE VENTAS'!C150</f>
        <v>AQUAFLEX TECHO MAXI 5GL ROJO</v>
      </c>
      <c r="C45" s="164">
        <f>'DETALLE DE VENTAS'!Y150</f>
        <v>3</v>
      </c>
      <c r="D45" s="134"/>
      <c r="E45" s="134"/>
      <c r="K45" s="696"/>
      <c r="L45" s="696"/>
      <c r="M45" s="696"/>
      <c r="N45" s="696"/>
      <c r="O45" s="696"/>
    </row>
    <row r="46" spans="2:15" hidden="1" x14ac:dyDescent="0.25">
      <c r="B46" s="163" t="str">
        <f>'DETALLE DE VENTAS'!C151</f>
        <v>AQUAFLEX TECHO MAXI GL ROJO</v>
      </c>
      <c r="C46" s="164">
        <f>'DETALLE DE VENTAS'!Y151</f>
        <v>0</v>
      </c>
      <c r="D46" s="134"/>
      <c r="E46" s="134"/>
      <c r="K46" s="696"/>
      <c r="L46" s="696"/>
      <c r="M46" s="696"/>
      <c r="N46" s="696"/>
      <c r="O46" s="696"/>
    </row>
    <row r="47" spans="2:15" ht="24" hidden="1" x14ac:dyDescent="0.25">
      <c r="B47" s="163" t="str">
        <f>'DETALLE DE VENTAS'!C152</f>
        <v>MAPEFLEX MS CRYSTAL CART 300ML TRANSP</v>
      </c>
      <c r="C47" s="164">
        <f>'DETALLE DE VENTAS'!Y152</f>
        <v>0</v>
      </c>
      <c r="D47" s="134"/>
      <c r="E47" s="134"/>
      <c r="K47" s="696"/>
      <c r="L47" s="696"/>
      <c r="M47" s="696"/>
      <c r="N47" s="696"/>
      <c r="O47" s="696"/>
    </row>
    <row r="48" spans="2:15" ht="24" hidden="1" x14ac:dyDescent="0.25">
      <c r="B48" s="163" t="str">
        <f>'DETALLE DE VENTAS'!C153</f>
        <v>MAPEFLEX MS 45 CART 300ML BLANCO</v>
      </c>
      <c r="C48" s="164">
        <f>'DETALLE DE VENTAS'!Y153</f>
        <v>0</v>
      </c>
      <c r="D48" s="134"/>
      <c r="E48" s="134"/>
      <c r="K48" s="696"/>
      <c r="L48" s="696"/>
      <c r="M48" s="696"/>
      <c r="N48" s="696"/>
      <c r="O48" s="696"/>
    </row>
    <row r="49" spans="2:15" hidden="1" x14ac:dyDescent="0.25">
      <c r="B49" s="163" t="str">
        <f>'DETALLE DE VENTAS'!C154</f>
        <v>MAPEFLEX MS 45 CART 300ML GRIS</v>
      </c>
      <c r="C49" s="164">
        <f>'DETALLE DE VENTAS'!Y154</f>
        <v>0</v>
      </c>
      <c r="D49" s="134"/>
      <c r="E49" s="134"/>
      <c r="K49" s="696"/>
      <c r="L49" s="696"/>
      <c r="M49" s="696"/>
      <c r="N49" s="696"/>
      <c r="O49" s="696"/>
    </row>
    <row r="50" spans="2:15" hidden="1" x14ac:dyDescent="0.25">
      <c r="B50" s="163" t="str">
        <f>'DETALLE DE VENTAS'!C155</f>
        <v>MAPEFLEX AC4 CART 300ML BLANCO</v>
      </c>
      <c r="C50" s="164">
        <f>'DETALLE DE VENTAS'!Y155</f>
        <v>1</v>
      </c>
      <c r="D50" s="134"/>
      <c r="E50" s="134"/>
      <c r="K50" s="696"/>
      <c r="L50" s="696"/>
      <c r="M50" s="696"/>
      <c r="N50" s="696"/>
      <c r="O50" s="696"/>
    </row>
    <row r="51" spans="2:15" hidden="1" x14ac:dyDescent="0.25">
      <c r="B51" s="163" t="str">
        <f>'DETALLE DE VENTAS'!C156</f>
        <v>MAPESIL U TRANSP CART 280ML</v>
      </c>
      <c r="C51" s="164">
        <f>'DETALLE DE VENTAS'!Y156</f>
        <v>0</v>
      </c>
      <c r="D51" s="134"/>
      <c r="E51" s="134"/>
      <c r="K51" s="696"/>
      <c r="L51" s="696"/>
      <c r="M51" s="696"/>
      <c r="N51" s="696"/>
      <c r="O51" s="696"/>
    </row>
    <row r="52" spans="2:15" ht="24" hidden="1" x14ac:dyDescent="0.25">
      <c r="B52" s="163" t="str">
        <f>'DETALLE DE VENTAS'!C157</f>
        <v>ULTRABOND SUPER GRIP CART 310ML</v>
      </c>
      <c r="C52" s="164">
        <f>'DETALLE DE VENTAS'!Y157</f>
        <v>0</v>
      </c>
      <c r="D52" s="134"/>
      <c r="E52" s="134"/>
      <c r="K52" s="696"/>
      <c r="L52" s="696"/>
      <c r="M52" s="696"/>
      <c r="N52" s="696"/>
      <c r="O52" s="696"/>
    </row>
    <row r="53" spans="2:15" hidden="1" x14ac:dyDescent="0.25">
      <c r="B53" s="163" t="str">
        <f>'DETALLE DE VENTAS'!C158</f>
        <v>MAPEUR UNIV FOAM LATA 500ML</v>
      </c>
      <c r="C53" s="164">
        <f>'DETALLE DE VENTAS'!Y158</f>
        <v>0</v>
      </c>
      <c r="D53" s="134"/>
      <c r="E53" s="134"/>
      <c r="K53" s="696"/>
      <c r="L53" s="696"/>
      <c r="M53" s="696"/>
      <c r="N53" s="696"/>
      <c r="O53" s="696"/>
    </row>
    <row r="54" spans="2:15" hidden="1" x14ac:dyDescent="0.25">
      <c r="B54" s="163" t="str">
        <f>'DETALLE DE VENTAS'!C159</f>
        <v>MAPEUR UNIV FOAM LATA 750ML</v>
      </c>
      <c r="C54" s="164">
        <f>'DETALLE DE VENTAS'!Y159</f>
        <v>0</v>
      </c>
      <c r="D54" s="134"/>
      <c r="E54" s="134"/>
      <c r="K54" s="696"/>
      <c r="L54" s="696"/>
      <c r="M54" s="696"/>
      <c r="N54" s="696"/>
      <c r="O54" s="696"/>
    </row>
    <row r="55" spans="2:15" ht="24" hidden="1" x14ac:dyDescent="0.25">
      <c r="B55" s="163" t="str">
        <f>'DETALLE DE VENTAS'!C160</f>
        <v>EPORIP COMP A+B TARRO 1,5 KG + 0,5 KG</v>
      </c>
      <c r="C55" s="164">
        <f>'DETALLE DE VENTAS'!Y160</f>
        <v>0</v>
      </c>
      <c r="D55" s="134"/>
      <c r="E55" s="134"/>
      <c r="K55" s="696"/>
      <c r="L55" s="696"/>
      <c r="M55" s="696"/>
      <c r="N55" s="696"/>
      <c r="O55" s="696"/>
    </row>
    <row r="56" spans="2:15" hidden="1" x14ac:dyDescent="0.25">
      <c r="B56" s="163" t="str">
        <f>'DETALLE DE VENTAS'!C161</f>
        <v>ADESILEX PG1 COMP A+B TARRO 2KG</v>
      </c>
      <c r="C56" s="164">
        <f>'DETALLE DE VENTAS'!Y161</f>
        <v>0</v>
      </c>
      <c r="D56" s="134"/>
      <c r="E56" s="134"/>
      <c r="K56" s="696"/>
      <c r="L56" s="696"/>
      <c r="M56" s="696"/>
      <c r="N56" s="696"/>
      <c r="O56" s="696"/>
    </row>
    <row r="57" spans="2:15" ht="24" hidden="1" x14ac:dyDescent="0.25">
      <c r="B57" s="163" t="str">
        <f>'DETALLE DE VENTAS'!C162</f>
        <v>KERACOLOR FF 100 BLANCO BOLSA 2KG</v>
      </c>
      <c r="C57" s="164">
        <f>'DETALLE DE VENTAS'!Y162</f>
        <v>17</v>
      </c>
      <c r="D57" s="134"/>
      <c r="E57" s="134"/>
      <c r="K57" s="696"/>
      <c r="L57" s="696"/>
      <c r="M57" s="696"/>
      <c r="N57" s="696"/>
      <c r="O57" s="696"/>
    </row>
    <row r="58" spans="2:15" ht="24" hidden="1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34"/>
      <c r="E58" s="134"/>
      <c r="K58" s="696"/>
      <c r="L58" s="696"/>
      <c r="M58" s="696"/>
      <c r="N58" s="696"/>
      <c r="O58" s="696"/>
    </row>
    <row r="59" spans="2:15" ht="24" hidden="1" x14ac:dyDescent="0.25">
      <c r="B59" s="163" t="str">
        <f>'DETALLE DE VENTAS'!C164</f>
        <v>KERACOLOR FF 112 GRIS MEDIO BOLSA 5KG</v>
      </c>
      <c r="C59" s="164">
        <f>'DETALLE DE VENTAS'!Y164</f>
        <v>0</v>
      </c>
      <c r="D59" s="134"/>
      <c r="E59" s="134"/>
      <c r="K59" s="696"/>
      <c r="L59" s="696"/>
      <c r="M59" s="696"/>
      <c r="N59" s="696"/>
      <c r="O59" s="696"/>
    </row>
    <row r="60" spans="2:15" ht="24" hidden="1" x14ac:dyDescent="0.25">
      <c r="B60" s="163" t="str">
        <f>'DETALLE DE VENTAS'!C165</f>
        <v>KERACOLOR FF 112 GRIS MEDIO BOLSA 2KG</v>
      </c>
      <c r="C60" s="164">
        <f>'DETALLE DE VENTAS'!Y165</f>
        <v>0</v>
      </c>
      <c r="D60" s="134"/>
      <c r="E60" s="134"/>
      <c r="K60" s="14"/>
      <c r="L60" s="14"/>
      <c r="M60" s="14"/>
      <c r="N60" s="14"/>
      <c r="O60" s="14"/>
    </row>
    <row r="61" spans="2:15" ht="24" hidden="1" x14ac:dyDescent="0.25">
      <c r="B61" s="163" t="str">
        <f>'DETALLE DE VENTAS'!C166</f>
        <v>KERACOLOR FF 142 MARRON BOLSA 2KG</v>
      </c>
      <c r="C61" s="164">
        <f>'DETALLE DE VENTAS'!Y166</f>
        <v>0</v>
      </c>
      <c r="D61" s="134"/>
      <c r="E61" s="134"/>
      <c r="K61" s="14"/>
      <c r="L61" s="14"/>
      <c r="M61" s="14"/>
      <c r="N61" s="14"/>
      <c r="O61" s="14"/>
    </row>
    <row r="62" spans="2:15" ht="24" hidden="1" x14ac:dyDescent="0.25">
      <c r="B62" s="163" t="str">
        <f>'DETALLE DE VENTAS'!C167</f>
        <v>KERACOLOR FF 142 MARRON BOLSA 5KG</v>
      </c>
      <c r="C62" s="164">
        <f>'DETALLE DE VENTAS'!Y167</f>
        <v>0</v>
      </c>
      <c r="D62" s="134"/>
      <c r="E62" s="134"/>
      <c r="K62" s="14"/>
      <c r="L62" s="14"/>
      <c r="M62" s="14"/>
      <c r="N62" s="14"/>
      <c r="O62" s="14"/>
    </row>
    <row r="63" spans="2:15" ht="24" hidden="1" x14ac:dyDescent="0.25">
      <c r="B63" s="163" t="str">
        <f>'DETALLE DE VENTAS'!C168</f>
        <v>KERACOLOR FF 166 FANGO BOLSA 2KG</v>
      </c>
      <c r="C63" s="164">
        <f>'DETALLE DE VENTAS'!Y168</f>
        <v>0</v>
      </c>
      <c r="D63" s="134"/>
      <c r="E63" s="134"/>
      <c r="K63" s="14"/>
      <c r="L63" s="14"/>
      <c r="M63" s="14"/>
      <c r="N63" s="14"/>
      <c r="O63" s="14"/>
    </row>
    <row r="64" spans="2:15" ht="24" hidden="1" x14ac:dyDescent="0.25">
      <c r="B64" s="163" t="str">
        <f>'DETALLE DE VENTAS'!C169</f>
        <v>KERACOLOR FF 132 BEIGE BOLSA 2KG</v>
      </c>
      <c r="C64" s="164">
        <f>'DETALLE DE VENTAS'!Y169</f>
        <v>0</v>
      </c>
      <c r="D64" s="134"/>
      <c r="E64" s="134"/>
      <c r="K64" s="14"/>
      <c r="L64" s="14"/>
      <c r="M64" s="14"/>
      <c r="N64" s="14"/>
      <c r="O64" s="14"/>
    </row>
    <row r="65" spans="2:15" ht="24" hidden="1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34"/>
      <c r="E65" s="134"/>
      <c r="K65" s="14"/>
      <c r="L65" s="14"/>
      <c r="M65" s="14"/>
      <c r="N65" s="14"/>
      <c r="O65" s="14"/>
    </row>
    <row r="66" spans="2:15" hidden="1" x14ac:dyDescent="0.25">
      <c r="B66" s="163" t="str">
        <f>'DETALLE DE VENTAS'!C171</f>
        <v>Lamina Sinoxsa Calibre 28</v>
      </c>
      <c r="C66" s="164">
        <f>'DETALLE DE VENTAS'!Y171</f>
        <v>35</v>
      </c>
      <c r="D66" s="134"/>
      <c r="E66" s="134"/>
      <c r="K66" s="14"/>
      <c r="L66" s="14"/>
      <c r="M66" s="14"/>
      <c r="N66" s="14"/>
      <c r="O66" s="14"/>
    </row>
    <row r="67" spans="2:15" hidden="1" x14ac:dyDescent="0.25">
      <c r="B67" s="163" t="str">
        <f>'DETALLE DE VENTAS'!C172</f>
        <v>TUBO RECT 2X1 GALV 6MTS</v>
      </c>
      <c r="C67" s="164">
        <f>'DETALLE DE VENTAS'!Y172</f>
        <v>4</v>
      </c>
      <c r="D67" s="134"/>
      <c r="E67" s="134"/>
      <c r="K67" s="14"/>
      <c r="L67" s="14"/>
      <c r="M67" s="14"/>
      <c r="N67" s="14"/>
      <c r="O67" s="14"/>
    </row>
    <row r="68" spans="2:15" hidden="1" x14ac:dyDescent="0.25">
      <c r="B68" s="163" t="str">
        <f>'DETALLE DE VENTAS'!C173</f>
        <v>MANTO 2.2MM ADHESIVO EDIL</v>
      </c>
      <c r="C68" s="164">
        <f>'DETALLE DE VENTAS'!Y173</f>
        <v>0</v>
      </c>
      <c r="D68" s="134"/>
      <c r="E68" s="134"/>
      <c r="K68" s="696"/>
      <c r="L68" s="696"/>
      <c r="M68" s="696"/>
      <c r="N68" s="696"/>
      <c r="O68" s="696"/>
    </row>
    <row r="69" spans="2:15" ht="24" hidden="1" x14ac:dyDescent="0.25">
      <c r="B69" s="163" t="str">
        <f>'DETALLE DE VENTAS'!C174</f>
        <v>ASFALTO SOLIDO OXIDADO CARTUCHO</v>
      </c>
      <c r="C69" s="164">
        <f>'DETALLE DE VENTAS'!Y174</f>
        <v>0</v>
      </c>
      <c r="D69" s="134"/>
      <c r="E69" s="134"/>
      <c r="K69" s="14"/>
      <c r="L69" s="14"/>
      <c r="M69" s="14"/>
      <c r="N69" s="14"/>
      <c r="O69" s="14"/>
    </row>
    <row r="70" spans="2:15" hidden="1" x14ac:dyDescent="0.25">
      <c r="B70" s="163" t="str">
        <f>'DETALLE DE VENTAS'!C175</f>
        <v>LAMINA ZINC ONDULADA 80 X 3,66</v>
      </c>
      <c r="C70" s="164">
        <f>'DETALLE DE VENTAS'!Y175</f>
        <v>26</v>
      </c>
      <c r="D70" s="134"/>
      <c r="E70" s="134"/>
      <c r="K70" s="14"/>
      <c r="L70" s="14"/>
      <c r="M70" s="14"/>
      <c r="N70" s="14"/>
      <c r="O70" s="14"/>
    </row>
    <row r="71" spans="2:15" hidden="1" x14ac:dyDescent="0.25">
      <c r="B71" s="163" t="str">
        <f>'DETALLE DE VENTAS'!C176</f>
        <v>KERACOLOR FF 114 ANTRACITA 2KG</v>
      </c>
      <c r="C71" s="164">
        <f>'DETALLE DE VENTAS'!Y176</f>
        <v>1</v>
      </c>
      <c r="D71" s="134"/>
      <c r="E71" s="134"/>
      <c r="K71" s="14"/>
      <c r="L71" s="14"/>
      <c r="M71" s="14"/>
      <c r="N71" s="14"/>
      <c r="O71" s="14"/>
    </row>
    <row r="72" spans="2:15" hidden="1" x14ac:dyDescent="0.25">
      <c r="B72" s="163" t="str">
        <f>'DETALLE DE VENTAS'!C177</f>
        <v>LAMINA ZINC 80 X 3,05 ONDULADA</v>
      </c>
      <c r="C72" s="164">
        <f>'DETALLE DE VENTAS'!Y177</f>
        <v>0</v>
      </c>
      <c r="D72" s="134"/>
      <c r="E72" s="134"/>
      <c r="K72" s="14"/>
      <c r="L72" s="14"/>
      <c r="M72" s="14"/>
      <c r="N72" s="14"/>
      <c r="O72" s="14"/>
    </row>
    <row r="73" spans="2:15" hidden="1" x14ac:dyDescent="0.25">
      <c r="B73" s="163" t="str">
        <f>'DETALLE DE VENTAS'!C178</f>
        <v>LAMINA ZINC 80 X 2,40 ONDULADA</v>
      </c>
      <c r="C73" s="164">
        <f>'DETALLE DE VENTAS'!Y178</f>
        <v>0</v>
      </c>
      <c r="D73" s="134"/>
      <c r="E73" s="134"/>
      <c r="K73" s="14"/>
      <c r="L73" s="14"/>
      <c r="M73" s="14"/>
      <c r="N73" s="14"/>
      <c r="O73" s="14"/>
    </row>
    <row r="74" spans="2:15" hidden="1" x14ac:dyDescent="0.25">
      <c r="B74" s="163" t="str">
        <f>'DETALLE DE VENTAS'!C179</f>
        <v>TUBO GALV CUADRADO 2X2 6MTS</v>
      </c>
      <c r="C74" s="164">
        <f>'DETALLE DE VENTAS'!Y179</f>
        <v>0</v>
      </c>
      <c r="D74" s="134"/>
      <c r="E74" s="134"/>
      <c r="K74" s="14"/>
      <c r="L74" s="14"/>
      <c r="M74" s="14"/>
      <c r="N74" s="14"/>
      <c r="O74" s="14"/>
    </row>
    <row r="75" spans="2:15" hidden="1" x14ac:dyDescent="0.25">
      <c r="B75" s="163" t="str">
        <f>'DETALLE DE VENTAS'!C180</f>
        <v>TUBO CUADRADO 1X1  6MTS</v>
      </c>
      <c r="C75" s="164">
        <f>'DETALLE DE VENTAS'!Y180</f>
        <v>0</v>
      </c>
      <c r="D75" s="134"/>
      <c r="E75" s="134"/>
      <c r="K75" s="14"/>
      <c r="L75" s="14"/>
      <c r="M75" s="14"/>
      <c r="N75" s="14"/>
      <c r="O75" s="14"/>
    </row>
    <row r="76" spans="2:15" hidden="1" x14ac:dyDescent="0.25">
      <c r="B76" s="163" t="str">
        <f>'DETALLE DE VENTAS'!C181</f>
        <v>TUBO CUADRADO 3/4X3/4 6MTS</v>
      </c>
      <c r="C76" s="164">
        <f>'DETALLE DE VENTAS'!Y181</f>
        <v>0</v>
      </c>
      <c r="D76" s="134"/>
      <c r="E76" s="134"/>
      <c r="K76" s="14"/>
      <c r="L76" s="14"/>
      <c r="M76" s="14"/>
      <c r="N76" s="14"/>
      <c r="O76" s="14"/>
    </row>
    <row r="77" spans="2:15" hidden="1" x14ac:dyDescent="0.25">
      <c r="B77" s="163" t="str">
        <f>'DETALLE DE VENTAS'!C182</f>
        <v>TUBO RECT GALV 3X1 6MTS</v>
      </c>
      <c r="C77" s="164">
        <f>'DETALLE DE VENTAS'!Y182</f>
        <v>0</v>
      </c>
      <c r="D77" s="134"/>
      <c r="E77" s="134"/>
      <c r="K77" s="14"/>
      <c r="L77" s="14"/>
      <c r="M77" s="14"/>
      <c r="N77" s="14"/>
      <c r="O77" s="14"/>
    </row>
    <row r="78" spans="2:15" hidden="1" x14ac:dyDescent="0.25">
      <c r="B78" s="163" t="str">
        <f>'DETALLE DE VENTAS'!C183</f>
        <v>ANGULO SID 25X25X3MM 6MTS</v>
      </c>
      <c r="C78" s="164">
        <f>'DETALLE DE VENTAS'!Y183</f>
        <v>0</v>
      </c>
      <c r="D78" s="134"/>
      <c r="E78" s="134"/>
      <c r="K78" s="14"/>
      <c r="L78" s="14"/>
      <c r="M78" s="14"/>
      <c r="N78" s="14"/>
      <c r="O78" s="14"/>
    </row>
    <row r="79" spans="2:15" hidden="1" x14ac:dyDescent="0.25">
      <c r="B79" s="163" t="str">
        <f>'DETALLE DE VENTAS'!C184</f>
        <v>ANGULO SID 30X30X3MM 6MTS</v>
      </c>
      <c r="C79" s="164">
        <f>'DETALLE DE VENTAS'!Y184</f>
        <v>0</v>
      </c>
      <c r="D79" s="134"/>
      <c r="E79" s="134"/>
      <c r="K79" s="14"/>
      <c r="L79" s="14"/>
      <c r="M79" s="14"/>
      <c r="N79" s="14"/>
      <c r="O79" s="14"/>
    </row>
    <row r="80" spans="2:15" hidden="1" x14ac:dyDescent="0.25">
      <c r="B80" s="163" t="str">
        <f>'DETALLE DE VENTAS'!C185</f>
        <v>ANGULO SID 40X40X4MM 6MTS</v>
      </c>
      <c r="C80" s="164">
        <f>'DETALLE DE VENTAS'!Y185</f>
        <v>0</v>
      </c>
      <c r="D80" s="134"/>
      <c r="E80" s="134"/>
      <c r="K80" s="14"/>
      <c r="L80" s="14"/>
      <c r="M80" s="14"/>
      <c r="N80" s="14"/>
      <c r="O80" s="14"/>
    </row>
    <row r="81" spans="2:22" hidden="1" x14ac:dyDescent="0.25">
      <c r="B81" s="163" t="str">
        <f>'DETALLE DE VENTAS'!C186</f>
        <v>PLETINA 3/4X3/16 6MTS</v>
      </c>
      <c r="C81" s="164">
        <f>'DETALLE DE VENTAS'!Y186</f>
        <v>0</v>
      </c>
      <c r="D81" s="134"/>
      <c r="E81" s="134"/>
      <c r="K81" s="14"/>
      <c r="L81" s="14"/>
      <c r="M81" s="14"/>
      <c r="N81" s="14"/>
      <c r="O81" s="14"/>
    </row>
    <row r="82" spans="2:22" hidden="1" x14ac:dyDescent="0.25">
      <c r="B82" s="163" t="str">
        <f>'DETALLE DE VENTAS'!C187</f>
        <v>PLETINA 1X3/16 6MTS</v>
      </c>
      <c r="C82" s="164">
        <f>'DETALLE DE VENTAS'!Y187</f>
        <v>0</v>
      </c>
      <c r="D82" s="134"/>
      <c r="E82" s="134"/>
      <c r="K82" s="14"/>
      <c r="L82" s="14"/>
      <c r="M82" s="14"/>
      <c r="N82" s="14"/>
      <c r="O82" s="14"/>
    </row>
    <row r="83" spans="2:22" hidden="1" x14ac:dyDescent="0.25">
      <c r="B83" s="163" t="str">
        <f>'DETALLE DE VENTAS'!C188</f>
        <v>PLETINA 1-1/2X1/8 6MTS</v>
      </c>
      <c r="C83" s="164">
        <f>'DETALLE DE VENTAS'!Y188</f>
        <v>0</v>
      </c>
      <c r="D83" s="134"/>
      <c r="E83" s="134"/>
      <c r="K83" s="14"/>
      <c r="L83" s="14"/>
      <c r="M83" s="14"/>
      <c r="N83" s="14"/>
      <c r="O83" s="14"/>
    </row>
    <row r="84" spans="2:22" hidden="1" x14ac:dyDescent="0.25">
      <c r="B84" s="163" t="str">
        <f>'DETALLE DE VENTAS'!C189</f>
        <v>PLETINA 1-1/2X3/16 6MTS</v>
      </c>
      <c r="C84" s="164">
        <f>'DETALLE DE VENTAS'!Y189</f>
        <v>0</v>
      </c>
      <c r="D84" s="134"/>
      <c r="E84" s="134"/>
      <c r="K84" s="14"/>
      <c r="L84" s="14"/>
      <c r="M84" s="14"/>
      <c r="N84" s="14"/>
      <c r="O84" s="14"/>
    </row>
    <row r="85" spans="2:22" hidden="1" x14ac:dyDescent="0.25">
      <c r="B85" s="163" t="str">
        <f>'DETALLE DE VENTAS'!C190</f>
        <v>PLETINA 1-1/4X3/16 6MTS</v>
      </c>
      <c r="C85" s="164">
        <f>'DETALLE DE VENTAS'!Y190</f>
        <v>0</v>
      </c>
      <c r="D85" s="134"/>
      <c r="E85" s="134"/>
      <c r="K85" s="14"/>
      <c r="L85" s="14"/>
      <c r="M85" s="14"/>
      <c r="N85" s="14"/>
      <c r="O85" s="14"/>
    </row>
    <row r="86" spans="2:22" x14ac:dyDescent="0.25">
      <c r="B86" s="165"/>
      <c r="C86" s="166"/>
      <c r="D86" s="134"/>
      <c r="E86" s="134"/>
      <c r="K86" s="14"/>
      <c r="L86" s="14"/>
      <c r="M86" s="14"/>
      <c r="N86" s="14"/>
      <c r="O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696"/>
      <c r="M87" s="696"/>
      <c r="N87" s="696"/>
      <c r="O87" s="696"/>
      <c r="P87" s="696"/>
    </row>
    <row r="88" spans="2:22" ht="14.45" customHeight="1" x14ac:dyDescent="0.3">
      <c r="B88" s="740" t="s">
        <v>80</v>
      </c>
      <c r="C88" s="741"/>
      <c r="D88" s="742"/>
      <c r="E88" s="210"/>
      <c r="F88" s="743" t="s">
        <v>81</v>
      </c>
      <c r="G88" s="744"/>
      <c r="H88" s="745"/>
      <c r="I88" s="210"/>
      <c r="J88" s="711"/>
      <c r="K88" s="711"/>
      <c r="L88" s="711"/>
      <c r="M88" s="711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5.9" customHeight="1" x14ac:dyDescent="0.25">
      <c r="B89" s="99" t="s">
        <v>2</v>
      </c>
      <c r="C89" s="143" t="s">
        <v>79</v>
      </c>
      <c r="D89" s="176" t="s">
        <v>102</v>
      </c>
      <c r="E89" s="134"/>
      <c r="F89" s="131" t="s">
        <v>2</v>
      </c>
      <c r="G89" s="150" t="s">
        <v>79</v>
      </c>
      <c r="H89" s="212" t="s">
        <v>102</v>
      </c>
      <c r="I89" s="315"/>
      <c r="J89" s="26"/>
      <c r="K89" s="26"/>
    </row>
    <row r="90" spans="2:22" ht="14.45" customHeight="1" x14ac:dyDescent="0.25">
      <c r="B90" s="145" t="str">
        <f>'DETALLE DE VENTAS'!C212</f>
        <v>CEMENTO PLASTICO 1/4 GLN BITUPLAST</v>
      </c>
      <c r="C90" s="143">
        <f>'DETALLE DE VENTAS'!AN212</f>
        <v>1</v>
      </c>
      <c r="D90" s="265">
        <f>'DETALLE DE VENTAS'!AO212</f>
        <v>5.5086206896551726</v>
      </c>
      <c r="E90" s="134"/>
      <c r="F90" s="145" t="s">
        <v>14</v>
      </c>
      <c r="G90" s="143">
        <f>'DETALLE DE VENTAS'!N239</f>
        <v>1</v>
      </c>
      <c r="H90" s="179">
        <f>'DETALLE DE VENTAS'!O239</f>
        <v>75</v>
      </c>
      <c r="I90" s="317"/>
      <c r="J90" s="26"/>
      <c r="K90" s="26"/>
    </row>
    <row r="91" spans="2:22" ht="14.45" customHeight="1" x14ac:dyDescent="0.25">
      <c r="B91" s="145" t="str">
        <f>'DETALLE DE VENTAS'!C213</f>
        <v>CEMENTO PLASTICO GLN BITUPLAST</v>
      </c>
      <c r="C91" s="143">
        <f>'DETALLE DE VENTAS'!AN213</f>
        <v>-2</v>
      </c>
      <c r="D91" s="265">
        <f>'DETALLE DE VENTAS'!AO213</f>
        <v>-21.879310344827587</v>
      </c>
      <c r="E91" s="134"/>
      <c r="F91" s="145" t="s">
        <v>15</v>
      </c>
      <c r="G91" s="143">
        <f>'DETALLE DE VENTAS'!N240</f>
        <v>2</v>
      </c>
      <c r="H91" s="179">
        <f>'DETALLE DE VENTAS'!O240</f>
        <v>160</v>
      </c>
      <c r="I91" s="317"/>
      <c r="J91" s="26"/>
      <c r="K91" s="26"/>
    </row>
    <row r="92" spans="2:22" ht="14.45" customHeight="1" x14ac:dyDescent="0.25">
      <c r="B92" s="145" t="str">
        <f>'DETALLE DE VENTAS'!C214</f>
        <v>CEMENTO PLASTICO 4 GLN BITUPLAST</v>
      </c>
      <c r="C92" s="143">
        <f>'DETALLE DE VENTAS'!AN214</f>
        <v>14</v>
      </c>
      <c r="D92" s="265">
        <f>'DETALLE DE VENTAS'!AO214</f>
        <v>422.89655172413802</v>
      </c>
      <c r="E92" s="134"/>
      <c r="F92" s="145" t="s">
        <v>16</v>
      </c>
      <c r="G92" s="143">
        <f>'DETALLE DE VENTAS'!N241</f>
        <v>2</v>
      </c>
      <c r="H92" s="179">
        <f>'DETALLE DE VENTAS'!O241</f>
        <v>240</v>
      </c>
      <c r="I92" s="317"/>
      <c r="J92" s="26"/>
      <c r="K92" s="26"/>
    </row>
    <row r="93" spans="2:22" ht="14.45" customHeight="1" x14ac:dyDescent="0.25">
      <c r="B93" s="145" t="str">
        <f>'DETALLE DE VENTAS'!C215</f>
        <v>ASFALTO LIQUIDO GLN BITUPLAST</v>
      </c>
      <c r="C93" s="143">
        <f>'DETALLE DE VENTAS'!AN215</f>
        <v>46</v>
      </c>
      <c r="D93" s="265">
        <f>'DETALLE DE VENTAS'!AO215</f>
        <v>424.31034482758616</v>
      </c>
      <c r="E93" s="134"/>
      <c r="F93" s="145" t="s">
        <v>17</v>
      </c>
      <c r="G93" s="143">
        <f>'DETALLE DE VENTAS'!N242</f>
        <v>3</v>
      </c>
      <c r="H93" s="179">
        <f>'DETALLE DE VENTAS'!O242</f>
        <v>360</v>
      </c>
      <c r="I93" s="317"/>
      <c r="J93" s="26"/>
      <c r="K93" s="26"/>
    </row>
    <row r="94" spans="2:22" ht="14.45" customHeight="1" x14ac:dyDescent="0.25">
      <c r="B94" s="145" t="str">
        <f>'DETALLE DE VENTAS'!C216</f>
        <v>ASFALTO LIQUIDO 4 GLN BITUPLAST</v>
      </c>
      <c r="C94" s="143">
        <f>'DETALLE DE VENTAS'!AN216</f>
        <v>-3</v>
      </c>
      <c r="D94" s="265">
        <f>'DETALLE DE VENTAS'!AO216</f>
        <v>-58.991379310344833</v>
      </c>
      <c r="E94" s="134"/>
      <c r="F94" s="145" t="s">
        <v>18</v>
      </c>
      <c r="G94" s="143">
        <f>'DETALLE DE VENTAS'!N243</f>
        <v>1</v>
      </c>
      <c r="H94" s="179">
        <f>'DETALLE DE VENTAS'!O243</f>
        <v>210</v>
      </c>
      <c r="I94" s="317"/>
      <c r="J94" s="26"/>
      <c r="K94" s="26"/>
    </row>
    <row r="95" spans="2:22" ht="14.45" customHeight="1" x14ac:dyDescent="0.25">
      <c r="B95" s="145" t="str">
        <f>'DETALLE DE VENTAS'!C217</f>
        <v>ASFALTO PLASTICO 1/4 GLN BITUPLAST</v>
      </c>
      <c r="C95" s="143">
        <f>'DETALLE DE VENTAS'!AN217</f>
        <v>27</v>
      </c>
      <c r="D95" s="265">
        <f>'DETALLE DE VENTAS'!AO217</f>
        <v>139.65517241379311</v>
      </c>
      <c r="E95" s="134"/>
      <c r="F95" s="145" t="s">
        <v>19</v>
      </c>
      <c r="G95" s="143">
        <f>'DETALLE DE VENTAS'!N244</f>
        <v>1</v>
      </c>
      <c r="H95" s="179">
        <f>'DETALLE DE VENTAS'!O244</f>
        <v>250</v>
      </c>
      <c r="I95" s="317"/>
      <c r="J95" s="26"/>
      <c r="K95" s="26"/>
    </row>
    <row r="96" spans="2:22" x14ac:dyDescent="0.25">
      <c r="B96" s="145" t="str">
        <f>'DETALLE DE VENTAS'!C218</f>
        <v>ASFALTO PLASTICO GLN BITUPLAST</v>
      </c>
      <c r="C96" s="143">
        <f>'DETALLE DE VENTAS'!AN218</f>
        <v>19</v>
      </c>
      <c r="D96" s="265">
        <f>'DETALLE DE VENTAS'!AO218</f>
        <v>151.18103448275863</v>
      </c>
      <c r="E96" s="134"/>
      <c r="F96" s="147"/>
      <c r="G96" s="148"/>
      <c r="H96" s="180">
        <f>SUM(H90:H95)</f>
        <v>1295</v>
      </c>
      <c r="I96" s="317"/>
      <c r="J96" s="26"/>
      <c r="K96" s="26"/>
    </row>
    <row r="97" spans="2:11" x14ac:dyDescent="0.25">
      <c r="B97" s="145" t="str">
        <f>'DETALLE DE VENTAS'!C219</f>
        <v>ASFALTO PLASTICO 4 GLN BITUPLAST</v>
      </c>
      <c r="C97" s="143">
        <f>'DETALLE DE VENTAS'!AN219</f>
        <v>11</v>
      </c>
      <c r="D97" s="265">
        <f>'DETALLE DE VENTAS'!AO219</f>
        <v>256.41379310344826</v>
      </c>
      <c r="E97" s="134"/>
      <c r="F97" s="154"/>
      <c r="G97" s="148"/>
      <c r="H97" s="316"/>
      <c r="I97" s="317"/>
      <c r="J97" s="26"/>
      <c r="K97" s="14"/>
    </row>
    <row r="98" spans="2:11" x14ac:dyDescent="0.25">
      <c r="B98" s="145" t="str">
        <f>'DETALLE DE VENTAS'!C220</f>
        <v>PRIMER GLN BITUPLAST</v>
      </c>
      <c r="C98" s="143">
        <f>'DETALLE DE VENTAS'!AN220</f>
        <v>38</v>
      </c>
      <c r="D98" s="265">
        <f>'DETALLE DE VENTAS'!AO220</f>
        <v>384.58620689655174</v>
      </c>
      <c r="E98" s="134"/>
      <c r="F98" s="743" t="s">
        <v>244</v>
      </c>
      <c r="G98" s="744"/>
      <c r="H98" s="745"/>
      <c r="I98" s="317"/>
    </row>
    <row r="99" spans="2:11" ht="24" x14ac:dyDescent="0.25">
      <c r="B99" s="145" t="str">
        <f>'DETALLE DE VENTAS'!C221</f>
        <v>PRIMER 4 GLN BITUPLAST</v>
      </c>
      <c r="C99" s="143">
        <f>'DETALLE DE VENTAS'!AN221</f>
        <v>70</v>
      </c>
      <c r="D99" s="265">
        <f>'DETALLE DE VENTAS'!AO221</f>
        <v>1619.0517241379312</v>
      </c>
      <c r="E99" s="134"/>
      <c r="F99" s="131" t="s">
        <v>2</v>
      </c>
      <c r="G99" s="150" t="s">
        <v>79</v>
      </c>
      <c r="H99" s="343" t="s">
        <v>102</v>
      </c>
      <c r="I99" s="317"/>
    </row>
    <row r="100" spans="2:11" x14ac:dyDescent="0.25">
      <c r="B100" s="145" t="str">
        <f>'DETALLE DE VENTAS'!C222</f>
        <v>PINT ALUMINIZADA GLN BITUPLAST</v>
      </c>
      <c r="C100" s="143">
        <f>'DETALLE DE VENTAS'!AN222</f>
        <v>-3</v>
      </c>
      <c r="D100" s="265">
        <f>'DETALLE DE VENTAS'!AO222</f>
        <v>-72.310344827586221</v>
      </c>
      <c r="E100" s="134"/>
      <c r="F100" s="145" t="s">
        <v>16</v>
      </c>
      <c r="G100" s="153">
        <f>'DETALLE DE VENTAS'!Q251</f>
        <v>3</v>
      </c>
      <c r="H100" s="181">
        <f>'DETALLE DE VENTAS'!R251</f>
        <v>240</v>
      </c>
      <c r="I100" s="317"/>
    </row>
    <row r="101" spans="2:11" ht="24" x14ac:dyDescent="0.25">
      <c r="B101" s="145" t="str">
        <f>'DETALLE DE VENTAS'!C223</f>
        <v>PINT ALUMINIZADA 4 GLN BITUPLAST</v>
      </c>
      <c r="C101" s="143">
        <f>'DETALLE DE VENTAS'!AN223</f>
        <v>0</v>
      </c>
      <c r="D101" s="265">
        <f>'DETALLE DE VENTAS'!AO223</f>
        <v>0</v>
      </c>
      <c r="E101" s="134"/>
      <c r="F101" s="145" t="s">
        <v>97</v>
      </c>
      <c r="G101" s="153">
        <f>'DETALLE DE VENTAS'!Q252</f>
        <v>13</v>
      </c>
      <c r="H101" s="181">
        <f>'DETALLE DE VENTAS'!R252</f>
        <v>1040</v>
      </c>
      <c r="I101" s="317"/>
    </row>
    <row r="102" spans="2:11" ht="24" x14ac:dyDescent="0.25">
      <c r="B102" s="145" t="str">
        <f>'DETALLE DE VENTAS'!C224</f>
        <v>REPARAMANTO INTERPRIMER PRO 4 GAL</v>
      </c>
      <c r="C102" s="143">
        <f>'DETALLE DE VENTAS'!AN224</f>
        <v>0</v>
      </c>
      <c r="D102" s="265">
        <f>'DETALLE DE VENTAS'!AO224</f>
        <v>0</v>
      </c>
      <c r="E102" s="134"/>
      <c r="F102" s="147"/>
      <c r="G102" s="148"/>
      <c r="H102" s="182">
        <f>SUM(H100:H101)</f>
        <v>1280</v>
      </c>
      <c r="I102" s="317"/>
    </row>
    <row r="103" spans="2:11" ht="24" x14ac:dyDescent="0.25">
      <c r="B103" s="145" t="str">
        <f>'DETALLE DE VENTAS'!C225</f>
        <v>SELLADOR DE CAPAS 4GLN BITUPLAST</v>
      </c>
      <c r="C103" s="143">
        <f>'DETALLE DE VENTAS'!AN225</f>
        <v>11</v>
      </c>
      <c r="D103" s="265">
        <f>'DETALLE DE VENTAS'!AO225</f>
        <v>393.53448275862075</v>
      </c>
      <c r="E103" s="134"/>
      <c r="F103" s="154"/>
      <c r="G103" s="148"/>
      <c r="H103" s="316"/>
      <c r="I103" s="317"/>
    </row>
    <row r="104" spans="2:11" x14ac:dyDescent="0.25">
      <c r="B104" s="145" t="str">
        <f>'DETALLE DE VENTAS'!C226</f>
        <v>MANTO ALUMINIZADO 3 MM</v>
      </c>
      <c r="C104" s="143">
        <f>'DETALLE DE VENTAS'!AN226</f>
        <v>15</v>
      </c>
      <c r="D104" s="265">
        <f>'DETALLE DE VENTAS'!AO226</f>
        <v>699.43965517241395</v>
      </c>
      <c r="E104" s="134"/>
      <c r="F104" s="154"/>
      <c r="G104" s="148"/>
      <c r="H104" s="316"/>
      <c r="I104" s="317"/>
    </row>
    <row r="105" spans="2:11" x14ac:dyDescent="0.25">
      <c r="B105" s="145" t="str">
        <f>'DETALLE DE VENTAS'!C227</f>
        <v>MANTO 2,7 MM</v>
      </c>
      <c r="C105" s="143">
        <f>'DETALLE DE VENTAS'!AN227</f>
        <v>0</v>
      </c>
      <c r="D105" s="265">
        <f>'DETALLE DE VENTAS'!AO227</f>
        <v>0</v>
      </c>
      <c r="E105" s="134"/>
      <c r="F105" s="743" t="s">
        <v>82</v>
      </c>
      <c r="G105" s="744"/>
      <c r="H105" s="745"/>
      <c r="I105" s="317"/>
    </row>
    <row r="106" spans="2:11" ht="24" x14ac:dyDescent="0.25">
      <c r="B106" s="145" t="str">
        <f>'DETALLE DE VENTAS'!C228</f>
        <v>MANTO 3,2 MM (R-34)</v>
      </c>
      <c r="C106" s="143">
        <f>'DETALLE DE VENTAS'!AN228</f>
        <v>-7</v>
      </c>
      <c r="D106" s="265">
        <f>'DETALLE DE VENTAS'!AO228</f>
        <v>-187.73275862068965</v>
      </c>
      <c r="E106" s="134"/>
      <c r="F106" s="131" t="s">
        <v>2</v>
      </c>
      <c r="G106" s="150" t="s">
        <v>79</v>
      </c>
      <c r="H106" s="212" t="s">
        <v>102</v>
      </c>
      <c r="I106" s="317"/>
    </row>
    <row r="107" spans="2:11" ht="24" x14ac:dyDescent="0.25">
      <c r="B107" s="145" t="str">
        <f>'DETALLE DE VENTAS'!C229</f>
        <v>MANTO LIQUIDO CUNETE 4 GLN ROJO</v>
      </c>
      <c r="C107" s="143">
        <f>'DETALLE DE VENTAS'!AN229</f>
        <v>5</v>
      </c>
      <c r="D107" s="265">
        <f>'DETALLE DE VENTAS'!AO229</f>
        <v>414.74137931034483</v>
      </c>
      <c r="E107" s="134"/>
      <c r="F107" s="145" t="str">
        <f t="shared" ref="F107:F138" si="0">B34</f>
        <v>MAPEI UNO GARRAFA 0,8 KG</v>
      </c>
      <c r="G107" s="155">
        <f>'DETALLE DE VENTAS'!AC259</f>
        <v>39</v>
      </c>
      <c r="H107" s="176">
        <f>'DETALLE DE VENTAS'!AE259</f>
        <v>125.97</v>
      </c>
      <c r="I107" s="317"/>
    </row>
    <row r="108" spans="2:11" ht="24" x14ac:dyDescent="0.25">
      <c r="B108" s="145" t="str">
        <f>'DETALLE DE VENTAS'!C230</f>
        <v>MANTO LIQUIDO CUNETE 4 GLN BLANCO</v>
      </c>
      <c r="C108" s="143">
        <f>'DETALLE DE VENTAS'!AN230</f>
        <v>3</v>
      </c>
      <c r="D108" s="265">
        <f>'DETALLE DE VENTAS'!AO230</f>
        <v>275.97413793103448</v>
      </c>
      <c r="E108" s="134"/>
      <c r="F108" s="145" t="str">
        <f t="shared" si="0"/>
        <v>MAPEI UNO GARRAFA 2 KG</v>
      </c>
      <c r="G108" s="155">
        <f>'DETALLE DE VENTAS'!AC260</f>
        <v>8</v>
      </c>
      <c r="H108" s="176">
        <f>'DETALLE DE VENTAS'!AE260</f>
        <v>58.56</v>
      </c>
      <c r="I108" s="317"/>
    </row>
    <row r="109" spans="2:11" ht="24" x14ac:dyDescent="0.25">
      <c r="B109" s="145" t="str">
        <f>'DETALLE DE VENTAS'!C231</f>
        <v>MANTO LIQUIDO CUNETE 4 GLN GRIS</v>
      </c>
      <c r="C109" s="143">
        <f>'DETALLE DE VENTAS'!AN231</f>
        <v>0</v>
      </c>
      <c r="D109" s="265">
        <f>'DETALLE DE VENTAS'!AO231</f>
        <v>0</v>
      </c>
      <c r="E109" s="134"/>
      <c r="F109" s="145" t="str">
        <f t="shared" si="0"/>
        <v>MAPELATEX  CO GARRAFA 0,8 KG</v>
      </c>
      <c r="G109" s="155">
        <f>'DETALLE DE VENTAS'!AC261</f>
        <v>10</v>
      </c>
      <c r="H109" s="176">
        <f>'DETALLE DE VENTAS'!AE261</f>
        <v>74.5</v>
      </c>
      <c r="I109" s="317"/>
    </row>
    <row r="110" spans="2:11" ht="24" x14ac:dyDescent="0.25">
      <c r="B110" s="145" t="str">
        <f>'DETALLE DE VENTAS'!C232</f>
        <v>MANTO LIQUIDO CUNETE 4 GLN VERDE</v>
      </c>
      <c r="C110" s="143">
        <f>'DETALLE DE VENTAS'!AN232</f>
        <v>3</v>
      </c>
      <c r="D110" s="265">
        <f>'DETALLE DE VENTAS'!AO232</f>
        <v>254.97413793103453</v>
      </c>
      <c r="E110" s="134"/>
      <c r="F110" s="145" t="str">
        <f t="shared" si="0"/>
        <v>MAPELATEX PVA GARRAFA 0,25 KG</v>
      </c>
      <c r="G110" s="155">
        <f>'DETALLE DE VENTAS'!AC262</f>
        <v>7</v>
      </c>
      <c r="H110" s="176">
        <f>'DETALLE DE VENTAS'!AE262</f>
        <v>12.67</v>
      </c>
      <c r="I110" s="317"/>
    </row>
    <row r="111" spans="2:11" x14ac:dyDescent="0.25">
      <c r="B111" s="145" t="str">
        <f>'DETALLE DE VENTAS'!C233</f>
        <v>BITUBACHE SACO</v>
      </c>
      <c r="C111" s="143">
        <f>'DETALLE DE VENTAS'!AN233</f>
        <v>1</v>
      </c>
      <c r="D111" s="265">
        <f>'DETALLE DE VENTAS'!AO233</f>
        <v>18.887931034482762</v>
      </c>
      <c r="E111" s="134"/>
      <c r="F111" s="145" t="str">
        <f t="shared" si="0"/>
        <v>MAPELATEX PVA GARRAFA 1 KG</v>
      </c>
      <c r="G111" s="155">
        <f>'DETALLE DE VENTAS'!AC263</f>
        <v>10</v>
      </c>
      <c r="H111" s="176">
        <f>'DETALLE DE VENTAS'!AE263</f>
        <v>41</v>
      </c>
      <c r="I111" s="317"/>
    </row>
    <row r="112" spans="2:11" ht="24" x14ac:dyDescent="0.25">
      <c r="B112" s="145" t="str">
        <f>'DETALLE DE VENTAS'!C234</f>
        <v>ASFALTO SOLIDO OXIDADO CARTUCHO</v>
      </c>
      <c r="C112" s="143">
        <f>'DETALLE DE VENTAS'!AN234</f>
        <v>-1</v>
      </c>
      <c r="D112" s="265">
        <f>'DETALLE DE VENTAS'!AO234</f>
        <v>-28.94</v>
      </c>
      <c r="E112" s="134"/>
      <c r="F112" s="145" t="str">
        <f t="shared" si="0"/>
        <v>MAPEPLAST WP20 GARRAFA 4,5 KG</v>
      </c>
      <c r="G112" s="155">
        <f>'DETALLE DE VENTAS'!AC264</f>
        <v>0</v>
      </c>
      <c r="H112" s="176">
        <f>'DETALLE DE VENTAS'!AE264</f>
        <v>0</v>
      </c>
      <c r="I112" s="317"/>
    </row>
    <row r="113" spans="2:14" ht="24" x14ac:dyDescent="0.25">
      <c r="B113" s="154"/>
      <c r="C113" s="148"/>
      <c r="D113" s="267">
        <f>SUM(D90:D112)</f>
        <v>5091.3013793103464</v>
      </c>
      <c r="E113" s="136"/>
      <c r="F113" s="145" t="str">
        <f t="shared" si="0"/>
        <v>MAPEBAND EASY H130 ROLLO 10M</v>
      </c>
      <c r="G113" s="155">
        <f>'DETALLE DE VENTAS'!AC265</f>
        <v>0</v>
      </c>
      <c r="H113" s="176">
        <f>'DETALLE DE VENTAS'!AE265</f>
        <v>0</v>
      </c>
      <c r="I113" s="319"/>
      <c r="J113" s="12"/>
      <c r="K113" s="12"/>
      <c r="L113" s="12"/>
      <c r="M113" s="12"/>
    </row>
    <row r="114" spans="2:14" ht="24" x14ac:dyDescent="0.25">
      <c r="B114" s="142"/>
      <c r="C114" s="142"/>
      <c r="D114" s="142"/>
      <c r="E114" s="142"/>
      <c r="F114" s="145" t="str">
        <f t="shared" si="0"/>
        <v>AQUAFLEX TECHO MAXI 5GL BLANCO</v>
      </c>
      <c r="G114" s="155">
        <f>'DETALLE DE VENTAS'!AC266</f>
        <v>0</v>
      </c>
      <c r="H114" s="176">
        <f>'DETALLE DE VENTAS'!AE266</f>
        <v>0</v>
      </c>
      <c r="I114" s="134"/>
      <c r="K114" s="696"/>
      <c r="L114" s="696"/>
      <c r="M114" s="14"/>
    </row>
    <row r="115" spans="2:14" ht="24" x14ac:dyDescent="0.25">
      <c r="B115" s="737" t="s">
        <v>84</v>
      </c>
      <c r="C115" s="738"/>
      <c r="D115" s="739"/>
      <c r="E115" s="142"/>
      <c r="F115" s="145" t="str">
        <f t="shared" si="0"/>
        <v>AQUAFLEX TECHO MAXI GL BLANCO</v>
      </c>
      <c r="G115" s="155">
        <f>'DETALLE DE VENTAS'!AC267</f>
        <v>8</v>
      </c>
      <c r="H115" s="176">
        <f>'DETALLE DE VENTAS'!AE267</f>
        <v>178.4</v>
      </c>
      <c r="I115" s="134"/>
      <c r="J115" s="134"/>
      <c r="K115" s="696"/>
      <c r="L115" s="696"/>
      <c r="M115" s="696"/>
      <c r="N115" s="696"/>
    </row>
    <row r="116" spans="2:14" ht="24" x14ac:dyDescent="0.25">
      <c r="B116" s="131" t="s">
        <v>2</v>
      </c>
      <c r="C116" s="150" t="s">
        <v>79</v>
      </c>
      <c r="D116" s="344" t="s">
        <v>102</v>
      </c>
      <c r="E116" s="211"/>
      <c r="F116" s="145" t="str">
        <f t="shared" si="0"/>
        <v>AQUAFLEX TECHO MAXI 5GL GRIS</v>
      </c>
      <c r="G116" s="155">
        <f>'DETALLE DE VENTAS'!AC268</f>
        <v>5</v>
      </c>
      <c r="H116" s="176">
        <f>'DETALLE DE VENTAS'!AE268</f>
        <v>520</v>
      </c>
      <c r="I116" s="211"/>
      <c r="J116" s="134"/>
    </row>
    <row r="117" spans="2:14" ht="24" x14ac:dyDescent="0.25">
      <c r="B117" s="145" t="str">
        <f>B66</f>
        <v>Lamina Sinoxsa Calibre 28</v>
      </c>
      <c r="C117" s="155">
        <f>'DETALLE DE VENTAS'!Q297</f>
        <v>52</v>
      </c>
      <c r="D117" s="176">
        <f>'DETALLE DE VENTAS'!R297</f>
        <v>676</v>
      </c>
      <c r="E117" s="134"/>
      <c r="F117" s="145" t="str">
        <f t="shared" si="0"/>
        <v>AQUAFLEX TECHO MAXI GL GRIS</v>
      </c>
      <c r="G117" s="155">
        <f>'DETALLE DE VENTAS'!AC269</f>
        <v>9</v>
      </c>
      <c r="H117" s="176">
        <f>'DETALLE DE VENTAS'!AE269</f>
        <v>200.70000000000002</v>
      </c>
    </row>
    <row r="118" spans="2:14" ht="24" x14ac:dyDescent="0.25">
      <c r="B118" s="145" t="str">
        <f>B67</f>
        <v>TUBO RECT 2X1 GALV 6MTS</v>
      </c>
      <c r="C118" s="155">
        <f>'DETALLE DE VENTAS'!Q298</f>
        <v>16</v>
      </c>
      <c r="D118" s="176">
        <f>'DETALLE DE VENTAS'!R298</f>
        <v>232.16</v>
      </c>
      <c r="E118" s="134"/>
      <c r="F118" s="145" t="str">
        <f t="shared" si="0"/>
        <v>AQUAFLEX TECHO MAXI 5GL ROJO</v>
      </c>
      <c r="G118" s="155">
        <f>'DETALLE DE VENTAS'!AC270</f>
        <v>6</v>
      </c>
      <c r="H118" s="176">
        <f>'DETALLE DE VENTAS'!AE270</f>
        <v>624</v>
      </c>
    </row>
    <row r="119" spans="2:14" ht="24" x14ac:dyDescent="0.25">
      <c r="B119" s="145" t="str">
        <f>B70</f>
        <v>LAMINA ZINC ONDULADA 80 X 3,66</v>
      </c>
      <c r="C119" s="155">
        <f>'DETALLE DE VENTAS'!Q299</f>
        <v>16</v>
      </c>
      <c r="D119" s="176">
        <f>'DETALLE DE VENTAS'!R299</f>
        <v>192</v>
      </c>
      <c r="E119" s="134"/>
      <c r="F119" s="145" t="str">
        <f t="shared" si="0"/>
        <v>AQUAFLEX TECHO MAXI GL ROJO</v>
      </c>
      <c r="G119" s="155">
        <f>'DETALLE DE VENTAS'!AC271</f>
        <v>0</v>
      </c>
      <c r="H119" s="176">
        <f>'DETALLE DE VENTAS'!AE271</f>
        <v>0</v>
      </c>
    </row>
    <row r="120" spans="2:14" ht="24" x14ac:dyDescent="0.25">
      <c r="B120" s="145" t="str">
        <f t="shared" ref="B120:B133" si="1">B72</f>
        <v>LAMINA ZINC 80 X 3,05 ONDULADA</v>
      </c>
      <c r="C120" s="155">
        <f>'DETALLE DE VENTAS'!Q300</f>
        <v>15</v>
      </c>
      <c r="D120" s="176">
        <f>'DETALLE DE VENTAS'!R300</f>
        <v>150</v>
      </c>
      <c r="E120" s="134"/>
      <c r="F120" s="145" t="str">
        <f t="shared" si="0"/>
        <v>MAPEFLEX MS CRYSTAL CART 300ML TRANSP</v>
      </c>
      <c r="G120" s="155">
        <f>'DETALLE DE VENTAS'!AC272</f>
        <v>4</v>
      </c>
      <c r="H120" s="176">
        <f>'DETALLE DE VENTAS'!AE272</f>
        <v>42</v>
      </c>
    </row>
    <row r="121" spans="2:14" ht="24" x14ac:dyDescent="0.25">
      <c r="B121" s="145" t="str">
        <f t="shared" si="1"/>
        <v>LAMINA ZINC 80 X 2,40 ONDULADA</v>
      </c>
      <c r="C121" s="155">
        <f>'DETALLE DE VENTAS'!Q301</f>
        <v>12</v>
      </c>
      <c r="D121" s="176">
        <f>'DETALLE DE VENTAS'!R301</f>
        <v>96</v>
      </c>
      <c r="E121" s="134"/>
      <c r="F121" s="145" t="str">
        <f t="shared" si="0"/>
        <v>MAPEFLEX MS 45 CART 300ML BLANCO</v>
      </c>
      <c r="G121" s="155">
        <f>'DETALLE DE VENTAS'!AC273</f>
        <v>2</v>
      </c>
      <c r="H121" s="176">
        <f>'DETALLE DE VENTAS'!AE273</f>
        <v>21</v>
      </c>
    </row>
    <row r="122" spans="2:14" ht="24" x14ac:dyDescent="0.25">
      <c r="B122" s="145" t="str">
        <f t="shared" si="1"/>
        <v>TUBO GALV CUADRADO 2X2 6MTS</v>
      </c>
      <c r="C122" s="155">
        <f>'DETALLE DE VENTAS'!Q302</f>
        <v>10</v>
      </c>
      <c r="D122" s="176">
        <f>'DETALLE DE VENTAS'!R302</f>
        <v>263.29999999999995</v>
      </c>
      <c r="E122" s="134"/>
      <c r="F122" s="145" t="str">
        <f t="shared" si="0"/>
        <v>MAPEFLEX MS 45 CART 300ML GRIS</v>
      </c>
      <c r="G122" s="155">
        <f>'DETALLE DE VENTAS'!AC274</f>
        <v>2</v>
      </c>
      <c r="H122" s="176">
        <f>'DETALLE DE VENTAS'!AE274</f>
        <v>21</v>
      </c>
    </row>
    <row r="123" spans="2:14" ht="24" x14ac:dyDescent="0.25">
      <c r="B123" s="145" t="str">
        <f t="shared" si="1"/>
        <v>TUBO CUADRADO 1X1  6MTS</v>
      </c>
      <c r="C123" s="155">
        <f>'DETALLE DE VENTAS'!Q303</f>
        <v>10</v>
      </c>
      <c r="D123" s="176">
        <f>'DETALLE DE VENTAS'!R303</f>
        <v>99.2</v>
      </c>
      <c r="E123" s="134"/>
      <c r="F123" s="145" t="str">
        <f t="shared" si="0"/>
        <v>MAPEFLEX AC4 CART 300ML BLANCO</v>
      </c>
      <c r="G123" s="155">
        <f>'DETALLE DE VENTAS'!AC275</f>
        <v>9</v>
      </c>
      <c r="H123" s="176">
        <f>'DETALLE DE VENTAS'!AE275</f>
        <v>34.92</v>
      </c>
    </row>
    <row r="124" spans="2:14" ht="24" x14ac:dyDescent="0.25">
      <c r="B124" s="145" t="str">
        <f t="shared" si="1"/>
        <v>TUBO CUADRADO 3/4X3/4 6MTS</v>
      </c>
      <c r="C124" s="155">
        <f>'DETALLE DE VENTAS'!Q304</f>
        <v>3</v>
      </c>
      <c r="D124" s="176">
        <f>'DETALLE DE VENTAS'!R304</f>
        <v>21.78</v>
      </c>
      <c r="E124" s="134"/>
      <c r="F124" s="145" t="str">
        <f t="shared" si="0"/>
        <v>MAPESIL U TRANSP CART 280ML</v>
      </c>
      <c r="G124" s="155">
        <f>'DETALLE DE VENTAS'!AC276</f>
        <v>-4</v>
      </c>
      <c r="H124" s="176">
        <f>'DETALLE DE VENTAS'!AE276</f>
        <v>-18</v>
      </c>
    </row>
    <row r="125" spans="2:14" ht="24" x14ac:dyDescent="0.25">
      <c r="B125" s="145" t="str">
        <f t="shared" si="1"/>
        <v>TUBO RECT GALV 3X1 6MTS</v>
      </c>
      <c r="C125" s="155">
        <f>'DETALLE DE VENTAS'!Q305</f>
        <v>5</v>
      </c>
      <c r="D125" s="176">
        <f>'DETALLE DE VENTAS'!R305</f>
        <v>131.64999999999998</v>
      </c>
      <c r="E125" s="138"/>
      <c r="F125" s="145" t="str">
        <f t="shared" si="0"/>
        <v>ULTRABOND SUPER GRIP CART 310ML</v>
      </c>
      <c r="G125" s="155">
        <f>'DETALLE DE VENTAS'!AC277</f>
        <v>2</v>
      </c>
      <c r="H125" s="176">
        <f>'DETALLE DE VENTAS'!AE277</f>
        <v>11.26</v>
      </c>
    </row>
    <row r="126" spans="2:14" ht="24" x14ac:dyDescent="0.25">
      <c r="B126" s="145" t="str">
        <f t="shared" si="1"/>
        <v>ANGULO SID 25X25X3MM 6MTS</v>
      </c>
      <c r="C126" s="155">
        <f>'DETALLE DE VENTAS'!Q306</f>
        <v>6</v>
      </c>
      <c r="D126" s="176">
        <f>'DETALLE DE VENTAS'!R306</f>
        <v>76.02</v>
      </c>
      <c r="E126" s="148"/>
      <c r="F126" s="145" t="str">
        <f t="shared" si="0"/>
        <v>MAPEUR UNIV FOAM LATA 500ML</v>
      </c>
      <c r="G126" s="155">
        <f>'DETALLE DE VENTAS'!AC278</f>
        <v>2</v>
      </c>
      <c r="H126" s="176">
        <f>'DETALLE DE VENTAS'!AE278</f>
        <v>16.3</v>
      </c>
      <c r="I126" s="138"/>
      <c r="J126" s="134"/>
    </row>
    <row r="127" spans="2:14" ht="24" x14ac:dyDescent="0.25">
      <c r="B127" s="145" t="str">
        <f t="shared" si="1"/>
        <v>ANGULO SID 30X30X3MM 6MTS</v>
      </c>
      <c r="C127" s="155">
        <f>'DETALLE DE VENTAS'!Q307</f>
        <v>8</v>
      </c>
      <c r="D127" s="176">
        <f>'DETALLE DE VENTAS'!R307</f>
        <v>121.44</v>
      </c>
      <c r="E127" s="148"/>
      <c r="F127" s="145" t="str">
        <f t="shared" si="0"/>
        <v>MAPEUR UNIV FOAM LATA 750ML</v>
      </c>
      <c r="G127" s="155">
        <f>'DETALLE DE VENTAS'!AC279</f>
        <v>2</v>
      </c>
      <c r="H127" s="176">
        <f>'DETALLE DE VENTAS'!AE279</f>
        <v>20</v>
      </c>
      <c r="I127" s="138"/>
      <c r="J127" s="134"/>
    </row>
    <row r="128" spans="2:14" ht="24" x14ac:dyDescent="0.25">
      <c r="B128" s="145" t="str">
        <f t="shared" si="1"/>
        <v>ANGULO SID 40X40X4MM 6MTS</v>
      </c>
      <c r="C128" s="155">
        <f>'DETALLE DE VENTAS'!Q308</f>
        <v>6</v>
      </c>
      <c r="D128" s="176">
        <f>'DETALLE DE VENTAS'!R308</f>
        <v>160.14000000000001</v>
      </c>
      <c r="E128" s="211"/>
      <c r="F128" s="145" t="str">
        <f t="shared" si="0"/>
        <v>EPORIP COMP A+B TARRO 1,5 KG + 0,5 KG</v>
      </c>
      <c r="G128" s="155">
        <f>'DETALLE DE VENTAS'!AC280</f>
        <v>1</v>
      </c>
      <c r="H128" s="176">
        <f>'DETALLE DE VENTAS'!AE280</f>
        <v>62.65</v>
      </c>
      <c r="I128" s="211"/>
      <c r="J128" s="134"/>
    </row>
    <row r="129" spans="2:19" ht="24" x14ac:dyDescent="0.25">
      <c r="B129" s="145" t="str">
        <f t="shared" si="1"/>
        <v>PLETINA 3/4X3/16 6MTS</v>
      </c>
      <c r="C129" s="155">
        <f>'DETALLE DE VENTAS'!Q309</f>
        <v>10</v>
      </c>
      <c r="D129" s="176">
        <f>'DETALLE DE VENTAS'!R309</f>
        <v>83.3</v>
      </c>
      <c r="E129" s="134"/>
      <c r="F129" s="145" t="str">
        <f t="shared" si="0"/>
        <v>ADESILEX PG1 COMP A+B TARRO 2KG</v>
      </c>
      <c r="G129" s="155">
        <f>'DETALLE DE VENTAS'!AC281</f>
        <v>1</v>
      </c>
      <c r="H129" s="176">
        <f>'DETALLE DE VENTAS'!AE281</f>
        <v>55.24</v>
      </c>
    </row>
    <row r="130" spans="2:19" ht="24" x14ac:dyDescent="0.25">
      <c r="B130" s="145" t="str">
        <f t="shared" si="1"/>
        <v>PLETINA 1X3/16 6MTS</v>
      </c>
      <c r="C130" s="155">
        <f>'DETALLE DE VENTAS'!Q310</f>
        <v>10</v>
      </c>
      <c r="D130" s="176">
        <f>'DETALLE DE VENTAS'!R310</f>
        <v>105.9</v>
      </c>
      <c r="E130" s="134"/>
      <c r="F130" s="145" t="str">
        <f t="shared" si="0"/>
        <v>KERACOLOR FF 100 BLANCO BOLSA 2KG</v>
      </c>
      <c r="G130" s="155">
        <f>'DETALLE DE VENTAS'!AC282</f>
        <v>29</v>
      </c>
      <c r="H130" s="176">
        <f>'DETALLE DE VENTAS'!AE282</f>
        <v>176.89999999999998</v>
      </c>
    </row>
    <row r="131" spans="2:19" ht="24" x14ac:dyDescent="0.25">
      <c r="B131" s="145" t="str">
        <f t="shared" si="1"/>
        <v>PLETINA 1-1/2X1/8 6MTS</v>
      </c>
      <c r="C131" s="155">
        <f>'DETALLE DE VENTAS'!Q311</f>
        <v>10</v>
      </c>
      <c r="D131" s="176">
        <f>'DETALLE DE VENTAS'!R311</f>
        <v>120.5</v>
      </c>
      <c r="E131" s="134"/>
      <c r="F131" s="145" t="str">
        <f t="shared" si="0"/>
        <v>KERACOLOR FF 113 GRIS CEMENTO BOLSA 2KG</v>
      </c>
      <c r="G131" s="155">
        <f>'DETALLE DE VENTAS'!AC283</f>
        <v>4</v>
      </c>
      <c r="H131" s="176">
        <f>'DETALLE DE VENTAS'!AE283</f>
        <v>24.4</v>
      </c>
    </row>
    <row r="132" spans="2:19" ht="24" x14ac:dyDescent="0.25">
      <c r="B132" s="145" t="str">
        <f t="shared" si="1"/>
        <v>PLETINA 1-1/2X3/16 6MTS</v>
      </c>
      <c r="C132" s="155">
        <f>'DETALLE DE VENTAS'!Q312</f>
        <v>9</v>
      </c>
      <c r="D132" s="176">
        <f>'DETALLE DE VENTAS'!R312</f>
        <v>142.47</v>
      </c>
      <c r="E132" s="134"/>
      <c r="F132" s="145" t="str">
        <f t="shared" si="0"/>
        <v>KERACOLOR FF 112 GRIS MEDIO BOLSA 5KG</v>
      </c>
      <c r="G132" s="155">
        <f>'DETALLE DE VENTAS'!AC284</f>
        <v>1</v>
      </c>
      <c r="H132" s="176">
        <f>'DETALLE DE VENTAS'!AE284</f>
        <v>11.55</v>
      </c>
    </row>
    <row r="133" spans="2:19" ht="24" x14ac:dyDescent="0.25">
      <c r="B133" s="145" t="str">
        <f t="shared" si="1"/>
        <v>PLETINA 1-1/4X3/16 6MTS</v>
      </c>
      <c r="C133" s="155">
        <f>'DETALLE DE VENTAS'!Q313</f>
        <v>10</v>
      </c>
      <c r="D133" s="176">
        <f>'DETALLE DE VENTAS'!R313</f>
        <v>132</v>
      </c>
      <c r="E133" s="136"/>
      <c r="F133" s="145" t="str">
        <f t="shared" si="0"/>
        <v>KERACOLOR FF 112 GRIS MEDIO BOLSA 2KG</v>
      </c>
      <c r="G133" s="155">
        <f>'DETALLE DE VENTAS'!AC285</f>
        <v>10</v>
      </c>
      <c r="H133" s="176">
        <f>'DETALLE DE VENTAS'!AE285</f>
        <v>61</v>
      </c>
      <c r="I133" s="14"/>
      <c r="J133" s="14"/>
      <c r="K133" s="14"/>
      <c r="L133" s="14"/>
      <c r="M133" s="14"/>
      <c r="N133" s="14"/>
      <c r="O133" s="121"/>
    </row>
    <row r="134" spans="2:19" ht="24" x14ac:dyDescent="0.25">
      <c r="B134" s="147"/>
      <c r="C134" s="142"/>
      <c r="D134" s="341">
        <f>SUM(D117:D133)</f>
        <v>2803.8599999999997</v>
      </c>
      <c r="E134" s="154"/>
      <c r="F134" s="145" t="str">
        <f t="shared" si="0"/>
        <v>KERACOLOR FF 142 MARRON BOLSA 2KG</v>
      </c>
      <c r="G134" s="155">
        <f>'DETALLE DE VENTAS'!AC286</f>
        <v>3</v>
      </c>
      <c r="H134" s="176">
        <f>'DETALLE DE VENTAS'!AE286</f>
        <v>18.299999999999997</v>
      </c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ht="24" x14ac:dyDescent="0.25">
      <c r="B135" s="154"/>
      <c r="C135" s="154"/>
      <c r="D135" s="154"/>
      <c r="E135" s="154"/>
      <c r="F135" s="145" t="str">
        <f t="shared" si="0"/>
        <v>KERACOLOR FF 142 MARRON BOLSA 5KG</v>
      </c>
      <c r="G135" s="155">
        <f>'DETALLE DE VENTAS'!AC287</f>
        <v>1</v>
      </c>
      <c r="H135" s="176">
        <f>'DETALLE DE VENTAS'!AE287</f>
        <v>11.55</v>
      </c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ht="24" x14ac:dyDescent="0.25">
      <c r="B136" s="737" t="s">
        <v>262</v>
      </c>
      <c r="C136" s="738"/>
      <c r="D136" s="739"/>
      <c r="E136" s="211"/>
      <c r="F136" s="145" t="str">
        <f t="shared" si="0"/>
        <v>KERACOLOR FF 166 FANGO BOLSA 2KG</v>
      </c>
      <c r="G136" s="155">
        <f>'DETALLE DE VENTAS'!AC288</f>
        <v>2</v>
      </c>
      <c r="H136" s="176">
        <f>'DETALLE DE VENTAS'!AE288</f>
        <v>12.2</v>
      </c>
      <c r="I136" s="211"/>
      <c r="J136" s="713"/>
      <c r="K136" s="713"/>
      <c r="L136" s="713"/>
      <c r="M136" s="713"/>
      <c r="N136" s="211"/>
      <c r="O136" s="211"/>
      <c r="P136" s="211"/>
    </row>
    <row r="137" spans="2:19" ht="24" x14ac:dyDescent="0.25">
      <c r="B137" s="131" t="s">
        <v>2</v>
      </c>
      <c r="C137" s="150" t="s">
        <v>79</v>
      </c>
      <c r="D137" s="344" t="s">
        <v>102</v>
      </c>
      <c r="E137" s="134"/>
      <c r="F137" s="145" t="str">
        <f t="shared" si="0"/>
        <v>KERACOLOR FF 132 BEIGE BOLSA 2KG</v>
      </c>
      <c r="G137" s="155">
        <f>'DETALLE DE VENTAS'!AC289</f>
        <v>2</v>
      </c>
      <c r="H137" s="176">
        <f>'DETALLE DE VENTAS'!AE289</f>
        <v>12.2</v>
      </c>
      <c r="I137" s="315"/>
    </row>
    <row r="138" spans="2:19" ht="24" x14ac:dyDescent="0.25">
      <c r="B138" s="145" t="str">
        <f>B68</f>
        <v>MANTO 2.2MM ADHESIVO EDIL</v>
      </c>
      <c r="C138" s="155">
        <v>0</v>
      </c>
      <c r="D138" s="176">
        <f>'DETALLE DE VENTAS'!O318</f>
        <v>0</v>
      </c>
      <c r="E138" s="134"/>
      <c r="F138" s="145" t="str">
        <f t="shared" si="0"/>
        <v>KERACOLOR FF 136 BARRO FANGO BOLSA 5KG</v>
      </c>
      <c r="G138" s="155">
        <f>'DETALLE DE VENTAS'!AC290</f>
        <v>1</v>
      </c>
      <c r="H138" s="176">
        <f>'DETALLE DE VENTAS'!AE290</f>
        <v>11.55</v>
      </c>
      <c r="I138" s="315"/>
    </row>
    <row r="139" spans="2:19" ht="24" x14ac:dyDescent="0.25">
      <c r="B139" s="147"/>
      <c r="C139" s="142"/>
      <c r="D139" s="139">
        <f>SUM(D138:D138)</f>
        <v>0</v>
      </c>
      <c r="E139" s="134"/>
      <c r="F139" s="145" t="str">
        <f>B71</f>
        <v>KERACOLOR FF 114 ANTRACITA 2KG</v>
      </c>
      <c r="G139" s="155">
        <f>'DETALLE DE VENTAS'!AC291</f>
        <v>15</v>
      </c>
      <c r="H139" s="176">
        <f>'DETALLE DE VENTAS'!AE291</f>
        <v>91.5</v>
      </c>
      <c r="I139" s="315"/>
    </row>
    <row r="140" spans="2:19" x14ac:dyDescent="0.25">
      <c r="E140" s="134"/>
      <c r="F140" s="147"/>
      <c r="G140" s="142"/>
      <c r="H140" s="99">
        <f>SUM(H107:H139)</f>
        <v>2533.3200000000006</v>
      </c>
      <c r="I140" s="315"/>
    </row>
    <row r="141" spans="2:19" x14ac:dyDescent="0.25">
      <c r="E141" s="134"/>
      <c r="F141" s="165"/>
      <c r="G141" s="166"/>
      <c r="H141" s="321"/>
      <c r="I141" s="315"/>
    </row>
    <row r="142" spans="2:19" x14ac:dyDescent="0.25">
      <c r="E142" s="134"/>
      <c r="F142" s="165"/>
      <c r="G142" s="166"/>
      <c r="H142" s="321"/>
      <c r="I142" s="315"/>
    </row>
    <row r="143" spans="2:19" x14ac:dyDescent="0.25">
      <c r="B143" s="698" t="s">
        <v>95</v>
      </c>
      <c r="C143" s="698"/>
      <c r="D143" s="698"/>
      <c r="E143" s="134"/>
      <c r="F143" s="165"/>
      <c r="G143" s="166"/>
      <c r="H143" s="321"/>
      <c r="I143" s="315"/>
    </row>
    <row r="144" spans="2:19" ht="24.6" customHeight="1" x14ac:dyDescent="0.25">
      <c r="B144" s="347" t="s">
        <v>359</v>
      </c>
      <c r="C144" s="746" t="s">
        <v>102</v>
      </c>
      <c r="D144" s="746"/>
      <c r="E144" s="134"/>
      <c r="F144" s="165"/>
      <c r="G144" s="166"/>
      <c r="H144" s="321"/>
      <c r="I144" s="315"/>
    </row>
    <row r="145" spans="2:9" x14ac:dyDescent="0.25">
      <c r="B145" s="159" t="s">
        <v>80</v>
      </c>
      <c r="C145" s="748">
        <f>D113</f>
        <v>5091.3013793103464</v>
      </c>
      <c r="D145" s="748"/>
      <c r="E145" s="134"/>
      <c r="F145" s="165"/>
      <c r="G145" s="166"/>
      <c r="H145" s="321"/>
      <c r="I145" s="315"/>
    </row>
    <row r="146" spans="2:9" x14ac:dyDescent="0.25">
      <c r="B146" s="141" t="s">
        <v>81</v>
      </c>
      <c r="C146" s="746">
        <f>H96</f>
        <v>1295</v>
      </c>
      <c r="D146" s="746"/>
      <c r="E146" s="134"/>
      <c r="F146" s="165"/>
      <c r="G146" s="166"/>
      <c r="H146" s="321"/>
      <c r="I146" s="315"/>
    </row>
    <row r="147" spans="2:9" x14ac:dyDescent="0.25">
      <c r="B147" s="141" t="s">
        <v>244</v>
      </c>
      <c r="C147" s="746">
        <f>H102</f>
        <v>1280</v>
      </c>
      <c r="D147" s="746"/>
      <c r="E147" s="134"/>
      <c r="F147" s="165"/>
      <c r="G147" s="166"/>
      <c r="H147" s="321"/>
      <c r="I147" s="315"/>
    </row>
    <row r="148" spans="2:9" x14ac:dyDescent="0.25">
      <c r="B148" s="159" t="s">
        <v>82</v>
      </c>
      <c r="C148" s="746">
        <f>H140</f>
        <v>2533.3200000000006</v>
      </c>
      <c r="D148" s="746"/>
      <c r="E148" s="134"/>
      <c r="F148" s="165"/>
      <c r="G148" s="166"/>
      <c r="H148" s="321"/>
      <c r="I148" s="315"/>
    </row>
    <row r="149" spans="2:9" x14ac:dyDescent="0.25">
      <c r="B149" s="141" t="s">
        <v>84</v>
      </c>
      <c r="C149" s="746">
        <f>D134</f>
        <v>2803.8599999999997</v>
      </c>
      <c r="D149" s="746"/>
      <c r="E149" s="134"/>
      <c r="F149" s="165"/>
      <c r="G149" s="166"/>
      <c r="H149" s="321"/>
      <c r="I149" s="315"/>
    </row>
    <row r="150" spans="2:9" x14ac:dyDescent="0.25">
      <c r="B150" s="141" t="s">
        <v>262</v>
      </c>
      <c r="C150" s="746">
        <f>D139</f>
        <v>0</v>
      </c>
      <c r="D150" s="746"/>
      <c r="E150" s="134"/>
      <c r="F150" s="165"/>
      <c r="G150" s="166"/>
      <c r="H150" s="321"/>
      <c r="I150" s="315"/>
    </row>
    <row r="151" spans="2:9" x14ac:dyDescent="0.25">
      <c r="B151" s="160" t="s">
        <v>72</v>
      </c>
      <c r="C151" s="747">
        <f>SUM(C145:C150)</f>
        <v>13003.481379310346</v>
      </c>
      <c r="D151" s="747"/>
      <c r="E151" s="134"/>
      <c r="F151" s="165"/>
      <c r="G151" s="166"/>
      <c r="H151" s="321"/>
      <c r="I151" s="315"/>
    </row>
    <row r="152" spans="2:9" x14ac:dyDescent="0.25">
      <c r="E152" s="134"/>
      <c r="F152" s="165"/>
      <c r="G152" s="166"/>
      <c r="H152" s="321"/>
      <c r="I152" s="315"/>
    </row>
    <row r="153" spans="2:9" x14ac:dyDescent="0.25">
      <c r="E153" s="134"/>
      <c r="F153" s="165"/>
      <c r="G153" s="166"/>
      <c r="H153" s="321"/>
      <c r="I153" s="315"/>
    </row>
    <row r="154" spans="2:9" x14ac:dyDescent="0.25">
      <c r="E154" s="134"/>
      <c r="F154" s="165"/>
      <c r="G154" s="166"/>
      <c r="H154" s="321"/>
      <c r="I154" s="315"/>
    </row>
    <row r="155" spans="2:9" x14ac:dyDescent="0.25">
      <c r="E155" s="134"/>
      <c r="F155" s="165"/>
      <c r="G155" s="166"/>
      <c r="H155" s="321"/>
      <c r="I155" s="315"/>
    </row>
    <row r="156" spans="2:9" x14ac:dyDescent="0.25">
      <c r="E156" s="134"/>
      <c r="F156" s="165"/>
      <c r="G156" s="166"/>
      <c r="H156" s="321"/>
      <c r="I156" s="315"/>
    </row>
    <row r="157" spans="2:9" x14ac:dyDescent="0.25">
      <c r="E157" s="134"/>
      <c r="F157" s="165"/>
      <c r="G157" s="166"/>
      <c r="H157" s="321"/>
      <c r="I157" s="315"/>
    </row>
    <row r="158" spans="2:9" x14ac:dyDescent="0.25">
      <c r="E158" s="134"/>
      <c r="F158" s="165"/>
      <c r="G158" s="166"/>
      <c r="H158" s="321"/>
      <c r="I158" s="315"/>
    </row>
    <row r="159" spans="2:9" x14ac:dyDescent="0.25">
      <c r="E159" s="134"/>
      <c r="F159" s="165"/>
      <c r="G159" s="166"/>
      <c r="H159" s="321"/>
      <c r="I159" s="315"/>
    </row>
    <row r="160" spans="2:9" x14ac:dyDescent="0.25">
      <c r="E160" s="134"/>
      <c r="F160" s="165"/>
      <c r="G160" s="166"/>
      <c r="H160" s="321"/>
      <c r="I160" s="315"/>
    </row>
    <row r="161" spans="2:10" x14ac:dyDescent="0.25">
      <c r="E161" s="134"/>
      <c r="F161" s="165"/>
      <c r="G161" s="166"/>
      <c r="H161" s="321"/>
      <c r="I161" s="315"/>
    </row>
    <row r="162" spans="2:10" x14ac:dyDescent="0.25">
      <c r="E162" s="134"/>
      <c r="F162" s="165"/>
      <c r="G162" s="166"/>
      <c r="H162" s="321"/>
      <c r="I162" s="315"/>
    </row>
    <row r="163" spans="2:10" x14ac:dyDescent="0.25">
      <c r="E163" s="134"/>
      <c r="F163" s="165"/>
      <c r="G163" s="166"/>
      <c r="H163" s="321"/>
      <c r="I163" s="315"/>
    </row>
    <row r="164" spans="2:10" x14ac:dyDescent="0.25">
      <c r="E164" s="134"/>
      <c r="F164" s="165"/>
      <c r="G164" s="166"/>
      <c r="H164" s="321"/>
      <c r="I164" s="315"/>
    </row>
    <row r="165" spans="2:10" x14ac:dyDescent="0.25">
      <c r="E165" s="134"/>
      <c r="F165" s="165"/>
      <c r="G165" s="166"/>
      <c r="H165" s="321"/>
      <c r="I165" s="315"/>
    </row>
    <row r="166" spans="2:10" x14ac:dyDescent="0.25">
      <c r="E166" s="134"/>
      <c r="F166" s="165"/>
      <c r="G166" s="166"/>
      <c r="H166" s="321"/>
      <c r="I166" s="315"/>
    </row>
    <row r="167" spans="2:10" x14ac:dyDescent="0.25">
      <c r="E167" s="134"/>
      <c r="F167" s="165"/>
      <c r="G167" s="166"/>
      <c r="H167" s="321"/>
      <c r="I167" s="315"/>
    </row>
    <row r="168" spans="2:10" x14ac:dyDescent="0.25">
      <c r="E168" s="134"/>
      <c r="F168" s="165"/>
      <c r="G168" s="166"/>
      <c r="H168" s="321"/>
      <c r="I168" s="315"/>
    </row>
    <row r="169" spans="2:10" x14ac:dyDescent="0.25">
      <c r="E169" s="134"/>
      <c r="F169" s="165"/>
      <c r="G169" s="166"/>
      <c r="H169" s="321"/>
      <c r="I169" s="315"/>
    </row>
    <row r="170" spans="2:10" x14ac:dyDescent="0.25">
      <c r="E170" s="134"/>
      <c r="F170" s="165"/>
      <c r="G170" s="166"/>
      <c r="H170" s="321"/>
      <c r="I170" s="315"/>
    </row>
    <row r="171" spans="2:10" x14ac:dyDescent="0.25">
      <c r="E171" s="134"/>
      <c r="F171" s="322"/>
      <c r="G171" s="142"/>
      <c r="H171" s="250"/>
      <c r="I171" s="250"/>
    </row>
    <row r="172" spans="2:10" ht="13.15" customHeight="1" x14ac:dyDescent="0.25">
      <c r="B172" s="142"/>
      <c r="C172" s="142"/>
      <c r="D172" s="142"/>
      <c r="E172" s="134"/>
      <c r="F172" s="134"/>
    </row>
    <row r="173" spans="2:10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0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0" x14ac:dyDescent="0.25">
      <c r="E175" s="268"/>
      <c r="F175" s="268"/>
      <c r="G175" s="268"/>
      <c r="H175" s="268"/>
      <c r="I175" s="268"/>
      <c r="J175" s="134"/>
    </row>
    <row r="176" spans="2:10" x14ac:dyDescent="0.25">
      <c r="E176" s="134"/>
    </row>
    <row r="177" spans="5:5" x14ac:dyDescent="0.25">
      <c r="E177" s="134"/>
    </row>
    <row r="178" spans="5:5" x14ac:dyDescent="0.25">
      <c r="E178" s="134"/>
    </row>
    <row r="179" spans="5:5" x14ac:dyDescent="0.25">
      <c r="E179" s="134"/>
    </row>
    <row r="180" spans="5:5" x14ac:dyDescent="0.25">
      <c r="E180" s="134"/>
    </row>
    <row r="181" spans="5:5" x14ac:dyDescent="0.25">
      <c r="E181" s="134"/>
    </row>
    <row r="182" spans="5:5" x14ac:dyDescent="0.25">
      <c r="E182" s="134"/>
    </row>
    <row r="183" spans="5:5" x14ac:dyDescent="0.25">
      <c r="E183" s="134"/>
    </row>
    <row r="184" spans="5:5" x14ac:dyDescent="0.25">
      <c r="E184" s="134"/>
    </row>
    <row r="185" spans="5:5" x14ac:dyDescent="0.25">
      <c r="E185" s="134"/>
    </row>
    <row r="186" spans="5:5" x14ac:dyDescent="0.25">
      <c r="E186" s="134"/>
    </row>
    <row r="187" spans="5:5" x14ac:dyDescent="0.25">
      <c r="E187" s="134"/>
    </row>
    <row r="188" spans="5:5" x14ac:dyDescent="0.25">
      <c r="E188" s="134"/>
    </row>
    <row r="189" spans="5:5" x14ac:dyDescent="0.25">
      <c r="E189" s="134"/>
    </row>
    <row r="190" spans="5:5" x14ac:dyDescent="0.25">
      <c r="E190" s="134"/>
    </row>
    <row r="191" spans="5:5" x14ac:dyDescent="0.25">
      <c r="E191" s="134"/>
    </row>
    <row r="192" spans="5:5" x14ac:dyDescent="0.25">
      <c r="E192" s="134"/>
    </row>
    <row r="193" spans="2:10" x14ac:dyDescent="0.25">
      <c r="E193" s="134"/>
    </row>
    <row r="194" spans="2:10" x14ac:dyDescent="0.25">
      <c r="E194" s="134"/>
    </row>
    <row r="195" spans="2:10" ht="16.149999999999999" customHeight="1" x14ac:dyDescent="0.25">
      <c r="B195" s="142"/>
      <c r="C195" s="142"/>
      <c r="D195" s="142"/>
      <c r="E195" s="142"/>
      <c r="F195" s="134"/>
      <c r="G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E197" s="268"/>
      <c r="F197" s="268"/>
      <c r="G197" s="268"/>
      <c r="H197" s="268"/>
      <c r="I197" s="134"/>
      <c r="J197" s="134"/>
    </row>
    <row r="198" spans="2:10" ht="16.149999999999999" customHeight="1" x14ac:dyDescent="0.25">
      <c r="E198" s="134"/>
      <c r="F198" s="134"/>
    </row>
    <row r="199" spans="2:10" ht="16.149999999999999" customHeight="1" x14ac:dyDescent="0.25">
      <c r="E199" s="134"/>
      <c r="F199" s="134"/>
    </row>
    <row r="200" spans="2:10" x14ac:dyDescent="0.25">
      <c r="E200" s="134"/>
      <c r="F200" s="134"/>
    </row>
    <row r="201" spans="2:10" x14ac:dyDescent="0.25">
      <c r="B201" s="142"/>
      <c r="C201" s="142"/>
      <c r="D201" s="142"/>
      <c r="E201" s="134"/>
      <c r="F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D203" s="348"/>
      <c r="E203" s="348"/>
      <c r="F203" s="348"/>
      <c r="G203" s="348"/>
      <c r="H203" s="142"/>
      <c r="I203" s="134"/>
      <c r="J203" s="134"/>
    </row>
    <row r="204" spans="2:10" x14ac:dyDescent="0.25">
      <c r="D204" s="142"/>
      <c r="E204" s="134"/>
      <c r="F204" s="134"/>
    </row>
    <row r="205" spans="2:10" x14ac:dyDescent="0.25">
      <c r="D205" s="142"/>
      <c r="E205" s="134"/>
      <c r="F205" s="134"/>
    </row>
    <row r="206" spans="2:10" x14ac:dyDescent="0.25">
      <c r="D206" s="142"/>
      <c r="E206" s="134"/>
      <c r="F206" s="134"/>
    </row>
    <row r="207" spans="2:10" x14ac:dyDescent="0.25">
      <c r="D207" s="142"/>
      <c r="E207" s="134"/>
      <c r="F207" s="134"/>
    </row>
    <row r="208" spans="2:10" x14ac:dyDescent="0.25">
      <c r="D208" s="142"/>
      <c r="E208" s="134"/>
      <c r="F208" s="134"/>
    </row>
    <row r="209" spans="2:6" x14ac:dyDescent="0.25">
      <c r="D209" s="142"/>
      <c r="E209" s="134"/>
      <c r="F209" s="134"/>
    </row>
    <row r="210" spans="2:6" x14ac:dyDescent="0.25">
      <c r="D210" s="142"/>
      <c r="E210" s="134"/>
      <c r="F210" s="134"/>
    </row>
    <row r="212" spans="2:6" x14ac:dyDescent="0.25">
      <c r="B212" s="217"/>
    </row>
  </sheetData>
  <mergeCells count="75">
    <mergeCell ref="C144:D144"/>
    <mergeCell ref="B143:D143"/>
    <mergeCell ref="C151:D151"/>
    <mergeCell ref="C150:D150"/>
    <mergeCell ref="C149:D149"/>
    <mergeCell ref="C148:D148"/>
    <mergeCell ref="C147:D147"/>
    <mergeCell ref="C146:D146"/>
    <mergeCell ref="C145:D145"/>
    <mergeCell ref="B136:D136"/>
    <mergeCell ref="K115:N115"/>
    <mergeCell ref="J136:M136"/>
    <mergeCell ref="K59:O59"/>
    <mergeCell ref="K68:O68"/>
    <mergeCell ref="L87:P87"/>
    <mergeCell ref="J88:M88"/>
    <mergeCell ref="K114:L114"/>
    <mergeCell ref="B88:D88"/>
    <mergeCell ref="F88:H88"/>
    <mergeCell ref="F98:H98"/>
    <mergeCell ref="F105:H105"/>
    <mergeCell ref="B115:D115"/>
    <mergeCell ref="K58:O58"/>
    <mergeCell ref="K47:O47"/>
    <mergeCell ref="K48:O48"/>
    <mergeCell ref="K49:O49"/>
    <mergeCell ref="K50:O50"/>
    <mergeCell ref="K51:O51"/>
    <mergeCell ref="K52:O52"/>
    <mergeCell ref="K53:O53"/>
    <mergeCell ref="K54:O54"/>
    <mergeCell ref="K55:O55"/>
    <mergeCell ref="K56:O56"/>
    <mergeCell ref="K57:O57"/>
    <mergeCell ref="K46:O46"/>
    <mergeCell ref="K35:O35"/>
    <mergeCell ref="K36:O36"/>
    <mergeCell ref="K37:O37"/>
    <mergeCell ref="K38:O38"/>
    <mergeCell ref="K39:O39"/>
    <mergeCell ref="K40:O40"/>
    <mergeCell ref="K41:O41"/>
    <mergeCell ref="K42:O42"/>
    <mergeCell ref="K43:O43"/>
    <mergeCell ref="K44:O44"/>
    <mergeCell ref="K45:O45"/>
    <mergeCell ref="K34:O34"/>
    <mergeCell ref="K23:O23"/>
    <mergeCell ref="K24:O24"/>
    <mergeCell ref="K25:N25"/>
    <mergeCell ref="K26:N26"/>
    <mergeCell ref="K27:N27"/>
    <mergeCell ref="K28:N28"/>
    <mergeCell ref="K29:O29"/>
    <mergeCell ref="K30:O30"/>
    <mergeCell ref="K31:O31"/>
    <mergeCell ref="K32:O32"/>
    <mergeCell ref="K33:O33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B1:B2"/>
    <mergeCell ref="K7:O7"/>
    <mergeCell ref="K8:O8"/>
    <mergeCell ref="K9:O9"/>
    <mergeCell ref="K10:O10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154"/>
  <sheetViews>
    <sheetView topLeftCell="A130" zoomScaleNormal="100" workbookViewId="0">
      <selection activeCell="K134" sqref="K13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</cols>
  <sheetData>
    <row r="1" spans="2:10" x14ac:dyDescent="0.25">
      <c r="B1" s="695" t="s">
        <v>2</v>
      </c>
      <c r="C1" s="695" t="s">
        <v>99</v>
      </c>
      <c r="D1" s="695"/>
      <c r="E1" s="695" t="s">
        <v>101</v>
      </c>
      <c r="F1" s="695"/>
      <c r="G1" s="695" t="s">
        <v>72</v>
      </c>
      <c r="H1" s="695"/>
      <c r="I1" s="134"/>
      <c r="J1" s="134"/>
    </row>
    <row r="2" spans="2:10" ht="30" customHeight="1" x14ac:dyDescent="0.25">
      <c r="B2" s="695"/>
      <c r="C2" s="162" t="s">
        <v>1</v>
      </c>
      <c r="D2" s="162" t="s">
        <v>100</v>
      </c>
      <c r="E2" s="162" t="s">
        <v>1</v>
      </c>
      <c r="F2" s="162" t="s">
        <v>100</v>
      </c>
      <c r="G2" s="162" t="s">
        <v>1</v>
      </c>
      <c r="H2" s="162" t="s">
        <v>100</v>
      </c>
      <c r="I2" s="134"/>
      <c r="J2" s="134"/>
    </row>
    <row r="3" spans="2:10" ht="24" x14ac:dyDescent="0.25">
      <c r="B3" s="163" t="s">
        <v>55</v>
      </c>
      <c r="C3" s="164">
        <v>0</v>
      </c>
      <c r="D3" s="164">
        <v>0</v>
      </c>
      <c r="E3" s="164">
        <v>26</v>
      </c>
      <c r="F3" s="164">
        <v>194</v>
      </c>
      <c r="G3" s="164">
        <v>26</v>
      </c>
      <c r="H3" s="164">
        <v>194</v>
      </c>
      <c r="I3" s="134"/>
      <c r="J3" s="134"/>
    </row>
    <row r="4" spans="2:10" x14ac:dyDescent="0.25">
      <c r="B4" s="163" t="s">
        <v>4</v>
      </c>
      <c r="C4" s="164">
        <v>33</v>
      </c>
      <c r="D4" s="164">
        <v>431</v>
      </c>
      <c r="E4" s="164">
        <v>22</v>
      </c>
      <c r="F4" s="164">
        <v>329</v>
      </c>
      <c r="G4" s="164">
        <v>55</v>
      </c>
      <c r="H4" s="164">
        <v>760</v>
      </c>
      <c r="I4" s="134"/>
      <c r="J4" s="134"/>
    </row>
    <row r="5" spans="2:10" ht="24" x14ac:dyDescent="0.25">
      <c r="B5" s="163" t="s">
        <v>5</v>
      </c>
      <c r="C5" s="164">
        <v>12</v>
      </c>
      <c r="D5" s="164">
        <v>437</v>
      </c>
      <c r="E5" s="164">
        <v>18</v>
      </c>
      <c r="F5" s="164">
        <v>718</v>
      </c>
      <c r="G5" s="164">
        <v>30</v>
      </c>
      <c r="H5" s="164">
        <v>1155</v>
      </c>
      <c r="I5" s="134"/>
      <c r="J5" s="134"/>
    </row>
    <row r="6" spans="2:10" x14ac:dyDescent="0.25">
      <c r="B6" s="163" t="s">
        <v>56</v>
      </c>
      <c r="C6" s="164">
        <v>0</v>
      </c>
      <c r="D6" s="164">
        <v>0</v>
      </c>
      <c r="E6" s="164">
        <v>1</v>
      </c>
      <c r="F6" s="164">
        <v>12</v>
      </c>
      <c r="G6" s="164">
        <v>1</v>
      </c>
      <c r="H6" s="164">
        <v>12</v>
      </c>
      <c r="I6" s="134"/>
      <c r="J6" s="134"/>
    </row>
    <row r="7" spans="2:10" x14ac:dyDescent="0.25">
      <c r="B7" s="163" t="s">
        <v>49</v>
      </c>
      <c r="C7" s="164">
        <v>0</v>
      </c>
      <c r="D7" s="164">
        <v>0</v>
      </c>
      <c r="E7" s="164">
        <v>22</v>
      </c>
      <c r="F7" s="164">
        <v>593</v>
      </c>
      <c r="G7" s="164">
        <v>22</v>
      </c>
      <c r="H7" s="164">
        <v>593</v>
      </c>
      <c r="I7" s="134"/>
      <c r="J7" s="134"/>
    </row>
    <row r="8" spans="2:10" ht="24" x14ac:dyDescent="0.25">
      <c r="B8" s="163" t="s">
        <v>50</v>
      </c>
      <c r="C8" s="164">
        <v>0</v>
      </c>
      <c r="D8" s="164">
        <v>0</v>
      </c>
      <c r="E8" s="164">
        <v>1</v>
      </c>
      <c r="F8" s="164">
        <v>7</v>
      </c>
      <c r="G8" s="164">
        <v>1</v>
      </c>
      <c r="H8" s="164">
        <v>7</v>
      </c>
      <c r="I8" s="134"/>
      <c r="J8" s="134"/>
    </row>
    <row r="9" spans="2:10" x14ac:dyDescent="0.25">
      <c r="B9" s="163" t="s">
        <v>6</v>
      </c>
      <c r="C9" s="164">
        <v>23</v>
      </c>
      <c r="D9" s="164">
        <v>231</v>
      </c>
      <c r="E9" s="164">
        <v>2</v>
      </c>
      <c r="F9" s="164">
        <v>21</v>
      </c>
      <c r="G9" s="164">
        <v>25</v>
      </c>
      <c r="H9" s="164">
        <v>252</v>
      </c>
      <c r="I9" s="134"/>
      <c r="J9" s="134"/>
    </row>
    <row r="10" spans="2:10" x14ac:dyDescent="0.25">
      <c r="B10" s="163" t="s">
        <v>7</v>
      </c>
      <c r="C10" s="164">
        <v>5</v>
      </c>
      <c r="D10" s="164">
        <v>140</v>
      </c>
      <c r="E10" s="164">
        <v>7</v>
      </c>
      <c r="F10" s="164">
        <v>210</v>
      </c>
      <c r="G10" s="164">
        <v>12</v>
      </c>
      <c r="H10" s="164">
        <v>350</v>
      </c>
      <c r="I10" s="134"/>
      <c r="J10" s="134"/>
    </row>
    <row r="11" spans="2:10" x14ac:dyDescent="0.25">
      <c r="B11" s="163" t="s">
        <v>8</v>
      </c>
      <c r="C11" s="164">
        <v>12</v>
      </c>
      <c r="D11" s="164">
        <v>144</v>
      </c>
      <c r="E11" s="164">
        <v>7</v>
      </c>
      <c r="F11" s="164">
        <v>97</v>
      </c>
      <c r="G11" s="164">
        <v>19</v>
      </c>
      <c r="H11" s="164">
        <v>241</v>
      </c>
      <c r="I11" s="134"/>
      <c r="J11" s="134"/>
    </row>
    <row r="12" spans="2:10" x14ac:dyDescent="0.25">
      <c r="B12" s="163" t="s">
        <v>9</v>
      </c>
      <c r="C12" s="164">
        <v>22</v>
      </c>
      <c r="D12" s="164">
        <v>618</v>
      </c>
      <c r="E12" s="164">
        <v>41</v>
      </c>
      <c r="F12" s="164">
        <v>1221</v>
      </c>
      <c r="G12" s="164">
        <v>63</v>
      </c>
      <c r="H12" s="164">
        <v>1839</v>
      </c>
      <c r="I12" s="134"/>
      <c r="J12" s="134"/>
    </row>
    <row r="13" spans="2:10" x14ac:dyDescent="0.25">
      <c r="B13" s="163" t="s">
        <v>10</v>
      </c>
      <c r="C13" s="164">
        <v>17</v>
      </c>
      <c r="D13" s="164">
        <v>509</v>
      </c>
      <c r="E13" s="164">
        <v>12</v>
      </c>
      <c r="F13" s="164">
        <v>383</v>
      </c>
      <c r="G13" s="164">
        <v>29</v>
      </c>
      <c r="H13" s="164">
        <v>892</v>
      </c>
      <c r="I13" s="134"/>
      <c r="J13" s="134"/>
    </row>
    <row r="14" spans="2:10" ht="24" x14ac:dyDescent="0.25">
      <c r="B14" s="163" t="s">
        <v>11</v>
      </c>
      <c r="C14" s="164">
        <v>9</v>
      </c>
      <c r="D14" s="164">
        <v>905</v>
      </c>
      <c r="E14" s="164">
        <v>16</v>
      </c>
      <c r="F14" s="164">
        <v>1690</v>
      </c>
      <c r="G14" s="164">
        <v>25</v>
      </c>
      <c r="H14" s="164">
        <v>2595</v>
      </c>
      <c r="I14" s="134"/>
      <c r="J14" s="134"/>
    </row>
    <row r="15" spans="2:10" ht="18" customHeight="1" x14ac:dyDescent="0.25">
      <c r="B15" s="163" t="s">
        <v>57</v>
      </c>
      <c r="C15" s="164">
        <v>0</v>
      </c>
      <c r="D15" s="164">
        <v>0</v>
      </c>
      <c r="E15" s="164">
        <v>7</v>
      </c>
      <c r="F15" s="164">
        <v>350</v>
      </c>
      <c r="G15" s="164">
        <v>7</v>
      </c>
      <c r="H15" s="164">
        <v>350</v>
      </c>
      <c r="I15" s="134"/>
      <c r="J15" s="134"/>
    </row>
    <row r="16" spans="2:10" ht="24" x14ac:dyDescent="0.25">
      <c r="B16" s="163" t="s">
        <v>51</v>
      </c>
      <c r="C16" s="164">
        <v>0</v>
      </c>
      <c r="D16" s="164">
        <v>0</v>
      </c>
      <c r="E16" s="164">
        <v>0</v>
      </c>
      <c r="F16" s="164">
        <v>0</v>
      </c>
      <c r="G16" s="164">
        <v>0</v>
      </c>
      <c r="H16" s="164">
        <v>0</v>
      </c>
      <c r="I16" s="134"/>
      <c r="J16" s="134"/>
    </row>
    <row r="17" spans="2:10" x14ac:dyDescent="0.25">
      <c r="B17" s="163" t="s">
        <v>52</v>
      </c>
      <c r="C17" s="164">
        <v>0</v>
      </c>
      <c r="D17" s="164">
        <v>0</v>
      </c>
      <c r="E17" s="164">
        <v>0</v>
      </c>
      <c r="F17" s="164">
        <v>0</v>
      </c>
      <c r="G17" s="164">
        <v>0</v>
      </c>
      <c r="H17" s="164">
        <v>0</v>
      </c>
      <c r="I17" s="134"/>
      <c r="J17" s="134"/>
    </row>
    <row r="18" spans="2:10" x14ac:dyDescent="0.25">
      <c r="B18" s="163" t="s">
        <v>12</v>
      </c>
      <c r="C18" s="164">
        <v>6</v>
      </c>
      <c r="D18" s="164">
        <v>156</v>
      </c>
      <c r="E18" s="164">
        <v>48</v>
      </c>
      <c r="F18" s="164">
        <v>1432</v>
      </c>
      <c r="G18" s="164">
        <v>54</v>
      </c>
      <c r="H18" s="164">
        <v>1588</v>
      </c>
      <c r="I18" s="134"/>
      <c r="J18" s="134"/>
    </row>
    <row r="19" spans="2:10" x14ac:dyDescent="0.25">
      <c r="B19" s="163" t="s">
        <v>13</v>
      </c>
      <c r="C19" s="164">
        <v>86</v>
      </c>
      <c r="D19" s="164">
        <v>2418</v>
      </c>
      <c r="E19" s="164">
        <v>135</v>
      </c>
      <c r="F19" s="164">
        <v>4415</v>
      </c>
      <c r="G19" s="164">
        <v>221</v>
      </c>
      <c r="H19" s="164">
        <v>6833</v>
      </c>
      <c r="I19" s="134"/>
      <c r="J19" s="134"/>
    </row>
    <row r="20" spans="2:10" x14ac:dyDescent="0.25">
      <c r="B20" s="163" t="s">
        <v>67</v>
      </c>
      <c r="C20" s="164">
        <v>0</v>
      </c>
      <c r="D20" s="164">
        <v>0</v>
      </c>
      <c r="E20" s="164">
        <v>8</v>
      </c>
      <c r="F20" s="164">
        <v>224</v>
      </c>
      <c r="G20" s="164">
        <v>8</v>
      </c>
      <c r="H20" s="164">
        <v>224</v>
      </c>
      <c r="I20" s="134"/>
      <c r="J20" s="134"/>
    </row>
    <row r="21" spans="2:10" x14ac:dyDescent="0.25">
      <c r="B21" s="163" t="s">
        <v>53</v>
      </c>
      <c r="C21" s="164">
        <v>0</v>
      </c>
      <c r="D21" s="164">
        <v>0</v>
      </c>
      <c r="E21" s="164">
        <v>0</v>
      </c>
      <c r="F21" s="164">
        <v>0</v>
      </c>
      <c r="G21" s="164">
        <v>0</v>
      </c>
      <c r="H21" s="164">
        <v>0</v>
      </c>
      <c r="I21" s="134"/>
      <c r="J21" s="134"/>
    </row>
    <row r="22" spans="2:10" x14ac:dyDescent="0.25">
      <c r="B22" s="163" t="s">
        <v>14</v>
      </c>
      <c r="C22" s="164">
        <v>1</v>
      </c>
      <c r="D22" s="164">
        <v>90</v>
      </c>
      <c r="E22" s="164">
        <v>0</v>
      </c>
      <c r="F22" s="164">
        <v>0</v>
      </c>
      <c r="G22" s="164">
        <v>1</v>
      </c>
      <c r="H22" s="164">
        <v>90</v>
      </c>
      <c r="I22" s="134"/>
      <c r="J22" s="134"/>
    </row>
    <row r="23" spans="2:10" x14ac:dyDescent="0.25">
      <c r="B23" s="163" t="s">
        <v>15</v>
      </c>
      <c r="C23" s="164">
        <v>2</v>
      </c>
      <c r="D23" s="164">
        <v>190</v>
      </c>
      <c r="E23" s="164">
        <v>3</v>
      </c>
      <c r="F23" s="164">
        <v>315</v>
      </c>
      <c r="G23" s="164">
        <v>5</v>
      </c>
      <c r="H23" s="164">
        <v>505</v>
      </c>
      <c r="I23" s="134"/>
      <c r="J23" s="134"/>
    </row>
    <row r="24" spans="2:10" x14ac:dyDescent="0.25">
      <c r="B24" s="163" t="s">
        <v>16</v>
      </c>
      <c r="C24" s="164">
        <v>3</v>
      </c>
      <c r="D24" s="164">
        <v>405</v>
      </c>
      <c r="E24" s="164">
        <v>0</v>
      </c>
      <c r="F24" s="164">
        <v>0</v>
      </c>
      <c r="G24" s="164">
        <v>3</v>
      </c>
      <c r="H24" s="164">
        <v>405</v>
      </c>
      <c r="I24" s="134"/>
      <c r="J24" s="134"/>
    </row>
    <row r="25" spans="2:10" x14ac:dyDescent="0.25">
      <c r="B25" s="163" t="s">
        <v>54</v>
      </c>
      <c r="C25" s="164">
        <v>0</v>
      </c>
      <c r="D25" s="164">
        <v>0</v>
      </c>
      <c r="E25" s="164">
        <v>5</v>
      </c>
      <c r="F25" s="164">
        <v>500</v>
      </c>
      <c r="G25" s="164">
        <v>5</v>
      </c>
      <c r="H25" s="164">
        <v>500</v>
      </c>
      <c r="I25" s="134"/>
      <c r="J25" s="134"/>
    </row>
    <row r="26" spans="2:10" x14ac:dyDescent="0.25">
      <c r="B26" s="163" t="s">
        <v>17</v>
      </c>
      <c r="C26" s="164">
        <v>0</v>
      </c>
      <c r="D26" s="164">
        <v>0</v>
      </c>
      <c r="E26" s="164">
        <v>0</v>
      </c>
      <c r="F26" s="164">
        <v>0</v>
      </c>
      <c r="G26" s="164">
        <v>0</v>
      </c>
      <c r="H26" s="164">
        <v>0</v>
      </c>
      <c r="I26" s="134"/>
      <c r="J26" s="134"/>
    </row>
    <row r="27" spans="2:10" x14ac:dyDescent="0.25">
      <c r="B27" s="163" t="s">
        <v>59</v>
      </c>
      <c r="C27" s="164">
        <v>0</v>
      </c>
      <c r="D27" s="164">
        <v>0</v>
      </c>
      <c r="E27" s="164">
        <v>3</v>
      </c>
      <c r="F27" s="164">
        <v>300</v>
      </c>
      <c r="G27" s="164">
        <v>3</v>
      </c>
      <c r="H27" s="164">
        <v>300</v>
      </c>
      <c r="I27" s="134"/>
      <c r="J27" s="134"/>
    </row>
    <row r="28" spans="2:10" x14ac:dyDescent="0.25">
      <c r="B28" s="163" t="s">
        <v>18</v>
      </c>
      <c r="C28" s="164">
        <v>0</v>
      </c>
      <c r="D28" s="164">
        <v>0</v>
      </c>
      <c r="E28" s="164">
        <v>1</v>
      </c>
      <c r="F28" s="164">
        <v>240</v>
      </c>
      <c r="G28" s="164">
        <v>1</v>
      </c>
      <c r="H28" s="164">
        <v>240</v>
      </c>
      <c r="I28" s="134"/>
      <c r="J28" s="134"/>
    </row>
    <row r="29" spans="2:10" x14ac:dyDescent="0.25">
      <c r="B29" s="163" t="s">
        <v>19</v>
      </c>
      <c r="C29" s="164">
        <v>0</v>
      </c>
      <c r="D29" s="164">
        <v>0</v>
      </c>
      <c r="E29" s="164">
        <v>0</v>
      </c>
      <c r="F29" s="164">
        <v>0</v>
      </c>
      <c r="G29" s="164">
        <v>0</v>
      </c>
      <c r="H29" s="164">
        <v>0</v>
      </c>
      <c r="I29" s="134"/>
      <c r="J29" s="134"/>
    </row>
    <row r="30" spans="2:10" x14ac:dyDescent="0.25">
      <c r="B30" s="163" t="s">
        <v>20</v>
      </c>
      <c r="C30" s="164">
        <v>0</v>
      </c>
      <c r="D30" s="164">
        <v>0</v>
      </c>
      <c r="E30" s="164">
        <v>2</v>
      </c>
      <c r="F30" s="164">
        <v>11</v>
      </c>
      <c r="G30" s="164">
        <v>2</v>
      </c>
      <c r="H30" s="164">
        <v>11</v>
      </c>
      <c r="I30" s="134"/>
      <c r="J30" s="134"/>
    </row>
    <row r="31" spans="2:10" x14ac:dyDescent="0.25">
      <c r="B31" s="163" t="s">
        <v>21</v>
      </c>
      <c r="C31" s="164">
        <v>0</v>
      </c>
      <c r="D31" s="164">
        <v>0</v>
      </c>
      <c r="E31" s="164">
        <v>1</v>
      </c>
      <c r="F31" s="164">
        <v>13</v>
      </c>
      <c r="G31" s="164">
        <v>1</v>
      </c>
      <c r="H31" s="164">
        <v>13</v>
      </c>
      <c r="I31" s="134"/>
      <c r="J31" s="134"/>
    </row>
    <row r="32" spans="2:10" x14ac:dyDescent="0.25">
      <c r="B32" s="163" t="s">
        <v>22</v>
      </c>
      <c r="C32" s="164">
        <v>4</v>
      </c>
      <c r="D32" s="164">
        <v>44</v>
      </c>
      <c r="E32" s="164">
        <v>0</v>
      </c>
      <c r="F32" s="164">
        <v>0</v>
      </c>
      <c r="G32" s="164">
        <v>4</v>
      </c>
      <c r="H32" s="164">
        <v>44</v>
      </c>
      <c r="I32" s="134"/>
      <c r="J32" s="134"/>
    </row>
    <row r="33" spans="2:10" x14ac:dyDescent="0.25">
      <c r="B33" s="163" t="s">
        <v>23</v>
      </c>
      <c r="C33" s="164">
        <v>0</v>
      </c>
      <c r="D33" s="164">
        <v>0</v>
      </c>
      <c r="E33" s="164">
        <v>0</v>
      </c>
      <c r="F33" s="164">
        <v>0</v>
      </c>
      <c r="G33" s="164">
        <v>0</v>
      </c>
      <c r="H33" s="164">
        <v>0</v>
      </c>
      <c r="I33" s="134"/>
      <c r="J33" s="134"/>
    </row>
    <row r="34" spans="2:10" x14ac:dyDescent="0.25">
      <c r="B34" s="163" t="s">
        <v>24</v>
      </c>
      <c r="C34" s="164">
        <v>1</v>
      </c>
      <c r="D34" s="164">
        <v>6</v>
      </c>
      <c r="E34" s="164">
        <v>1</v>
      </c>
      <c r="F34" s="164">
        <v>8.5</v>
      </c>
      <c r="G34" s="164">
        <v>2</v>
      </c>
      <c r="H34" s="164">
        <v>14.5</v>
      </c>
      <c r="I34" s="134"/>
      <c r="J34" s="134"/>
    </row>
    <row r="35" spans="2:10" x14ac:dyDescent="0.25">
      <c r="B35" s="163" t="s">
        <v>25</v>
      </c>
      <c r="C35" s="164">
        <v>0</v>
      </c>
      <c r="D35" s="164">
        <v>0</v>
      </c>
      <c r="E35" s="164">
        <v>0</v>
      </c>
      <c r="F35" s="164">
        <v>0</v>
      </c>
      <c r="G35" s="164">
        <v>0</v>
      </c>
      <c r="H35" s="164">
        <v>0</v>
      </c>
      <c r="I35" s="134"/>
      <c r="J35" s="134"/>
    </row>
    <row r="36" spans="2:10" x14ac:dyDescent="0.25">
      <c r="B36" s="163" t="s">
        <v>26</v>
      </c>
      <c r="C36" s="164">
        <v>0</v>
      </c>
      <c r="D36" s="164">
        <v>0</v>
      </c>
      <c r="E36" s="164">
        <v>0</v>
      </c>
      <c r="F36" s="164">
        <v>0</v>
      </c>
      <c r="G36" s="164">
        <v>0</v>
      </c>
      <c r="H36" s="164">
        <v>0</v>
      </c>
      <c r="I36" s="134"/>
      <c r="J36" s="134"/>
    </row>
    <row r="37" spans="2:10" x14ac:dyDescent="0.25">
      <c r="B37" s="163" t="s">
        <v>27</v>
      </c>
      <c r="C37" s="164">
        <v>1</v>
      </c>
      <c r="D37" s="164">
        <v>120</v>
      </c>
      <c r="E37" s="164">
        <v>2</v>
      </c>
      <c r="F37" s="164">
        <v>270</v>
      </c>
      <c r="G37" s="164">
        <v>3</v>
      </c>
      <c r="H37" s="164">
        <v>390</v>
      </c>
      <c r="I37" s="134"/>
      <c r="J37" s="134"/>
    </row>
    <row r="38" spans="2:10" x14ac:dyDescent="0.25">
      <c r="B38" s="163" t="s">
        <v>28</v>
      </c>
      <c r="C38" s="164">
        <v>3</v>
      </c>
      <c r="D38" s="164">
        <v>84</v>
      </c>
      <c r="E38" s="164">
        <v>4</v>
      </c>
      <c r="F38" s="164">
        <v>140</v>
      </c>
      <c r="G38" s="164">
        <v>7</v>
      </c>
      <c r="H38" s="164">
        <v>224</v>
      </c>
      <c r="I38" s="134"/>
      <c r="J38" s="134"/>
    </row>
    <row r="39" spans="2:10" x14ac:dyDescent="0.25">
      <c r="B39" s="163" t="s">
        <v>29</v>
      </c>
      <c r="C39" s="164">
        <v>0</v>
      </c>
      <c r="D39" s="164">
        <v>0</v>
      </c>
      <c r="E39" s="164">
        <v>0</v>
      </c>
      <c r="F39" s="164">
        <v>0</v>
      </c>
      <c r="G39" s="164">
        <v>0</v>
      </c>
      <c r="H39" s="164">
        <v>0</v>
      </c>
      <c r="I39" s="134"/>
      <c r="J39" s="134"/>
    </row>
    <row r="40" spans="2:10" x14ac:dyDescent="0.25">
      <c r="B40" s="163" t="s">
        <v>30</v>
      </c>
      <c r="C40" s="164">
        <v>0</v>
      </c>
      <c r="D40" s="164">
        <v>0</v>
      </c>
      <c r="E40" s="164">
        <v>6</v>
      </c>
      <c r="F40" s="164">
        <v>810</v>
      </c>
      <c r="G40" s="164">
        <v>6</v>
      </c>
      <c r="H40" s="164">
        <v>810</v>
      </c>
      <c r="I40" s="134"/>
      <c r="J40" s="134"/>
    </row>
    <row r="41" spans="2:10" x14ac:dyDescent="0.25">
      <c r="B41" s="163" t="s">
        <v>31</v>
      </c>
      <c r="C41" s="164">
        <v>1</v>
      </c>
      <c r="D41" s="164">
        <v>35</v>
      </c>
      <c r="E41" s="164">
        <v>3</v>
      </c>
      <c r="F41" s="164">
        <v>105</v>
      </c>
      <c r="G41" s="164">
        <v>4</v>
      </c>
      <c r="H41" s="164">
        <v>140</v>
      </c>
      <c r="I41" s="134"/>
      <c r="J41" s="134"/>
    </row>
    <row r="42" spans="2:10" ht="27" customHeight="1" x14ac:dyDescent="0.25">
      <c r="B42" s="163" t="s">
        <v>32</v>
      </c>
      <c r="C42" s="164">
        <v>0</v>
      </c>
      <c r="D42" s="164">
        <v>0</v>
      </c>
      <c r="E42" s="164">
        <v>0</v>
      </c>
      <c r="F42" s="164">
        <v>0</v>
      </c>
      <c r="G42" s="164">
        <v>0</v>
      </c>
      <c r="H42" s="164">
        <v>0</v>
      </c>
      <c r="I42" s="134"/>
      <c r="J42" s="134"/>
    </row>
    <row r="43" spans="2:10" ht="24" x14ac:dyDescent="0.25">
      <c r="B43" s="163" t="s">
        <v>33</v>
      </c>
      <c r="C43" s="164">
        <v>0</v>
      </c>
      <c r="D43" s="164">
        <v>0</v>
      </c>
      <c r="E43" s="164">
        <v>0</v>
      </c>
      <c r="F43" s="164">
        <v>0</v>
      </c>
      <c r="G43" s="164">
        <v>0</v>
      </c>
      <c r="H43" s="164">
        <v>0</v>
      </c>
      <c r="I43" s="134"/>
      <c r="J43" s="134"/>
    </row>
    <row r="44" spans="2:10" x14ac:dyDescent="0.25">
      <c r="B44" s="163" t="s">
        <v>34</v>
      </c>
      <c r="C44" s="164">
        <v>0</v>
      </c>
      <c r="D44" s="164">
        <v>0</v>
      </c>
      <c r="E44" s="164">
        <v>3</v>
      </c>
      <c r="F44" s="164">
        <v>51</v>
      </c>
      <c r="G44" s="164">
        <v>3</v>
      </c>
      <c r="H44" s="164">
        <v>51</v>
      </c>
      <c r="I44" s="134"/>
      <c r="J44" s="134"/>
    </row>
    <row r="45" spans="2:10" x14ac:dyDescent="0.25">
      <c r="B45" s="163" t="s">
        <v>35</v>
      </c>
      <c r="C45" s="164">
        <v>2</v>
      </c>
      <c r="D45" s="164">
        <v>14</v>
      </c>
      <c r="E45" s="164">
        <v>3</v>
      </c>
      <c r="F45" s="164">
        <v>21</v>
      </c>
      <c r="G45" s="164">
        <v>5</v>
      </c>
      <c r="H45" s="164">
        <v>35</v>
      </c>
      <c r="I45" s="134"/>
      <c r="J45" s="134"/>
    </row>
    <row r="46" spans="2:10" x14ac:dyDescent="0.25">
      <c r="B46" s="163" t="s">
        <v>36</v>
      </c>
      <c r="C46" s="164">
        <v>0</v>
      </c>
      <c r="D46" s="164">
        <v>0</v>
      </c>
      <c r="E46" s="164">
        <v>0</v>
      </c>
      <c r="F46" s="164">
        <v>0</v>
      </c>
      <c r="G46" s="164">
        <v>0</v>
      </c>
      <c r="H46" s="164">
        <v>0</v>
      </c>
      <c r="I46" s="134"/>
      <c r="J46" s="134"/>
    </row>
    <row r="47" spans="2:10" ht="24" x14ac:dyDescent="0.25">
      <c r="B47" s="163" t="s">
        <v>37</v>
      </c>
      <c r="C47" s="164">
        <v>0</v>
      </c>
      <c r="D47" s="164">
        <v>0</v>
      </c>
      <c r="E47" s="164">
        <v>0</v>
      </c>
      <c r="F47" s="164">
        <v>0</v>
      </c>
      <c r="G47" s="164">
        <v>0</v>
      </c>
      <c r="H47" s="164">
        <v>0</v>
      </c>
      <c r="I47" s="134"/>
      <c r="J47" s="134"/>
    </row>
    <row r="48" spans="2:10" x14ac:dyDescent="0.25">
      <c r="B48" s="163" t="s">
        <v>38</v>
      </c>
      <c r="C48" s="164">
        <v>0</v>
      </c>
      <c r="D48" s="164">
        <v>0</v>
      </c>
      <c r="E48" s="164">
        <v>0</v>
      </c>
      <c r="F48" s="164">
        <v>0</v>
      </c>
      <c r="G48" s="164">
        <v>0</v>
      </c>
      <c r="H48" s="164">
        <v>0</v>
      </c>
      <c r="I48" s="134"/>
      <c r="J48" s="134"/>
    </row>
    <row r="49" spans="2:25" x14ac:dyDescent="0.25">
      <c r="B49" s="163" t="s">
        <v>39</v>
      </c>
      <c r="C49" s="164">
        <v>0</v>
      </c>
      <c r="D49" s="164">
        <v>0</v>
      </c>
      <c r="E49" s="164">
        <v>0</v>
      </c>
      <c r="F49" s="164">
        <v>0</v>
      </c>
      <c r="G49" s="164">
        <v>0</v>
      </c>
      <c r="H49" s="164">
        <v>0</v>
      </c>
      <c r="I49" s="134"/>
      <c r="J49" s="134"/>
    </row>
    <row r="50" spans="2:25" ht="24" x14ac:dyDescent="0.25">
      <c r="B50" s="163" t="s">
        <v>48</v>
      </c>
      <c r="C50" s="164">
        <v>0</v>
      </c>
      <c r="D50" s="164">
        <v>0</v>
      </c>
      <c r="E50" s="164">
        <v>0</v>
      </c>
      <c r="F50" s="164">
        <v>0</v>
      </c>
      <c r="G50" s="164">
        <v>0</v>
      </c>
      <c r="H50" s="164">
        <v>0</v>
      </c>
      <c r="I50" s="134"/>
      <c r="J50" s="134"/>
    </row>
    <row r="51" spans="2:25" x14ac:dyDescent="0.25">
      <c r="B51" s="163" t="s">
        <v>40</v>
      </c>
      <c r="C51" s="164">
        <v>0</v>
      </c>
      <c r="D51" s="164">
        <v>0</v>
      </c>
      <c r="E51" s="164">
        <v>0</v>
      </c>
      <c r="F51" s="164">
        <v>0</v>
      </c>
      <c r="G51" s="164">
        <v>0</v>
      </c>
      <c r="H51" s="164">
        <v>0</v>
      </c>
      <c r="I51" s="134"/>
      <c r="J51" s="134"/>
    </row>
    <row r="52" spans="2:25" ht="24" x14ac:dyDescent="0.25">
      <c r="B52" s="163" t="s">
        <v>41</v>
      </c>
      <c r="C52" s="164">
        <v>0</v>
      </c>
      <c r="D52" s="164">
        <v>0</v>
      </c>
      <c r="E52" s="164">
        <v>9</v>
      </c>
      <c r="F52" s="164">
        <v>54</v>
      </c>
      <c r="G52" s="164">
        <v>9</v>
      </c>
      <c r="H52" s="164">
        <v>54</v>
      </c>
      <c r="I52" s="134"/>
      <c r="J52" s="134"/>
    </row>
    <row r="53" spans="2:25" ht="24" x14ac:dyDescent="0.25">
      <c r="B53" s="163" t="s">
        <v>42</v>
      </c>
      <c r="C53" s="164">
        <v>0</v>
      </c>
      <c r="D53" s="164">
        <v>0</v>
      </c>
      <c r="E53" s="164">
        <v>3</v>
      </c>
      <c r="F53" s="164">
        <v>18</v>
      </c>
      <c r="G53" s="164">
        <v>3</v>
      </c>
      <c r="H53" s="164">
        <v>18</v>
      </c>
      <c r="I53" s="134"/>
      <c r="J53" s="134"/>
    </row>
    <row r="54" spans="2:25" ht="24" x14ac:dyDescent="0.25">
      <c r="B54" s="163" t="s">
        <v>45</v>
      </c>
      <c r="C54" s="164">
        <v>0</v>
      </c>
      <c r="D54" s="164">
        <v>0</v>
      </c>
      <c r="E54" s="164">
        <v>0</v>
      </c>
      <c r="F54" s="164">
        <v>0</v>
      </c>
      <c r="G54" s="164">
        <v>0</v>
      </c>
      <c r="H54" s="164">
        <v>0</v>
      </c>
      <c r="I54" s="134"/>
      <c r="J54" s="134"/>
    </row>
    <row r="55" spans="2:25" ht="24" x14ac:dyDescent="0.25">
      <c r="B55" s="163" t="s">
        <v>43</v>
      </c>
      <c r="C55" s="164">
        <v>0</v>
      </c>
      <c r="D55" s="164">
        <v>0</v>
      </c>
      <c r="E55" s="164">
        <v>3</v>
      </c>
      <c r="F55" s="164">
        <v>18</v>
      </c>
      <c r="G55" s="164">
        <v>3</v>
      </c>
      <c r="H55" s="164">
        <v>18</v>
      </c>
      <c r="I55" s="134"/>
      <c r="J55" s="134"/>
    </row>
    <row r="56" spans="2:25" ht="24" x14ac:dyDescent="0.25">
      <c r="B56" s="163" t="s">
        <v>46</v>
      </c>
      <c r="C56" s="164">
        <v>0</v>
      </c>
      <c r="D56" s="164">
        <v>0</v>
      </c>
      <c r="E56" s="164">
        <v>0</v>
      </c>
      <c r="F56" s="164">
        <v>0</v>
      </c>
      <c r="G56" s="164">
        <v>0</v>
      </c>
      <c r="H56" s="164">
        <v>0</v>
      </c>
      <c r="I56" s="134"/>
      <c r="J56" s="134"/>
    </row>
    <row r="57" spans="2:25" ht="24" x14ac:dyDescent="0.25">
      <c r="B57" s="163" t="s">
        <v>44</v>
      </c>
      <c r="C57" s="164">
        <v>0</v>
      </c>
      <c r="D57" s="164">
        <v>0</v>
      </c>
      <c r="E57" s="164">
        <v>3</v>
      </c>
      <c r="F57" s="164">
        <v>18</v>
      </c>
      <c r="G57" s="164">
        <v>3</v>
      </c>
      <c r="H57" s="164">
        <v>18</v>
      </c>
      <c r="I57" s="134"/>
      <c r="J57" s="134"/>
    </row>
    <row r="58" spans="2:25" ht="24" x14ac:dyDescent="0.25">
      <c r="B58" s="163" t="s">
        <v>47</v>
      </c>
      <c r="C58" s="164">
        <v>0</v>
      </c>
      <c r="D58" s="164">
        <v>0</v>
      </c>
      <c r="E58" s="164">
        <v>0</v>
      </c>
      <c r="F58" s="164">
        <v>0</v>
      </c>
      <c r="G58" s="164">
        <v>0</v>
      </c>
      <c r="H58" s="164">
        <v>0</v>
      </c>
      <c r="I58" s="134"/>
      <c r="J58" s="134"/>
    </row>
    <row r="59" spans="2:25" x14ac:dyDescent="0.25">
      <c r="B59" s="163" t="s">
        <v>58</v>
      </c>
      <c r="C59" s="164">
        <v>0</v>
      </c>
      <c r="D59" s="164">
        <v>0</v>
      </c>
      <c r="E59" s="164">
        <v>21</v>
      </c>
      <c r="F59" s="164">
        <v>315</v>
      </c>
      <c r="G59" s="164">
        <v>21</v>
      </c>
      <c r="H59" s="164">
        <v>315</v>
      </c>
      <c r="I59" s="134"/>
      <c r="J59" s="134"/>
    </row>
    <row r="60" spans="2:25" x14ac:dyDescent="0.25">
      <c r="B60" s="165"/>
      <c r="C60" s="166"/>
      <c r="D60" s="164">
        <v>6977</v>
      </c>
      <c r="E60" s="166"/>
      <c r="F60" s="164">
        <v>15103.5</v>
      </c>
      <c r="G60" s="166"/>
      <c r="H60" s="164">
        <v>22080.5</v>
      </c>
      <c r="I60" s="134"/>
      <c r="J60" s="134"/>
    </row>
    <row r="61" spans="2:25" x14ac:dyDescent="0.25">
      <c r="B61" s="142"/>
      <c r="C61" s="142"/>
      <c r="D61" s="142"/>
      <c r="E61" s="142"/>
      <c r="F61" s="142"/>
      <c r="G61" s="142"/>
      <c r="H61" s="142"/>
      <c r="I61" s="134"/>
      <c r="J61" s="134"/>
    </row>
    <row r="62" spans="2:25" ht="18.75" x14ac:dyDescent="0.3">
      <c r="B62" s="699" t="s">
        <v>80</v>
      </c>
      <c r="C62" s="699"/>
      <c r="D62" s="699"/>
      <c r="E62" s="699"/>
      <c r="F62" s="699"/>
      <c r="G62" s="699"/>
      <c r="H62" s="699"/>
      <c r="I62" s="699"/>
      <c r="J62" s="135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8"/>
    </row>
    <row r="63" spans="2:25" ht="24" x14ac:dyDescent="0.25">
      <c r="B63" s="99" t="s">
        <v>2</v>
      </c>
      <c r="C63" s="143" t="s">
        <v>77</v>
      </c>
      <c r="D63" s="143" t="s">
        <v>78</v>
      </c>
      <c r="E63" s="143" t="s">
        <v>79</v>
      </c>
      <c r="F63" s="143" t="s">
        <v>92</v>
      </c>
      <c r="G63" s="143" t="s">
        <v>91</v>
      </c>
      <c r="H63" s="144" t="s">
        <v>75</v>
      </c>
      <c r="I63" s="176" t="s">
        <v>102</v>
      </c>
      <c r="J63" s="134"/>
    </row>
    <row r="64" spans="2:25" ht="24" x14ac:dyDescent="0.25">
      <c r="B64" s="145" t="s">
        <v>55</v>
      </c>
      <c r="C64" s="143">
        <v>24</v>
      </c>
      <c r="D64" s="143">
        <v>26</v>
      </c>
      <c r="E64" s="143">
        <v>-2</v>
      </c>
      <c r="F64" s="99">
        <v>194</v>
      </c>
      <c r="G64" s="143">
        <v>166.14</v>
      </c>
      <c r="H64" s="144">
        <v>27.860000000000014</v>
      </c>
      <c r="I64" s="176">
        <v>-12.78</v>
      </c>
      <c r="J64" s="134"/>
    </row>
    <row r="65" spans="2:10" x14ac:dyDescent="0.25">
      <c r="B65" s="145" t="s">
        <v>4</v>
      </c>
      <c r="C65" s="143">
        <v>100</v>
      </c>
      <c r="D65" s="143">
        <v>55</v>
      </c>
      <c r="E65" s="143">
        <v>45</v>
      </c>
      <c r="F65" s="99">
        <v>760</v>
      </c>
      <c r="G65" s="143">
        <v>567.6</v>
      </c>
      <c r="H65" s="144">
        <v>192.39999999999998</v>
      </c>
      <c r="I65" s="177">
        <v>571.04999999999995</v>
      </c>
      <c r="J65" s="134"/>
    </row>
    <row r="66" spans="2:10" ht="24" x14ac:dyDescent="0.25">
      <c r="B66" s="145" t="s">
        <v>5</v>
      </c>
      <c r="C66" s="143">
        <v>40</v>
      </c>
      <c r="D66" s="143">
        <v>30</v>
      </c>
      <c r="E66" s="143">
        <v>10</v>
      </c>
      <c r="F66" s="99">
        <v>1155</v>
      </c>
      <c r="G66" s="143">
        <v>920.4</v>
      </c>
      <c r="H66" s="144">
        <v>234.60000000000002</v>
      </c>
      <c r="I66" s="176">
        <v>350.4</v>
      </c>
      <c r="J66" s="134"/>
    </row>
    <row r="67" spans="2:10" x14ac:dyDescent="0.25">
      <c r="B67" s="145" t="s">
        <v>56</v>
      </c>
      <c r="C67" s="143">
        <v>32</v>
      </c>
      <c r="D67" s="143">
        <v>1</v>
      </c>
      <c r="E67" s="143">
        <v>31</v>
      </c>
      <c r="F67" s="99">
        <v>12</v>
      </c>
      <c r="G67" s="143">
        <v>10.7</v>
      </c>
      <c r="H67" s="144">
        <v>1.3000000000000007</v>
      </c>
      <c r="I67" s="176">
        <v>331.7</v>
      </c>
      <c r="J67" s="134"/>
    </row>
    <row r="68" spans="2:10" x14ac:dyDescent="0.25">
      <c r="B68" s="145" t="s">
        <v>49</v>
      </c>
      <c r="C68" s="143">
        <v>30</v>
      </c>
      <c r="D68" s="143">
        <v>22</v>
      </c>
      <c r="E68" s="143">
        <v>8</v>
      </c>
      <c r="F68" s="99">
        <v>593</v>
      </c>
      <c r="G68" s="143">
        <v>494.71999999999997</v>
      </c>
      <c r="H68" s="144">
        <v>98.28000000000003</v>
      </c>
      <c r="I68" s="176">
        <v>182.48</v>
      </c>
      <c r="J68" s="134"/>
    </row>
    <row r="69" spans="2:10" ht="24" x14ac:dyDescent="0.25">
      <c r="B69" s="145" t="s">
        <v>50</v>
      </c>
      <c r="C69" s="143">
        <v>24</v>
      </c>
      <c r="D69" s="143">
        <v>1</v>
      </c>
      <c r="E69" s="143">
        <v>23</v>
      </c>
      <c r="F69" s="99">
        <v>7</v>
      </c>
      <c r="G69" s="143">
        <v>5.67</v>
      </c>
      <c r="H69" s="144">
        <v>1.33</v>
      </c>
      <c r="I69" s="176">
        <v>138</v>
      </c>
      <c r="J69" s="134"/>
    </row>
    <row r="70" spans="2:10" x14ac:dyDescent="0.25">
      <c r="B70" s="145" t="s">
        <v>6</v>
      </c>
      <c r="C70" s="143">
        <v>60</v>
      </c>
      <c r="D70" s="143">
        <v>25</v>
      </c>
      <c r="E70" s="143">
        <v>35</v>
      </c>
      <c r="F70" s="99">
        <v>252</v>
      </c>
      <c r="G70" s="143">
        <v>196.35</v>
      </c>
      <c r="H70" s="144">
        <v>55.650000000000006</v>
      </c>
      <c r="I70" s="176">
        <v>323.05</v>
      </c>
      <c r="J70" s="134"/>
    </row>
    <row r="71" spans="2:10" x14ac:dyDescent="0.25">
      <c r="B71" s="145" t="s">
        <v>7</v>
      </c>
      <c r="C71" s="143">
        <v>15</v>
      </c>
      <c r="D71" s="143">
        <v>12</v>
      </c>
      <c r="E71" s="146">
        <v>3</v>
      </c>
      <c r="F71" s="99">
        <v>350</v>
      </c>
      <c r="G71" s="143">
        <v>299.23</v>
      </c>
      <c r="H71" s="144">
        <v>50.769999999999982</v>
      </c>
      <c r="I71" s="176">
        <v>81.12</v>
      </c>
      <c r="J71" s="134"/>
    </row>
    <row r="72" spans="2:10" x14ac:dyDescent="0.25">
      <c r="B72" s="145" t="s">
        <v>8</v>
      </c>
      <c r="C72" s="143">
        <v>40</v>
      </c>
      <c r="D72" s="143">
        <v>19</v>
      </c>
      <c r="E72" s="143">
        <v>21</v>
      </c>
      <c r="F72" s="99">
        <v>241</v>
      </c>
      <c r="G72" s="143">
        <v>181.45000000000002</v>
      </c>
      <c r="H72" s="144">
        <v>59.549999999999983</v>
      </c>
      <c r="I72" s="176">
        <v>246.54</v>
      </c>
      <c r="J72" s="134"/>
    </row>
    <row r="73" spans="2:10" x14ac:dyDescent="0.25">
      <c r="B73" s="145" t="s">
        <v>9</v>
      </c>
      <c r="C73" s="143">
        <v>86</v>
      </c>
      <c r="D73" s="143">
        <v>63</v>
      </c>
      <c r="E73" s="143">
        <v>23</v>
      </c>
      <c r="F73" s="99">
        <v>1839</v>
      </c>
      <c r="G73" s="143">
        <v>1535.37</v>
      </c>
      <c r="H73" s="144">
        <v>303.63000000000011</v>
      </c>
      <c r="I73" s="176">
        <v>617.08999999999992</v>
      </c>
      <c r="J73" s="134"/>
    </row>
    <row r="74" spans="2:10" x14ac:dyDescent="0.25">
      <c r="B74" s="145" t="s">
        <v>10</v>
      </c>
      <c r="C74" s="143">
        <v>48</v>
      </c>
      <c r="D74" s="143">
        <v>29</v>
      </c>
      <c r="E74" s="143">
        <v>19</v>
      </c>
      <c r="F74" s="99">
        <v>892</v>
      </c>
      <c r="G74" s="143">
        <v>706.43999999999994</v>
      </c>
      <c r="H74" s="144">
        <v>185.56000000000006</v>
      </c>
      <c r="I74" s="176">
        <v>531.24</v>
      </c>
      <c r="J74" s="134"/>
    </row>
    <row r="75" spans="2:10" ht="24" x14ac:dyDescent="0.25">
      <c r="B75" s="145" t="s">
        <v>11</v>
      </c>
      <c r="C75" s="143">
        <v>40</v>
      </c>
      <c r="D75" s="143">
        <v>25</v>
      </c>
      <c r="E75" s="143">
        <v>15</v>
      </c>
      <c r="F75" s="99">
        <v>2595</v>
      </c>
      <c r="G75" s="143">
        <v>2020.75</v>
      </c>
      <c r="H75" s="144">
        <v>574.25</v>
      </c>
      <c r="I75" s="176">
        <v>1425.45</v>
      </c>
      <c r="J75" s="134"/>
    </row>
    <row r="76" spans="2:10" ht="24" x14ac:dyDescent="0.25">
      <c r="B76" s="145" t="s">
        <v>57</v>
      </c>
      <c r="C76" s="143">
        <v>30</v>
      </c>
      <c r="D76" s="143">
        <v>7</v>
      </c>
      <c r="E76" s="143">
        <v>23</v>
      </c>
      <c r="F76" s="99">
        <v>350</v>
      </c>
      <c r="G76" s="143">
        <v>308.21000000000004</v>
      </c>
      <c r="H76" s="144">
        <v>41.789999999999964</v>
      </c>
      <c r="I76" s="176">
        <v>1012.69</v>
      </c>
      <c r="J76" s="134"/>
    </row>
    <row r="77" spans="2:10" ht="24" x14ac:dyDescent="0.25">
      <c r="B77" s="145" t="s">
        <v>51</v>
      </c>
      <c r="C77" s="143">
        <v>5</v>
      </c>
      <c r="D77" s="143">
        <v>0</v>
      </c>
      <c r="E77" s="143">
        <v>5</v>
      </c>
      <c r="F77" s="99">
        <v>0</v>
      </c>
      <c r="G77" s="143">
        <v>0</v>
      </c>
      <c r="H77" s="144">
        <v>0</v>
      </c>
      <c r="I77" s="176">
        <v>207.5</v>
      </c>
      <c r="J77" s="134"/>
    </row>
    <row r="78" spans="2:10" x14ac:dyDescent="0.25">
      <c r="B78" s="145" t="s">
        <v>52</v>
      </c>
      <c r="C78" s="143">
        <v>10</v>
      </c>
      <c r="D78" s="143">
        <v>0</v>
      </c>
      <c r="E78" s="143">
        <v>10</v>
      </c>
      <c r="F78" s="99">
        <v>0</v>
      </c>
      <c r="G78" s="143">
        <v>0</v>
      </c>
      <c r="H78" s="144">
        <v>0</v>
      </c>
      <c r="I78" s="176">
        <v>540.90000000000009</v>
      </c>
      <c r="J78" s="134"/>
    </row>
    <row r="79" spans="2:10" x14ac:dyDescent="0.25">
      <c r="B79" s="145" t="s">
        <v>12</v>
      </c>
      <c r="C79" s="143">
        <v>60</v>
      </c>
      <c r="D79" s="143">
        <v>54</v>
      </c>
      <c r="E79" s="143">
        <v>6</v>
      </c>
      <c r="F79" s="99">
        <v>1588</v>
      </c>
      <c r="G79" s="143">
        <v>1437.4</v>
      </c>
      <c r="H79" s="144">
        <v>150.59999999999991</v>
      </c>
      <c r="I79" s="176">
        <v>174.60000000000002</v>
      </c>
      <c r="J79" s="134"/>
    </row>
    <row r="80" spans="2:10" x14ac:dyDescent="0.25">
      <c r="B80" s="145" t="s">
        <v>13</v>
      </c>
      <c r="C80" s="143">
        <v>327</v>
      </c>
      <c r="D80" s="143">
        <v>229</v>
      </c>
      <c r="E80" s="143">
        <v>98</v>
      </c>
      <c r="F80" s="99">
        <v>7057</v>
      </c>
      <c r="G80" s="143">
        <v>6128.48</v>
      </c>
      <c r="H80" s="144">
        <v>914.52000000000044</v>
      </c>
      <c r="I80" s="176">
        <v>3048.7799999999997</v>
      </c>
      <c r="J80" s="134"/>
    </row>
    <row r="81" spans="2:21" x14ac:dyDescent="0.25">
      <c r="B81" s="145" t="s">
        <v>53</v>
      </c>
      <c r="C81" s="143">
        <v>5</v>
      </c>
      <c r="D81" s="143">
        <v>0</v>
      </c>
      <c r="E81" s="143">
        <v>5</v>
      </c>
      <c r="F81" s="99">
        <v>0</v>
      </c>
      <c r="G81" s="143">
        <v>0</v>
      </c>
      <c r="H81" s="144">
        <v>0</v>
      </c>
      <c r="I81" s="176">
        <v>109.55</v>
      </c>
      <c r="J81" s="134"/>
    </row>
    <row r="82" spans="2:21" x14ac:dyDescent="0.25">
      <c r="B82" s="147" t="s">
        <v>90</v>
      </c>
      <c r="C82" s="148"/>
      <c r="D82" s="148"/>
      <c r="E82" s="148"/>
      <c r="F82" s="149">
        <f>SUM(F64:F81)</f>
        <v>17885</v>
      </c>
      <c r="G82" s="150">
        <f>SUM(G64:G81)</f>
        <v>14978.909999999998</v>
      </c>
      <c r="H82" s="151">
        <f>SUM(H64:H81)</f>
        <v>2892.0900000000006</v>
      </c>
      <c r="I82" s="178">
        <v>9879.3599999999969</v>
      </c>
      <c r="J82" s="136"/>
      <c r="K82" s="14"/>
      <c r="L82" s="14"/>
      <c r="M82" s="14"/>
      <c r="N82" s="14"/>
      <c r="O82" s="14"/>
      <c r="P82" s="14"/>
      <c r="Q82" s="14"/>
      <c r="R82" s="12"/>
      <c r="S82" s="12"/>
      <c r="T82" s="12"/>
      <c r="U82" s="12"/>
    </row>
    <row r="83" spans="2:21" x14ac:dyDescent="0.25">
      <c r="B83" s="142"/>
      <c r="C83" s="142"/>
      <c r="D83" s="142"/>
      <c r="E83" s="142"/>
      <c r="F83" s="142"/>
      <c r="G83" s="142"/>
      <c r="H83" s="168">
        <f>H82/G82</f>
        <v>0.19307746691848746</v>
      </c>
      <c r="I83" s="134"/>
      <c r="J83" s="134"/>
    </row>
    <row r="84" spans="2:21" x14ac:dyDescent="0.25">
      <c r="B84" s="142"/>
      <c r="C84" s="142"/>
      <c r="D84" s="142"/>
      <c r="E84" s="142"/>
      <c r="F84" s="142"/>
      <c r="G84" s="142"/>
      <c r="H84" s="137"/>
      <c r="I84" s="134"/>
      <c r="J84" s="134"/>
    </row>
    <row r="85" spans="2:21" x14ac:dyDescent="0.25">
      <c r="B85" s="700" t="s">
        <v>81</v>
      </c>
      <c r="C85" s="700"/>
      <c r="D85" s="700"/>
      <c r="E85" s="700"/>
      <c r="F85" s="700"/>
      <c r="G85" s="700"/>
      <c r="H85" s="700"/>
      <c r="I85" s="700"/>
      <c r="J85" s="134"/>
    </row>
    <row r="86" spans="2:21" ht="24" x14ac:dyDescent="0.25">
      <c r="B86" s="107" t="s">
        <v>2</v>
      </c>
      <c r="C86" s="152" t="s">
        <v>77</v>
      </c>
      <c r="D86" s="143" t="s">
        <v>78</v>
      </c>
      <c r="E86" s="143" t="s">
        <v>79</v>
      </c>
      <c r="F86" s="143" t="s">
        <v>92</v>
      </c>
      <c r="G86" s="143" t="s">
        <v>91</v>
      </c>
      <c r="H86" s="144" t="s">
        <v>75</v>
      </c>
      <c r="I86" s="179" t="s">
        <v>102</v>
      </c>
      <c r="J86" s="134"/>
    </row>
    <row r="87" spans="2:21" x14ac:dyDescent="0.25">
      <c r="B87" s="145" t="s">
        <v>14</v>
      </c>
      <c r="C87" s="152">
        <v>3</v>
      </c>
      <c r="D87" s="143">
        <v>1</v>
      </c>
      <c r="E87" s="153">
        <v>2</v>
      </c>
      <c r="F87" s="143">
        <v>90</v>
      </c>
      <c r="G87" s="143">
        <v>75</v>
      </c>
      <c r="H87" s="143">
        <v>15</v>
      </c>
      <c r="I87" s="179">
        <v>150</v>
      </c>
      <c r="J87" s="134"/>
    </row>
    <row r="88" spans="2:21" x14ac:dyDescent="0.25">
      <c r="B88" s="145" t="s">
        <v>15</v>
      </c>
      <c r="C88" s="152">
        <v>6</v>
      </c>
      <c r="D88" s="143">
        <v>5</v>
      </c>
      <c r="E88" s="153">
        <v>1</v>
      </c>
      <c r="F88" s="143">
        <v>505</v>
      </c>
      <c r="G88" s="143">
        <v>400</v>
      </c>
      <c r="H88" s="143">
        <v>105</v>
      </c>
      <c r="I88" s="179">
        <v>80</v>
      </c>
      <c r="J88" s="134"/>
    </row>
    <row r="89" spans="2:21" x14ac:dyDescent="0.25">
      <c r="B89" s="145" t="s">
        <v>16</v>
      </c>
      <c r="C89" s="152">
        <v>6</v>
      </c>
      <c r="D89" s="143">
        <v>3</v>
      </c>
      <c r="E89" s="153">
        <v>3</v>
      </c>
      <c r="F89" s="143">
        <v>405</v>
      </c>
      <c r="G89" s="143">
        <v>360</v>
      </c>
      <c r="H89" s="143">
        <v>45</v>
      </c>
      <c r="I89" s="179">
        <v>360</v>
      </c>
      <c r="J89" s="134"/>
    </row>
    <row r="90" spans="2:21" x14ac:dyDescent="0.25">
      <c r="B90" s="145" t="s">
        <v>17</v>
      </c>
      <c r="C90" s="152">
        <v>3</v>
      </c>
      <c r="D90" s="143">
        <v>0</v>
      </c>
      <c r="E90" s="153">
        <v>3</v>
      </c>
      <c r="F90" s="143">
        <v>0</v>
      </c>
      <c r="G90" s="143">
        <v>0</v>
      </c>
      <c r="H90" s="143">
        <v>0</v>
      </c>
      <c r="I90" s="179">
        <v>360</v>
      </c>
      <c r="J90" s="134"/>
    </row>
    <row r="91" spans="2:21" x14ac:dyDescent="0.25">
      <c r="B91" s="145" t="s">
        <v>18</v>
      </c>
      <c r="C91" s="152">
        <v>2</v>
      </c>
      <c r="D91" s="143">
        <v>1</v>
      </c>
      <c r="E91" s="153">
        <v>1</v>
      </c>
      <c r="F91" s="143">
        <v>240</v>
      </c>
      <c r="G91" s="143">
        <v>210</v>
      </c>
      <c r="H91" s="143">
        <v>30</v>
      </c>
      <c r="I91" s="179">
        <v>210</v>
      </c>
      <c r="J91" s="134"/>
    </row>
    <row r="92" spans="2:21" x14ac:dyDescent="0.25">
      <c r="B92" s="145" t="s">
        <v>19</v>
      </c>
      <c r="C92" s="152">
        <v>1</v>
      </c>
      <c r="D92" s="143">
        <v>0</v>
      </c>
      <c r="E92" s="153">
        <v>1</v>
      </c>
      <c r="F92" s="143">
        <v>0</v>
      </c>
      <c r="G92" s="143">
        <v>0</v>
      </c>
      <c r="H92" s="143">
        <v>0</v>
      </c>
      <c r="I92" s="179">
        <v>250</v>
      </c>
      <c r="J92" s="134"/>
    </row>
    <row r="93" spans="2:21" x14ac:dyDescent="0.25">
      <c r="B93" s="147" t="s">
        <v>90</v>
      </c>
      <c r="C93" s="148"/>
      <c r="D93" s="148"/>
      <c r="E93" s="148"/>
      <c r="F93" s="143">
        <f>SUM(F87:F92)</f>
        <v>1240</v>
      </c>
      <c r="G93" s="143">
        <f>SUM(G87:G92)</f>
        <v>1045</v>
      </c>
      <c r="H93" s="143">
        <f>SUM(H87:H92)</f>
        <v>195</v>
      </c>
      <c r="I93" s="180">
        <v>1410</v>
      </c>
      <c r="J93" s="134"/>
    </row>
    <row r="94" spans="2:21" x14ac:dyDescent="0.25">
      <c r="B94" s="147"/>
      <c r="C94" s="148"/>
      <c r="D94" s="148"/>
      <c r="E94" s="148"/>
      <c r="F94" s="148"/>
      <c r="G94" s="148"/>
      <c r="H94" s="167">
        <f>H93/G93</f>
        <v>0.18660287081339713</v>
      </c>
      <c r="I94" s="138"/>
      <c r="J94" s="134"/>
    </row>
    <row r="95" spans="2:21" x14ac:dyDescent="0.25">
      <c r="B95" s="147"/>
      <c r="C95" s="148"/>
      <c r="D95" s="148"/>
      <c r="E95" s="148"/>
      <c r="F95" s="148"/>
      <c r="G95" s="148"/>
      <c r="H95" s="148"/>
      <c r="I95" s="138"/>
      <c r="J95" s="134"/>
    </row>
    <row r="96" spans="2:21" x14ac:dyDescent="0.25">
      <c r="B96" s="147"/>
      <c r="C96" s="148"/>
      <c r="D96" s="148"/>
      <c r="E96" s="148"/>
      <c r="F96" s="148"/>
      <c r="G96" s="148"/>
      <c r="H96" s="148"/>
      <c r="I96" s="138"/>
      <c r="J96" s="134"/>
    </row>
    <row r="97" spans="2:22" x14ac:dyDescent="0.25">
      <c r="B97" s="700" t="s">
        <v>98</v>
      </c>
      <c r="C97" s="700"/>
      <c r="D97" s="700"/>
      <c r="E97" s="700"/>
      <c r="F97" s="700"/>
      <c r="G97" s="700"/>
      <c r="H97" s="700"/>
      <c r="I97" s="700"/>
      <c r="J97" s="134"/>
    </row>
    <row r="98" spans="2:22" ht="24" x14ac:dyDescent="0.25">
      <c r="B98" s="107" t="s">
        <v>2</v>
      </c>
      <c r="C98" s="152" t="s">
        <v>77</v>
      </c>
      <c r="D98" s="143" t="s">
        <v>78</v>
      </c>
      <c r="E98" s="143" t="s">
        <v>79</v>
      </c>
      <c r="F98" s="143" t="s">
        <v>92</v>
      </c>
      <c r="G98" s="143" t="s">
        <v>91</v>
      </c>
      <c r="H98" s="144" t="s">
        <v>75</v>
      </c>
      <c r="I98" s="181" t="s">
        <v>102</v>
      </c>
      <c r="J98" s="134"/>
    </row>
    <row r="99" spans="2:22" x14ac:dyDescent="0.25">
      <c r="B99" s="145" t="s">
        <v>16</v>
      </c>
      <c r="C99" s="152">
        <v>6</v>
      </c>
      <c r="D99" s="143">
        <v>5</v>
      </c>
      <c r="E99" s="153">
        <v>1</v>
      </c>
      <c r="F99" s="143">
        <v>500</v>
      </c>
      <c r="G99" s="143">
        <v>400</v>
      </c>
      <c r="H99" s="143">
        <v>100</v>
      </c>
      <c r="I99" s="181">
        <v>80</v>
      </c>
      <c r="J99" s="134"/>
    </row>
    <row r="100" spans="2:22" x14ac:dyDescent="0.25">
      <c r="B100" s="145" t="s">
        <v>97</v>
      </c>
      <c r="C100" s="152">
        <v>3</v>
      </c>
      <c r="D100" s="143">
        <v>3</v>
      </c>
      <c r="E100" s="153">
        <v>0</v>
      </c>
      <c r="F100" s="143">
        <v>300</v>
      </c>
      <c r="G100" s="143">
        <v>240</v>
      </c>
      <c r="H100" s="143">
        <v>60</v>
      </c>
      <c r="I100" s="181">
        <v>0</v>
      </c>
      <c r="J100" s="134"/>
    </row>
    <row r="101" spans="2:22" x14ac:dyDescent="0.25">
      <c r="B101" s="147" t="s">
        <v>90</v>
      </c>
      <c r="C101" s="148"/>
      <c r="D101" s="148"/>
      <c r="E101" s="148"/>
      <c r="F101" s="143">
        <f>SUM(F99:F100)</f>
        <v>800</v>
      </c>
      <c r="G101" s="143">
        <f>SUM(G99:G100)</f>
        <v>640</v>
      </c>
      <c r="H101" s="143">
        <f>SUM(H99:H100)</f>
        <v>160</v>
      </c>
      <c r="I101" s="182">
        <v>80</v>
      </c>
      <c r="J101" s="134"/>
    </row>
    <row r="102" spans="2:22" x14ac:dyDescent="0.25">
      <c r="B102" s="147"/>
      <c r="C102" s="154"/>
      <c r="D102" s="154"/>
      <c r="E102" s="154"/>
      <c r="F102" s="154"/>
      <c r="G102" s="154"/>
      <c r="H102" s="167">
        <f>H101/G101</f>
        <v>0.25</v>
      </c>
      <c r="I102" s="136"/>
      <c r="J102" s="136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21"/>
    </row>
    <row r="103" spans="2:22" x14ac:dyDescent="0.25">
      <c r="B103" s="147"/>
      <c r="C103" s="154"/>
      <c r="D103" s="154"/>
      <c r="E103" s="154"/>
      <c r="F103" s="154"/>
      <c r="G103" s="154"/>
      <c r="H103" s="148"/>
      <c r="I103" s="136"/>
      <c r="J103" s="136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21"/>
    </row>
    <row r="104" spans="2:22" x14ac:dyDescent="0.25">
      <c r="B104" s="154"/>
      <c r="C104" s="154"/>
      <c r="D104" s="154"/>
      <c r="E104" s="154"/>
      <c r="F104" s="154"/>
      <c r="G104" s="154"/>
      <c r="H104" s="148"/>
      <c r="I104" s="136"/>
      <c r="J104" s="136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spans="2:22" x14ac:dyDescent="0.25">
      <c r="B105" s="700" t="s">
        <v>82</v>
      </c>
      <c r="C105" s="700"/>
      <c r="D105" s="700"/>
      <c r="E105" s="700"/>
      <c r="F105" s="700"/>
      <c r="G105" s="700"/>
      <c r="H105" s="700"/>
      <c r="I105" s="700"/>
      <c r="J105" s="134"/>
    </row>
    <row r="106" spans="2:22" ht="24" x14ac:dyDescent="0.25">
      <c r="B106" s="131" t="s">
        <v>2</v>
      </c>
      <c r="C106" s="143" t="s">
        <v>77</v>
      </c>
      <c r="D106" s="143" t="s">
        <v>78</v>
      </c>
      <c r="E106" s="143" t="s">
        <v>79</v>
      </c>
      <c r="F106" s="143" t="s">
        <v>92</v>
      </c>
      <c r="G106" s="143" t="s">
        <v>91</v>
      </c>
      <c r="H106" s="144" t="s">
        <v>75</v>
      </c>
      <c r="I106" s="179" t="s">
        <v>102</v>
      </c>
      <c r="J106" s="134"/>
    </row>
    <row r="107" spans="2:22" x14ac:dyDescent="0.25">
      <c r="B107" s="145" t="s">
        <v>20</v>
      </c>
      <c r="C107" s="143">
        <v>28</v>
      </c>
      <c r="D107" s="143">
        <v>2</v>
      </c>
      <c r="E107" s="155">
        <v>26</v>
      </c>
      <c r="F107" s="99">
        <v>11</v>
      </c>
      <c r="G107" s="143">
        <v>6.9</v>
      </c>
      <c r="H107" s="144">
        <v>4.0999999999999996</v>
      </c>
      <c r="I107" s="176">
        <v>129.38640000000001</v>
      </c>
      <c r="J107" s="134"/>
    </row>
    <row r="108" spans="2:22" x14ac:dyDescent="0.25">
      <c r="B108" s="145" t="s">
        <v>21</v>
      </c>
      <c r="C108" s="143">
        <v>8</v>
      </c>
      <c r="D108" s="143">
        <v>1</v>
      </c>
      <c r="E108" s="155">
        <v>7</v>
      </c>
      <c r="F108" s="99">
        <v>13</v>
      </c>
      <c r="G108" s="143">
        <v>7.66</v>
      </c>
      <c r="H108" s="144">
        <v>5.34</v>
      </c>
      <c r="I108" s="176">
        <v>82.255600000000001</v>
      </c>
      <c r="J108" s="134"/>
    </row>
    <row r="109" spans="2:22" x14ac:dyDescent="0.25">
      <c r="B109" s="145" t="s">
        <v>22</v>
      </c>
      <c r="C109" s="143">
        <v>12</v>
      </c>
      <c r="D109" s="143">
        <v>4</v>
      </c>
      <c r="E109" s="155">
        <v>8</v>
      </c>
      <c r="F109" s="99">
        <v>44</v>
      </c>
      <c r="G109" s="143">
        <v>31.24</v>
      </c>
      <c r="H109" s="144">
        <v>12.760000000000002</v>
      </c>
      <c r="I109" s="176">
        <v>84.447999999999993</v>
      </c>
      <c r="J109" s="134"/>
    </row>
    <row r="110" spans="2:22" x14ac:dyDescent="0.25">
      <c r="B110" s="145" t="s">
        <v>23</v>
      </c>
      <c r="C110" s="143">
        <v>18</v>
      </c>
      <c r="D110" s="143">
        <v>0</v>
      </c>
      <c r="E110" s="155">
        <v>18</v>
      </c>
      <c r="F110" s="99">
        <v>0</v>
      </c>
      <c r="G110" s="143">
        <v>0</v>
      </c>
      <c r="H110" s="144">
        <v>0</v>
      </c>
      <c r="I110" s="176">
        <v>59.090400000000002</v>
      </c>
      <c r="J110" s="134"/>
    </row>
    <row r="111" spans="2:22" x14ac:dyDescent="0.25">
      <c r="B111" s="145" t="s">
        <v>24</v>
      </c>
      <c r="C111" s="143">
        <v>8</v>
      </c>
      <c r="D111" s="143">
        <v>2</v>
      </c>
      <c r="E111" s="155">
        <v>6</v>
      </c>
      <c r="F111" s="99">
        <v>14.5</v>
      </c>
      <c r="G111" s="143">
        <v>8.58</v>
      </c>
      <c r="H111" s="144">
        <v>5.92</v>
      </c>
      <c r="I111" s="176">
        <v>45.239999999999995</v>
      </c>
      <c r="J111" s="134"/>
    </row>
    <row r="112" spans="2:22" x14ac:dyDescent="0.25">
      <c r="B112" s="145" t="s">
        <v>25</v>
      </c>
      <c r="C112" s="143">
        <v>2</v>
      </c>
      <c r="D112" s="143">
        <v>0</v>
      </c>
      <c r="E112" s="155">
        <v>2</v>
      </c>
      <c r="F112" s="99">
        <v>0</v>
      </c>
      <c r="G112" s="143">
        <v>0</v>
      </c>
      <c r="H112" s="144">
        <v>0</v>
      </c>
      <c r="I112" s="176">
        <v>46.260800000000003</v>
      </c>
      <c r="J112" s="134"/>
    </row>
    <row r="113" spans="2:10" x14ac:dyDescent="0.25">
      <c r="B113" s="145" t="s">
        <v>26</v>
      </c>
      <c r="C113" s="143">
        <v>2</v>
      </c>
      <c r="D113" s="143">
        <v>0</v>
      </c>
      <c r="E113" s="155">
        <v>2</v>
      </c>
      <c r="F113" s="99">
        <v>0</v>
      </c>
      <c r="G113" s="143">
        <v>0</v>
      </c>
      <c r="H113" s="144">
        <v>0</v>
      </c>
      <c r="I113" s="176">
        <v>73.636799999999994</v>
      </c>
      <c r="J113" s="134"/>
    </row>
    <row r="114" spans="2:10" x14ac:dyDescent="0.25">
      <c r="B114" s="145" t="s">
        <v>27</v>
      </c>
      <c r="C114" s="143">
        <v>6</v>
      </c>
      <c r="D114" s="143">
        <v>3</v>
      </c>
      <c r="E114" s="155">
        <v>3</v>
      </c>
      <c r="F114" s="99">
        <v>390</v>
      </c>
      <c r="G114" s="143">
        <v>287.58</v>
      </c>
      <c r="H114" s="144">
        <v>102.42000000000002</v>
      </c>
      <c r="I114" s="176">
        <v>422.54159999999996</v>
      </c>
      <c r="J114" s="134"/>
    </row>
    <row r="115" spans="2:10" x14ac:dyDescent="0.25">
      <c r="B115" s="145" t="s">
        <v>28</v>
      </c>
      <c r="C115" s="143">
        <v>8</v>
      </c>
      <c r="D115" s="143">
        <v>7</v>
      </c>
      <c r="E115" s="155">
        <v>1</v>
      </c>
      <c r="F115" s="99">
        <v>224</v>
      </c>
      <c r="G115" s="143">
        <v>153.92999999999998</v>
      </c>
      <c r="H115" s="144">
        <v>70.070000000000022</v>
      </c>
      <c r="I115" s="176">
        <v>31.714399999999998</v>
      </c>
      <c r="J115" s="134"/>
    </row>
    <row r="116" spans="2:10" x14ac:dyDescent="0.25">
      <c r="B116" s="145" t="s">
        <v>29</v>
      </c>
      <c r="C116" s="143">
        <v>6</v>
      </c>
      <c r="D116" s="143">
        <v>0</v>
      </c>
      <c r="E116" s="155">
        <v>6</v>
      </c>
      <c r="F116" s="99">
        <v>0</v>
      </c>
      <c r="G116" s="143">
        <v>0</v>
      </c>
      <c r="H116" s="144">
        <v>0</v>
      </c>
      <c r="I116" s="176">
        <v>845.08319999999992</v>
      </c>
      <c r="J116" s="134"/>
    </row>
    <row r="117" spans="2:10" x14ac:dyDescent="0.25">
      <c r="B117" s="145" t="s">
        <v>30</v>
      </c>
      <c r="C117" s="143">
        <v>6</v>
      </c>
      <c r="D117" s="143">
        <v>6</v>
      </c>
      <c r="E117" s="155">
        <v>0</v>
      </c>
      <c r="F117" s="99">
        <v>810</v>
      </c>
      <c r="G117" s="143">
        <v>575.16</v>
      </c>
      <c r="H117" s="144">
        <v>234.84000000000003</v>
      </c>
      <c r="I117" s="176">
        <v>0</v>
      </c>
      <c r="J117" s="134"/>
    </row>
    <row r="118" spans="2:10" x14ac:dyDescent="0.25">
      <c r="B118" s="145" t="s">
        <v>31</v>
      </c>
      <c r="C118" s="143">
        <v>8</v>
      </c>
      <c r="D118" s="143">
        <v>4</v>
      </c>
      <c r="E118" s="155">
        <v>4</v>
      </c>
      <c r="F118" s="99">
        <v>140</v>
      </c>
      <c r="G118" s="143">
        <v>87.96</v>
      </c>
      <c r="H118" s="144">
        <v>52.040000000000006</v>
      </c>
      <c r="I118" s="176">
        <v>126.85759999999999</v>
      </c>
      <c r="J118" s="134"/>
    </row>
    <row r="119" spans="2:10" ht="24" x14ac:dyDescent="0.25">
      <c r="B119" s="145" t="s">
        <v>32</v>
      </c>
      <c r="C119" s="143">
        <v>12</v>
      </c>
      <c r="D119" s="143">
        <v>0</v>
      </c>
      <c r="E119" s="155">
        <v>12</v>
      </c>
      <c r="F119" s="99">
        <v>0</v>
      </c>
      <c r="G119" s="143">
        <v>0</v>
      </c>
      <c r="H119" s="144">
        <v>0</v>
      </c>
      <c r="I119" s="176">
        <v>195.85439999999997</v>
      </c>
      <c r="J119" s="134"/>
    </row>
    <row r="120" spans="2:10" ht="24" x14ac:dyDescent="0.25">
      <c r="B120" s="145" t="s">
        <v>33</v>
      </c>
      <c r="C120" s="143">
        <v>12</v>
      </c>
      <c r="D120" s="143">
        <v>0</v>
      </c>
      <c r="E120" s="155">
        <v>12</v>
      </c>
      <c r="F120" s="99">
        <v>0</v>
      </c>
      <c r="G120" s="143">
        <v>0</v>
      </c>
      <c r="H120" s="144">
        <v>0</v>
      </c>
      <c r="I120" s="176">
        <v>189.1728</v>
      </c>
      <c r="J120" s="134"/>
    </row>
    <row r="121" spans="2:10" x14ac:dyDescent="0.25">
      <c r="B121" s="145" t="s">
        <v>34</v>
      </c>
      <c r="C121" s="143">
        <v>12</v>
      </c>
      <c r="D121" s="143">
        <v>3</v>
      </c>
      <c r="E121" s="155">
        <v>9</v>
      </c>
      <c r="F121" s="99">
        <v>51</v>
      </c>
      <c r="G121" s="143">
        <v>34.200000000000003</v>
      </c>
      <c r="H121" s="144">
        <v>16.799999999999997</v>
      </c>
      <c r="I121" s="176">
        <v>141.87959999999998</v>
      </c>
      <c r="J121" s="134"/>
    </row>
    <row r="122" spans="2:10" x14ac:dyDescent="0.25">
      <c r="B122" s="145" t="s">
        <v>35</v>
      </c>
      <c r="C122" s="143">
        <v>12</v>
      </c>
      <c r="D122" s="143">
        <v>5</v>
      </c>
      <c r="E122" s="155">
        <v>7</v>
      </c>
      <c r="F122" s="99">
        <v>35</v>
      </c>
      <c r="G122" s="143">
        <v>20.299999999999997</v>
      </c>
      <c r="H122" s="144">
        <v>14.700000000000003</v>
      </c>
      <c r="I122" s="176">
        <v>43.117199999999997</v>
      </c>
      <c r="J122" s="134"/>
    </row>
    <row r="123" spans="2:10" x14ac:dyDescent="0.25">
      <c r="B123" s="145" t="s">
        <v>36</v>
      </c>
      <c r="C123" s="143">
        <v>24</v>
      </c>
      <c r="D123" s="143">
        <v>0</v>
      </c>
      <c r="E123" s="155">
        <v>24</v>
      </c>
      <c r="F123" s="99">
        <v>0</v>
      </c>
      <c r="G123" s="143">
        <v>0</v>
      </c>
      <c r="H123" s="144">
        <v>0</v>
      </c>
      <c r="I123" s="176">
        <v>147.8304</v>
      </c>
      <c r="J123" s="134"/>
    </row>
    <row r="124" spans="2:10" ht="24" x14ac:dyDescent="0.25">
      <c r="B124" s="145" t="s">
        <v>37</v>
      </c>
      <c r="C124" s="143">
        <v>12</v>
      </c>
      <c r="D124" s="143">
        <v>0</v>
      </c>
      <c r="E124" s="155">
        <v>12</v>
      </c>
      <c r="F124" s="99">
        <v>0</v>
      </c>
      <c r="G124" s="143">
        <v>0</v>
      </c>
      <c r="H124" s="144">
        <v>0</v>
      </c>
      <c r="I124" s="176">
        <v>98.692799999999991</v>
      </c>
      <c r="J124" s="134"/>
    </row>
    <row r="125" spans="2:10" x14ac:dyDescent="0.25">
      <c r="B125" s="145" t="s">
        <v>38</v>
      </c>
      <c r="C125" s="143">
        <v>12</v>
      </c>
      <c r="D125" s="143">
        <v>0</v>
      </c>
      <c r="E125" s="155">
        <v>12</v>
      </c>
      <c r="F125" s="99">
        <v>0</v>
      </c>
      <c r="G125" s="143">
        <v>0</v>
      </c>
      <c r="H125" s="144">
        <v>0</v>
      </c>
      <c r="I125" s="184">
        <v>141.00960000000001</v>
      </c>
      <c r="J125" s="134"/>
    </row>
    <row r="126" spans="2:10" x14ac:dyDescent="0.25">
      <c r="B126" s="145" t="s">
        <v>39</v>
      </c>
      <c r="C126" s="143">
        <v>12</v>
      </c>
      <c r="D126" s="143">
        <v>0</v>
      </c>
      <c r="E126" s="155">
        <v>12</v>
      </c>
      <c r="F126" s="99">
        <v>0</v>
      </c>
      <c r="G126" s="143">
        <v>0</v>
      </c>
      <c r="H126" s="144">
        <v>0</v>
      </c>
      <c r="I126" s="179">
        <v>194.32319999999999</v>
      </c>
      <c r="J126" s="134"/>
    </row>
    <row r="127" spans="2:10" ht="24" x14ac:dyDescent="0.25">
      <c r="B127" s="145" t="s">
        <v>48</v>
      </c>
      <c r="C127" s="143">
        <v>2</v>
      </c>
      <c r="D127" s="143">
        <v>0</v>
      </c>
      <c r="E127" s="155">
        <v>2</v>
      </c>
      <c r="F127" s="99">
        <v>0</v>
      </c>
      <c r="G127" s="143">
        <v>0</v>
      </c>
      <c r="H127" s="144">
        <v>0</v>
      </c>
      <c r="I127" s="179">
        <v>185.6</v>
      </c>
      <c r="J127" s="134"/>
    </row>
    <row r="128" spans="2:10" x14ac:dyDescent="0.25">
      <c r="B128" s="145" t="s">
        <v>40</v>
      </c>
      <c r="C128" s="143">
        <v>2</v>
      </c>
      <c r="D128" s="143">
        <v>0</v>
      </c>
      <c r="E128" s="155">
        <v>2</v>
      </c>
      <c r="F128" s="99">
        <v>0</v>
      </c>
      <c r="G128" s="143">
        <v>0</v>
      </c>
      <c r="H128" s="144">
        <v>0</v>
      </c>
      <c r="I128" s="179">
        <v>165.76399999999998</v>
      </c>
      <c r="J128" s="134"/>
    </row>
    <row r="129" spans="2:10" ht="24" x14ac:dyDescent="0.25">
      <c r="B129" s="145" t="s">
        <v>41</v>
      </c>
      <c r="C129" s="143">
        <v>16</v>
      </c>
      <c r="D129" s="143">
        <v>9</v>
      </c>
      <c r="E129" s="155">
        <v>7</v>
      </c>
      <c r="F129" s="99">
        <v>54</v>
      </c>
      <c r="G129" s="143">
        <v>30.599999999999998</v>
      </c>
      <c r="H129" s="144">
        <v>23.400000000000002</v>
      </c>
      <c r="I129" s="179">
        <v>39.300799999999995</v>
      </c>
      <c r="J129" s="134"/>
    </row>
    <row r="130" spans="2:10" ht="24" x14ac:dyDescent="0.25">
      <c r="B130" s="145" t="s">
        <v>42</v>
      </c>
      <c r="C130" s="143">
        <v>4</v>
      </c>
      <c r="D130" s="143">
        <v>3</v>
      </c>
      <c r="E130" s="155">
        <v>1</v>
      </c>
      <c r="F130" s="99">
        <v>18</v>
      </c>
      <c r="G130" s="143">
        <v>10.199999999999999</v>
      </c>
      <c r="H130" s="144">
        <v>7.8000000000000007</v>
      </c>
      <c r="I130" s="179">
        <v>5.6143999999999998</v>
      </c>
      <c r="J130" s="134"/>
    </row>
    <row r="131" spans="2:10" ht="24" x14ac:dyDescent="0.25">
      <c r="B131" s="145" t="s">
        <v>45</v>
      </c>
      <c r="C131" s="143">
        <v>4</v>
      </c>
      <c r="D131" s="143">
        <v>0</v>
      </c>
      <c r="E131" s="155">
        <v>4</v>
      </c>
      <c r="F131" s="99">
        <v>0</v>
      </c>
      <c r="G131" s="143">
        <v>0</v>
      </c>
      <c r="H131" s="144">
        <v>0</v>
      </c>
      <c r="I131" s="179">
        <v>42.5488</v>
      </c>
      <c r="J131" s="134"/>
    </row>
    <row r="132" spans="2:10" ht="24" x14ac:dyDescent="0.25">
      <c r="B132" s="145" t="s">
        <v>43</v>
      </c>
      <c r="C132" s="143">
        <v>8</v>
      </c>
      <c r="D132" s="143">
        <v>3</v>
      </c>
      <c r="E132" s="155">
        <v>5</v>
      </c>
      <c r="F132" s="99">
        <v>18</v>
      </c>
      <c r="G132" s="143">
        <v>10.199999999999999</v>
      </c>
      <c r="H132" s="144">
        <v>7.8000000000000007</v>
      </c>
      <c r="I132" s="179">
        <v>28.071999999999999</v>
      </c>
      <c r="J132" s="134"/>
    </row>
    <row r="133" spans="2:10" ht="24" x14ac:dyDescent="0.25">
      <c r="B133" s="145" t="s">
        <v>46</v>
      </c>
      <c r="C133" s="143">
        <v>4</v>
      </c>
      <c r="D133" s="143">
        <v>0</v>
      </c>
      <c r="E133" s="155">
        <v>4</v>
      </c>
      <c r="F133" s="99">
        <v>0</v>
      </c>
      <c r="G133" s="143">
        <v>0</v>
      </c>
      <c r="H133" s="144">
        <v>0</v>
      </c>
      <c r="I133" s="183">
        <v>42.5488</v>
      </c>
      <c r="J133" s="134"/>
    </row>
    <row r="134" spans="2:10" ht="24" x14ac:dyDescent="0.25">
      <c r="B134" s="145" t="s">
        <v>44</v>
      </c>
      <c r="C134" s="143">
        <v>8</v>
      </c>
      <c r="D134" s="143">
        <v>3</v>
      </c>
      <c r="E134" s="155">
        <v>5</v>
      </c>
      <c r="F134" s="99">
        <v>18</v>
      </c>
      <c r="G134" s="143">
        <v>10.199999999999999</v>
      </c>
      <c r="H134" s="144">
        <v>7.8000000000000007</v>
      </c>
      <c r="I134" s="178">
        <v>28.071999999999999</v>
      </c>
      <c r="J134" s="134"/>
    </row>
    <row r="135" spans="2:10" ht="24" x14ac:dyDescent="0.25">
      <c r="B135" s="145" t="s">
        <v>47</v>
      </c>
      <c r="C135" s="143">
        <v>4</v>
      </c>
      <c r="D135" s="143">
        <v>0</v>
      </c>
      <c r="E135" s="155">
        <v>4</v>
      </c>
      <c r="F135" s="99">
        <v>0</v>
      </c>
      <c r="G135" s="143">
        <v>0</v>
      </c>
      <c r="H135" s="144">
        <v>0</v>
      </c>
      <c r="I135" s="178">
        <v>42.5488</v>
      </c>
      <c r="J135" s="134"/>
    </row>
    <row r="136" spans="2:10" x14ac:dyDescent="0.25">
      <c r="B136" s="147" t="s">
        <v>90</v>
      </c>
      <c r="C136" s="142"/>
      <c r="D136" s="142"/>
      <c r="E136" s="142"/>
      <c r="F136" s="99">
        <f>SUM(F107:F135)</f>
        <v>1840.5</v>
      </c>
      <c r="G136" s="99">
        <f>SUM(G107:G135)</f>
        <v>1274.71</v>
      </c>
      <c r="H136" s="156">
        <f>SUM(H107:H135)</f>
        <v>565.79</v>
      </c>
      <c r="I136" s="185">
        <v>3678.4643999999994</v>
      </c>
      <c r="J136" s="134"/>
    </row>
    <row r="137" spans="2:10" ht="13.15" customHeight="1" x14ac:dyDescent="0.25">
      <c r="B137" s="142"/>
      <c r="C137" s="142"/>
      <c r="D137" s="142"/>
      <c r="E137" s="142"/>
      <c r="F137" s="142"/>
      <c r="G137" s="142"/>
      <c r="H137" s="169">
        <f>H136/G136</f>
        <v>0.44385781864110263</v>
      </c>
      <c r="I137" s="134"/>
      <c r="J137" s="134"/>
    </row>
    <row r="138" spans="2:10" ht="20.45" hidden="1" customHeight="1" x14ac:dyDescent="0.25">
      <c r="B138" s="142"/>
      <c r="C138" s="142"/>
      <c r="D138" s="142"/>
      <c r="E138" s="142"/>
      <c r="F138" s="142"/>
      <c r="G138" s="142"/>
      <c r="H138" s="169"/>
      <c r="I138" s="134"/>
      <c r="J138" s="134"/>
    </row>
    <row r="139" spans="2:10" ht="13.9" customHeight="1" x14ac:dyDescent="0.25">
      <c r="B139" s="142"/>
      <c r="C139" s="142"/>
      <c r="D139" s="142"/>
      <c r="E139" s="142"/>
      <c r="F139" s="142"/>
      <c r="G139" s="142"/>
      <c r="H139" s="169"/>
      <c r="I139" s="134"/>
      <c r="J139" s="134"/>
    </row>
    <row r="140" spans="2:10" x14ac:dyDescent="0.25">
      <c r="B140" s="694" t="s">
        <v>84</v>
      </c>
      <c r="C140" s="694"/>
      <c r="D140" s="694"/>
      <c r="E140" s="694"/>
      <c r="F140" s="694"/>
      <c r="G140" s="694"/>
      <c r="H140" s="694"/>
      <c r="I140" s="694"/>
      <c r="J140" s="134"/>
    </row>
    <row r="141" spans="2:10" ht="24" x14ac:dyDescent="0.25">
      <c r="B141" s="131" t="s">
        <v>2</v>
      </c>
      <c r="C141" s="150" t="s">
        <v>77</v>
      </c>
      <c r="D141" s="150" t="s">
        <v>78</v>
      </c>
      <c r="E141" s="150" t="s">
        <v>79</v>
      </c>
      <c r="F141" s="150" t="s">
        <v>92</v>
      </c>
      <c r="G141" s="150" t="s">
        <v>91</v>
      </c>
      <c r="H141" s="157" t="s">
        <v>75</v>
      </c>
      <c r="I141" s="176" t="s">
        <v>102</v>
      </c>
      <c r="J141" s="134"/>
    </row>
    <row r="142" spans="2:10" x14ac:dyDescent="0.25">
      <c r="B142" s="145" t="s">
        <v>83</v>
      </c>
      <c r="C142" s="143">
        <v>46</v>
      </c>
      <c r="D142" s="143">
        <v>21</v>
      </c>
      <c r="E142" s="155">
        <v>25</v>
      </c>
      <c r="F142" s="140">
        <v>315</v>
      </c>
      <c r="G142" s="140">
        <v>241.5</v>
      </c>
      <c r="H142" s="158">
        <v>62.5</v>
      </c>
      <c r="I142" s="176">
        <v>287.5</v>
      </c>
      <c r="J142" s="134"/>
    </row>
    <row r="143" spans="2:10" x14ac:dyDescent="0.25">
      <c r="B143" s="147" t="s">
        <v>90</v>
      </c>
      <c r="C143" s="142"/>
      <c r="D143" s="142"/>
      <c r="E143" s="142"/>
      <c r="F143" s="142"/>
      <c r="G143" s="142"/>
      <c r="H143" s="169">
        <f>H142/G142</f>
        <v>0.25879917184265011</v>
      </c>
      <c r="I143" s="134"/>
      <c r="J143" s="134"/>
    </row>
    <row r="144" spans="2:10" x14ac:dyDescent="0.25">
      <c r="B144" s="142"/>
      <c r="C144" s="142"/>
      <c r="D144" s="142"/>
      <c r="E144" s="142"/>
      <c r="F144" s="142"/>
      <c r="G144" s="142"/>
      <c r="H144" s="142"/>
      <c r="I144" s="134"/>
      <c r="J144" s="134"/>
    </row>
    <row r="145" spans="2:10" x14ac:dyDescent="0.25">
      <c r="B145" s="142"/>
      <c r="C145" s="142"/>
      <c r="D145" s="142"/>
      <c r="E145" s="142"/>
      <c r="F145" s="142"/>
      <c r="G145" s="142"/>
      <c r="H145" s="142"/>
      <c r="I145" s="134"/>
      <c r="J145" s="134"/>
    </row>
    <row r="146" spans="2:10" x14ac:dyDescent="0.25">
      <c r="B146" s="698" t="s">
        <v>95</v>
      </c>
      <c r="C146" s="698"/>
      <c r="D146" s="698"/>
      <c r="E146" s="698"/>
      <c r="F146" s="698"/>
      <c r="G146" s="698"/>
      <c r="H146" s="142"/>
      <c r="I146" s="134"/>
      <c r="J146" s="134"/>
    </row>
    <row r="147" spans="2:10" ht="24.75" x14ac:dyDescent="0.25">
      <c r="B147" s="141"/>
      <c r="C147" s="159" t="s">
        <v>92</v>
      </c>
      <c r="D147" s="159" t="s">
        <v>91</v>
      </c>
      <c r="E147" s="159" t="s">
        <v>75</v>
      </c>
      <c r="F147" s="159" t="s">
        <v>96</v>
      </c>
      <c r="G147" s="141" t="s">
        <v>102</v>
      </c>
      <c r="H147" s="142"/>
      <c r="I147" s="134"/>
      <c r="J147" s="134"/>
    </row>
    <row r="148" spans="2:10" x14ac:dyDescent="0.25">
      <c r="B148" s="159" t="s">
        <v>80</v>
      </c>
      <c r="C148" s="159">
        <v>17885</v>
      </c>
      <c r="D148" s="159">
        <v>14978.909999999998</v>
      </c>
      <c r="E148" s="159">
        <v>2892.0900000000006</v>
      </c>
      <c r="F148" s="171">
        <v>0.19307746691848701</v>
      </c>
      <c r="G148" s="141">
        <v>9879.3599999999969</v>
      </c>
      <c r="H148" s="142"/>
      <c r="I148" s="134"/>
      <c r="J148" s="134"/>
    </row>
    <row r="149" spans="2:10" x14ac:dyDescent="0.25">
      <c r="B149" s="141" t="s">
        <v>81</v>
      </c>
      <c r="C149" s="141">
        <v>1240</v>
      </c>
      <c r="D149" s="141">
        <v>1045</v>
      </c>
      <c r="E149" s="141">
        <v>195</v>
      </c>
      <c r="F149" s="171">
        <v>0.18660287081339699</v>
      </c>
      <c r="G149" s="141">
        <v>1410</v>
      </c>
      <c r="H149" s="142"/>
      <c r="I149" s="134"/>
      <c r="J149" s="134"/>
    </row>
    <row r="150" spans="2:10" x14ac:dyDescent="0.25">
      <c r="B150" s="141" t="s">
        <v>98</v>
      </c>
      <c r="C150" s="141">
        <v>800</v>
      </c>
      <c r="D150" s="141">
        <v>640</v>
      </c>
      <c r="E150" s="141">
        <v>160</v>
      </c>
      <c r="F150" s="171">
        <v>0.25</v>
      </c>
      <c r="G150" s="141">
        <v>80</v>
      </c>
      <c r="H150" s="142"/>
      <c r="I150" s="134"/>
      <c r="J150" s="134"/>
    </row>
    <row r="151" spans="2:10" x14ac:dyDescent="0.25">
      <c r="B151" s="159" t="s">
        <v>82</v>
      </c>
      <c r="C151" s="141">
        <v>1840.5</v>
      </c>
      <c r="D151" s="141">
        <v>1274.71</v>
      </c>
      <c r="E151" s="141">
        <v>565.79</v>
      </c>
      <c r="F151" s="171">
        <v>0.44385781864110302</v>
      </c>
      <c r="G151" s="141">
        <v>3678.4643999999994</v>
      </c>
      <c r="H151" s="142"/>
      <c r="I151" s="134"/>
      <c r="J151" s="134"/>
    </row>
    <row r="152" spans="2:10" x14ac:dyDescent="0.25">
      <c r="B152" s="141" t="s">
        <v>84</v>
      </c>
      <c r="C152" s="141">
        <v>315</v>
      </c>
      <c r="D152" s="141">
        <v>241.5</v>
      </c>
      <c r="E152" s="141">
        <v>62.5</v>
      </c>
      <c r="F152" s="171">
        <v>0.25879917184265</v>
      </c>
      <c r="G152" s="141">
        <v>287.5</v>
      </c>
      <c r="H152" s="142"/>
      <c r="I152" s="134"/>
      <c r="J152" s="134"/>
    </row>
    <row r="153" spans="2:10" x14ac:dyDescent="0.25">
      <c r="B153" s="160" t="s">
        <v>72</v>
      </c>
      <c r="C153" s="139">
        <v>22080.5</v>
      </c>
      <c r="D153" s="139">
        <v>18180.119999999995</v>
      </c>
      <c r="E153" s="161">
        <v>3875.3800000000006</v>
      </c>
      <c r="F153" s="170">
        <f>E153/D153</f>
        <v>0.21316580968662482</v>
      </c>
      <c r="G153" s="139">
        <v>15335.324399999996</v>
      </c>
      <c r="H153" s="142"/>
      <c r="I153" s="134"/>
      <c r="J153" s="134"/>
    </row>
    <row r="154" spans="2:10" x14ac:dyDescent="0.25">
      <c r="B154" s="147" t="s">
        <v>90</v>
      </c>
      <c r="C154" s="142"/>
      <c r="D154" s="142"/>
      <c r="E154" s="142"/>
      <c r="F154" s="142"/>
      <c r="G154" s="142"/>
      <c r="H154" s="142"/>
      <c r="I154" s="134"/>
      <c r="J154" s="134"/>
    </row>
  </sheetData>
  <mergeCells count="10">
    <mergeCell ref="B1:B2"/>
    <mergeCell ref="C1:D1"/>
    <mergeCell ref="E1:F1"/>
    <mergeCell ref="G1:H1"/>
    <mergeCell ref="B146:G146"/>
    <mergeCell ref="B105:I105"/>
    <mergeCell ref="B97:I97"/>
    <mergeCell ref="B85:I85"/>
    <mergeCell ref="B62:I62"/>
    <mergeCell ref="B140:I1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INVENTARIO</vt:lpstr>
      <vt:lpstr>Hoja1</vt:lpstr>
      <vt:lpstr>benito</vt:lpstr>
      <vt:lpstr>DETALLE DE VENTAS</vt:lpstr>
      <vt:lpstr>DETALLE DE VENTAS 20-05 - 30-06</vt:lpstr>
      <vt:lpstr>MAPEI SUGERIDO</vt:lpstr>
      <vt:lpstr>RESUMEN 01-08 - 31-08</vt:lpstr>
      <vt:lpstr>DETALLE DE VENTAS - OTRO</vt:lpstr>
      <vt:lpstr>RESUMEN 01-09 - 30-09</vt:lpstr>
      <vt:lpstr>RESUMEN 01-10 - 31-10</vt:lpstr>
      <vt:lpstr>INGRESO DIARIO</vt:lpstr>
      <vt:lpstr>CREDITOS</vt:lpstr>
      <vt:lpstr>DETALLE DE CREDITOS</vt:lpstr>
      <vt:lpstr>RIFA</vt:lpstr>
      <vt:lpstr>AVANCE DE INVENTARIO OCTUBRE</vt:lpstr>
      <vt:lpstr>RESUMEN 30-06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2022-10-12T20:15:50Z</cp:lastPrinted>
  <dcterms:created xsi:type="dcterms:W3CDTF">2022-05-21T14:50:08Z</dcterms:created>
  <dcterms:modified xsi:type="dcterms:W3CDTF">2023-01-18T20:54:50Z</dcterms:modified>
</cp:coreProperties>
</file>