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Proinca\"/>
    </mc:Choice>
  </mc:AlternateContent>
  <bookViews>
    <workbookView xWindow="-105" yWindow="-105" windowWidth="23250" windowHeight="12570" tabRatio="602" firstSheet="3" activeTab="3"/>
  </bookViews>
  <sheets>
    <sheet name="INVENTARIO" sheetId="1" r:id="rId1"/>
    <sheet name="DETALLE DE VENTAS" sheetId="3" state="hidden" r:id="rId2"/>
    <sheet name="DETALLE DE VENTAS - OTRO" sheetId="12" state="hidden" r:id="rId3"/>
    <sheet name="GANANCIA DIARIA" sheetId="18" r:id="rId4"/>
    <sheet name="INGRESO DIARIO" sheetId="8" r:id="rId5"/>
    <sheet name="DETALLE DE CREDITOS" sheetId="19" r:id="rId6"/>
    <sheet name="CREDITOS" sheetId="20" r:id="rId7"/>
    <sheet name="FLETES" sheetId="21" r:id="rId8"/>
    <sheet name="NOTAS DE CREDITOS" sheetId="17" state="hidden" r:id="rId9"/>
  </sheets>
  <definedNames>
    <definedName name="_xlnm._FilterDatabase" localSheetId="6" hidden="1">CREDITOS!$B$1:$B$76</definedName>
    <definedName name="_xlnm._FilterDatabase" localSheetId="5" hidden="1">'DETALLE DE CREDITOS'!$B$1:$H$367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8" i="20" l="1"/>
  <c r="F48" i="20"/>
  <c r="E48" i="20"/>
  <c r="D48" i="20"/>
  <c r="B48" i="20"/>
  <c r="F573" i="8"/>
  <c r="O574" i="8"/>
  <c r="I20" i="20"/>
  <c r="I40" i="20" l="1"/>
  <c r="F571" i="8" l="1"/>
  <c r="I47" i="20"/>
  <c r="H47" i="20"/>
  <c r="F47" i="20"/>
  <c r="E47" i="20"/>
  <c r="D47" i="20"/>
  <c r="B47" i="20"/>
  <c r="F570" i="8" l="1"/>
  <c r="D42" i="20"/>
  <c r="F42" i="20"/>
  <c r="E42" i="20"/>
  <c r="E45" i="20" l="1"/>
  <c r="F45" i="20"/>
  <c r="D45" i="20"/>
  <c r="G75" i="20"/>
  <c r="J75" i="20"/>
  <c r="G76" i="20"/>
  <c r="J76" i="20"/>
  <c r="G77" i="20"/>
  <c r="J77" i="20"/>
  <c r="G78" i="20"/>
  <c r="J78" i="20"/>
  <c r="G79" i="20"/>
  <c r="J79" i="20"/>
  <c r="G80" i="20"/>
  <c r="J80" i="20"/>
  <c r="G81" i="20"/>
  <c r="J81" i="20"/>
  <c r="G82" i="20"/>
  <c r="J82" i="20"/>
  <c r="G83" i="20"/>
  <c r="J83" i="20"/>
  <c r="G84" i="20"/>
  <c r="J84" i="20"/>
  <c r="G85" i="20"/>
  <c r="J85" i="20"/>
  <c r="G86" i="20"/>
  <c r="J86" i="20"/>
  <c r="G87" i="20"/>
  <c r="J87" i="20"/>
  <c r="G88" i="20"/>
  <c r="J88" i="20"/>
  <c r="G89" i="20"/>
  <c r="J89" i="20"/>
  <c r="G90" i="20"/>
  <c r="J90" i="20"/>
  <c r="G91" i="20"/>
  <c r="J91" i="20"/>
  <c r="G92" i="20"/>
  <c r="J92" i="20"/>
  <c r="G93" i="20"/>
  <c r="J93" i="20"/>
  <c r="G94" i="20"/>
  <c r="J94" i="20"/>
  <c r="G95" i="20"/>
  <c r="J95" i="20"/>
  <c r="G96" i="20"/>
  <c r="J96" i="20"/>
  <c r="G97" i="20"/>
  <c r="J97" i="20"/>
  <c r="G98" i="20"/>
  <c r="J98" i="20"/>
  <c r="G99" i="20"/>
  <c r="J99" i="20"/>
  <c r="G100" i="20"/>
  <c r="J100" i="20"/>
  <c r="G101" i="20"/>
  <c r="J101" i="20"/>
  <c r="G102" i="20"/>
  <c r="J102" i="20"/>
  <c r="G103" i="20"/>
  <c r="J103" i="20"/>
  <c r="G104" i="20"/>
  <c r="J104" i="20"/>
  <c r="G105" i="20"/>
  <c r="J105" i="20"/>
  <c r="G106" i="20"/>
  <c r="J106" i="20"/>
  <c r="G107" i="20"/>
  <c r="J107" i="20"/>
  <c r="G108" i="20"/>
  <c r="J108" i="20"/>
  <c r="G109" i="20"/>
  <c r="J109" i="20"/>
  <c r="G110" i="20"/>
  <c r="J110" i="20"/>
  <c r="G111" i="20"/>
  <c r="J111" i="20"/>
  <c r="G112" i="20"/>
  <c r="J112" i="20"/>
  <c r="G113" i="20"/>
  <c r="J113" i="20"/>
  <c r="G114" i="20"/>
  <c r="J114" i="20"/>
  <c r="G115" i="20"/>
  <c r="J115" i="20"/>
  <c r="G116" i="20"/>
  <c r="J116" i="20"/>
  <c r="G117" i="20"/>
  <c r="J117" i="20"/>
  <c r="G118" i="20"/>
  <c r="J118" i="20"/>
  <c r="G119" i="20"/>
  <c r="J119" i="20"/>
  <c r="G120" i="20"/>
  <c r="J120" i="20"/>
  <c r="G121" i="20"/>
  <c r="J121" i="20"/>
  <c r="G122" i="20"/>
  <c r="J122" i="20"/>
  <c r="G123" i="20"/>
  <c r="J123" i="20"/>
  <c r="G124" i="20"/>
  <c r="J124" i="20"/>
  <c r="G125" i="20"/>
  <c r="J125" i="20"/>
  <c r="G126" i="20"/>
  <c r="J126" i="20"/>
  <c r="G127" i="20"/>
  <c r="J127" i="20"/>
  <c r="G128" i="20"/>
  <c r="J128" i="20"/>
  <c r="G129" i="20"/>
  <c r="J129" i="20"/>
  <c r="G130" i="20"/>
  <c r="J130" i="20"/>
  <c r="G131" i="20"/>
  <c r="J131" i="20"/>
  <c r="G132" i="20"/>
  <c r="J132" i="20"/>
  <c r="G133" i="20"/>
  <c r="J133" i="20"/>
  <c r="G134" i="20"/>
  <c r="J134" i="20"/>
  <c r="G135" i="20"/>
  <c r="J135" i="20"/>
  <c r="G136" i="20"/>
  <c r="J136" i="20"/>
  <c r="G137" i="20"/>
  <c r="J137" i="20"/>
  <c r="G138" i="20"/>
  <c r="J138" i="20"/>
  <c r="G139" i="20"/>
  <c r="J139" i="20"/>
  <c r="G140" i="20"/>
  <c r="J140" i="20"/>
  <c r="G141" i="20"/>
  <c r="J141" i="20"/>
  <c r="G142" i="20"/>
  <c r="J142" i="20"/>
  <c r="G143" i="20"/>
  <c r="J143" i="20"/>
  <c r="G144" i="20"/>
  <c r="J144" i="20"/>
  <c r="G145" i="20"/>
  <c r="J145" i="20"/>
  <c r="G146" i="20"/>
  <c r="J146" i="20"/>
  <c r="G147" i="20"/>
  <c r="J147" i="20"/>
  <c r="G148" i="20"/>
  <c r="J148" i="20"/>
  <c r="G149" i="20"/>
  <c r="J149" i="20"/>
  <c r="G150" i="20"/>
  <c r="J150" i="20"/>
  <c r="G151" i="20"/>
  <c r="J151" i="20"/>
  <c r="G152" i="20"/>
  <c r="J152" i="20"/>
  <c r="G153" i="20"/>
  <c r="J153" i="20"/>
  <c r="G154" i="20"/>
  <c r="J154" i="20"/>
  <c r="G155" i="20"/>
  <c r="J155" i="20"/>
  <c r="G156" i="20"/>
  <c r="J156" i="20"/>
  <c r="G157" i="20"/>
  <c r="J157" i="20"/>
  <c r="G158" i="20"/>
  <c r="J158" i="20"/>
  <c r="G159" i="20"/>
  <c r="J159" i="20"/>
  <c r="G160" i="20"/>
  <c r="J160" i="20"/>
  <c r="G161" i="20"/>
  <c r="J161" i="20"/>
  <c r="G162" i="20"/>
  <c r="J162" i="20"/>
  <c r="G163" i="20"/>
  <c r="J163" i="20"/>
  <c r="G164" i="20"/>
  <c r="J164" i="20"/>
  <c r="G165" i="20"/>
  <c r="J165" i="20"/>
  <c r="G166" i="20"/>
  <c r="J166" i="20"/>
  <c r="G167" i="20"/>
  <c r="J167" i="20"/>
  <c r="G168" i="20"/>
  <c r="J168" i="20"/>
  <c r="G169" i="20"/>
  <c r="J169" i="20"/>
  <c r="G170" i="20"/>
  <c r="J170" i="20"/>
  <c r="G171" i="20"/>
  <c r="J171" i="20"/>
  <c r="G172" i="20"/>
  <c r="J172" i="20"/>
  <c r="G173" i="20"/>
  <c r="J173" i="20"/>
  <c r="G174" i="20"/>
  <c r="J174" i="20"/>
  <c r="G175" i="20"/>
  <c r="J175" i="20"/>
  <c r="G176" i="20"/>
  <c r="J176" i="20"/>
  <c r="G177" i="20"/>
  <c r="J177" i="20"/>
  <c r="G178" i="20"/>
  <c r="J178" i="20"/>
  <c r="G179" i="20"/>
  <c r="J179" i="20"/>
  <c r="G180" i="20"/>
  <c r="J180" i="20"/>
  <c r="G181" i="20"/>
  <c r="J181" i="20"/>
  <c r="G182" i="20"/>
  <c r="J182" i="20"/>
  <c r="G183" i="20"/>
  <c r="J183" i="20"/>
  <c r="G184" i="20"/>
  <c r="J184" i="20"/>
  <c r="G185" i="20"/>
  <c r="J185" i="20"/>
  <c r="G186" i="20"/>
  <c r="J186" i="20"/>
  <c r="G187" i="20"/>
  <c r="J187" i="20"/>
  <c r="G188" i="20"/>
  <c r="J188" i="20"/>
  <c r="G189" i="20"/>
  <c r="J189" i="20"/>
  <c r="G190" i="20"/>
  <c r="J190" i="20"/>
  <c r="G191" i="20"/>
  <c r="J191" i="20"/>
  <c r="G192" i="20"/>
  <c r="J192" i="20"/>
  <c r="G193" i="20"/>
  <c r="J193" i="20"/>
  <c r="G194" i="20"/>
  <c r="J194" i="20"/>
  <c r="G195" i="20"/>
  <c r="J195" i="20"/>
  <c r="G196" i="20"/>
  <c r="J196" i="20"/>
  <c r="G197" i="20"/>
  <c r="J197" i="20"/>
  <c r="G198" i="20"/>
  <c r="J198" i="20"/>
  <c r="G199" i="20"/>
  <c r="J199" i="20"/>
  <c r="G200" i="20"/>
  <c r="J200" i="20"/>
  <c r="G201" i="20"/>
  <c r="J201" i="20"/>
  <c r="G202" i="20"/>
  <c r="J202" i="20"/>
  <c r="G203" i="20"/>
  <c r="J203" i="20"/>
  <c r="G204" i="20"/>
  <c r="J204" i="20"/>
  <c r="G205" i="20"/>
  <c r="J205" i="20"/>
  <c r="G206" i="20"/>
  <c r="J206" i="20"/>
  <c r="G207" i="20"/>
  <c r="J207" i="20"/>
  <c r="G208" i="20"/>
  <c r="J208" i="20"/>
  <c r="G209" i="20"/>
  <c r="J209" i="20"/>
  <c r="G210" i="20"/>
  <c r="J210" i="20"/>
  <c r="G211" i="20"/>
  <c r="J211" i="20"/>
  <c r="G212" i="20"/>
  <c r="J212" i="20"/>
  <c r="G213" i="20"/>
  <c r="J213" i="20"/>
  <c r="G214" i="20"/>
  <c r="J214" i="20"/>
  <c r="G215" i="20"/>
  <c r="J215" i="20"/>
  <c r="G216" i="20"/>
  <c r="J216" i="20"/>
  <c r="G217" i="20"/>
  <c r="J217" i="20"/>
  <c r="G218" i="20"/>
  <c r="J218" i="20"/>
  <c r="G219" i="20"/>
  <c r="J219" i="20"/>
  <c r="G220" i="20"/>
  <c r="J220" i="20"/>
  <c r="G221" i="20"/>
  <c r="J221" i="20"/>
  <c r="G222" i="20"/>
  <c r="J222" i="20"/>
  <c r="G223" i="20"/>
  <c r="J223" i="20"/>
  <c r="G224" i="20"/>
  <c r="J224" i="20"/>
  <c r="G225" i="20"/>
  <c r="J225" i="20"/>
  <c r="G226" i="20"/>
  <c r="J226" i="20"/>
  <c r="G227" i="20"/>
  <c r="J227" i="20"/>
  <c r="G228" i="20"/>
  <c r="J228" i="20"/>
  <c r="G229" i="20"/>
  <c r="J229" i="20"/>
  <c r="G230" i="20"/>
  <c r="J230" i="20"/>
  <c r="G231" i="20"/>
  <c r="J231" i="20"/>
  <c r="G232" i="20"/>
  <c r="J232" i="20"/>
  <c r="G233" i="20"/>
  <c r="J233" i="20"/>
  <c r="G234" i="20"/>
  <c r="J234" i="20"/>
  <c r="G235" i="20"/>
  <c r="J235" i="20"/>
  <c r="G236" i="20"/>
  <c r="J236" i="20"/>
  <c r="G237" i="20"/>
  <c r="J237" i="20"/>
  <c r="G238" i="20"/>
  <c r="J238" i="20"/>
  <c r="G239" i="20"/>
  <c r="J239" i="20"/>
  <c r="G240" i="20"/>
  <c r="J240" i="20"/>
  <c r="G241" i="20"/>
  <c r="J241" i="20"/>
  <c r="G242" i="20"/>
  <c r="J242" i="20"/>
  <c r="G243" i="20"/>
  <c r="J243" i="20"/>
  <c r="G244" i="20"/>
  <c r="J244" i="20"/>
  <c r="G245" i="20"/>
  <c r="J245" i="20"/>
  <c r="G246" i="20"/>
  <c r="J246" i="20"/>
  <c r="G247" i="20"/>
  <c r="J247" i="20"/>
  <c r="G248" i="20"/>
  <c r="J248" i="20"/>
  <c r="G249" i="20"/>
  <c r="J249" i="20"/>
  <c r="G250" i="20"/>
  <c r="J250" i="20"/>
  <c r="G251" i="20"/>
  <c r="J251" i="20"/>
  <c r="G252" i="20"/>
  <c r="J252" i="20"/>
  <c r="G253" i="20"/>
  <c r="J253" i="20"/>
  <c r="G254" i="20"/>
  <c r="J254" i="20"/>
  <c r="G255" i="20"/>
  <c r="J255" i="20"/>
  <c r="G256" i="20"/>
  <c r="J256" i="20"/>
  <c r="G257" i="20"/>
  <c r="J257" i="20"/>
  <c r="G258" i="20"/>
  <c r="J258" i="20"/>
  <c r="G259" i="20"/>
  <c r="J259" i="20"/>
  <c r="G260" i="20"/>
  <c r="J260" i="20"/>
  <c r="G261" i="20"/>
  <c r="J261" i="20"/>
  <c r="G262" i="20"/>
  <c r="J262" i="20"/>
  <c r="G263" i="20"/>
  <c r="J263" i="20"/>
  <c r="G264" i="20"/>
  <c r="J264" i="20"/>
  <c r="G265" i="20"/>
  <c r="J265" i="20"/>
  <c r="G266" i="20"/>
  <c r="J266" i="20"/>
  <c r="G267" i="20"/>
  <c r="J267" i="20"/>
  <c r="G268" i="20"/>
  <c r="J268" i="20"/>
  <c r="G269" i="20"/>
  <c r="J269" i="20"/>
  <c r="G270" i="20"/>
  <c r="J270" i="20"/>
  <c r="G271" i="20"/>
  <c r="J271" i="20"/>
  <c r="G272" i="20"/>
  <c r="J272" i="20"/>
  <c r="G273" i="20"/>
  <c r="J273" i="20"/>
  <c r="G274" i="20"/>
  <c r="J274" i="20"/>
  <c r="G275" i="20"/>
  <c r="J275" i="20"/>
  <c r="G276" i="20"/>
  <c r="J276" i="20"/>
  <c r="G277" i="20"/>
  <c r="J277" i="20"/>
  <c r="G278" i="20"/>
  <c r="J278" i="20"/>
  <c r="G279" i="20"/>
  <c r="J279" i="20"/>
  <c r="G280" i="20"/>
  <c r="J280" i="20"/>
  <c r="G281" i="20"/>
  <c r="J281" i="20"/>
  <c r="G282" i="20"/>
  <c r="J282" i="20"/>
  <c r="G283" i="20"/>
  <c r="J283" i="20"/>
  <c r="G284" i="20"/>
  <c r="J284" i="20"/>
  <c r="G285" i="20"/>
  <c r="J285" i="20"/>
  <c r="G286" i="20"/>
  <c r="J286" i="20"/>
  <c r="G287" i="20"/>
  <c r="J287" i="20"/>
  <c r="G288" i="20"/>
  <c r="J288" i="20"/>
  <c r="G289" i="20"/>
  <c r="J289" i="20"/>
  <c r="G290" i="20"/>
  <c r="J290" i="20"/>
  <c r="G291" i="20"/>
  <c r="J291" i="20"/>
  <c r="G292" i="20"/>
  <c r="J292" i="20"/>
  <c r="G293" i="20"/>
  <c r="J293" i="20"/>
  <c r="G294" i="20"/>
  <c r="J294" i="20"/>
  <c r="G295" i="20"/>
  <c r="J295" i="20"/>
  <c r="G296" i="20"/>
  <c r="J296" i="20"/>
  <c r="G297" i="20"/>
  <c r="J297" i="20"/>
  <c r="G298" i="20"/>
  <c r="J298" i="20"/>
  <c r="G299" i="20"/>
  <c r="J299" i="20"/>
  <c r="G300" i="20"/>
  <c r="J300" i="20"/>
  <c r="G301" i="20"/>
  <c r="J301" i="20"/>
  <c r="G302" i="20"/>
  <c r="J302" i="20"/>
  <c r="G303" i="20"/>
  <c r="J303" i="20"/>
  <c r="G304" i="20"/>
  <c r="J304" i="20"/>
  <c r="G305" i="20"/>
  <c r="J305" i="20"/>
  <c r="G306" i="20"/>
  <c r="J306" i="20"/>
  <c r="G307" i="20"/>
  <c r="J307" i="20"/>
  <c r="G308" i="20"/>
  <c r="J308" i="20"/>
  <c r="G309" i="20"/>
  <c r="J309" i="20"/>
  <c r="G310" i="20"/>
  <c r="J310" i="20"/>
  <c r="G311" i="20"/>
  <c r="J311" i="20"/>
  <c r="G312" i="20"/>
  <c r="J312" i="20"/>
  <c r="G313" i="20"/>
  <c r="J313" i="20"/>
  <c r="G314" i="20"/>
  <c r="J314" i="20"/>
  <c r="G315" i="20"/>
  <c r="J315" i="20"/>
  <c r="G316" i="20"/>
  <c r="J316" i="20"/>
  <c r="G317" i="20"/>
  <c r="J317" i="20"/>
  <c r="G318" i="20"/>
  <c r="J318" i="20"/>
  <c r="G319" i="20"/>
  <c r="J319" i="20"/>
  <c r="G320" i="20"/>
  <c r="J320" i="20"/>
  <c r="G321" i="20"/>
  <c r="J321" i="20"/>
  <c r="G322" i="20"/>
  <c r="J322" i="20"/>
  <c r="G323" i="20"/>
  <c r="J323" i="20"/>
  <c r="G324" i="20"/>
  <c r="J324" i="20"/>
  <c r="G325" i="20"/>
  <c r="J325" i="20"/>
  <c r="G326" i="20"/>
  <c r="J326" i="20"/>
  <c r="G327" i="20"/>
  <c r="J327" i="20"/>
  <c r="G328" i="20"/>
  <c r="J328" i="20"/>
  <c r="G329" i="20"/>
  <c r="J329" i="20"/>
  <c r="G330" i="20"/>
  <c r="J330" i="20"/>
  <c r="G331" i="20"/>
  <c r="J331" i="20"/>
  <c r="G332" i="20"/>
  <c r="J332" i="20"/>
  <c r="G333" i="20"/>
  <c r="J333" i="20"/>
  <c r="G334" i="20"/>
  <c r="J334" i="20"/>
  <c r="G335" i="20"/>
  <c r="J335" i="20"/>
  <c r="G336" i="20"/>
  <c r="J336" i="20"/>
  <c r="G337" i="20"/>
  <c r="J337" i="20"/>
  <c r="G338" i="20"/>
  <c r="J338" i="20"/>
  <c r="G339" i="20"/>
  <c r="J339" i="20"/>
  <c r="G340" i="20"/>
  <c r="J340" i="20"/>
  <c r="G341" i="20"/>
  <c r="J341" i="20"/>
  <c r="G342" i="20"/>
  <c r="J342" i="20"/>
  <c r="G343" i="20"/>
  <c r="J343" i="20"/>
  <c r="G344" i="20"/>
  <c r="J344" i="20"/>
  <c r="G345" i="20"/>
  <c r="J345" i="20"/>
  <c r="G346" i="20"/>
  <c r="J346" i="20"/>
  <c r="G347" i="20"/>
  <c r="J347" i="20"/>
  <c r="G348" i="20"/>
  <c r="J348" i="20"/>
  <c r="G349" i="20"/>
  <c r="J349" i="20"/>
  <c r="G350" i="20"/>
  <c r="J350" i="20"/>
  <c r="G351" i="20"/>
  <c r="J351" i="20"/>
  <c r="G352" i="20"/>
  <c r="J352" i="20"/>
  <c r="G353" i="20"/>
  <c r="J353" i="20"/>
  <c r="G354" i="20"/>
  <c r="J354" i="20"/>
  <c r="G355" i="20"/>
  <c r="J355" i="20"/>
  <c r="G356" i="20"/>
  <c r="J356" i="20"/>
  <c r="G357" i="20"/>
  <c r="J357" i="20"/>
  <c r="G358" i="20"/>
  <c r="J358" i="20"/>
  <c r="G359" i="20"/>
  <c r="J359" i="20"/>
  <c r="G360" i="20"/>
  <c r="J360" i="20"/>
  <c r="G361" i="20"/>
  <c r="J361" i="20"/>
  <c r="G362" i="20"/>
  <c r="J362" i="20"/>
  <c r="G363" i="20"/>
  <c r="J363" i="20"/>
  <c r="G364" i="20"/>
  <c r="J364" i="20"/>
  <c r="G365" i="20"/>
  <c r="J365" i="20"/>
  <c r="G366" i="20"/>
  <c r="J366" i="20"/>
  <c r="G367" i="20"/>
  <c r="J367" i="20"/>
  <c r="G368" i="20"/>
  <c r="J368" i="20"/>
  <c r="G369" i="20"/>
  <c r="J369" i="20"/>
  <c r="G370" i="20"/>
  <c r="J370" i="20"/>
  <c r="G371" i="20"/>
  <c r="J371" i="20"/>
  <c r="G372" i="20"/>
  <c r="J372" i="20"/>
  <c r="G373" i="20"/>
  <c r="J373" i="20"/>
  <c r="G374" i="20"/>
  <c r="J374" i="20"/>
  <c r="G375" i="20"/>
  <c r="J375" i="20"/>
  <c r="G376" i="20"/>
  <c r="J376" i="20"/>
  <c r="G377" i="20"/>
  <c r="J377" i="20"/>
  <c r="G378" i="20"/>
  <c r="J378" i="20"/>
  <c r="G379" i="20"/>
  <c r="J379" i="20"/>
  <c r="G380" i="20"/>
  <c r="J380" i="20"/>
  <c r="G381" i="20"/>
  <c r="J381" i="20"/>
  <c r="G382" i="20"/>
  <c r="J382" i="20"/>
  <c r="G383" i="20"/>
  <c r="J383" i="20"/>
  <c r="G384" i="20"/>
  <c r="J384" i="20"/>
  <c r="G385" i="20"/>
  <c r="J385" i="20"/>
  <c r="G386" i="20"/>
  <c r="J386" i="20"/>
  <c r="G387" i="20"/>
  <c r="J387" i="20"/>
  <c r="G388" i="20"/>
  <c r="J388" i="20"/>
  <c r="G389" i="20"/>
  <c r="J389" i="20"/>
  <c r="G390" i="20"/>
  <c r="J390" i="20"/>
  <c r="G391" i="20"/>
  <c r="J391" i="20"/>
  <c r="G392" i="20"/>
  <c r="J392" i="20"/>
  <c r="G393" i="20"/>
  <c r="J393" i="20"/>
  <c r="G394" i="20"/>
  <c r="J394" i="20"/>
  <c r="G395" i="20"/>
  <c r="J395" i="20"/>
  <c r="G396" i="20"/>
  <c r="J396" i="20"/>
  <c r="G397" i="20"/>
  <c r="J397" i="20"/>
  <c r="G398" i="20"/>
  <c r="J398" i="20"/>
  <c r="G399" i="20"/>
  <c r="J399" i="20"/>
  <c r="G400" i="20"/>
  <c r="J400" i="20"/>
  <c r="G401" i="20"/>
  <c r="J401" i="20"/>
  <c r="G402" i="20"/>
  <c r="J402" i="20"/>
  <c r="G403" i="20"/>
  <c r="J403" i="20"/>
  <c r="G404" i="20"/>
  <c r="J404" i="20"/>
  <c r="G405" i="20"/>
  <c r="J405" i="20"/>
  <c r="G406" i="20"/>
  <c r="J406" i="20"/>
  <c r="G407" i="20"/>
  <c r="J407" i="20"/>
  <c r="G408" i="20"/>
  <c r="J408" i="20"/>
  <c r="G409" i="20"/>
  <c r="J409" i="20"/>
  <c r="G410" i="20"/>
  <c r="J410" i="20"/>
  <c r="G411" i="20"/>
  <c r="J411" i="20"/>
  <c r="G412" i="20"/>
  <c r="J412" i="20"/>
  <c r="G413" i="20"/>
  <c r="J413" i="20"/>
  <c r="G414" i="20"/>
  <c r="J414" i="20"/>
  <c r="G415" i="20"/>
  <c r="J415" i="20"/>
  <c r="G416" i="20"/>
  <c r="J416" i="20"/>
  <c r="G417" i="20"/>
  <c r="J417" i="20"/>
  <c r="G418" i="20"/>
  <c r="J418" i="20"/>
  <c r="G419" i="20"/>
  <c r="J419" i="20"/>
  <c r="G420" i="20"/>
  <c r="J420" i="20"/>
  <c r="G421" i="20"/>
  <c r="J421" i="20"/>
  <c r="G422" i="20"/>
  <c r="J422" i="20"/>
  <c r="G423" i="20"/>
  <c r="J423" i="20"/>
  <c r="G424" i="20"/>
  <c r="J424" i="20"/>
  <c r="G425" i="20"/>
  <c r="J425" i="20"/>
  <c r="G426" i="20"/>
  <c r="J426" i="20"/>
  <c r="G427" i="20"/>
  <c r="J427" i="20"/>
  <c r="G428" i="20"/>
  <c r="J428" i="20"/>
  <c r="G429" i="20"/>
  <c r="J429" i="20"/>
  <c r="G430" i="20"/>
  <c r="J430" i="20"/>
  <c r="G431" i="20"/>
  <c r="J431" i="20"/>
  <c r="G432" i="20"/>
  <c r="J432" i="20"/>
  <c r="G433" i="20"/>
  <c r="J433" i="20"/>
  <c r="G434" i="20"/>
  <c r="J434" i="20"/>
  <c r="G435" i="20"/>
  <c r="J435" i="20"/>
  <c r="G436" i="20"/>
  <c r="J436" i="20"/>
  <c r="G437" i="20"/>
  <c r="J437" i="20"/>
  <c r="G438" i="20"/>
  <c r="J438" i="20"/>
  <c r="G439" i="20"/>
  <c r="J439" i="20"/>
  <c r="G440" i="20"/>
  <c r="J440" i="20"/>
  <c r="G441" i="20"/>
  <c r="J441" i="20"/>
  <c r="G442" i="20"/>
  <c r="J442" i="20"/>
  <c r="G443" i="20"/>
  <c r="J443" i="20"/>
  <c r="G444" i="20"/>
  <c r="J444" i="20"/>
  <c r="G445" i="20"/>
  <c r="J445" i="20"/>
  <c r="G446" i="20"/>
  <c r="J446" i="20"/>
  <c r="G447" i="20"/>
  <c r="J447" i="20"/>
  <c r="G448" i="20"/>
  <c r="J448" i="20"/>
  <c r="G449" i="20"/>
  <c r="J449" i="20"/>
  <c r="G450" i="20"/>
  <c r="J450" i="20"/>
  <c r="G451" i="20"/>
  <c r="J451" i="20"/>
  <c r="G452" i="20"/>
  <c r="J452" i="20"/>
  <c r="G453" i="20"/>
  <c r="J453" i="20"/>
  <c r="G454" i="20"/>
  <c r="J454" i="20"/>
  <c r="G455" i="20"/>
  <c r="J455" i="20"/>
  <c r="G456" i="20"/>
  <c r="J456" i="20"/>
  <c r="G457" i="20"/>
  <c r="J457" i="20"/>
  <c r="G458" i="20"/>
  <c r="J458" i="20"/>
  <c r="G459" i="20"/>
  <c r="J459" i="20"/>
  <c r="G460" i="20"/>
  <c r="J460" i="20"/>
  <c r="G461" i="20"/>
  <c r="J461" i="20"/>
  <c r="G462" i="20"/>
  <c r="J462" i="20"/>
  <c r="G463" i="20"/>
  <c r="J463" i="20"/>
  <c r="G464" i="20"/>
  <c r="J464" i="20"/>
  <c r="G465" i="20"/>
  <c r="J465" i="20"/>
  <c r="G466" i="20"/>
  <c r="J466" i="20"/>
  <c r="G467" i="20"/>
  <c r="J467" i="20"/>
  <c r="G468" i="20"/>
  <c r="J468" i="20"/>
  <c r="G469" i="20"/>
  <c r="J469" i="20"/>
  <c r="G470" i="20"/>
  <c r="J470" i="20"/>
  <c r="G471" i="20"/>
  <c r="J471" i="20"/>
  <c r="G472" i="20"/>
  <c r="J472" i="20"/>
  <c r="G473" i="20"/>
  <c r="J473" i="20"/>
  <c r="G474" i="20"/>
  <c r="J474" i="20"/>
  <c r="G475" i="20"/>
  <c r="J475" i="20"/>
  <c r="G476" i="20"/>
  <c r="J476" i="20"/>
  <c r="G477" i="20"/>
  <c r="J477" i="20"/>
  <c r="G478" i="20"/>
  <c r="J478" i="20"/>
  <c r="G479" i="20"/>
  <c r="J479" i="20"/>
  <c r="G480" i="20"/>
  <c r="J480" i="20"/>
  <c r="G481" i="20"/>
  <c r="J481" i="20"/>
  <c r="G482" i="20"/>
  <c r="J482" i="20"/>
  <c r="G483" i="20"/>
  <c r="J483" i="20"/>
  <c r="G484" i="20"/>
  <c r="J484" i="20"/>
  <c r="G485" i="20"/>
  <c r="J485" i="20"/>
  <c r="G486" i="20"/>
  <c r="J486" i="20"/>
  <c r="G487" i="20"/>
  <c r="J487" i="20"/>
  <c r="G488" i="20"/>
  <c r="J488" i="20"/>
  <c r="G489" i="20"/>
  <c r="J489" i="20"/>
  <c r="G490" i="20"/>
  <c r="J490" i="20"/>
  <c r="G491" i="20"/>
  <c r="J491" i="20"/>
  <c r="G492" i="20"/>
  <c r="J492" i="20"/>
  <c r="G493" i="20"/>
  <c r="J493" i="20"/>
  <c r="G494" i="20"/>
  <c r="J494" i="20"/>
  <c r="G495" i="20"/>
  <c r="J495" i="20"/>
  <c r="G496" i="20"/>
  <c r="J496" i="20"/>
  <c r="G497" i="20"/>
  <c r="J497" i="20"/>
  <c r="G498" i="20"/>
  <c r="J498" i="20"/>
  <c r="G499" i="20"/>
  <c r="J499" i="20"/>
  <c r="G500" i="20"/>
  <c r="J500" i="20"/>
  <c r="G501" i="20"/>
  <c r="J501" i="20"/>
  <c r="G502" i="20"/>
  <c r="J502" i="20"/>
  <c r="G503" i="20"/>
  <c r="J503" i="20"/>
  <c r="G504" i="20"/>
  <c r="J504" i="20"/>
  <c r="G505" i="20"/>
  <c r="J505" i="20"/>
  <c r="G506" i="20"/>
  <c r="J506" i="20"/>
  <c r="G507" i="20"/>
  <c r="J507" i="20"/>
  <c r="G508" i="20"/>
  <c r="J508" i="20"/>
  <c r="G509" i="20"/>
  <c r="J509" i="20"/>
  <c r="G510" i="20"/>
  <c r="J510" i="20"/>
  <c r="G511" i="20"/>
  <c r="J511" i="20"/>
  <c r="G512" i="20"/>
  <c r="J512" i="20"/>
  <c r="G513" i="20"/>
  <c r="J513" i="20"/>
  <c r="G514" i="20"/>
  <c r="J514" i="20"/>
  <c r="G515" i="20"/>
  <c r="J515" i="20"/>
  <c r="G516" i="20"/>
  <c r="J516" i="20"/>
  <c r="G517" i="20"/>
  <c r="J517" i="20"/>
  <c r="G518" i="20"/>
  <c r="J518" i="20"/>
  <c r="G519" i="20"/>
  <c r="J519" i="20"/>
  <c r="G520" i="20"/>
  <c r="J520" i="20"/>
  <c r="G521" i="20"/>
  <c r="J521" i="20"/>
  <c r="G522" i="20"/>
  <c r="J522" i="20"/>
  <c r="G523" i="20"/>
  <c r="J523" i="20"/>
  <c r="G524" i="20"/>
  <c r="J524" i="20"/>
  <c r="G525" i="20"/>
  <c r="J525" i="20"/>
  <c r="G526" i="20"/>
  <c r="J526" i="20"/>
  <c r="G527" i="20"/>
  <c r="J527" i="20"/>
  <c r="G528" i="20"/>
  <c r="J528" i="20"/>
  <c r="G529" i="20"/>
  <c r="J529" i="20"/>
  <c r="G530" i="20"/>
  <c r="J530" i="20"/>
  <c r="G531" i="20"/>
  <c r="J531" i="20"/>
  <c r="G532" i="20"/>
  <c r="J532" i="20"/>
  <c r="G533" i="20"/>
  <c r="J533" i="20"/>
  <c r="G534" i="20"/>
  <c r="J534" i="20"/>
  <c r="G535" i="20"/>
  <c r="J535" i="20"/>
  <c r="G536" i="20"/>
  <c r="J536" i="20"/>
  <c r="G537" i="20"/>
  <c r="J537" i="20"/>
  <c r="G538" i="20"/>
  <c r="J538" i="20"/>
  <c r="G539" i="20"/>
  <c r="J539" i="20"/>
  <c r="G540" i="20"/>
  <c r="J540" i="20"/>
  <c r="G541" i="20"/>
  <c r="J541" i="20"/>
  <c r="G542" i="20"/>
  <c r="J542" i="20"/>
  <c r="G543" i="20"/>
  <c r="J543" i="20"/>
  <c r="G544" i="20"/>
  <c r="J544" i="20"/>
  <c r="G545" i="20"/>
  <c r="J545" i="20"/>
  <c r="G546" i="20"/>
  <c r="J546" i="20"/>
  <c r="G547" i="20"/>
  <c r="J547" i="20"/>
  <c r="G548" i="20"/>
  <c r="J548" i="20"/>
  <c r="G549" i="20"/>
  <c r="J549" i="20"/>
  <c r="G550" i="20"/>
  <c r="J550" i="20"/>
  <c r="G551" i="20"/>
  <c r="J551" i="20"/>
  <c r="G552" i="20"/>
  <c r="J552" i="20"/>
  <c r="G553" i="20"/>
  <c r="J553" i="20"/>
  <c r="G554" i="20"/>
  <c r="J554" i="20"/>
  <c r="G555" i="20"/>
  <c r="J555" i="20"/>
  <c r="G556" i="20"/>
  <c r="J556" i="20"/>
  <c r="G557" i="20"/>
  <c r="J557" i="20"/>
  <c r="G558" i="20"/>
  <c r="J558" i="20"/>
  <c r="G559" i="20"/>
  <c r="J559" i="20"/>
  <c r="G560" i="20"/>
  <c r="J560" i="20"/>
  <c r="G561" i="20"/>
  <c r="J561" i="20"/>
  <c r="G562" i="20"/>
  <c r="J562" i="20"/>
  <c r="G563" i="20"/>
  <c r="J563" i="20"/>
  <c r="G564" i="20"/>
  <c r="J564" i="20"/>
  <c r="G565" i="20"/>
  <c r="J565" i="20"/>
  <c r="G566" i="20"/>
  <c r="J566" i="20"/>
  <c r="G567" i="20"/>
  <c r="J567" i="20"/>
  <c r="G568" i="20"/>
  <c r="J568" i="20"/>
  <c r="G569" i="20"/>
  <c r="J569" i="20"/>
  <c r="G570" i="20"/>
  <c r="J570" i="20"/>
  <c r="G571" i="20"/>
  <c r="J571" i="20"/>
  <c r="G572" i="20"/>
  <c r="J572" i="20"/>
  <c r="G573" i="20"/>
  <c r="J573" i="20"/>
  <c r="G574" i="20"/>
  <c r="J574" i="20"/>
  <c r="G575" i="20"/>
  <c r="J575" i="20"/>
  <c r="G576" i="20"/>
  <c r="J576" i="20"/>
  <c r="G577" i="20"/>
  <c r="J577" i="20"/>
  <c r="G578" i="20"/>
  <c r="J578" i="20"/>
  <c r="G579" i="20"/>
  <c r="J579" i="20"/>
  <c r="G580" i="20"/>
  <c r="J580" i="20"/>
  <c r="G581" i="20"/>
  <c r="J581" i="20"/>
  <c r="G582" i="20"/>
  <c r="J582" i="20"/>
  <c r="G583" i="20"/>
  <c r="J583" i="20"/>
  <c r="G584" i="20"/>
  <c r="J584" i="20"/>
  <c r="G585" i="20"/>
  <c r="J585" i="20"/>
  <c r="G586" i="20"/>
  <c r="J586" i="20"/>
  <c r="G587" i="20"/>
  <c r="J587" i="20"/>
  <c r="G588" i="20"/>
  <c r="J588" i="20"/>
  <c r="G589" i="20"/>
  <c r="J589" i="20"/>
  <c r="G590" i="20"/>
  <c r="J590" i="20"/>
  <c r="G591" i="20"/>
  <c r="J591" i="20"/>
  <c r="G592" i="20"/>
  <c r="J592" i="20"/>
  <c r="G593" i="20"/>
  <c r="J593" i="20"/>
  <c r="G594" i="20"/>
  <c r="J594" i="20"/>
  <c r="G595" i="20"/>
  <c r="J595" i="20"/>
  <c r="G596" i="20"/>
  <c r="J596" i="20"/>
  <c r="G597" i="20"/>
  <c r="J597" i="20"/>
  <c r="G598" i="20"/>
  <c r="J598" i="20"/>
  <c r="G599" i="20"/>
  <c r="J599" i="20"/>
  <c r="G600" i="20"/>
  <c r="J600" i="20"/>
  <c r="G601" i="20"/>
  <c r="J601" i="20"/>
  <c r="G602" i="20"/>
  <c r="J602" i="20"/>
  <c r="G603" i="20"/>
  <c r="J603" i="20"/>
  <c r="G604" i="20"/>
  <c r="J604" i="20"/>
  <c r="G605" i="20"/>
  <c r="J605" i="20"/>
  <c r="G606" i="20"/>
  <c r="J606" i="20"/>
  <c r="G607" i="20"/>
  <c r="J607" i="20"/>
  <c r="G608" i="20"/>
  <c r="J608" i="20"/>
  <c r="G609" i="20"/>
  <c r="J609" i="20"/>
  <c r="G610" i="20"/>
  <c r="J610" i="20"/>
  <c r="G611" i="20"/>
  <c r="J611" i="20"/>
  <c r="G612" i="20"/>
  <c r="J612" i="20"/>
  <c r="G613" i="20"/>
  <c r="J613" i="20"/>
  <c r="G614" i="20"/>
  <c r="J614" i="20"/>
  <c r="G615" i="20"/>
  <c r="J615" i="20"/>
  <c r="G616" i="20"/>
  <c r="J616" i="20"/>
  <c r="G617" i="20"/>
  <c r="J617" i="20"/>
  <c r="G618" i="20"/>
  <c r="J618" i="20"/>
  <c r="G619" i="20"/>
  <c r="J619" i="20"/>
  <c r="G620" i="20"/>
  <c r="J620" i="20"/>
  <c r="G621" i="20"/>
  <c r="J621" i="20"/>
  <c r="G622" i="20"/>
  <c r="J622" i="20"/>
  <c r="G623" i="20"/>
  <c r="J623" i="20"/>
  <c r="G624" i="20"/>
  <c r="J624" i="20"/>
  <c r="G625" i="20"/>
  <c r="J625" i="20"/>
  <c r="G626" i="20"/>
  <c r="J626" i="20"/>
  <c r="G627" i="20"/>
  <c r="J627" i="20"/>
  <c r="G628" i="20"/>
  <c r="J628" i="20"/>
  <c r="G629" i="20"/>
  <c r="J629" i="20"/>
  <c r="G630" i="20"/>
  <c r="J630" i="20"/>
  <c r="G631" i="20"/>
  <c r="J631" i="20"/>
  <c r="G632" i="20"/>
  <c r="J632" i="20"/>
  <c r="G633" i="20"/>
  <c r="J633" i="20"/>
  <c r="G634" i="20"/>
  <c r="J634" i="20"/>
  <c r="G635" i="20"/>
  <c r="J635" i="20"/>
  <c r="G636" i="20"/>
  <c r="J636" i="20"/>
  <c r="G637" i="20"/>
  <c r="J637" i="20"/>
  <c r="G638" i="20"/>
  <c r="J638" i="20"/>
  <c r="G639" i="20"/>
  <c r="J639" i="20"/>
  <c r="G640" i="20"/>
  <c r="J640" i="20"/>
  <c r="G641" i="20"/>
  <c r="J641" i="20"/>
  <c r="G642" i="20"/>
  <c r="J642" i="20"/>
  <c r="G643" i="20"/>
  <c r="J643" i="20"/>
  <c r="G644" i="20"/>
  <c r="J644" i="20"/>
  <c r="G645" i="20"/>
  <c r="J645" i="20"/>
  <c r="G646" i="20"/>
  <c r="J646" i="20"/>
  <c r="G647" i="20"/>
  <c r="J647" i="20"/>
  <c r="G648" i="20"/>
  <c r="J648" i="20"/>
  <c r="G649" i="20"/>
  <c r="J649" i="20"/>
  <c r="G650" i="20"/>
  <c r="J650" i="20"/>
  <c r="G651" i="20"/>
  <c r="J651" i="20"/>
  <c r="G652" i="20"/>
  <c r="J652" i="20"/>
  <c r="G653" i="20"/>
  <c r="J653" i="20"/>
  <c r="G654" i="20"/>
  <c r="J654" i="20"/>
  <c r="G655" i="20"/>
  <c r="J655" i="20"/>
  <c r="G656" i="20"/>
  <c r="J656" i="20"/>
  <c r="G657" i="20"/>
  <c r="J657" i="20"/>
  <c r="G658" i="20"/>
  <c r="J658" i="20"/>
  <c r="G659" i="20"/>
  <c r="J659" i="20"/>
  <c r="G660" i="20"/>
  <c r="J660" i="20"/>
  <c r="G661" i="20"/>
  <c r="J661" i="20"/>
  <c r="G662" i="20"/>
  <c r="J662" i="20"/>
  <c r="G663" i="20"/>
  <c r="J663" i="20"/>
  <c r="G664" i="20"/>
  <c r="J664" i="20"/>
  <c r="G665" i="20"/>
  <c r="J665" i="20"/>
  <c r="G666" i="20"/>
  <c r="J666" i="20"/>
  <c r="G667" i="20"/>
  <c r="J667" i="20"/>
  <c r="G668" i="20"/>
  <c r="J668" i="20"/>
  <c r="G669" i="20"/>
  <c r="J669" i="20"/>
  <c r="G670" i="20"/>
  <c r="J670" i="20"/>
  <c r="G671" i="20"/>
  <c r="J671" i="20"/>
  <c r="G672" i="20"/>
  <c r="J672" i="20"/>
  <c r="G673" i="20"/>
  <c r="J673" i="20"/>
  <c r="G674" i="20"/>
  <c r="J674" i="20"/>
  <c r="G675" i="20"/>
  <c r="J675" i="20"/>
  <c r="G676" i="20"/>
  <c r="J676" i="20"/>
  <c r="G677" i="20"/>
  <c r="J677" i="20"/>
  <c r="G678" i="20"/>
  <c r="J678" i="20"/>
  <c r="G679" i="20"/>
  <c r="J679" i="20"/>
  <c r="G680" i="20"/>
  <c r="J680" i="20"/>
  <c r="G681" i="20"/>
  <c r="J681" i="20"/>
  <c r="G682" i="20"/>
  <c r="J682" i="20"/>
  <c r="G683" i="20"/>
  <c r="J683" i="20"/>
  <c r="G684" i="20"/>
  <c r="J684" i="20"/>
  <c r="G685" i="20"/>
  <c r="J685" i="20"/>
  <c r="G686" i="20"/>
  <c r="J686" i="20"/>
  <c r="G687" i="20"/>
  <c r="J687" i="20"/>
  <c r="G688" i="20"/>
  <c r="J688" i="20"/>
  <c r="G689" i="20"/>
  <c r="J689" i="20"/>
  <c r="G690" i="20"/>
  <c r="J690" i="20"/>
  <c r="G691" i="20"/>
  <c r="J691" i="20"/>
  <c r="G692" i="20"/>
  <c r="J692" i="20"/>
  <c r="G693" i="20"/>
  <c r="J693" i="20"/>
  <c r="G694" i="20"/>
  <c r="J694" i="20"/>
  <c r="G695" i="20"/>
  <c r="J695" i="20"/>
  <c r="G696" i="20"/>
  <c r="J696" i="20"/>
  <c r="G697" i="20"/>
  <c r="J697" i="20"/>
  <c r="G698" i="20"/>
  <c r="J698" i="20"/>
  <c r="G699" i="20"/>
  <c r="J699" i="20"/>
  <c r="G700" i="20"/>
  <c r="J700" i="20"/>
  <c r="G701" i="20"/>
  <c r="J701" i="20"/>
  <c r="G702" i="20"/>
  <c r="J702" i="20"/>
  <c r="G703" i="20"/>
  <c r="J703" i="20"/>
  <c r="G704" i="20"/>
  <c r="J704" i="20"/>
  <c r="G705" i="20"/>
  <c r="J705" i="20"/>
  <c r="G706" i="20"/>
  <c r="J706" i="20"/>
  <c r="G707" i="20"/>
  <c r="J707" i="20"/>
  <c r="G708" i="20"/>
  <c r="J708" i="20"/>
  <c r="G709" i="20"/>
  <c r="J709" i="20"/>
  <c r="G710" i="20"/>
  <c r="J710" i="20"/>
  <c r="G711" i="20"/>
  <c r="J711" i="20"/>
  <c r="G712" i="20"/>
  <c r="J712" i="20"/>
  <c r="G713" i="20"/>
  <c r="J713" i="20"/>
  <c r="G714" i="20"/>
  <c r="J714" i="20"/>
  <c r="G715" i="20"/>
  <c r="J715" i="20"/>
  <c r="G716" i="20"/>
  <c r="J716" i="20"/>
  <c r="G717" i="20"/>
  <c r="J717" i="20"/>
  <c r="G718" i="20"/>
  <c r="J718" i="20"/>
  <c r="G719" i="20"/>
  <c r="J719" i="20"/>
  <c r="G720" i="20"/>
  <c r="J720" i="20"/>
  <c r="G721" i="20"/>
  <c r="J721" i="20"/>
  <c r="G722" i="20"/>
  <c r="J722" i="20"/>
  <c r="G723" i="20"/>
  <c r="J723" i="20"/>
  <c r="G724" i="20"/>
  <c r="J724" i="20"/>
  <c r="E40" i="20" l="1"/>
  <c r="F40" i="20"/>
  <c r="D40" i="20"/>
  <c r="E103" i="1" l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6" i="1"/>
  <c r="E46" i="20" l="1"/>
  <c r="F46" i="20"/>
  <c r="H45" i="20" s="1"/>
  <c r="D46" i="20"/>
  <c r="F558" i="8" l="1"/>
  <c r="E35" i="20" l="1"/>
  <c r="F35" i="20"/>
  <c r="D35" i="20"/>
  <c r="E44" i="20"/>
  <c r="F44" i="20"/>
  <c r="H44" i="20" s="1"/>
  <c r="D44" i="20"/>
  <c r="F553" i="8" l="1"/>
  <c r="E43" i="20"/>
  <c r="F43" i="20"/>
  <c r="H42" i="20" s="1"/>
  <c r="D43" i="20"/>
  <c r="P9" i="1" l="1"/>
  <c r="P10" i="1"/>
  <c r="P13" i="1"/>
  <c r="P14" i="1"/>
  <c r="P17" i="1"/>
  <c r="P18" i="1"/>
  <c r="P21" i="1"/>
  <c r="P22" i="1"/>
  <c r="P25" i="1"/>
  <c r="P26" i="1"/>
  <c r="P6" i="1"/>
  <c r="P7" i="1"/>
  <c r="P8" i="1"/>
  <c r="P11" i="1"/>
  <c r="P12" i="1"/>
  <c r="P15" i="1"/>
  <c r="P16" i="1"/>
  <c r="P19" i="1"/>
  <c r="P20" i="1"/>
  <c r="P23" i="1"/>
  <c r="P24" i="1"/>
  <c r="P27" i="1"/>
  <c r="P28" i="1"/>
  <c r="E41" i="20" l="1"/>
  <c r="F41" i="20"/>
  <c r="H40" i="20" s="1"/>
  <c r="D41" i="20"/>
  <c r="F550" i="8" l="1"/>
  <c r="F538" i="8" l="1"/>
  <c r="F531" i="8" l="1"/>
  <c r="F530" i="8" l="1"/>
  <c r="F528" i="8" l="1"/>
  <c r="E39" i="20"/>
  <c r="F39" i="20"/>
  <c r="H39" i="20" s="1"/>
  <c r="D39" i="20"/>
  <c r="F526" i="8" l="1"/>
  <c r="I37" i="20"/>
  <c r="J39" i="20" l="1"/>
  <c r="J40" i="20"/>
  <c r="J42" i="20"/>
  <c r="J44" i="20"/>
  <c r="J45" i="20"/>
  <c r="J47" i="20"/>
  <c r="J48" i="20"/>
  <c r="J49" i="20"/>
  <c r="J50" i="20"/>
  <c r="J51" i="20"/>
  <c r="J52" i="20"/>
  <c r="J53" i="20"/>
  <c r="J54" i="20"/>
  <c r="J55" i="20"/>
  <c r="J56" i="20"/>
  <c r="J57" i="20"/>
  <c r="J58" i="20"/>
  <c r="J59" i="20"/>
  <c r="J60" i="20"/>
  <c r="J61" i="20"/>
  <c r="J62" i="20"/>
  <c r="J63" i="20"/>
  <c r="J64" i="20"/>
  <c r="J65" i="20"/>
  <c r="J66" i="20"/>
  <c r="J67" i="20"/>
  <c r="J68" i="20"/>
  <c r="J69" i="20"/>
  <c r="J70" i="20"/>
  <c r="J71" i="20"/>
  <c r="J72" i="20"/>
  <c r="J73" i="20"/>
  <c r="J74" i="20"/>
  <c r="I38" i="20"/>
  <c r="E38" i="20"/>
  <c r="F38" i="20"/>
  <c r="H38" i="20" s="1"/>
  <c r="D38" i="20"/>
  <c r="J38" i="20" l="1"/>
  <c r="G49" i="20"/>
  <c r="G50" i="20"/>
  <c r="G51" i="20"/>
  <c r="G52" i="20"/>
  <c r="G53" i="20"/>
  <c r="G54" i="20"/>
  <c r="G55" i="20"/>
  <c r="G56" i="20"/>
  <c r="G57" i="20"/>
  <c r="G58" i="20"/>
  <c r="G59" i="20"/>
  <c r="G60" i="20"/>
  <c r="G61" i="20"/>
  <c r="G62" i="20"/>
  <c r="G63" i="20"/>
  <c r="G64" i="20"/>
  <c r="G65" i="20"/>
  <c r="G66" i="20"/>
  <c r="G67" i="20"/>
  <c r="G68" i="20"/>
  <c r="G69" i="20"/>
  <c r="G70" i="20"/>
  <c r="G71" i="20"/>
  <c r="G72" i="20"/>
  <c r="G73" i="20"/>
  <c r="G74" i="20"/>
  <c r="L2" i="20"/>
  <c r="G48" i="20" s="1"/>
  <c r="E37" i="20"/>
  <c r="F37" i="20"/>
  <c r="D37" i="20"/>
  <c r="E36" i="20"/>
  <c r="F36" i="20"/>
  <c r="D36" i="20"/>
  <c r="I32" i="20"/>
  <c r="E32" i="20"/>
  <c r="F32" i="20"/>
  <c r="E33" i="20"/>
  <c r="F33" i="20"/>
  <c r="E34" i="20"/>
  <c r="F34" i="20"/>
  <c r="D34" i="20"/>
  <c r="D33" i="20"/>
  <c r="D32" i="20"/>
  <c r="E31" i="20"/>
  <c r="F31" i="20"/>
  <c r="H31" i="20" s="1"/>
  <c r="J31" i="20" s="1"/>
  <c r="D31" i="20"/>
  <c r="I3" i="20"/>
  <c r="E11" i="20"/>
  <c r="F11" i="20"/>
  <c r="E12" i="20"/>
  <c r="F12" i="20"/>
  <c r="E13" i="20"/>
  <c r="F13" i="20"/>
  <c r="E14" i="20"/>
  <c r="F14" i="20"/>
  <c r="E15" i="20"/>
  <c r="F15" i="20"/>
  <c r="E16" i="20"/>
  <c r="F16" i="20"/>
  <c r="E17" i="20"/>
  <c r="F17" i="20"/>
  <c r="E18" i="20"/>
  <c r="F18" i="20"/>
  <c r="D18" i="20"/>
  <c r="D17" i="20"/>
  <c r="D16" i="20"/>
  <c r="D15" i="20"/>
  <c r="D14" i="20"/>
  <c r="D13" i="20"/>
  <c r="D12" i="20"/>
  <c r="D11" i="20"/>
  <c r="I6" i="20"/>
  <c r="E7" i="20"/>
  <c r="F7" i="20"/>
  <c r="E8" i="20"/>
  <c r="F8" i="20"/>
  <c r="E9" i="20"/>
  <c r="F9" i="20"/>
  <c r="D9" i="20"/>
  <c r="D8" i="20"/>
  <c r="D7" i="20"/>
  <c r="E20" i="20"/>
  <c r="F20" i="20"/>
  <c r="E21" i="20"/>
  <c r="F21" i="20"/>
  <c r="E22" i="20"/>
  <c r="F22" i="20"/>
  <c r="E23" i="20"/>
  <c r="F23" i="20"/>
  <c r="E24" i="20"/>
  <c r="F24" i="20"/>
  <c r="E25" i="20"/>
  <c r="F25" i="20"/>
  <c r="E26" i="20"/>
  <c r="F26" i="20"/>
  <c r="E27" i="20"/>
  <c r="F27" i="20"/>
  <c r="E28" i="20"/>
  <c r="F28" i="20"/>
  <c r="E29" i="20"/>
  <c r="F29" i="20"/>
  <c r="E30" i="20"/>
  <c r="F30" i="20"/>
  <c r="D26" i="20"/>
  <c r="D30" i="20"/>
  <c r="D29" i="20"/>
  <c r="D28" i="20"/>
  <c r="D27" i="20"/>
  <c r="D25" i="20"/>
  <c r="D24" i="20"/>
  <c r="D23" i="20"/>
  <c r="D22" i="20"/>
  <c r="D21" i="20"/>
  <c r="D20" i="20"/>
  <c r="E19" i="20"/>
  <c r="F19" i="20"/>
  <c r="H19" i="20" s="1"/>
  <c r="J19" i="20" s="1"/>
  <c r="D19" i="20"/>
  <c r="F10" i="20"/>
  <c r="F6" i="20"/>
  <c r="F5" i="20"/>
  <c r="F4" i="20"/>
  <c r="F3" i="20"/>
  <c r="G42" i="20" l="1"/>
  <c r="G47" i="20"/>
  <c r="G45" i="20"/>
  <c r="H37" i="20"/>
  <c r="J37" i="20" s="1"/>
  <c r="H32" i="20"/>
  <c r="J32" i="20" s="1"/>
  <c r="G46" i="20"/>
  <c r="G40" i="20"/>
  <c r="H35" i="20"/>
  <c r="J35" i="20" s="1"/>
  <c r="G35" i="20"/>
  <c r="G36" i="20"/>
  <c r="G38" i="20"/>
  <c r="G44" i="20"/>
  <c r="G43" i="20"/>
  <c r="G41" i="20"/>
  <c r="G39" i="20"/>
  <c r="G3" i="20"/>
  <c r="G19" i="20"/>
  <c r="G33" i="20"/>
  <c r="G15" i="20"/>
  <c r="G27" i="20"/>
  <c r="G11" i="20"/>
  <c r="G23" i="20"/>
  <c r="G7" i="20"/>
  <c r="G32" i="20"/>
  <c r="G30" i="20"/>
  <c r="G26" i="20"/>
  <c r="G22" i="20"/>
  <c r="G18" i="20"/>
  <c r="G14" i="20"/>
  <c r="G10" i="20"/>
  <c r="G6" i="20"/>
  <c r="G29" i="20"/>
  <c r="G25" i="20"/>
  <c r="G21" i="20"/>
  <c r="G17" i="20"/>
  <c r="G13" i="20"/>
  <c r="G9" i="20"/>
  <c r="G5" i="20"/>
  <c r="G37" i="20"/>
  <c r="G34" i="20"/>
  <c r="G31" i="20"/>
  <c r="G28" i="20"/>
  <c r="G24" i="20"/>
  <c r="G20" i="20"/>
  <c r="G16" i="20"/>
  <c r="G12" i="20"/>
  <c r="G8" i="20"/>
  <c r="G4" i="20"/>
  <c r="H20" i="20"/>
  <c r="J20" i="20" s="1"/>
  <c r="H6" i="20"/>
  <c r="J6" i="20" s="1"/>
  <c r="H3" i="20"/>
  <c r="J3" i="20" s="1"/>
  <c r="H11" i="20"/>
  <c r="J11" i="20" s="1"/>
  <c r="M519" i="8"/>
  <c r="F519" i="8" l="1"/>
  <c r="G120" i="1" l="1"/>
  <c r="F517" i="8"/>
  <c r="F514" i="8"/>
  <c r="F512" i="8" l="1"/>
  <c r="F510" i="8" l="1"/>
  <c r="I473" i="8"/>
  <c r="F490" i="8" l="1"/>
  <c r="F486" i="8" l="1"/>
  <c r="F483" i="8" l="1"/>
  <c r="P475" i="8" l="1"/>
  <c r="P470" i="8"/>
  <c r="P466" i="8"/>
  <c r="P467" i="8"/>
  <c r="P468" i="8"/>
  <c r="P469" i="8"/>
  <c r="P465" i="8"/>
  <c r="P459" i="8"/>
  <c r="P460" i="8"/>
  <c r="P461" i="8"/>
  <c r="P462" i="8"/>
  <c r="P463" i="8"/>
  <c r="P458" i="8"/>
  <c r="P452" i="8"/>
  <c r="P453" i="8"/>
  <c r="P454" i="8"/>
  <c r="P456" i="8"/>
  <c r="P451" i="8"/>
  <c r="P447" i="8"/>
  <c r="P448" i="8"/>
  <c r="P449" i="8"/>
  <c r="P446" i="8"/>
  <c r="P441" i="8"/>
  <c r="P438" i="8"/>
  <c r="P439" i="8"/>
  <c r="P440" i="8"/>
  <c r="P437" i="8"/>
  <c r="P431" i="8"/>
  <c r="P432" i="8"/>
  <c r="P433" i="8"/>
  <c r="P434" i="8"/>
  <c r="P435" i="8"/>
  <c r="P430" i="8"/>
  <c r="P428" i="8"/>
  <c r="P427" i="8"/>
  <c r="O472" i="8" l="1"/>
  <c r="AB142" i="18" l="1"/>
  <c r="AE142" i="18"/>
  <c r="AH142" i="18"/>
  <c r="Y142" i="18" s="1"/>
  <c r="AL142" i="18"/>
  <c r="AM142" i="18"/>
  <c r="AN142" i="18" s="1"/>
  <c r="AB143" i="18"/>
  <c r="AE143" i="18"/>
  <c r="AH143" i="18"/>
  <c r="AL143" i="18"/>
  <c r="AB144" i="18"/>
  <c r="AE144" i="18"/>
  <c r="AH144" i="18"/>
  <c r="AL144" i="18"/>
  <c r="AM144" i="18"/>
  <c r="AN144" i="18" s="1"/>
  <c r="AB145" i="18"/>
  <c r="AE145" i="18"/>
  <c r="AH145" i="18"/>
  <c r="AL145" i="18"/>
  <c r="AM145" i="18"/>
  <c r="AN145" i="18" s="1"/>
  <c r="AB146" i="18"/>
  <c r="AE146" i="18"/>
  <c r="AH146" i="18"/>
  <c r="AL146" i="18"/>
  <c r="AM146" i="18"/>
  <c r="AN146" i="18" s="1"/>
  <c r="Y145" i="18" l="1"/>
  <c r="Y146" i="18"/>
  <c r="Y143" i="18"/>
  <c r="AM143" i="18" s="1"/>
  <c r="AN143" i="18" s="1"/>
  <c r="Y144" i="18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6" i="1"/>
  <c r="F465" i="8" l="1"/>
  <c r="AL119" i="18" l="1"/>
  <c r="AM119" i="18"/>
  <c r="AN119" i="18"/>
  <c r="AH119" i="18"/>
  <c r="AE119" i="18"/>
  <c r="AB119" i="18"/>
  <c r="AM140" i="18"/>
  <c r="AN140" i="18" s="1"/>
  <c r="AH139" i="18"/>
  <c r="AH140" i="18"/>
  <c r="AE139" i="18"/>
  <c r="AE140" i="18"/>
  <c r="AB139" i="18"/>
  <c r="AB140" i="18"/>
  <c r="AL140" i="18"/>
  <c r="AL139" i="18"/>
  <c r="Y139" i="18" l="1"/>
  <c r="AM139" i="18" s="1"/>
  <c r="AN139" i="18" s="1"/>
  <c r="Y140" i="18"/>
  <c r="Y119" i="18"/>
  <c r="F451" i="8" l="1"/>
  <c r="F448" i="8"/>
  <c r="J438" i="8" l="1"/>
  <c r="F437" i="8" l="1"/>
  <c r="F434" i="8" l="1"/>
  <c r="AB195" i="18" l="1"/>
  <c r="AE195" i="18"/>
  <c r="AH195" i="18"/>
  <c r="AL195" i="18"/>
  <c r="AM195" i="18"/>
  <c r="AN195" i="18" s="1"/>
  <c r="AB196" i="18"/>
  <c r="AE196" i="18"/>
  <c r="AH196" i="18"/>
  <c r="AL196" i="18"/>
  <c r="AB197" i="18"/>
  <c r="AE197" i="18"/>
  <c r="AH197" i="18"/>
  <c r="AL197" i="18"/>
  <c r="AM197" i="18"/>
  <c r="AN197" i="18" s="1"/>
  <c r="AB198" i="18"/>
  <c r="AE198" i="18"/>
  <c r="AH198" i="18"/>
  <c r="AL198" i="18"/>
  <c r="AB199" i="18"/>
  <c r="AE199" i="18"/>
  <c r="AH199" i="18"/>
  <c r="AL199" i="18"/>
  <c r="AB200" i="18"/>
  <c r="AE200" i="18"/>
  <c r="AH200" i="18"/>
  <c r="AL200" i="18"/>
  <c r="AB201" i="18"/>
  <c r="AE201" i="18"/>
  <c r="AH201" i="18"/>
  <c r="AL201" i="18"/>
  <c r="AB202" i="18"/>
  <c r="AE202" i="18"/>
  <c r="AH202" i="18"/>
  <c r="AL202" i="18"/>
  <c r="Y203" i="18"/>
  <c r="AB203" i="18"/>
  <c r="AE203" i="18"/>
  <c r="AH203" i="18"/>
  <c r="AL203" i="18"/>
  <c r="AM203" i="18"/>
  <c r="AN203" i="18" s="1"/>
  <c r="Y204" i="18"/>
  <c r="AB204" i="18"/>
  <c r="AE204" i="18"/>
  <c r="AH204" i="18"/>
  <c r="AL204" i="18"/>
  <c r="AM204" i="18"/>
  <c r="AN204" i="18" s="1"/>
  <c r="Y205" i="18"/>
  <c r="AB205" i="18"/>
  <c r="AE205" i="18"/>
  <c r="AH205" i="18"/>
  <c r="AL205" i="18"/>
  <c r="AM205" i="18"/>
  <c r="AN205" i="18" s="1"/>
  <c r="Y206" i="18"/>
  <c r="AB206" i="18"/>
  <c r="AE206" i="18"/>
  <c r="AH206" i="18"/>
  <c r="AL206" i="18"/>
  <c r="AM206" i="18"/>
  <c r="AN206" i="18" s="1"/>
  <c r="Y207" i="18"/>
  <c r="AB207" i="18"/>
  <c r="AE207" i="18"/>
  <c r="AH207" i="18"/>
  <c r="AL207" i="18"/>
  <c r="AM207" i="18"/>
  <c r="AN207" i="18" s="1"/>
  <c r="Y208" i="18"/>
  <c r="AB208" i="18"/>
  <c r="AE208" i="18"/>
  <c r="AH208" i="18"/>
  <c r="AL208" i="18"/>
  <c r="AM208" i="18"/>
  <c r="AN208" i="18" s="1"/>
  <c r="AB184" i="18"/>
  <c r="AE184" i="18"/>
  <c r="AH184" i="18"/>
  <c r="AL184" i="18"/>
  <c r="AB185" i="18"/>
  <c r="AE185" i="18"/>
  <c r="AH185" i="18"/>
  <c r="AL185" i="18"/>
  <c r="AB186" i="18"/>
  <c r="AE186" i="18"/>
  <c r="AH186" i="18"/>
  <c r="AL186" i="18"/>
  <c r="AB187" i="18"/>
  <c r="AE187" i="18"/>
  <c r="AH187" i="18"/>
  <c r="AL187" i="18"/>
  <c r="AB188" i="18"/>
  <c r="AE188" i="18"/>
  <c r="AH188" i="18"/>
  <c r="AL188" i="18"/>
  <c r="AM188" i="18"/>
  <c r="AN188" i="18" s="1"/>
  <c r="AB189" i="18"/>
  <c r="AE189" i="18"/>
  <c r="AH189" i="18"/>
  <c r="AL189" i="18"/>
  <c r="AB166" i="18"/>
  <c r="AE166" i="18"/>
  <c r="AH166" i="18"/>
  <c r="AL166" i="18"/>
  <c r="AB167" i="18"/>
  <c r="AE167" i="18"/>
  <c r="AH167" i="18"/>
  <c r="AL167" i="18"/>
  <c r="AM167" i="18"/>
  <c r="AN167" i="18" s="1"/>
  <c r="AB168" i="18"/>
  <c r="AE168" i="18"/>
  <c r="AH168" i="18"/>
  <c r="AL168" i="18"/>
  <c r="AB169" i="18"/>
  <c r="AE169" i="18"/>
  <c r="AH169" i="18"/>
  <c r="AL169" i="18"/>
  <c r="AM169" i="18"/>
  <c r="AN169" i="18" s="1"/>
  <c r="AB170" i="18"/>
  <c r="AE170" i="18"/>
  <c r="AH170" i="18"/>
  <c r="AL170" i="18"/>
  <c r="AM170" i="18"/>
  <c r="AN170" i="18" s="1"/>
  <c r="AB171" i="18"/>
  <c r="AE171" i="18"/>
  <c r="AH171" i="18"/>
  <c r="AL171" i="18"/>
  <c r="AM171" i="18"/>
  <c r="AN171" i="18" s="1"/>
  <c r="AB172" i="18"/>
  <c r="AE172" i="18"/>
  <c r="AH172" i="18"/>
  <c r="AL172" i="18"/>
  <c r="AM172" i="18"/>
  <c r="AN172" i="18" s="1"/>
  <c r="AB173" i="18"/>
  <c r="AE173" i="18"/>
  <c r="AH173" i="18"/>
  <c r="AL173" i="18"/>
  <c r="AM173" i="18"/>
  <c r="AN173" i="18" s="1"/>
  <c r="AB174" i="18"/>
  <c r="AE174" i="18"/>
  <c r="AH174" i="18"/>
  <c r="AL174" i="18"/>
  <c r="AM174" i="18"/>
  <c r="AN174" i="18" s="1"/>
  <c r="AB175" i="18"/>
  <c r="AE175" i="18"/>
  <c r="AH175" i="18"/>
  <c r="AL175" i="18"/>
  <c r="AM175" i="18"/>
  <c r="AN175" i="18" s="1"/>
  <c r="AB176" i="18"/>
  <c r="AE176" i="18"/>
  <c r="AH176" i="18"/>
  <c r="AL176" i="18"/>
  <c r="AM176" i="18"/>
  <c r="AN176" i="18" s="1"/>
  <c r="AB177" i="18"/>
  <c r="AE177" i="18"/>
  <c r="AH177" i="18"/>
  <c r="AL177" i="18"/>
  <c r="AM177" i="18"/>
  <c r="AN177" i="18" s="1"/>
  <c r="AB178" i="18"/>
  <c r="AE178" i="18"/>
  <c r="AH178" i="18"/>
  <c r="AL178" i="18"/>
  <c r="AB179" i="18"/>
  <c r="AE179" i="18"/>
  <c r="AH179" i="18"/>
  <c r="AL179" i="18"/>
  <c r="AM179" i="18"/>
  <c r="AN179" i="18" s="1"/>
  <c r="AB180" i="18"/>
  <c r="AE180" i="18"/>
  <c r="AH180" i="18"/>
  <c r="AL180" i="18"/>
  <c r="AM180" i="18"/>
  <c r="AN180" i="18" s="1"/>
  <c r="AB181" i="18"/>
  <c r="AE181" i="18"/>
  <c r="AH181" i="18"/>
  <c r="AL181" i="18"/>
  <c r="AM181" i="18"/>
  <c r="AN181" i="18" s="1"/>
  <c r="AB182" i="18"/>
  <c r="AE182" i="18"/>
  <c r="AH182" i="18"/>
  <c r="AL182" i="18"/>
  <c r="AB183" i="18"/>
  <c r="AE183" i="18"/>
  <c r="AH183" i="18"/>
  <c r="AM183" i="18" s="1"/>
  <c r="AN183" i="18" s="1"/>
  <c r="AL183" i="18"/>
  <c r="AB190" i="18"/>
  <c r="AE190" i="18"/>
  <c r="AH190" i="18"/>
  <c r="AL190" i="18"/>
  <c r="AM190" i="18"/>
  <c r="AN190" i="18" s="1"/>
  <c r="AB191" i="18"/>
  <c r="AE191" i="18"/>
  <c r="AH191" i="18"/>
  <c r="AL191" i="18"/>
  <c r="AB192" i="18"/>
  <c r="AE192" i="18"/>
  <c r="AH192" i="18"/>
  <c r="AL192" i="18"/>
  <c r="AB193" i="18"/>
  <c r="AE193" i="18"/>
  <c r="AH193" i="18"/>
  <c r="AL193" i="18"/>
  <c r="AM193" i="18"/>
  <c r="AN193" i="18" s="1"/>
  <c r="AB194" i="18"/>
  <c r="AE194" i="18"/>
  <c r="AH194" i="18"/>
  <c r="AL194" i="18"/>
  <c r="AB209" i="18"/>
  <c r="AE209" i="18"/>
  <c r="Y209" i="18" s="1"/>
  <c r="AH209" i="18"/>
  <c r="AL209" i="18"/>
  <c r="AM209" i="18"/>
  <c r="AN209" i="18" s="1"/>
  <c r="AJ211" i="18"/>
  <c r="S221" i="18" s="1"/>
  <c r="AM210" i="18"/>
  <c r="AN210" i="18" s="1"/>
  <c r="AL210" i="18"/>
  <c r="AH210" i="18"/>
  <c r="Y210" i="18" s="1"/>
  <c r="AE210" i="18"/>
  <c r="AB210" i="18"/>
  <c r="AL165" i="18"/>
  <c r="AH165" i="18"/>
  <c r="AE165" i="18"/>
  <c r="AB165" i="18"/>
  <c r="AL164" i="18"/>
  <c r="AH164" i="18"/>
  <c r="AE164" i="18"/>
  <c r="AB164" i="18"/>
  <c r="AM163" i="18"/>
  <c r="AN163" i="18" s="1"/>
  <c r="AL163" i="18"/>
  <c r="AH163" i="18"/>
  <c r="AE163" i="18"/>
  <c r="AB163" i="18"/>
  <c r="AL162" i="18"/>
  <c r="AH162" i="18"/>
  <c r="AE162" i="18"/>
  <c r="AB162" i="18"/>
  <c r="AL161" i="18"/>
  <c r="AH161" i="18"/>
  <c r="AE161" i="18"/>
  <c r="AB161" i="18"/>
  <c r="AL160" i="18"/>
  <c r="AH160" i="18"/>
  <c r="AE160" i="18"/>
  <c r="AB160" i="18"/>
  <c r="AL159" i="18"/>
  <c r="AH159" i="18"/>
  <c r="AE159" i="18"/>
  <c r="AB159" i="18"/>
  <c r="AM158" i="18"/>
  <c r="AN158" i="18" s="1"/>
  <c r="AL158" i="18"/>
  <c r="AH158" i="18"/>
  <c r="AE158" i="18"/>
  <c r="AB158" i="18"/>
  <c r="AM157" i="18"/>
  <c r="AN157" i="18" s="1"/>
  <c r="AL157" i="18"/>
  <c r="AH157" i="18"/>
  <c r="AE157" i="18"/>
  <c r="AB157" i="18"/>
  <c r="AM156" i="18"/>
  <c r="AN156" i="18" s="1"/>
  <c r="AL156" i="18"/>
  <c r="AH156" i="18"/>
  <c r="AE156" i="18"/>
  <c r="AB156" i="18"/>
  <c r="AL155" i="18"/>
  <c r="AH155" i="18"/>
  <c r="AE155" i="18"/>
  <c r="AB155" i="18" s="1"/>
  <c r="AM154" i="18"/>
  <c r="AN154" i="18" s="1"/>
  <c r="AL154" i="18"/>
  <c r="AH154" i="18"/>
  <c r="AE154" i="18"/>
  <c r="AM153" i="18"/>
  <c r="AN153" i="18" s="1"/>
  <c r="AL153" i="18"/>
  <c r="AH153" i="18"/>
  <c r="AE153" i="18"/>
  <c r="AB153" i="18"/>
  <c r="AL152" i="18"/>
  <c r="AH152" i="18"/>
  <c r="AE152" i="18"/>
  <c r="AB152" i="18"/>
  <c r="Y202" i="18" l="1"/>
  <c r="AM202" i="18"/>
  <c r="AN202" i="18" s="1"/>
  <c r="Y201" i="18"/>
  <c r="AM201" i="18" s="1"/>
  <c r="AN201" i="18" s="1"/>
  <c r="Y200" i="18"/>
  <c r="AM200" i="18" s="1"/>
  <c r="AN200" i="18" s="1"/>
  <c r="Y195" i="18"/>
  <c r="Y199" i="18"/>
  <c r="AM199" i="18" s="1"/>
  <c r="AN199" i="18" s="1"/>
  <c r="Y193" i="18"/>
  <c r="Y198" i="18"/>
  <c r="AM198" i="18" s="1"/>
  <c r="AN198" i="18" s="1"/>
  <c r="Y197" i="18"/>
  <c r="Y188" i="18"/>
  <c r="Y189" i="18"/>
  <c r="AM189" i="18" s="1"/>
  <c r="AN189" i="18" s="1"/>
  <c r="Y186" i="18"/>
  <c r="AM186" i="18" s="1"/>
  <c r="AN186" i="18" s="1"/>
  <c r="Y184" i="18"/>
  <c r="AM184" i="18" s="1"/>
  <c r="AN184" i="18" s="1"/>
  <c r="Y190" i="18"/>
  <c r="Y177" i="18"/>
  <c r="Y196" i="18"/>
  <c r="AM196" i="18" s="1"/>
  <c r="AN196" i="18" s="1"/>
  <c r="Y166" i="18"/>
  <c r="AM166" i="18" s="1"/>
  <c r="AN166" i="18" s="1"/>
  <c r="Y181" i="18"/>
  <c r="Y183" i="18"/>
  <c r="Y169" i="18"/>
  <c r="Y159" i="18"/>
  <c r="AM159" i="18" s="1"/>
  <c r="AN159" i="18" s="1"/>
  <c r="Y175" i="18"/>
  <c r="Y172" i="18"/>
  <c r="Y171" i="18"/>
  <c r="Y187" i="18"/>
  <c r="AM187" i="18" s="1"/>
  <c r="AN187" i="18" s="1"/>
  <c r="Y174" i="18"/>
  <c r="Y167" i="18"/>
  <c r="Y178" i="18"/>
  <c r="AM178" i="18" s="1"/>
  <c r="AN178" i="18" s="1"/>
  <c r="Y179" i="18"/>
  <c r="Y185" i="18"/>
  <c r="AM185" i="18" s="1"/>
  <c r="Y156" i="18"/>
  <c r="Y165" i="18"/>
  <c r="AM165" i="18" s="1"/>
  <c r="AN165" i="18" s="1"/>
  <c r="Y192" i="18"/>
  <c r="AM192" i="18" s="1"/>
  <c r="AN192" i="18" s="1"/>
  <c r="Y180" i="18"/>
  <c r="Y173" i="18"/>
  <c r="Y170" i="18"/>
  <c r="Y168" i="18"/>
  <c r="AM168" i="18" s="1"/>
  <c r="AN168" i="18" s="1"/>
  <c r="Y155" i="18"/>
  <c r="AM155" i="18" s="1"/>
  <c r="AN155" i="18" s="1"/>
  <c r="Y162" i="18"/>
  <c r="AM162" i="18" s="1"/>
  <c r="AN162" i="18" s="1"/>
  <c r="Y163" i="18"/>
  <c r="Y194" i="18"/>
  <c r="AM194" i="18" s="1"/>
  <c r="AN194" i="18" s="1"/>
  <c r="Y191" i="18"/>
  <c r="AM191" i="18" s="1"/>
  <c r="AN191" i="18" s="1"/>
  <c r="Y182" i="18"/>
  <c r="AM182" i="18" s="1"/>
  <c r="AN182" i="18" s="1"/>
  <c r="Y176" i="18"/>
  <c r="Y157" i="18"/>
  <c r="Y160" i="18"/>
  <c r="AM160" i="18" s="1"/>
  <c r="AN160" i="18" s="1"/>
  <c r="Y152" i="18"/>
  <c r="AM152" i="18" s="1"/>
  <c r="AN152" i="18" s="1"/>
  <c r="Y158" i="18"/>
  <c r="Y161" i="18"/>
  <c r="AM161" i="18" s="1"/>
  <c r="AN161" i="18" s="1"/>
  <c r="Y164" i="18"/>
  <c r="AM164" i="18" s="1"/>
  <c r="AN164" i="18" s="1"/>
  <c r="Y153" i="18"/>
  <c r="AB154" i="18"/>
  <c r="Y154" i="18" s="1"/>
  <c r="AN185" i="18" l="1"/>
  <c r="AN211" i="18" s="1"/>
  <c r="U221" i="18" s="1"/>
  <c r="AO216" i="18" s="1"/>
  <c r="AM211" i="18"/>
  <c r="T221" i="18" s="1"/>
  <c r="AB102" i="18"/>
  <c r="AE102" i="18"/>
  <c r="AH102" i="18"/>
  <c r="AL102" i="18"/>
  <c r="AB103" i="18"/>
  <c r="AE103" i="18"/>
  <c r="AH103" i="18"/>
  <c r="AL103" i="18"/>
  <c r="AM103" i="18"/>
  <c r="AN103" i="18" s="1"/>
  <c r="Y102" i="18" l="1"/>
  <c r="AO211" i="18"/>
  <c r="V221" i="18" s="1"/>
  <c r="Y103" i="18"/>
  <c r="AM102" i="18"/>
  <c r="AN102" i="18" s="1"/>
  <c r="M413" i="8" l="1"/>
  <c r="M412" i="8" l="1"/>
  <c r="F412" i="8" l="1"/>
  <c r="F409" i="8" l="1"/>
  <c r="F406" i="8" l="1"/>
  <c r="F398" i="8" l="1"/>
  <c r="AH97" i="18" l="1"/>
  <c r="AL97" i="18"/>
  <c r="AE97" i="18" l="1"/>
  <c r="AB97" i="18" s="1"/>
  <c r="U152" i="1"/>
  <c r="R143" i="1"/>
  <c r="U143" i="1" s="1"/>
  <c r="R144" i="1"/>
  <c r="U144" i="1" s="1"/>
  <c r="R145" i="1"/>
  <c r="U145" i="1" s="1"/>
  <c r="R146" i="1"/>
  <c r="U146" i="1" s="1"/>
  <c r="R147" i="1"/>
  <c r="U147" i="1" s="1"/>
  <c r="R148" i="1"/>
  <c r="U148" i="1" s="1"/>
  <c r="R149" i="1"/>
  <c r="U149" i="1" s="1"/>
  <c r="R150" i="1"/>
  <c r="U150" i="1" s="1"/>
  <c r="R151" i="1"/>
  <c r="U151" i="1" s="1"/>
  <c r="R152" i="1"/>
  <c r="R153" i="1"/>
  <c r="U153" i="1" s="1"/>
  <c r="R154" i="1"/>
  <c r="U154" i="1" s="1"/>
  <c r="R155" i="1"/>
  <c r="U155" i="1" s="1"/>
  <c r="R156" i="1"/>
  <c r="U156" i="1" s="1"/>
  <c r="R157" i="1"/>
  <c r="U157" i="1" s="1"/>
  <c r="R158" i="1"/>
  <c r="U158" i="1" s="1"/>
  <c r="R159" i="1"/>
  <c r="U159" i="1" s="1"/>
  <c r="R160" i="1"/>
  <c r="U160" i="1" s="1"/>
  <c r="R142" i="1"/>
  <c r="U142" i="1" s="1"/>
  <c r="Q143" i="1"/>
  <c r="V143" i="1" s="1"/>
  <c r="Q144" i="1"/>
  <c r="V144" i="1" s="1"/>
  <c r="Q145" i="1"/>
  <c r="V145" i="1" s="1"/>
  <c r="Q146" i="1"/>
  <c r="V146" i="1" s="1"/>
  <c r="Q147" i="1"/>
  <c r="V147" i="1" s="1"/>
  <c r="Q148" i="1"/>
  <c r="V148" i="1" s="1"/>
  <c r="Q149" i="1"/>
  <c r="V149" i="1" s="1"/>
  <c r="Q150" i="1"/>
  <c r="V150" i="1" s="1"/>
  <c r="Q151" i="1"/>
  <c r="V151" i="1" s="1"/>
  <c r="Q152" i="1"/>
  <c r="V152" i="1" s="1"/>
  <c r="Q153" i="1"/>
  <c r="V153" i="1" s="1"/>
  <c r="Q154" i="1"/>
  <c r="V154" i="1" s="1"/>
  <c r="Q155" i="1"/>
  <c r="V155" i="1" s="1"/>
  <c r="Q156" i="1"/>
  <c r="V156" i="1" s="1"/>
  <c r="Q157" i="1"/>
  <c r="V157" i="1" s="1"/>
  <c r="Q158" i="1"/>
  <c r="V158" i="1" s="1"/>
  <c r="Q159" i="1"/>
  <c r="V159" i="1" s="1"/>
  <c r="Q160" i="1"/>
  <c r="V160" i="1" s="1"/>
  <c r="Q142" i="1"/>
  <c r="V142" i="1" s="1"/>
  <c r="Y97" i="18" l="1"/>
  <c r="AM97" i="18" s="1"/>
  <c r="AN97" i="18" s="1"/>
  <c r="F395" i="8"/>
  <c r="F392" i="8"/>
  <c r="O58" i="8" l="1"/>
  <c r="O64" i="8"/>
  <c r="O65" i="8"/>
  <c r="O66" i="8"/>
  <c r="O72" i="8"/>
  <c r="O79" i="8"/>
  <c r="O86" i="8"/>
  <c r="O93" i="8"/>
  <c r="O100" i="8"/>
  <c r="O107" i="8"/>
  <c r="O114" i="8"/>
  <c r="O121" i="8"/>
  <c r="O122" i="8"/>
  <c r="O123" i="8"/>
  <c r="O128" i="8"/>
  <c r="O133" i="8"/>
  <c r="O135" i="8"/>
  <c r="O136" i="8"/>
  <c r="O140" i="8"/>
  <c r="O142" i="8"/>
  <c r="O143" i="8"/>
  <c r="O146" i="8"/>
  <c r="O147" i="8"/>
  <c r="O148" i="8"/>
  <c r="O149" i="8"/>
  <c r="O150" i="8"/>
  <c r="O151" i="8"/>
  <c r="O152" i="8"/>
  <c r="O153" i="8"/>
  <c r="O154" i="8"/>
  <c r="O155" i="8"/>
  <c r="O156" i="8"/>
  <c r="O157" i="8"/>
  <c r="O158" i="8"/>
  <c r="O159" i="8"/>
  <c r="O160" i="8"/>
  <c r="O161" i="8"/>
  <c r="O162" i="8"/>
  <c r="O163" i="8"/>
  <c r="O164" i="8"/>
  <c r="O165" i="8"/>
  <c r="O166" i="8"/>
  <c r="O167" i="8"/>
  <c r="O168" i="8"/>
  <c r="O169" i="8"/>
  <c r="O170" i="8"/>
  <c r="O171" i="8"/>
  <c r="O172" i="8"/>
  <c r="O173" i="8"/>
  <c r="O174" i="8"/>
  <c r="O175" i="8"/>
  <c r="O176" i="8"/>
  <c r="O177" i="8"/>
  <c r="O178" i="8"/>
  <c r="O179" i="8"/>
  <c r="O180" i="8"/>
  <c r="O181" i="8"/>
  <c r="O182" i="8"/>
  <c r="O183" i="8"/>
  <c r="O184" i="8"/>
  <c r="O185" i="8"/>
  <c r="O186" i="8"/>
  <c r="O187" i="8"/>
  <c r="O188" i="8"/>
  <c r="O189" i="8"/>
  <c r="O190" i="8"/>
  <c r="O191" i="8"/>
  <c r="O192" i="8"/>
  <c r="O193" i="8"/>
  <c r="O195" i="8"/>
  <c r="O196" i="8"/>
  <c r="O197" i="8"/>
  <c r="O198" i="8"/>
  <c r="O199" i="8"/>
  <c r="O200" i="8"/>
  <c r="O201" i="8"/>
  <c r="O202" i="8"/>
  <c r="O203" i="8"/>
  <c r="O204" i="8"/>
  <c r="O205" i="8"/>
  <c r="O206" i="8"/>
  <c r="O207" i="8"/>
  <c r="O208" i="8"/>
  <c r="O209" i="8"/>
  <c r="O210" i="8"/>
  <c r="O211" i="8"/>
  <c r="O212" i="8"/>
  <c r="O213" i="8"/>
  <c r="O214" i="8"/>
  <c r="O216" i="8"/>
  <c r="O217" i="8"/>
  <c r="O218" i="8"/>
  <c r="O219" i="8"/>
  <c r="O220" i="8"/>
  <c r="O221" i="8"/>
  <c r="O222" i="8"/>
  <c r="O223" i="8"/>
  <c r="O224" i="8"/>
  <c r="O225" i="8"/>
  <c r="O226" i="8"/>
  <c r="O227" i="8"/>
  <c r="O228" i="8"/>
  <c r="O229" i="8"/>
  <c r="O230" i="8"/>
  <c r="O231" i="8"/>
  <c r="O232" i="8"/>
  <c r="O233" i="8"/>
  <c r="O234" i="8"/>
  <c r="O235" i="8"/>
  <c r="O236" i="8"/>
  <c r="O237" i="8"/>
  <c r="O238" i="8"/>
  <c r="O239" i="8"/>
  <c r="O240" i="8"/>
  <c r="O241" i="8"/>
  <c r="O242" i="8"/>
  <c r="O243" i="8"/>
  <c r="O244" i="8"/>
  <c r="O245" i="8"/>
  <c r="O246" i="8"/>
  <c r="O247" i="8"/>
  <c r="O248" i="8"/>
  <c r="O249" i="8"/>
  <c r="O250" i="8"/>
  <c r="O252" i="8"/>
  <c r="O253" i="8"/>
  <c r="O254" i="8"/>
  <c r="O255" i="8"/>
  <c r="O256" i="8"/>
  <c r="O257" i="8"/>
  <c r="O258" i="8"/>
  <c r="O259" i="8"/>
  <c r="O260" i="8"/>
  <c r="O261" i="8"/>
  <c r="O262" i="8"/>
  <c r="O263" i="8"/>
  <c r="O264" i="8"/>
  <c r="O265" i="8"/>
  <c r="O266" i="8"/>
  <c r="O267" i="8"/>
  <c r="O268" i="8"/>
  <c r="O270" i="8"/>
  <c r="O271" i="8"/>
  <c r="O272" i="8"/>
  <c r="O273" i="8"/>
  <c r="O274" i="8"/>
  <c r="O275" i="8"/>
  <c r="O277" i="8"/>
  <c r="O278" i="8"/>
  <c r="O279" i="8"/>
  <c r="O280" i="8"/>
  <c r="O281" i="8"/>
  <c r="O282" i="8"/>
  <c r="O283" i="8"/>
  <c r="O284" i="8"/>
  <c r="O285" i="8"/>
  <c r="O286" i="8"/>
  <c r="O287" i="8"/>
  <c r="O288" i="8"/>
  <c r="O289" i="8"/>
  <c r="O290" i="8"/>
  <c r="O291" i="8"/>
  <c r="O292" i="8"/>
  <c r="O293" i="8"/>
  <c r="O294" i="8"/>
  <c r="O296" i="8"/>
  <c r="O297" i="8"/>
  <c r="O298" i="8"/>
  <c r="O299" i="8"/>
  <c r="O300" i="8"/>
  <c r="O301" i="8"/>
  <c r="O302" i="8"/>
  <c r="O303" i="8"/>
  <c r="O304" i="8"/>
  <c r="O305" i="8"/>
  <c r="O307" i="8"/>
  <c r="O308" i="8"/>
  <c r="O309" i="8"/>
  <c r="O310" i="8"/>
  <c r="O311" i="8"/>
  <c r="O313" i="8"/>
  <c r="O314" i="8"/>
  <c r="O315" i="8"/>
  <c r="O316" i="8"/>
  <c r="O317" i="8"/>
  <c r="O318" i="8"/>
  <c r="O319" i="8"/>
  <c r="O321" i="8"/>
  <c r="O322" i="8"/>
  <c r="O323" i="8"/>
  <c r="O324" i="8"/>
  <c r="O327" i="8"/>
  <c r="O329" i="8"/>
  <c r="O330" i="8"/>
  <c r="O331" i="8"/>
  <c r="O332" i="8"/>
  <c r="O334" i="8"/>
  <c r="O335" i="8"/>
  <c r="O336" i="8"/>
  <c r="O337" i="8"/>
  <c r="O338" i="8"/>
  <c r="O339" i="8"/>
  <c r="O340" i="8"/>
  <c r="O341" i="8"/>
  <c r="O343" i="8"/>
  <c r="O344" i="8"/>
  <c r="O345" i="8"/>
  <c r="O346" i="8"/>
  <c r="O347" i="8"/>
  <c r="O348" i="8"/>
  <c r="O349" i="8"/>
  <c r="O350" i="8"/>
  <c r="O351" i="8"/>
  <c r="O352" i="8"/>
  <c r="O353" i="8"/>
  <c r="O354" i="8"/>
  <c r="O355" i="8"/>
  <c r="O356" i="8"/>
  <c r="O357" i="8"/>
  <c r="O358" i="8"/>
  <c r="O359" i="8"/>
  <c r="O360" i="8"/>
  <c r="O361" i="8"/>
  <c r="O362" i="8"/>
  <c r="O363" i="8"/>
  <c r="O364" i="8"/>
  <c r="O365" i="8"/>
  <c r="O366" i="8"/>
  <c r="O367" i="8"/>
  <c r="O368" i="8"/>
  <c r="O370" i="8"/>
  <c r="O371" i="8"/>
  <c r="O372" i="8"/>
  <c r="O373" i="8"/>
  <c r="O375" i="8"/>
  <c r="O376" i="8"/>
  <c r="O377" i="8"/>
  <c r="O378" i="8"/>
  <c r="O379" i="8"/>
  <c r="O380" i="8"/>
  <c r="O381" i="8"/>
  <c r="O382" i="8"/>
  <c r="O383" i="8"/>
  <c r="O384" i="8"/>
  <c r="O385" i="8"/>
  <c r="O386" i="8"/>
  <c r="O387" i="8"/>
  <c r="O388" i="8"/>
  <c r="O389" i="8"/>
  <c r="O390" i="8"/>
  <c r="O391" i="8"/>
  <c r="O392" i="8"/>
  <c r="O393" i="8"/>
  <c r="O394" i="8"/>
  <c r="O395" i="8"/>
  <c r="O396" i="8"/>
  <c r="O397" i="8"/>
  <c r="O398" i="8"/>
  <c r="O399" i="8"/>
  <c r="O400" i="8"/>
  <c r="O401" i="8"/>
  <c r="O402" i="8"/>
  <c r="O403" i="8"/>
  <c r="O404" i="8"/>
  <c r="O405" i="8"/>
  <c r="O406" i="8"/>
  <c r="O407" i="8"/>
  <c r="O408" i="8"/>
  <c r="O409" i="8"/>
  <c r="O410" i="8"/>
  <c r="O411" i="8"/>
  <c r="O412" i="8"/>
  <c r="O413" i="8"/>
  <c r="O414" i="8"/>
  <c r="O415" i="8"/>
  <c r="O416" i="8"/>
  <c r="O417" i="8"/>
  <c r="O418" i="8"/>
  <c r="O419" i="8"/>
  <c r="O420" i="8"/>
  <c r="O421" i="8"/>
  <c r="O422" i="8"/>
  <c r="O423" i="8"/>
  <c r="O424" i="8"/>
  <c r="O425" i="8"/>
  <c r="O426" i="8"/>
  <c r="O427" i="8"/>
  <c r="O428" i="8"/>
  <c r="O429" i="8"/>
  <c r="O430" i="8"/>
  <c r="O431" i="8"/>
  <c r="O432" i="8"/>
  <c r="O433" i="8"/>
  <c r="O434" i="8"/>
  <c r="O435" i="8"/>
  <c r="O436" i="8"/>
  <c r="O437" i="8"/>
  <c r="O438" i="8"/>
  <c r="O439" i="8"/>
  <c r="O440" i="8"/>
  <c r="O441" i="8"/>
  <c r="O442" i="8"/>
  <c r="O443" i="8"/>
  <c r="O444" i="8"/>
  <c r="O445" i="8"/>
  <c r="O446" i="8"/>
  <c r="O447" i="8"/>
  <c r="O448" i="8"/>
  <c r="O449" i="8"/>
  <c r="O450" i="8"/>
  <c r="O451" i="8"/>
  <c r="O452" i="8"/>
  <c r="O453" i="8"/>
  <c r="O454" i="8"/>
  <c r="O455" i="8"/>
  <c r="O456" i="8"/>
  <c r="O457" i="8"/>
  <c r="O458" i="8"/>
  <c r="O459" i="8"/>
  <c r="O460" i="8"/>
  <c r="O461" i="8"/>
  <c r="O462" i="8"/>
  <c r="O463" i="8"/>
  <c r="O464" i="8"/>
  <c r="O465" i="8"/>
  <c r="O466" i="8"/>
  <c r="O467" i="8"/>
  <c r="O468" i="8"/>
  <c r="O469" i="8"/>
  <c r="O470" i="8"/>
  <c r="O473" i="8"/>
  <c r="O474" i="8"/>
  <c r="O475" i="8"/>
  <c r="O476" i="8"/>
  <c r="O477" i="8"/>
  <c r="O478" i="8"/>
  <c r="O479" i="8"/>
  <c r="O480" i="8"/>
  <c r="O481" i="8"/>
  <c r="O482" i="8"/>
  <c r="O483" i="8"/>
  <c r="O484" i="8"/>
  <c r="O485" i="8"/>
  <c r="O486" i="8"/>
  <c r="O487" i="8"/>
  <c r="O488" i="8"/>
  <c r="O489" i="8"/>
  <c r="O490" i="8"/>
  <c r="O491" i="8"/>
  <c r="O493" i="8"/>
  <c r="O494" i="8"/>
  <c r="O495" i="8"/>
  <c r="O496" i="8"/>
  <c r="O497" i="8"/>
  <c r="O498" i="8"/>
  <c r="O499" i="8"/>
  <c r="O500" i="8"/>
  <c r="O501" i="8"/>
  <c r="O502" i="8"/>
  <c r="O503" i="8"/>
  <c r="O504" i="8"/>
  <c r="O505" i="8"/>
  <c r="O506" i="8"/>
  <c r="O507" i="8"/>
  <c r="O508" i="8"/>
  <c r="O509" i="8"/>
  <c r="O510" i="8"/>
  <c r="O511" i="8"/>
  <c r="O512" i="8"/>
  <c r="O513" i="8"/>
  <c r="O514" i="8"/>
  <c r="O515" i="8"/>
  <c r="O516" i="8"/>
  <c r="O517" i="8"/>
  <c r="O518" i="8"/>
  <c r="O519" i="8"/>
  <c r="O520" i="8"/>
  <c r="O521" i="8"/>
  <c r="O522" i="8"/>
  <c r="O523" i="8"/>
  <c r="O524" i="8"/>
  <c r="O525" i="8"/>
  <c r="O526" i="8"/>
  <c r="O527" i="8"/>
  <c r="O528" i="8"/>
  <c r="O529" i="8"/>
  <c r="O530" i="8"/>
  <c r="O531" i="8"/>
  <c r="O532" i="8"/>
  <c r="O533" i="8"/>
  <c r="O534" i="8"/>
  <c r="O535" i="8"/>
  <c r="O536" i="8"/>
  <c r="O537" i="8"/>
  <c r="O538" i="8"/>
  <c r="O539" i="8"/>
  <c r="O540" i="8"/>
  <c r="O541" i="8"/>
  <c r="O542" i="8"/>
  <c r="O543" i="8"/>
  <c r="O544" i="8"/>
  <c r="O545" i="8"/>
  <c r="O546" i="8"/>
  <c r="O547" i="8"/>
  <c r="O548" i="8"/>
  <c r="O549" i="8"/>
  <c r="O550" i="8"/>
  <c r="O551" i="8"/>
  <c r="O552" i="8"/>
  <c r="O553" i="8"/>
  <c r="O554" i="8"/>
  <c r="O555" i="8"/>
  <c r="O556" i="8"/>
  <c r="O557" i="8"/>
  <c r="O558" i="8"/>
  <c r="O559" i="8"/>
  <c r="O560" i="8"/>
  <c r="O561" i="8"/>
  <c r="O562" i="8"/>
  <c r="O563" i="8"/>
  <c r="O564" i="8"/>
  <c r="O565" i="8"/>
  <c r="O566" i="8"/>
  <c r="O567" i="8"/>
  <c r="O568" i="8"/>
  <c r="O569" i="8"/>
  <c r="O570" i="8"/>
  <c r="O571" i="8"/>
  <c r="O572" i="8"/>
  <c r="O573" i="8"/>
  <c r="O575" i="8"/>
  <c r="O576" i="8"/>
  <c r="O577" i="8"/>
  <c r="O578" i="8"/>
  <c r="O579" i="8"/>
  <c r="O580" i="8"/>
  <c r="O581" i="8"/>
  <c r="O582" i="8"/>
  <c r="O583" i="8"/>
  <c r="O584" i="8"/>
  <c r="O585" i="8"/>
  <c r="O586" i="8"/>
  <c r="O587" i="8"/>
  <c r="O588" i="8"/>
  <c r="O589" i="8"/>
  <c r="O590" i="8"/>
  <c r="O591" i="8"/>
  <c r="O592" i="8"/>
  <c r="O593" i="8"/>
  <c r="O594" i="8"/>
  <c r="O595" i="8"/>
  <c r="O596" i="8"/>
  <c r="O597" i="8"/>
  <c r="O598" i="8"/>
  <c r="O599" i="8"/>
  <c r="O600" i="8"/>
  <c r="O601" i="8"/>
  <c r="O602" i="8"/>
  <c r="O603" i="8"/>
  <c r="O604" i="8"/>
  <c r="O605" i="8"/>
  <c r="O606" i="8"/>
  <c r="O607" i="8"/>
  <c r="O608" i="8"/>
  <c r="O609" i="8"/>
  <c r="O610" i="8"/>
  <c r="O611" i="8"/>
  <c r="O612" i="8"/>
  <c r="O613" i="8"/>
  <c r="O614" i="8"/>
  <c r="O615" i="8"/>
  <c r="O616" i="8"/>
  <c r="O617" i="8"/>
  <c r="O618" i="8"/>
  <c r="O619" i="8"/>
  <c r="O620" i="8"/>
  <c r="O621" i="8"/>
  <c r="O622" i="8"/>
  <c r="O623" i="8"/>
  <c r="O624" i="8"/>
  <c r="O625" i="8"/>
  <c r="O626" i="8"/>
  <c r="O627" i="8"/>
  <c r="O628" i="8"/>
  <c r="O629" i="8"/>
  <c r="O630" i="8"/>
  <c r="O631" i="8"/>
  <c r="O632" i="8"/>
  <c r="O633" i="8"/>
  <c r="O634" i="8"/>
  <c r="O635" i="8"/>
  <c r="O636" i="8"/>
  <c r="O637" i="8"/>
  <c r="O638" i="8"/>
  <c r="O639" i="8"/>
  <c r="O640" i="8"/>
  <c r="O641" i="8"/>
  <c r="O642" i="8"/>
  <c r="O643" i="8"/>
  <c r="O644" i="8"/>
  <c r="O645" i="8"/>
  <c r="O646" i="8"/>
  <c r="O647" i="8"/>
  <c r="O648" i="8"/>
  <c r="O649" i="8"/>
  <c r="O650" i="8"/>
  <c r="O651" i="8"/>
  <c r="O652" i="8"/>
  <c r="O653" i="8"/>
  <c r="O654" i="8"/>
  <c r="O655" i="8"/>
  <c r="O656" i="8"/>
  <c r="O657" i="8"/>
  <c r="O658" i="8"/>
  <c r="O659" i="8"/>
  <c r="O660" i="8"/>
  <c r="O661" i="8"/>
  <c r="O662" i="8"/>
  <c r="O663" i="8"/>
  <c r="O664" i="8"/>
  <c r="O665" i="8"/>
  <c r="O666" i="8"/>
  <c r="O667" i="8"/>
  <c r="O668" i="8"/>
  <c r="O669" i="8"/>
  <c r="O670" i="8"/>
  <c r="O671" i="8"/>
  <c r="O672" i="8"/>
  <c r="O673" i="8"/>
  <c r="O674" i="8"/>
  <c r="O675" i="8"/>
  <c r="O676" i="8"/>
  <c r="O677" i="8"/>
  <c r="O678" i="8"/>
  <c r="O679" i="8"/>
  <c r="O680" i="8"/>
  <c r="O681" i="8"/>
  <c r="O682" i="8"/>
  <c r="O683" i="8"/>
  <c r="O684" i="8"/>
  <c r="O685" i="8"/>
  <c r="O686" i="8"/>
  <c r="O687" i="8"/>
  <c r="O688" i="8"/>
  <c r="O689" i="8"/>
  <c r="O690" i="8"/>
  <c r="O691" i="8"/>
  <c r="O692" i="8"/>
  <c r="O693" i="8"/>
  <c r="O694" i="8"/>
  <c r="O695" i="8"/>
  <c r="O696" i="8"/>
  <c r="O697" i="8"/>
  <c r="O698" i="8"/>
  <c r="O699" i="8"/>
  <c r="O700" i="8"/>
  <c r="O701" i="8"/>
  <c r="O702" i="8"/>
  <c r="O703" i="8"/>
  <c r="O704" i="8"/>
  <c r="O705" i="8"/>
  <c r="O706" i="8"/>
  <c r="O707" i="8"/>
  <c r="O708" i="8"/>
  <c r="O709" i="8"/>
  <c r="O710" i="8"/>
  <c r="O711" i="8"/>
  <c r="O712" i="8"/>
  <c r="O713" i="8"/>
  <c r="O714" i="8"/>
  <c r="O715" i="8"/>
  <c r="O716" i="8"/>
  <c r="O717" i="8"/>
  <c r="O718" i="8"/>
  <c r="O719" i="8"/>
  <c r="O720" i="8"/>
  <c r="O721" i="8"/>
  <c r="O722" i="8"/>
  <c r="O723" i="8"/>
  <c r="O724" i="8"/>
  <c r="O725" i="8"/>
  <c r="O726" i="8"/>
  <c r="O727" i="8"/>
  <c r="O728" i="8"/>
  <c r="O729" i="8"/>
  <c r="O730" i="8"/>
  <c r="O731" i="8"/>
  <c r="O732" i="8"/>
  <c r="O733" i="8"/>
  <c r="O734" i="8"/>
  <c r="O735" i="8"/>
  <c r="O736" i="8"/>
  <c r="O737" i="8"/>
  <c r="O738" i="8"/>
  <c r="O739" i="8"/>
  <c r="O740" i="8"/>
  <c r="O741" i="8"/>
  <c r="O742" i="8"/>
  <c r="O743" i="8"/>
  <c r="O744" i="8"/>
  <c r="O745" i="8"/>
  <c r="O746" i="8"/>
  <c r="O747" i="8"/>
  <c r="O748" i="8"/>
  <c r="O749" i="8"/>
  <c r="O750" i="8"/>
  <c r="O751" i="8"/>
  <c r="O752" i="8"/>
  <c r="O753" i="8"/>
  <c r="O754" i="8"/>
  <c r="O755" i="8"/>
  <c r="O756" i="8"/>
  <c r="O757" i="8"/>
  <c r="O758" i="8"/>
  <c r="O759" i="8"/>
  <c r="O760" i="8"/>
  <c r="O761" i="8"/>
  <c r="O762" i="8"/>
  <c r="O763" i="8"/>
  <c r="O764" i="8"/>
  <c r="O765" i="8"/>
  <c r="O766" i="8"/>
  <c r="O767" i="8"/>
  <c r="O768" i="8"/>
  <c r="O769" i="8"/>
  <c r="O770" i="8"/>
  <c r="O771" i="8"/>
  <c r="O772" i="8"/>
  <c r="O773" i="8"/>
  <c r="O774" i="8"/>
  <c r="O775" i="8"/>
  <c r="O776" i="8"/>
  <c r="O777" i="8"/>
  <c r="O778" i="8"/>
  <c r="O779" i="8"/>
  <c r="O780" i="8"/>
  <c r="O781" i="8"/>
  <c r="O782" i="8"/>
  <c r="O783" i="8"/>
  <c r="O784" i="8"/>
  <c r="O785" i="8"/>
  <c r="O786" i="8"/>
  <c r="O787" i="8"/>
  <c r="O788" i="8"/>
  <c r="O789" i="8"/>
  <c r="O790" i="8"/>
  <c r="O791" i="8"/>
  <c r="O792" i="8"/>
  <c r="O793" i="8"/>
  <c r="O794" i="8"/>
  <c r="O795" i="8"/>
  <c r="O796" i="8"/>
  <c r="O797" i="8"/>
  <c r="O798" i="8"/>
  <c r="O799" i="8"/>
  <c r="O800" i="8"/>
  <c r="O801" i="8"/>
  <c r="O802" i="8"/>
  <c r="O803" i="8"/>
  <c r="O804" i="8"/>
  <c r="O805" i="8"/>
  <c r="O806" i="8"/>
  <c r="O807" i="8"/>
  <c r="O808" i="8"/>
  <c r="O809" i="8"/>
  <c r="O810" i="8"/>
  <c r="O811" i="8"/>
  <c r="O812" i="8"/>
  <c r="O813" i="8"/>
  <c r="O814" i="8"/>
  <c r="O815" i="8"/>
  <c r="O816" i="8"/>
  <c r="O817" i="8"/>
  <c r="O818" i="8"/>
  <c r="O819" i="8"/>
  <c r="O820" i="8"/>
  <c r="O821" i="8"/>
  <c r="O822" i="8"/>
  <c r="O823" i="8"/>
  <c r="O824" i="8"/>
  <c r="O825" i="8"/>
  <c r="O826" i="8"/>
  <c r="O827" i="8"/>
  <c r="O828" i="8"/>
  <c r="O829" i="8"/>
  <c r="O830" i="8"/>
  <c r="O831" i="8"/>
  <c r="O832" i="8"/>
  <c r="O833" i="8"/>
  <c r="O834" i="8"/>
  <c r="O835" i="8"/>
  <c r="O836" i="8"/>
  <c r="O837" i="8"/>
  <c r="O838" i="8"/>
  <c r="O839" i="8"/>
  <c r="O840" i="8"/>
  <c r="O841" i="8"/>
  <c r="O842" i="8"/>
  <c r="O843" i="8"/>
  <c r="O844" i="8"/>
  <c r="O845" i="8"/>
  <c r="O846" i="8"/>
  <c r="O847" i="8"/>
  <c r="O848" i="8"/>
  <c r="O849" i="8"/>
  <c r="O850" i="8"/>
  <c r="O851" i="8"/>
  <c r="O852" i="8"/>
  <c r="O853" i="8"/>
  <c r="O854" i="8"/>
  <c r="O855" i="8"/>
  <c r="O856" i="8"/>
  <c r="O857" i="8"/>
  <c r="O858" i="8"/>
  <c r="O859" i="8"/>
  <c r="O860" i="8"/>
  <c r="O861" i="8"/>
  <c r="O862" i="8"/>
  <c r="O863" i="8"/>
  <c r="O864" i="8"/>
  <c r="O865" i="8"/>
  <c r="O866" i="8"/>
  <c r="O867" i="8"/>
  <c r="O868" i="8"/>
  <c r="O869" i="8"/>
  <c r="O870" i="8"/>
  <c r="O871" i="8"/>
  <c r="O872" i="8"/>
  <c r="O873" i="8"/>
  <c r="O874" i="8"/>
  <c r="O875" i="8"/>
  <c r="O876" i="8"/>
  <c r="O877" i="8"/>
  <c r="O878" i="8"/>
  <c r="O879" i="8"/>
  <c r="O880" i="8"/>
  <c r="O881" i="8"/>
  <c r="O882" i="8"/>
  <c r="O883" i="8"/>
  <c r="O884" i="8"/>
  <c r="O885" i="8"/>
  <c r="O886" i="8"/>
  <c r="O887" i="8"/>
  <c r="O888" i="8"/>
  <c r="O889" i="8"/>
  <c r="O890" i="8"/>
  <c r="O891" i="8"/>
  <c r="O892" i="8"/>
  <c r="O893" i="8"/>
  <c r="O894" i="8"/>
  <c r="O895" i="8"/>
  <c r="O896" i="8"/>
  <c r="O897" i="8"/>
  <c r="O898" i="8"/>
  <c r="O899" i="8"/>
  <c r="O900" i="8"/>
  <c r="O901" i="8"/>
  <c r="O902" i="8"/>
  <c r="O903" i="8"/>
  <c r="O904" i="8"/>
  <c r="O905" i="8"/>
  <c r="O906" i="8"/>
  <c r="O907" i="8"/>
  <c r="O908" i="8"/>
  <c r="O909" i="8"/>
  <c r="O910" i="8"/>
  <c r="O911" i="8"/>
  <c r="AE111" i="18" l="1"/>
  <c r="AH111" i="18"/>
  <c r="AB111" i="18" s="1"/>
  <c r="AL111" i="18"/>
  <c r="Y111" i="18" l="1"/>
  <c r="AM111" i="18"/>
  <c r="AN111" i="18" s="1"/>
  <c r="AL138" i="18"/>
  <c r="AH138" i="18"/>
  <c r="AE138" i="18"/>
  <c r="AB138" i="18"/>
  <c r="Y138" i="18" l="1"/>
  <c r="AM138" i="18"/>
  <c r="AN138" i="18" s="1"/>
  <c r="F374" i="8" l="1"/>
  <c r="O374" i="8" s="1"/>
  <c r="I369" i="8" l="1"/>
  <c r="O369" i="8" s="1"/>
  <c r="T7" i="1" l="1"/>
  <c r="T8" i="1"/>
  <c r="T9" i="1"/>
  <c r="T10" i="1"/>
  <c r="T11" i="1"/>
  <c r="T12" i="1"/>
  <c r="T13" i="1"/>
  <c r="T14" i="1"/>
  <c r="T17" i="1"/>
  <c r="T18" i="1"/>
  <c r="T20" i="1"/>
  <c r="T21" i="1"/>
  <c r="T22" i="1"/>
  <c r="T23" i="1"/>
  <c r="T24" i="1"/>
  <c r="T25" i="1"/>
  <c r="T26" i="1"/>
  <c r="T27" i="1"/>
  <c r="T28" i="1"/>
  <c r="T6" i="1"/>
  <c r="AH61" i="18" l="1"/>
  <c r="AH62" i="18"/>
  <c r="AH63" i="18"/>
  <c r="AH64" i="18"/>
  <c r="AH65" i="18"/>
  <c r="AH66" i="18"/>
  <c r="F342" i="8" l="1"/>
  <c r="O342" i="8" s="1"/>
  <c r="F333" i="8" l="1"/>
  <c r="O333" i="8" s="1"/>
  <c r="AH141" i="18" l="1"/>
  <c r="AB141" i="18"/>
  <c r="AE141" i="18"/>
  <c r="AL141" i="18"/>
  <c r="F328" i="8"/>
  <c r="O328" i="8" s="1"/>
  <c r="Y141" i="18" l="1"/>
  <c r="AM141" i="18" s="1"/>
  <c r="AN141" i="18" s="1"/>
  <c r="U320" i="8"/>
  <c r="Q320" i="8"/>
  <c r="P320" i="8" l="1"/>
  <c r="J326" i="8"/>
  <c r="O326" i="8" s="1"/>
  <c r="F325" i="8" l="1"/>
  <c r="O325" i="8" s="1"/>
  <c r="AL64" i="18" l="1"/>
  <c r="F320" i="8" l="1"/>
  <c r="O320" i="8" s="1"/>
  <c r="C319" i="8" l="1"/>
  <c r="F312" i="8" l="1"/>
  <c r="O312" i="8" s="1"/>
  <c r="F306" i="8" l="1"/>
  <c r="O306" i="8" s="1"/>
  <c r="F295" i="8" l="1"/>
  <c r="O295" i="8" s="1"/>
  <c r="AH121" i="18" l="1"/>
  <c r="AE121" i="18"/>
  <c r="AB121" i="18"/>
  <c r="AJ122" i="18"/>
  <c r="AL121" i="18"/>
  <c r="AH28" i="18"/>
  <c r="AE28" i="18"/>
  <c r="AB28" i="18"/>
  <c r="AJ29" i="18"/>
  <c r="AL28" i="18"/>
  <c r="Y121" i="18" l="1"/>
  <c r="AM121" i="18"/>
  <c r="AN121" i="18" s="1"/>
  <c r="Y28" i="18"/>
  <c r="AM28" i="18" s="1"/>
  <c r="AN28" i="18" s="1"/>
  <c r="F276" i="8" l="1"/>
  <c r="O276" i="8" s="1"/>
  <c r="M269" i="8" l="1"/>
  <c r="O269" i="8" s="1"/>
  <c r="AL137" i="18" l="1"/>
  <c r="AH137" i="18"/>
  <c r="AE137" i="18"/>
  <c r="AB137" i="18"/>
  <c r="AL136" i="18"/>
  <c r="AH136" i="18"/>
  <c r="AE136" i="18"/>
  <c r="AL133" i="18"/>
  <c r="AH133" i="18"/>
  <c r="AE133" i="18"/>
  <c r="AB133" i="18"/>
  <c r="AL132" i="18"/>
  <c r="AH132" i="18"/>
  <c r="AE132" i="18"/>
  <c r="AB132" i="18"/>
  <c r="AL131" i="18"/>
  <c r="AH131" i="18"/>
  <c r="AE131" i="18"/>
  <c r="AB131" i="18"/>
  <c r="AL130" i="18"/>
  <c r="AH130" i="18"/>
  <c r="AE130" i="18"/>
  <c r="AB130" i="18"/>
  <c r="AL135" i="18"/>
  <c r="AH135" i="18"/>
  <c r="AE135" i="18"/>
  <c r="AB135" i="18"/>
  <c r="AL134" i="18"/>
  <c r="AH134" i="18"/>
  <c r="AE134" i="18"/>
  <c r="AB134" i="18"/>
  <c r="AL147" i="18"/>
  <c r="AH147" i="18"/>
  <c r="AE147" i="18"/>
  <c r="AB147" i="18"/>
  <c r="AJ105" i="18"/>
  <c r="AB99" i="18"/>
  <c r="AB100" i="18"/>
  <c r="AE99" i="18"/>
  <c r="AE100" i="18"/>
  <c r="AH99" i="18"/>
  <c r="AH100" i="18"/>
  <c r="AL99" i="18"/>
  <c r="AL100" i="18"/>
  <c r="AM100" i="18"/>
  <c r="AN100" i="18" s="1"/>
  <c r="AM99" i="18"/>
  <c r="AN99" i="18" s="1"/>
  <c r="AL101" i="18"/>
  <c r="AH101" i="18"/>
  <c r="AE101" i="18"/>
  <c r="AB101" i="18"/>
  <c r="AH98" i="18"/>
  <c r="AE98" i="18" s="1"/>
  <c r="AL98" i="18"/>
  <c r="AB136" i="18" l="1"/>
  <c r="Y136" i="18" s="1"/>
  <c r="AM136" i="18" s="1"/>
  <c r="AN136" i="18" s="1"/>
  <c r="Y133" i="18"/>
  <c r="AM133" i="18" s="1"/>
  <c r="AN133" i="18" s="1"/>
  <c r="Y130" i="18"/>
  <c r="AM130" i="18" s="1"/>
  <c r="AN130" i="18" s="1"/>
  <c r="Y100" i="18"/>
  <c r="Y132" i="18"/>
  <c r="AM132" i="18" s="1"/>
  <c r="AN132" i="18" s="1"/>
  <c r="AB98" i="18"/>
  <c r="Y131" i="18"/>
  <c r="AM131" i="18" s="1"/>
  <c r="AN131" i="18" s="1"/>
  <c r="Y137" i="18"/>
  <c r="AM137" i="18" s="1"/>
  <c r="AN137" i="18" s="1"/>
  <c r="Y101" i="18"/>
  <c r="AM101" i="18" s="1"/>
  <c r="AN101" i="18" s="1"/>
  <c r="Y99" i="18"/>
  <c r="Y147" i="18"/>
  <c r="AM147" i="18" s="1"/>
  <c r="AN147" i="18" s="1"/>
  <c r="Y135" i="18"/>
  <c r="AM135" i="18" s="1"/>
  <c r="AN135" i="18" s="1"/>
  <c r="Y134" i="18"/>
  <c r="AM134" i="18" s="1"/>
  <c r="AN134" i="18" s="1"/>
  <c r="P258" i="8"/>
  <c r="Y98" i="18" l="1"/>
  <c r="AM98" i="18" s="1"/>
  <c r="AN98" i="18" s="1"/>
  <c r="AL43" i="18"/>
  <c r="AH43" i="18"/>
  <c r="AE43" i="18"/>
  <c r="AB43" i="18"/>
  <c r="Y43" i="18" l="1"/>
  <c r="AM43" i="18" s="1"/>
  <c r="AN43" i="18" s="1"/>
  <c r="H141" i="17" l="1"/>
  <c r="H140" i="17"/>
  <c r="H139" i="17"/>
  <c r="H138" i="17"/>
  <c r="H137" i="17"/>
  <c r="H136" i="17"/>
  <c r="H135" i="17"/>
  <c r="H134" i="17"/>
  <c r="H133" i="17"/>
  <c r="H142" i="17" l="1"/>
  <c r="AL117" i="18" l="1"/>
  <c r="AL118" i="18"/>
  <c r="AH117" i="18"/>
  <c r="AH118" i="18"/>
  <c r="AE117" i="18"/>
  <c r="AE118" i="18"/>
  <c r="AB118" i="18" l="1"/>
  <c r="Y118" i="18" s="1"/>
  <c r="AM118" i="18" s="1"/>
  <c r="AN118" i="18" s="1"/>
  <c r="AB117" i="18"/>
  <c r="Y117" i="18" s="1"/>
  <c r="AM117" i="18" s="1"/>
  <c r="AN117" i="18" s="1"/>
  <c r="AH129" i="18" l="1"/>
  <c r="AE129" i="18" s="1"/>
  <c r="AB129" i="18" s="1"/>
  <c r="Y129" i="18" s="1"/>
  <c r="AJ148" i="18"/>
  <c r="S220" i="18" s="1"/>
  <c r="AL129" i="18"/>
  <c r="AM129" i="18" l="1"/>
  <c r="AN129" i="18" s="1"/>
  <c r="F251" i="8"/>
  <c r="O251" i="8" s="1"/>
  <c r="AJ71" i="18" l="1"/>
  <c r="H126" i="17" l="1"/>
  <c r="H125" i="17"/>
  <c r="H124" i="17"/>
  <c r="H123" i="17"/>
  <c r="H122" i="17"/>
  <c r="H121" i="17"/>
  <c r="H120" i="17"/>
  <c r="H119" i="17"/>
  <c r="H118" i="17"/>
  <c r="H127" i="17" l="1"/>
  <c r="AM79" i="18"/>
  <c r="AM81" i="18"/>
  <c r="AM45" i="18"/>
  <c r="AM51" i="18"/>
  <c r="AM65" i="18"/>
  <c r="AM69" i="18"/>
  <c r="AM33" i="18"/>
  <c r="AM10" i="18"/>
  <c r="AN10" i="18" s="1"/>
  <c r="AM18" i="18"/>
  <c r="AN18" i="18" s="1"/>
  <c r="AM19" i="18"/>
  <c r="AN19" i="18" s="1"/>
  <c r="AL9" i="18"/>
  <c r="AH5" i="18" l="1"/>
  <c r="AH6" i="18"/>
  <c r="AH7" i="18"/>
  <c r="AH8" i="18"/>
  <c r="AH9" i="18"/>
  <c r="AH10" i="18"/>
  <c r="AH11" i="18"/>
  <c r="AE11" i="18" s="1"/>
  <c r="AH12" i="18"/>
  <c r="AH13" i="18"/>
  <c r="AE13" i="18" s="1"/>
  <c r="AH14" i="18"/>
  <c r="AH15" i="18"/>
  <c r="AH16" i="18"/>
  <c r="AH17" i="18"/>
  <c r="AH18" i="18"/>
  <c r="AH19" i="18"/>
  <c r="AH20" i="18"/>
  <c r="AH21" i="18"/>
  <c r="AH22" i="18"/>
  <c r="AH23" i="18"/>
  <c r="AH24" i="18"/>
  <c r="AH25" i="18"/>
  <c r="AH26" i="18"/>
  <c r="AH27" i="18"/>
  <c r="AE10" i="18"/>
  <c r="AE14" i="18"/>
  <c r="AE17" i="18"/>
  <c r="AE18" i="18"/>
  <c r="AE19" i="18"/>
  <c r="AE20" i="18"/>
  <c r="AE21" i="18"/>
  <c r="AB10" i="18"/>
  <c r="AB18" i="18"/>
  <c r="AB19" i="18"/>
  <c r="AB20" i="18"/>
  <c r="AB21" i="18"/>
  <c r="Y10" i="18"/>
  <c r="Y18" i="18"/>
  <c r="Y19" i="18"/>
  <c r="AH4" i="18"/>
  <c r="AH34" i="18"/>
  <c r="AH35" i="18"/>
  <c r="AH36" i="18"/>
  <c r="AH37" i="18"/>
  <c r="AH38" i="18"/>
  <c r="AH39" i="18"/>
  <c r="AH40" i="18"/>
  <c r="AH41" i="18"/>
  <c r="AH42" i="18"/>
  <c r="AH44" i="18"/>
  <c r="AH45" i="18"/>
  <c r="AH46" i="18"/>
  <c r="AH47" i="18"/>
  <c r="AH48" i="18"/>
  <c r="AH49" i="18"/>
  <c r="AH50" i="18"/>
  <c r="AH51" i="18"/>
  <c r="AH52" i="18"/>
  <c r="AH53" i="18"/>
  <c r="AH54" i="18"/>
  <c r="AH55" i="18"/>
  <c r="AH56" i="18"/>
  <c r="AH57" i="18"/>
  <c r="AH58" i="18"/>
  <c r="AH59" i="18"/>
  <c r="AH60" i="18"/>
  <c r="AH67" i="18"/>
  <c r="AH68" i="18"/>
  <c r="AH69" i="18"/>
  <c r="AH70" i="18"/>
  <c r="AE39" i="18"/>
  <c r="AE41" i="18"/>
  <c r="AE45" i="18"/>
  <c r="AE46" i="18"/>
  <c r="AE47" i="18"/>
  <c r="AE50" i="18"/>
  <c r="AE51" i="18"/>
  <c r="AE53" i="18"/>
  <c r="AE54" i="18"/>
  <c r="AE57" i="18"/>
  <c r="AE58" i="18"/>
  <c r="AE60" i="18"/>
  <c r="AE61" i="18"/>
  <c r="AE62" i="18"/>
  <c r="AE63" i="18"/>
  <c r="AE64" i="18"/>
  <c r="AE65" i="18"/>
  <c r="AE69" i="18"/>
  <c r="AE70" i="18"/>
  <c r="AB39" i="18"/>
  <c r="AB41" i="18"/>
  <c r="AB45" i="18"/>
  <c r="AB46" i="18"/>
  <c r="AB47" i="18"/>
  <c r="AB51" i="18"/>
  <c r="AB53" i="18"/>
  <c r="AB54" i="18"/>
  <c r="AB57" i="18"/>
  <c r="AB58" i="18"/>
  <c r="AB60" i="18"/>
  <c r="AB61" i="18"/>
  <c r="AB62" i="18"/>
  <c r="AB63" i="18"/>
  <c r="AB64" i="18"/>
  <c r="AB65" i="18"/>
  <c r="AB69" i="18"/>
  <c r="AB70" i="18"/>
  <c r="Y45" i="18"/>
  <c r="Y51" i="18"/>
  <c r="Y69" i="18"/>
  <c r="AH33" i="18"/>
  <c r="AE33" i="18"/>
  <c r="AB33" i="18"/>
  <c r="Y33" i="18"/>
  <c r="AH83" i="18"/>
  <c r="Y79" i="18"/>
  <c r="Y81" i="18"/>
  <c r="Y88" i="18"/>
  <c r="Y90" i="18"/>
  <c r="AB79" i="18"/>
  <c r="AB80" i="18"/>
  <c r="AB81" i="18"/>
  <c r="AB84" i="18"/>
  <c r="AB86" i="18"/>
  <c r="AB88" i="18"/>
  <c r="AB89" i="18"/>
  <c r="AB90" i="18"/>
  <c r="AB96" i="18"/>
  <c r="AE79" i="18"/>
  <c r="AE80" i="18"/>
  <c r="AE81" i="18"/>
  <c r="AE82" i="18"/>
  <c r="AE84" i="18"/>
  <c r="AE86" i="18"/>
  <c r="AE88" i="18"/>
  <c r="AE89" i="18"/>
  <c r="AE90" i="18"/>
  <c r="AE91" i="18"/>
  <c r="AE92" i="18"/>
  <c r="AE96" i="18"/>
  <c r="AH76" i="18"/>
  <c r="AH77" i="18"/>
  <c r="AH78" i="18"/>
  <c r="AH79" i="18"/>
  <c r="AH80" i="18"/>
  <c r="AH81" i="18"/>
  <c r="AH82" i="18"/>
  <c r="AH84" i="18"/>
  <c r="AH85" i="18"/>
  <c r="AH86" i="18"/>
  <c r="AH87" i="18"/>
  <c r="AH88" i="18"/>
  <c r="AH89" i="18"/>
  <c r="AH90" i="18"/>
  <c r="AM90" i="18" s="1"/>
  <c r="AH91" i="18"/>
  <c r="AB91" i="18" s="1"/>
  <c r="AH92" i="18"/>
  <c r="AH93" i="18"/>
  <c r="AH94" i="18"/>
  <c r="AH95" i="18"/>
  <c r="AH96" i="18"/>
  <c r="Y96" i="18" s="1"/>
  <c r="AH104" i="18"/>
  <c r="AH75" i="18"/>
  <c r="AH110" i="18"/>
  <c r="AH112" i="18"/>
  <c r="AH113" i="18"/>
  <c r="AH114" i="18"/>
  <c r="AH115" i="18"/>
  <c r="AH116" i="18"/>
  <c r="AH120" i="18"/>
  <c r="AE120" i="18" s="1"/>
  <c r="AB120" i="18" s="1"/>
  <c r="AE110" i="18"/>
  <c r="AE114" i="18"/>
  <c r="AB110" i="18"/>
  <c r="AH109" i="18"/>
  <c r="AB126" i="18"/>
  <c r="AE126" i="18"/>
  <c r="AE127" i="18"/>
  <c r="AH126" i="18"/>
  <c r="AH127" i="18"/>
  <c r="AH128" i="18"/>
  <c r="AE128" i="18" s="1"/>
  <c r="Y62" i="18" l="1"/>
  <c r="AB82" i="18"/>
  <c r="AB17" i="18"/>
  <c r="Y17" i="18" s="1"/>
  <c r="AM17" i="18" s="1"/>
  <c r="AN17" i="18" s="1"/>
  <c r="Y20" i="18"/>
  <c r="AM20" i="18"/>
  <c r="AN20" i="18" s="1"/>
  <c r="Y70" i="18"/>
  <c r="AM62" i="18"/>
  <c r="Y80" i="18"/>
  <c r="AM80" i="18"/>
  <c r="Y58" i="18"/>
  <c r="Y61" i="18"/>
  <c r="AM61" i="18" s="1"/>
  <c r="Y47" i="18"/>
  <c r="AM47" i="18" s="1"/>
  <c r="AN47" i="18" s="1"/>
  <c r="AM96" i="18"/>
  <c r="Y60" i="18"/>
  <c r="AM60" i="18" s="1"/>
  <c r="Y39" i="18"/>
  <c r="AM39" i="18" s="1"/>
  <c r="Y57" i="18"/>
  <c r="Y89" i="18"/>
  <c r="AM89" i="18" s="1"/>
  <c r="Y64" i="18"/>
  <c r="Y54" i="18"/>
  <c r="AM54" i="18" s="1"/>
  <c r="Y126" i="18"/>
  <c r="AM126" i="18" s="1"/>
  <c r="Y91" i="18"/>
  <c r="AM91" i="18" s="1"/>
  <c r="AM70" i="18"/>
  <c r="AM88" i="18"/>
  <c r="Y84" i="18"/>
  <c r="Y82" i="18"/>
  <c r="AM82" i="18" s="1"/>
  <c r="Y21" i="18"/>
  <c r="AM58" i="18"/>
  <c r="AM64" i="18"/>
  <c r="AM57" i="18"/>
  <c r="AM84" i="18"/>
  <c r="AM21" i="18"/>
  <c r="AN21" i="18" s="1"/>
  <c r="Y86" i="18"/>
  <c r="AM86" i="18"/>
  <c r="AB128" i="18"/>
  <c r="Y128" i="18" s="1"/>
  <c r="Y53" i="18"/>
  <c r="Y65" i="18"/>
  <c r="Y41" i="18"/>
  <c r="AM41" i="18" s="1"/>
  <c r="Y120" i="18"/>
  <c r="AM120" i="18" s="1"/>
  <c r="AB114" i="18"/>
  <c r="Y114" i="18" s="1"/>
  <c r="AM114" i="18" s="1"/>
  <c r="AE83" i="18"/>
  <c r="AB83" i="18" s="1"/>
  <c r="Y83" i="18" s="1"/>
  <c r="AM83" i="18" s="1"/>
  <c r="AE49" i="18"/>
  <c r="AM53" i="18"/>
  <c r="Y46" i="18"/>
  <c r="AM46" i="18" s="1"/>
  <c r="Y63" i="18"/>
  <c r="AM63" i="18" s="1"/>
  <c r="Y110" i="18"/>
  <c r="AM110" i="18" s="1"/>
  <c r="AE9" i="18"/>
  <c r="AB9" i="18" s="1"/>
  <c r="AE77" i="18"/>
  <c r="AB77" i="18" s="1"/>
  <c r="AB50" i="18"/>
  <c r="Y50" i="18" s="1"/>
  <c r="AB127" i="18"/>
  <c r="Y127" i="18" s="1"/>
  <c r="AB49" i="18"/>
  <c r="AB14" i="18"/>
  <c r="Y14" i="18" s="1"/>
  <c r="AE95" i="18"/>
  <c r="AB95" i="18" s="1"/>
  <c r="AE87" i="18"/>
  <c r="AB87" i="18" s="1"/>
  <c r="AE78" i="18"/>
  <c r="AB78" i="18" s="1"/>
  <c r="AE109" i="18"/>
  <c r="AE94" i="18"/>
  <c r="AE76" i="18"/>
  <c r="AB76" i="18" s="1"/>
  <c r="AB92" i="18"/>
  <c r="Y92" i="18" s="1"/>
  <c r="AE104" i="18"/>
  <c r="AE93" i="18"/>
  <c r="AB93" i="18" s="1"/>
  <c r="AE85" i="18"/>
  <c r="AB85" i="18" s="1"/>
  <c r="AL128" i="18"/>
  <c r="AL127" i="18"/>
  <c r="AL126" i="18"/>
  <c r="S219" i="18"/>
  <c r="AL120" i="18"/>
  <c r="AL116" i="18"/>
  <c r="AL115" i="18"/>
  <c r="AL114" i="18"/>
  <c r="AL113" i="18"/>
  <c r="AL112" i="18"/>
  <c r="AL110" i="18"/>
  <c r="AL109" i="18"/>
  <c r="S218" i="18"/>
  <c r="AL104" i="18"/>
  <c r="AL96" i="18"/>
  <c r="AL95" i="18"/>
  <c r="AL94" i="18"/>
  <c r="AL93" i="18"/>
  <c r="AL92" i="18"/>
  <c r="AL91" i="18"/>
  <c r="AL90" i="18"/>
  <c r="AL89" i="18"/>
  <c r="AL88" i="18"/>
  <c r="AL87" i="18"/>
  <c r="AL86" i="18"/>
  <c r="AL85" i="18"/>
  <c r="AL84" i="18"/>
  <c r="AL83" i="18"/>
  <c r="AL82" i="18"/>
  <c r="AL81" i="18"/>
  <c r="AL80" i="18"/>
  <c r="AL79" i="18"/>
  <c r="AL78" i="18"/>
  <c r="AL77" i="18"/>
  <c r="AL76" i="18"/>
  <c r="AL75" i="18"/>
  <c r="AL5" i="18"/>
  <c r="AL6" i="18"/>
  <c r="AL7" i="18"/>
  <c r="AL8" i="18"/>
  <c r="AL10" i="18"/>
  <c r="AL11" i="18"/>
  <c r="AL12" i="18"/>
  <c r="AL13" i="18"/>
  <c r="AL14" i="18"/>
  <c r="AL15" i="18"/>
  <c r="AL16" i="18"/>
  <c r="AL17" i="18"/>
  <c r="AL18" i="18"/>
  <c r="AL19" i="18"/>
  <c r="AL20" i="18"/>
  <c r="AL21" i="18"/>
  <c r="AL22" i="18"/>
  <c r="AL23" i="18"/>
  <c r="AL24" i="18"/>
  <c r="AL25" i="18"/>
  <c r="AL26" i="18"/>
  <c r="AL27" i="18"/>
  <c r="AL4" i="18"/>
  <c r="AL34" i="18"/>
  <c r="AL35" i="18"/>
  <c r="AL36" i="18"/>
  <c r="AL37" i="18"/>
  <c r="AL38" i="18"/>
  <c r="AL39" i="18"/>
  <c r="AL40" i="18"/>
  <c r="AL41" i="18"/>
  <c r="AL42" i="18"/>
  <c r="AL44" i="18"/>
  <c r="AL45" i="18"/>
  <c r="AL46" i="18"/>
  <c r="AL47" i="18"/>
  <c r="AL48" i="18"/>
  <c r="AL49" i="18"/>
  <c r="AL50" i="18"/>
  <c r="AL51" i="18"/>
  <c r="AL52" i="18"/>
  <c r="AL53" i="18"/>
  <c r="AL54" i="18"/>
  <c r="AL55" i="18"/>
  <c r="AL56" i="18"/>
  <c r="AL57" i="18"/>
  <c r="AL58" i="18"/>
  <c r="AL59" i="18"/>
  <c r="AL60" i="18"/>
  <c r="AL61" i="18"/>
  <c r="AL62" i="18"/>
  <c r="AL63" i="18"/>
  <c r="AL65" i="18"/>
  <c r="AL66" i="18"/>
  <c r="AL67" i="18"/>
  <c r="AL68" i="18"/>
  <c r="AL69" i="18"/>
  <c r="AL70" i="18"/>
  <c r="AL33" i="18"/>
  <c r="S216" i="18"/>
  <c r="G33" i="18"/>
  <c r="H33" i="18" s="1"/>
  <c r="J33" i="18"/>
  <c r="J17" i="18"/>
  <c r="G17" i="18"/>
  <c r="AM92" i="18" l="1"/>
  <c r="AN92" i="18" s="1"/>
  <c r="AM128" i="18"/>
  <c r="AN128" i="18" s="1"/>
  <c r="Y49" i="18"/>
  <c r="AM127" i="18"/>
  <c r="AN127" i="18" s="1"/>
  <c r="AM49" i="18"/>
  <c r="AN49" i="18" s="1"/>
  <c r="AM50" i="18"/>
  <c r="AN50" i="18" s="1"/>
  <c r="Y77" i="18"/>
  <c r="AM77" i="18" s="1"/>
  <c r="AN77" i="18" s="1"/>
  <c r="AB109" i="18"/>
  <c r="AM14" i="18"/>
  <c r="AN14" i="18" s="1"/>
  <c r="Y93" i="18"/>
  <c r="AM93" i="18" s="1"/>
  <c r="AN93" i="18" s="1"/>
  <c r="Y78" i="18"/>
  <c r="AM78" i="18" s="1"/>
  <c r="AN78" i="18" s="1"/>
  <c r="Y85" i="18"/>
  <c r="AM85" i="18" s="1"/>
  <c r="AN85" i="18" s="1"/>
  <c r="Y87" i="18"/>
  <c r="Y95" i="18"/>
  <c r="AM95" i="18" s="1"/>
  <c r="AN95" i="18" s="1"/>
  <c r="AB94" i="18"/>
  <c r="AB104" i="18"/>
  <c r="Y104" i="18" s="1"/>
  <c r="Y76" i="18"/>
  <c r="S217" i="18"/>
  <c r="S222" i="18" s="1"/>
  <c r="AN126" i="18"/>
  <c r="AN114" i="18"/>
  <c r="AN110" i="18"/>
  <c r="AN120" i="18"/>
  <c r="AN83" i="18"/>
  <c r="AN84" i="18"/>
  <c r="AN86" i="18"/>
  <c r="AN90" i="18"/>
  <c r="AN79" i="18"/>
  <c r="AN89" i="18"/>
  <c r="AN82" i="18"/>
  <c r="AN88" i="18"/>
  <c r="AN96" i="18"/>
  <c r="AN91" i="18"/>
  <c r="AN80" i="18"/>
  <c r="AN81" i="18"/>
  <c r="AN69" i="18"/>
  <c r="AN64" i="18"/>
  <c r="AN70" i="18"/>
  <c r="AN65" i="18"/>
  <c r="AN62" i="18"/>
  <c r="AN57" i="18"/>
  <c r="AN58" i="18"/>
  <c r="AN61" i="18"/>
  <c r="AN63" i="18"/>
  <c r="AN60" i="18"/>
  <c r="AN41" i="18"/>
  <c r="AN53" i="18"/>
  <c r="AN54" i="18"/>
  <c r="AN46" i="18"/>
  <c r="AN45" i="18"/>
  <c r="AN39" i="18"/>
  <c r="AN51" i="18"/>
  <c r="H17" i="18"/>
  <c r="L5" i="18"/>
  <c r="L6" i="18"/>
  <c r="L7" i="18"/>
  <c r="L8" i="18"/>
  <c r="L9" i="18"/>
  <c r="L10" i="18"/>
  <c r="L11" i="18"/>
  <c r="L12" i="18"/>
  <c r="L13" i="18"/>
  <c r="L14" i="18"/>
  <c r="L15" i="18"/>
  <c r="L16" i="18"/>
  <c r="L20" i="18"/>
  <c r="L21" i="18"/>
  <c r="L22" i="18"/>
  <c r="L23" i="18"/>
  <c r="L24" i="18"/>
  <c r="L25" i="18"/>
  <c r="L26" i="18"/>
  <c r="L27" i="18"/>
  <c r="L4" i="18"/>
  <c r="AM104" i="18" l="1"/>
  <c r="AN104" i="18" s="1"/>
  <c r="AN148" i="18"/>
  <c r="AM87" i="18"/>
  <c r="AN87" i="18" s="1"/>
  <c r="AM76" i="18"/>
  <c r="Y109" i="18"/>
  <c r="AM109" i="18" s="1"/>
  <c r="AN109" i="18" s="1"/>
  <c r="Y94" i="18"/>
  <c r="AN33" i="18"/>
  <c r="F215" i="8"/>
  <c r="O215" i="8" s="1"/>
  <c r="AM94" i="18" l="1"/>
  <c r="AN94" i="18" s="1"/>
  <c r="U220" i="18"/>
  <c r="AN216" i="18" s="1"/>
  <c r="AN76" i="18"/>
  <c r="AM148" i="18"/>
  <c r="T220" i="18" s="1"/>
  <c r="AO148" i="18" l="1"/>
  <c r="V220" i="18" s="1"/>
  <c r="C206" i="8" l="1"/>
  <c r="F194" i="8" l="1"/>
  <c r="O194" i="8" s="1"/>
  <c r="H63" i="17" l="1"/>
  <c r="H62" i="17"/>
  <c r="H61" i="17"/>
  <c r="H60" i="17"/>
  <c r="H59" i="17"/>
  <c r="H58" i="17"/>
  <c r="H57" i="17"/>
  <c r="H56" i="17"/>
  <c r="H55" i="17"/>
  <c r="H54" i="17"/>
  <c r="H64" i="17" l="1"/>
  <c r="G14" i="18" l="1"/>
  <c r="J14" i="18"/>
  <c r="H14" i="18" l="1"/>
  <c r="K14" i="18"/>
  <c r="G34" i="18" l="1"/>
  <c r="H34" i="18" s="1"/>
  <c r="G35" i="18"/>
  <c r="H35" i="18" s="1"/>
  <c r="G36" i="18"/>
  <c r="H36" i="18" s="1"/>
  <c r="G37" i="18"/>
  <c r="H37" i="18" s="1"/>
  <c r="G38" i="18"/>
  <c r="H38" i="18" s="1"/>
  <c r="G39" i="18"/>
  <c r="H39" i="18" s="1"/>
  <c r="G40" i="18"/>
  <c r="H40" i="18" s="1"/>
  <c r="G41" i="18"/>
  <c r="H41" i="18" s="1"/>
  <c r="G42" i="18"/>
  <c r="H42" i="18" s="1"/>
  <c r="G44" i="18"/>
  <c r="H44" i="18" s="1"/>
  <c r="G45" i="18"/>
  <c r="H45" i="18" s="1"/>
  <c r="G46" i="18"/>
  <c r="H46" i="18" s="1"/>
  <c r="G47" i="18"/>
  <c r="H47" i="18" s="1"/>
  <c r="G49" i="18"/>
  <c r="H49" i="18" s="1"/>
  <c r="G50" i="18"/>
  <c r="H50" i="18" s="1"/>
  <c r="G51" i="18"/>
  <c r="H51" i="18" s="1"/>
  <c r="G52" i="18"/>
  <c r="H52" i="18" s="1"/>
  <c r="G53" i="18"/>
  <c r="H53" i="18" s="1"/>
  <c r="G54" i="18"/>
  <c r="H54" i="18" s="1"/>
  <c r="G55" i="18"/>
  <c r="H55" i="18" s="1"/>
  <c r="G56" i="18"/>
  <c r="H56" i="18" s="1"/>
  <c r="G57" i="18"/>
  <c r="H57" i="18" s="1"/>
  <c r="G59" i="18"/>
  <c r="H59" i="18" s="1"/>
  <c r="G60" i="18"/>
  <c r="H60" i="18" s="1"/>
  <c r="G61" i="18"/>
  <c r="H61" i="18" s="1"/>
  <c r="G62" i="18"/>
  <c r="H62" i="18" s="1"/>
  <c r="G63" i="18"/>
  <c r="H63" i="18" s="1"/>
  <c r="G32" i="18"/>
  <c r="H32" i="18" s="1"/>
  <c r="J34" i="18"/>
  <c r="J35" i="18"/>
  <c r="J36" i="18"/>
  <c r="J37" i="18"/>
  <c r="J38" i="18"/>
  <c r="J39" i="18"/>
  <c r="J40" i="18"/>
  <c r="J41" i="18"/>
  <c r="J42" i="18"/>
  <c r="J44" i="18"/>
  <c r="J45" i="18"/>
  <c r="J46" i="18"/>
  <c r="J47" i="18"/>
  <c r="J49" i="18"/>
  <c r="J50" i="18"/>
  <c r="J51" i="18"/>
  <c r="J52" i="18"/>
  <c r="J53" i="18"/>
  <c r="J54" i="18"/>
  <c r="J55" i="18"/>
  <c r="J56" i="18"/>
  <c r="J57" i="18"/>
  <c r="J59" i="18"/>
  <c r="J60" i="18"/>
  <c r="J61" i="18"/>
  <c r="J62" i="18"/>
  <c r="J63" i="18"/>
  <c r="J32" i="18"/>
  <c r="G5" i="18"/>
  <c r="G6" i="18"/>
  <c r="G7" i="18"/>
  <c r="G8" i="18"/>
  <c r="G9" i="18"/>
  <c r="G10" i="18"/>
  <c r="G11" i="18"/>
  <c r="G12" i="18"/>
  <c r="G13" i="18"/>
  <c r="G15" i="18"/>
  <c r="G16" i="18"/>
  <c r="G20" i="18"/>
  <c r="G21" i="18"/>
  <c r="G22" i="18"/>
  <c r="G23" i="18"/>
  <c r="G24" i="18"/>
  <c r="G25" i="18"/>
  <c r="G26" i="18"/>
  <c r="G27" i="18"/>
  <c r="G4" i="18"/>
  <c r="J5" i="18"/>
  <c r="J6" i="18"/>
  <c r="J7" i="18"/>
  <c r="J8" i="18"/>
  <c r="J9" i="18"/>
  <c r="J10" i="18"/>
  <c r="J11" i="18"/>
  <c r="J12" i="18"/>
  <c r="J13" i="18"/>
  <c r="J15" i="18"/>
  <c r="J16" i="18"/>
  <c r="J20" i="18"/>
  <c r="J21" i="18"/>
  <c r="J22" i="18"/>
  <c r="J23" i="18"/>
  <c r="J24" i="18"/>
  <c r="J25" i="18"/>
  <c r="J26" i="18"/>
  <c r="J27" i="18"/>
  <c r="J4" i="18"/>
  <c r="H11" i="18" l="1"/>
  <c r="K11" i="18"/>
  <c r="H26" i="18"/>
  <c r="K26" i="18"/>
  <c r="H15" i="18"/>
  <c r="K15" i="18"/>
  <c r="H6" i="18"/>
  <c r="K6" i="18"/>
  <c r="H13" i="18"/>
  <c r="K13" i="18"/>
  <c r="H9" i="18"/>
  <c r="K9" i="18"/>
  <c r="H5" i="18"/>
  <c r="K5" i="18"/>
  <c r="H27" i="18"/>
  <c r="K27" i="18"/>
  <c r="H16" i="18"/>
  <c r="K16" i="18"/>
  <c r="H7" i="18"/>
  <c r="K7" i="18"/>
  <c r="H10" i="18"/>
  <c r="K10" i="18"/>
  <c r="H4" i="18"/>
  <c r="K4" i="18"/>
  <c r="H12" i="18"/>
  <c r="K12" i="18"/>
  <c r="H8" i="18"/>
  <c r="K8" i="18"/>
  <c r="H22" i="18"/>
  <c r="K22" i="18"/>
  <c r="H25" i="18"/>
  <c r="K25" i="18"/>
  <c r="H23" i="18"/>
  <c r="K23" i="18"/>
  <c r="H24" i="18"/>
  <c r="K24" i="18"/>
  <c r="H21" i="18"/>
  <c r="K21" i="18"/>
  <c r="H20" i="18"/>
  <c r="K20" i="18"/>
  <c r="F145" i="8" l="1"/>
  <c r="O145" i="8" s="1"/>
  <c r="F144" i="8"/>
  <c r="O144" i="8" s="1"/>
  <c r="C96" i="1"/>
  <c r="F141" i="8" l="1"/>
  <c r="O141" i="8" s="1"/>
  <c r="F139" i="8" l="1"/>
  <c r="O139" i="8" s="1"/>
  <c r="F138" i="8" l="1"/>
  <c r="O138" i="8" s="1"/>
  <c r="J229" i="3"/>
  <c r="J230" i="3"/>
  <c r="J231" i="3"/>
  <c r="J232" i="3"/>
  <c r="J233" i="3"/>
  <c r="J234" i="3"/>
  <c r="F137" i="8" l="1"/>
  <c r="O137" i="8" s="1"/>
  <c r="Z260" i="3" l="1"/>
  <c r="Z261" i="3"/>
  <c r="Z262" i="3"/>
  <c r="Z263" i="3"/>
  <c r="Z264" i="3"/>
  <c r="Z265" i="3"/>
  <c r="Z266" i="3"/>
  <c r="Z267" i="3"/>
  <c r="Z268" i="3"/>
  <c r="Z269" i="3"/>
  <c r="Z270" i="3"/>
  <c r="Z271" i="3"/>
  <c r="Z272" i="3"/>
  <c r="Z273" i="3"/>
  <c r="Z274" i="3"/>
  <c r="Z275" i="3"/>
  <c r="Z276" i="3"/>
  <c r="Z277" i="3"/>
  <c r="Z278" i="3"/>
  <c r="Z279" i="3"/>
  <c r="Z280" i="3"/>
  <c r="Z281" i="3"/>
  <c r="Z282" i="3"/>
  <c r="Z283" i="3"/>
  <c r="Z284" i="3"/>
  <c r="Z285" i="3"/>
  <c r="Z286" i="3"/>
  <c r="Z287" i="3"/>
  <c r="Z288" i="3"/>
  <c r="Z289" i="3"/>
  <c r="Z290" i="3"/>
  <c r="Z291" i="3"/>
  <c r="Z292" i="3"/>
  <c r="Z259" i="3"/>
  <c r="Z293" i="3" s="1"/>
  <c r="G70" i="17"/>
  <c r="H70" i="17" s="1"/>
  <c r="H111" i="17"/>
  <c r="H110" i="17"/>
  <c r="H109" i="17"/>
  <c r="H108" i="17"/>
  <c r="H107" i="17"/>
  <c r="H106" i="17"/>
  <c r="H105" i="17"/>
  <c r="H104" i="17"/>
  <c r="H103" i="17"/>
  <c r="H102" i="17"/>
  <c r="H95" i="17"/>
  <c r="H94" i="17"/>
  <c r="H93" i="17"/>
  <c r="H92" i="17"/>
  <c r="H91" i="17"/>
  <c r="H90" i="17"/>
  <c r="H89" i="17"/>
  <c r="H88" i="17"/>
  <c r="H87" i="17"/>
  <c r="H86" i="17"/>
  <c r="H79" i="17"/>
  <c r="H78" i="17"/>
  <c r="H77" i="17"/>
  <c r="H76" i="17"/>
  <c r="H75" i="17"/>
  <c r="H74" i="17"/>
  <c r="H73" i="17"/>
  <c r="H72" i="17"/>
  <c r="H71" i="17"/>
  <c r="H47" i="17"/>
  <c r="H46" i="17"/>
  <c r="H45" i="17"/>
  <c r="H44" i="17"/>
  <c r="H43" i="17"/>
  <c r="H42" i="17"/>
  <c r="H41" i="17"/>
  <c r="H40" i="17"/>
  <c r="H39" i="17"/>
  <c r="H38" i="17"/>
  <c r="H31" i="17"/>
  <c r="H30" i="17"/>
  <c r="H29" i="17"/>
  <c r="H28" i="17"/>
  <c r="H27" i="17"/>
  <c r="H26" i="17"/>
  <c r="H25" i="17"/>
  <c r="H24" i="17"/>
  <c r="H23" i="17"/>
  <c r="H22" i="17"/>
  <c r="H15" i="17"/>
  <c r="H14" i="17"/>
  <c r="H13" i="17"/>
  <c r="H12" i="17"/>
  <c r="H11" i="17"/>
  <c r="H10" i="17"/>
  <c r="H9" i="17"/>
  <c r="H8" i="17"/>
  <c r="H7" i="17"/>
  <c r="H6" i="17"/>
  <c r="H96" i="17" l="1"/>
  <c r="H80" i="17"/>
  <c r="H16" i="17"/>
  <c r="H32" i="17"/>
  <c r="H48" i="17"/>
  <c r="H112" i="17"/>
  <c r="M134" i="8"/>
  <c r="M132" i="8"/>
  <c r="F134" i="8"/>
  <c r="C134" i="8"/>
  <c r="J132" i="8"/>
  <c r="L132" i="8"/>
  <c r="I132" i="8"/>
  <c r="O132" i="8" l="1"/>
  <c r="O134" i="8"/>
  <c r="L131" i="8"/>
  <c r="J131" i="8"/>
  <c r="M131" i="8"/>
  <c r="I131" i="8"/>
  <c r="O131" i="8" s="1"/>
  <c r="C131" i="8"/>
  <c r="J130" i="8" l="1"/>
  <c r="L130" i="8"/>
  <c r="M130" i="8"/>
  <c r="I130" i="8"/>
  <c r="O130" i="8" s="1"/>
  <c r="C130" i="8"/>
  <c r="J129" i="8" l="1"/>
  <c r="H129" i="8"/>
  <c r="M129" i="8"/>
  <c r="I129" i="8"/>
  <c r="C129" i="8"/>
  <c r="O129" i="8" l="1"/>
  <c r="J127" i="8"/>
  <c r="M127" i="8"/>
  <c r="I127" i="8"/>
  <c r="O127" i="8" s="1"/>
  <c r="C127" i="8"/>
  <c r="J126" i="8" l="1"/>
  <c r="L126" i="8"/>
  <c r="M126" i="8"/>
  <c r="O126" i="8" l="1"/>
  <c r="N125" i="8"/>
  <c r="I125" i="8"/>
  <c r="J125" i="8"/>
  <c r="L125" i="8"/>
  <c r="C125" i="8"/>
  <c r="C97" i="1"/>
  <c r="O125" i="8" l="1"/>
  <c r="J5" i="1"/>
  <c r="J9" i="1"/>
  <c r="J13" i="1"/>
  <c r="J17" i="1"/>
  <c r="J21" i="1"/>
  <c r="J25" i="1"/>
  <c r="J29" i="1"/>
  <c r="J33" i="1"/>
  <c r="J37" i="1"/>
  <c r="J41" i="1"/>
  <c r="J45" i="1"/>
  <c r="J49" i="1"/>
  <c r="J53" i="1"/>
  <c r="J57" i="1"/>
  <c r="J61" i="1"/>
  <c r="J65" i="1"/>
  <c r="J69" i="1"/>
  <c r="J73" i="1"/>
  <c r="J77" i="1"/>
  <c r="J81" i="1"/>
  <c r="J85" i="1"/>
  <c r="J89" i="1"/>
  <c r="J78" i="1"/>
  <c r="J86" i="1"/>
  <c r="J7" i="1"/>
  <c r="J15" i="1"/>
  <c r="J23" i="1"/>
  <c r="J31" i="1"/>
  <c r="J39" i="1"/>
  <c r="J47" i="1"/>
  <c r="J55" i="1"/>
  <c r="J63" i="1"/>
  <c r="J71" i="1"/>
  <c r="J79" i="1"/>
  <c r="J87" i="1"/>
  <c r="J8" i="1"/>
  <c r="J16" i="1"/>
  <c r="J24" i="1"/>
  <c r="J32" i="1"/>
  <c r="J40" i="1"/>
  <c r="J48" i="1"/>
  <c r="J56" i="1"/>
  <c r="J64" i="1"/>
  <c r="J72" i="1"/>
  <c r="J80" i="1"/>
  <c r="J88" i="1"/>
  <c r="J6" i="1"/>
  <c r="J10" i="1"/>
  <c r="J14" i="1"/>
  <c r="J18" i="1"/>
  <c r="J22" i="1"/>
  <c r="J26" i="1"/>
  <c r="J30" i="1"/>
  <c r="J34" i="1"/>
  <c r="J38" i="1"/>
  <c r="J42" i="1"/>
  <c r="J46" i="1"/>
  <c r="J50" i="1"/>
  <c r="J54" i="1"/>
  <c r="J58" i="1"/>
  <c r="J62" i="1"/>
  <c r="J66" i="1"/>
  <c r="J70" i="1"/>
  <c r="J74" i="1"/>
  <c r="J82" i="1"/>
  <c r="J90" i="1"/>
  <c r="J11" i="1"/>
  <c r="J19" i="1"/>
  <c r="J27" i="1"/>
  <c r="J35" i="1"/>
  <c r="J43" i="1"/>
  <c r="J51" i="1"/>
  <c r="J59" i="1"/>
  <c r="J67" i="1"/>
  <c r="J75" i="1"/>
  <c r="J83" i="1"/>
  <c r="J91" i="1"/>
  <c r="J12" i="1"/>
  <c r="J20" i="1"/>
  <c r="J28" i="1"/>
  <c r="J36" i="1"/>
  <c r="J44" i="1"/>
  <c r="J52" i="1"/>
  <c r="J60" i="1"/>
  <c r="J68" i="1"/>
  <c r="J76" i="1"/>
  <c r="J84" i="1"/>
  <c r="J92" i="1"/>
  <c r="N124" i="8"/>
  <c r="L124" i="8"/>
  <c r="J124" i="8"/>
  <c r="I124" i="8"/>
  <c r="M124" i="8"/>
  <c r="C124" i="8"/>
  <c r="B24" i="1"/>
  <c r="B20" i="1"/>
  <c r="O124" i="8" l="1"/>
  <c r="B61" i="1"/>
  <c r="B44" i="1"/>
  <c r="B15" i="1"/>
  <c r="B65" i="1"/>
  <c r="I120" i="8" l="1"/>
  <c r="J120" i="8"/>
  <c r="M120" i="8"/>
  <c r="NR102" i="3"/>
  <c r="OC24" i="3"/>
  <c r="O120" i="8" l="1"/>
  <c r="NQ102" i="3"/>
  <c r="M119" i="8"/>
  <c r="NQ101" i="3"/>
  <c r="C119" i="8"/>
  <c r="J119" i="8"/>
  <c r="N119" i="8"/>
  <c r="I119" i="8"/>
  <c r="O119" i="8" s="1"/>
  <c r="AL213" i="3"/>
  <c r="AL214" i="3"/>
  <c r="AL215" i="3"/>
  <c r="AL216" i="3"/>
  <c r="AL217" i="3"/>
  <c r="AL218" i="3"/>
  <c r="AL219" i="3"/>
  <c r="AL220" i="3"/>
  <c r="AL221" i="3"/>
  <c r="AL222" i="3"/>
  <c r="AL223" i="3"/>
  <c r="AL224" i="3"/>
  <c r="AL225" i="3"/>
  <c r="AL226" i="3"/>
  <c r="AL227" i="3"/>
  <c r="AL229" i="3"/>
  <c r="AL230" i="3"/>
  <c r="AL231" i="3"/>
  <c r="AL232" i="3"/>
  <c r="AL233" i="3"/>
  <c r="AL234" i="3"/>
  <c r="AL212" i="3"/>
  <c r="NP101" i="3" l="1"/>
  <c r="N118" i="8"/>
  <c r="J118" i="8"/>
  <c r="L118" i="8"/>
  <c r="C118" i="8"/>
  <c r="M118" i="8"/>
  <c r="I118" i="8"/>
  <c r="O118" i="8" s="1"/>
  <c r="AA260" i="3"/>
  <c r="AA261" i="3"/>
  <c r="AA262" i="3"/>
  <c r="AA263" i="3"/>
  <c r="AA264" i="3"/>
  <c r="AA265" i="3"/>
  <c r="AA266" i="3"/>
  <c r="AA267" i="3"/>
  <c r="AA268" i="3"/>
  <c r="AA269" i="3"/>
  <c r="AA270" i="3"/>
  <c r="AA271" i="3"/>
  <c r="AA272" i="3"/>
  <c r="AA273" i="3"/>
  <c r="AA274" i="3"/>
  <c r="AA275" i="3"/>
  <c r="AA276" i="3"/>
  <c r="AA277" i="3"/>
  <c r="AA278" i="3"/>
  <c r="AA279" i="3"/>
  <c r="AA280" i="3"/>
  <c r="AA281" i="3"/>
  <c r="AA282" i="3"/>
  <c r="AA283" i="3"/>
  <c r="AA284" i="3"/>
  <c r="AA285" i="3"/>
  <c r="AA286" i="3"/>
  <c r="AA287" i="3"/>
  <c r="AA288" i="3"/>
  <c r="AA289" i="3"/>
  <c r="AA290" i="3"/>
  <c r="AA291" i="3"/>
  <c r="AA292" i="3"/>
  <c r="AA259" i="3"/>
  <c r="AF259" i="3"/>
  <c r="NR101" i="3"/>
  <c r="NS101" i="3"/>
  <c r="NT101" i="3"/>
  <c r="NU101" i="3"/>
  <c r="NV101" i="3"/>
  <c r="NW101" i="3"/>
  <c r="NX101" i="3"/>
  <c r="NY101" i="3"/>
  <c r="NZ101" i="3"/>
  <c r="OA101" i="3"/>
  <c r="OB101" i="3"/>
  <c r="NO101" i="3"/>
  <c r="NN101" i="3"/>
  <c r="F117" i="8"/>
  <c r="O117" i="8" s="1"/>
  <c r="J116" i="8"/>
  <c r="J117" i="8"/>
  <c r="M117" i="8"/>
  <c r="L117" i="8"/>
  <c r="I117" i="8"/>
  <c r="M116" i="8" l="1"/>
  <c r="L116" i="8"/>
  <c r="I116" i="8"/>
  <c r="N116" i="8"/>
  <c r="G116" i="8"/>
  <c r="H116" i="8"/>
  <c r="OD102" i="3"/>
  <c r="AJ202" i="3" s="1"/>
  <c r="OC100" i="3"/>
  <c r="OC99" i="3"/>
  <c r="OC98" i="3"/>
  <c r="OC97" i="3"/>
  <c r="OC96" i="3"/>
  <c r="OC95" i="3"/>
  <c r="OC94" i="3"/>
  <c r="OC93" i="3"/>
  <c r="OC92" i="3"/>
  <c r="OC91" i="3"/>
  <c r="OC90" i="3"/>
  <c r="OC89" i="3"/>
  <c r="OC88" i="3"/>
  <c r="OC87" i="3"/>
  <c r="OC86" i="3"/>
  <c r="OC85" i="3"/>
  <c r="OC84" i="3"/>
  <c r="OC83" i="3"/>
  <c r="OC82" i="3"/>
  <c r="OC81" i="3"/>
  <c r="OC80" i="3"/>
  <c r="OC79" i="3"/>
  <c r="OC78" i="3"/>
  <c r="OC77" i="3"/>
  <c r="OC76" i="3"/>
  <c r="OC75" i="3"/>
  <c r="OC74" i="3"/>
  <c r="OC73" i="3"/>
  <c r="OC72" i="3"/>
  <c r="OC71" i="3"/>
  <c r="OC70" i="3"/>
  <c r="OC69" i="3"/>
  <c r="OC68" i="3"/>
  <c r="OC67" i="3"/>
  <c r="OC66" i="3"/>
  <c r="OC65" i="3"/>
  <c r="OC64" i="3"/>
  <c r="OC63" i="3"/>
  <c r="OC62" i="3"/>
  <c r="OC61" i="3"/>
  <c r="OC60" i="3"/>
  <c r="OC59" i="3"/>
  <c r="OC58" i="3"/>
  <c r="OC57" i="3"/>
  <c r="OC56" i="3"/>
  <c r="OC55" i="3"/>
  <c r="OC54" i="3"/>
  <c r="OC53" i="3"/>
  <c r="OC52" i="3"/>
  <c r="OC51" i="3"/>
  <c r="OC50" i="3"/>
  <c r="OC49" i="3"/>
  <c r="OC48" i="3"/>
  <c r="OC47" i="3"/>
  <c r="OC46" i="3"/>
  <c r="OC45" i="3"/>
  <c r="OC44" i="3"/>
  <c r="OC43" i="3"/>
  <c r="OC42" i="3"/>
  <c r="OC41" i="3"/>
  <c r="OC40" i="3"/>
  <c r="OC39" i="3"/>
  <c r="OC38" i="3"/>
  <c r="OC37" i="3"/>
  <c r="OC36" i="3"/>
  <c r="OC35" i="3"/>
  <c r="OC34" i="3"/>
  <c r="OC33" i="3"/>
  <c r="OC32" i="3"/>
  <c r="OC31" i="3"/>
  <c r="OC30" i="3"/>
  <c r="OC29" i="3"/>
  <c r="OC28" i="3"/>
  <c r="OC27" i="3"/>
  <c r="OC26" i="3"/>
  <c r="OC25" i="3"/>
  <c r="OC23" i="3"/>
  <c r="OC22" i="3"/>
  <c r="OC21" i="3"/>
  <c r="OC20" i="3"/>
  <c r="OC19" i="3"/>
  <c r="OC18" i="3"/>
  <c r="OC17" i="3"/>
  <c r="OC16" i="3"/>
  <c r="OC15" i="3"/>
  <c r="OC14" i="3"/>
  <c r="OC13" i="3"/>
  <c r="OC12" i="3"/>
  <c r="OC11" i="3"/>
  <c r="OC10" i="3"/>
  <c r="OC9" i="3"/>
  <c r="OC8" i="3"/>
  <c r="M115" i="8"/>
  <c r="I115" i="8"/>
  <c r="C115" i="8"/>
  <c r="H115" i="8"/>
  <c r="L115" i="8"/>
  <c r="J115" i="8"/>
  <c r="ND8" i="3"/>
  <c r="NE8" i="3" s="1"/>
  <c r="M113" i="8"/>
  <c r="G113" i="8"/>
  <c r="L113" i="8"/>
  <c r="J113" i="8"/>
  <c r="C113" i="8"/>
  <c r="I113" i="8"/>
  <c r="N113" i="8"/>
  <c r="G112" i="8"/>
  <c r="L112" i="8"/>
  <c r="M112" i="8"/>
  <c r="I112" i="8"/>
  <c r="J112" i="8"/>
  <c r="M111" i="8"/>
  <c r="H111" i="8"/>
  <c r="O111" i="8" s="1"/>
  <c r="N111" i="8"/>
  <c r="J111" i="8"/>
  <c r="I111" i="8"/>
  <c r="MT102" i="3"/>
  <c r="MS102" i="3"/>
  <c r="N110" i="8"/>
  <c r="ND100" i="3"/>
  <c r="NE100" i="3" s="1"/>
  <c r="ND9" i="3"/>
  <c r="NE9" i="3" s="1"/>
  <c r="ND10" i="3"/>
  <c r="NE10" i="3" s="1"/>
  <c r="ND11" i="3"/>
  <c r="NE11" i="3" s="1"/>
  <c r="ND12" i="3"/>
  <c r="NE12" i="3" s="1"/>
  <c r="ND13" i="3"/>
  <c r="NE13" i="3" s="1"/>
  <c r="ND14" i="3"/>
  <c r="NE14" i="3" s="1"/>
  <c r="ND15" i="3"/>
  <c r="NE15" i="3" s="1"/>
  <c r="ND16" i="3"/>
  <c r="NE16" i="3" s="1"/>
  <c r="ND17" i="3"/>
  <c r="NE17" i="3" s="1"/>
  <c r="ND18" i="3"/>
  <c r="NE18" i="3" s="1"/>
  <c r="ND19" i="3"/>
  <c r="NE19" i="3" s="1"/>
  <c r="ND20" i="3"/>
  <c r="NE20" i="3" s="1"/>
  <c r="ND21" i="3"/>
  <c r="NE21" i="3" s="1"/>
  <c r="ND22" i="3"/>
  <c r="NE22" i="3" s="1"/>
  <c r="ND23" i="3"/>
  <c r="NE23" i="3" s="1"/>
  <c r="ND24" i="3"/>
  <c r="NE24" i="3" s="1"/>
  <c r="ND25" i="3"/>
  <c r="NE25" i="3" s="1"/>
  <c r="ND26" i="3"/>
  <c r="NE26" i="3" s="1"/>
  <c r="ND27" i="3"/>
  <c r="ND28" i="3"/>
  <c r="NE28" i="3" s="1"/>
  <c r="ND29" i="3"/>
  <c r="NE29" i="3" s="1"/>
  <c r="ND30" i="3"/>
  <c r="NE30" i="3" s="1"/>
  <c r="ND31" i="3"/>
  <c r="NE31" i="3" s="1"/>
  <c r="ND32" i="3"/>
  <c r="NE32" i="3" s="1"/>
  <c r="ND33" i="3"/>
  <c r="NE33" i="3" s="1"/>
  <c r="ND34" i="3"/>
  <c r="NE34" i="3" s="1"/>
  <c r="ND35" i="3"/>
  <c r="ND36" i="3"/>
  <c r="NE36" i="3" s="1"/>
  <c r="ND37" i="3"/>
  <c r="NE37" i="3" s="1"/>
  <c r="ND38" i="3"/>
  <c r="NE38" i="3" s="1"/>
  <c r="ND39" i="3"/>
  <c r="NE39" i="3" s="1"/>
  <c r="ND40" i="3"/>
  <c r="NE40" i="3" s="1"/>
  <c r="ND41" i="3"/>
  <c r="NE41" i="3" s="1"/>
  <c r="ND42" i="3"/>
  <c r="NE42" i="3" s="1"/>
  <c r="ND43" i="3"/>
  <c r="NE43" i="3" s="1"/>
  <c r="ND44" i="3"/>
  <c r="NE44" i="3" s="1"/>
  <c r="ND45" i="3"/>
  <c r="NE45" i="3" s="1"/>
  <c r="ND46" i="3"/>
  <c r="NE46" i="3" s="1"/>
  <c r="ND47" i="3"/>
  <c r="NE47" i="3" s="1"/>
  <c r="ND48" i="3"/>
  <c r="NE48" i="3" s="1"/>
  <c r="ND49" i="3"/>
  <c r="NE49" i="3" s="1"/>
  <c r="ND50" i="3"/>
  <c r="NE50" i="3" s="1"/>
  <c r="ND51" i="3"/>
  <c r="ND52" i="3"/>
  <c r="NE52" i="3" s="1"/>
  <c r="ND53" i="3"/>
  <c r="NE53" i="3" s="1"/>
  <c r="ND54" i="3"/>
  <c r="NE54" i="3" s="1"/>
  <c r="ND55" i="3"/>
  <c r="NE55" i="3" s="1"/>
  <c r="ND56" i="3"/>
  <c r="NE56" i="3" s="1"/>
  <c r="ND57" i="3"/>
  <c r="NE57" i="3" s="1"/>
  <c r="ND58" i="3"/>
  <c r="NE58" i="3" s="1"/>
  <c r="ND59" i="3"/>
  <c r="ND60" i="3"/>
  <c r="NE60" i="3" s="1"/>
  <c r="ND61" i="3"/>
  <c r="NE61" i="3" s="1"/>
  <c r="ND62" i="3"/>
  <c r="NE62" i="3" s="1"/>
  <c r="ND63" i="3"/>
  <c r="NE63" i="3" s="1"/>
  <c r="ND64" i="3"/>
  <c r="NE64" i="3" s="1"/>
  <c r="ND65" i="3"/>
  <c r="NE65" i="3" s="1"/>
  <c r="ND66" i="3"/>
  <c r="ND67" i="3"/>
  <c r="ND68" i="3"/>
  <c r="NE68" i="3" s="1"/>
  <c r="ND69" i="3"/>
  <c r="NE69" i="3" s="1"/>
  <c r="ND70" i="3"/>
  <c r="NE70" i="3" s="1"/>
  <c r="ND71" i="3"/>
  <c r="NE71" i="3" s="1"/>
  <c r="ND72" i="3"/>
  <c r="NE72" i="3" s="1"/>
  <c r="ND73" i="3"/>
  <c r="NE73" i="3" s="1"/>
  <c r="ND74" i="3"/>
  <c r="ND75" i="3"/>
  <c r="ND76" i="3"/>
  <c r="NE76" i="3" s="1"/>
  <c r="ND77" i="3"/>
  <c r="NE77" i="3" s="1"/>
  <c r="ND78" i="3"/>
  <c r="NE78" i="3" s="1"/>
  <c r="ND79" i="3"/>
  <c r="NE79" i="3" s="1"/>
  <c r="ND80" i="3"/>
  <c r="NE80" i="3" s="1"/>
  <c r="ND81" i="3"/>
  <c r="NE81" i="3" s="1"/>
  <c r="ND82" i="3"/>
  <c r="NE82" i="3" s="1"/>
  <c r="ND83" i="3"/>
  <c r="NE83" i="3" s="1"/>
  <c r="ND84" i="3"/>
  <c r="NE84" i="3" s="1"/>
  <c r="ND85" i="3"/>
  <c r="NE85" i="3" s="1"/>
  <c r="ND86" i="3"/>
  <c r="NE86" i="3" s="1"/>
  <c r="ND87" i="3"/>
  <c r="NE87" i="3" s="1"/>
  <c r="ND88" i="3"/>
  <c r="NE88" i="3" s="1"/>
  <c r="ND89" i="3"/>
  <c r="NE89" i="3" s="1"/>
  <c r="ND90" i="3"/>
  <c r="ND91" i="3"/>
  <c r="ND92" i="3"/>
  <c r="NE92" i="3" s="1"/>
  <c r="ND93" i="3"/>
  <c r="NE93" i="3" s="1"/>
  <c r="ND94" i="3"/>
  <c r="NE94" i="3" s="1"/>
  <c r="ND95" i="3"/>
  <c r="NE95" i="3" s="1"/>
  <c r="ND96" i="3"/>
  <c r="NE96" i="3" s="1"/>
  <c r="ND97" i="3"/>
  <c r="NE97" i="3" s="1"/>
  <c r="ND98" i="3"/>
  <c r="ND99" i="3"/>
  <c r="J110" i="8"/>
  <c r="M110" i="8"/>
  <c r="I110" i="8"/>
  <c r="O110" i="8" s="1"/>
  <c r="C109" i="8"/>
  <c r="L109" i="8"/>
  <c r="J109" i="8"/>
  <c r="N109" i="8"/>
  <c r="M109" i="8"/>
  <c r="I109" i="8"/>
  <c r="O109" i="8" s="1"/>
  <c r="L108" i="8"/>
  <c r="M108" i="8"/>
  <c r="I108" i="8"/>
  <c r="N108" i="8"/>
  <c r="J108" i="8"/>
  <c r="L106" i="8"/>
  <c r="J106" i="8"/>
  <c r="G106" i="8"/>
  <c r="I106" i="8"/>
  <c r="M106" i="8"/>
  <c r="C106" i="8"/>
  <c r="M105" i="8"/>
  <c r="I105" i="8"/>
  <c r="I104" i="8"/>
  <c r="O104" i="8" s="1"/>
  <c r="M104" i="8"/>
  <c r="MR101" i="3"/>
  <c r="J103" i="8"/>
  <c r="M103" i="8"/>
  <c r="I103" i="8"/>
  <c r="MD101" i="3"/>
  <c r="MC101" i="3"/>
  <c r="L324" i="3"/>
  <c r="L325" i="3"/>
  <c r="AF292" i="3"/>
  <c r="I191" i="3"/>
  <c r="K191" i="3"/>
  <c r="M191" i="3"/>
  <c r="O191" i="3"/>
  <c r="Q191" i="3"/>
  <c r="S191" i="3"/>
  <c r="U191" i="3"/>
  <c r="W191" i="3"/>
  <c r="Y191" i="3"/>
  <c r="AA191" i="3"/>
  <c r="I192" i="3"/>
  <c r="K192" i="3"/>
  <c r="M192" i="3"/>
  <c r="O192" i="3"/>
  <c r="Q192" i="3"/>
  <c r="S192" i="3"/>
  <c r="U192" i="3"/>
  <c r="W192" i="3"/>
  <c r="Y192" i="3"/>
  <c r="AA192" i="3"/>
  <c r="I193" i="3"/>
  <c r="K193" i="3"/>
  <c r="M193" i="3"/>
  <c r="O193" i="3"/>
  <c r="Q193" i="3"/>
  <c r="S193" i="3"/>
  <c r="U193" i="3"/>
  <c r="W193" i="3"/>
  <c r="Y193" i="3"/>
  <c r="AA193" i="3"/>
  <c r="I194" i="3"/>
  <c r="K194" i="3"/>
  <c r="M194" i="3"/>
  <c r="O194" i="3"/>
  <c r="Q194" i="3"/>
  <c r="S194" i="3"/>
  <c r="U194" i="3"/>
  <c r="W194" i="3"/>
  <c r="Y194" i="3"/>
  <c r="AA194" i="3"/>
  <c r="I195" i="3"/>
  <c r="K195" i="3"/>
  <c r="M195" i="3"/>
  <c r="O195" i="3"/>
  <c r="Q195" i="3"/>
  <c r="S195" i="3"/>
  <c r="U195" i="3"/>
  <c r="W195" i="3"/>
  <c r="Y195" i="3"/>
  <c r="AA195" i="3"/>
  <c r="I196" i="3"/>
  <c r="K196" i="3"/>
  <c r="M196" i="3"/>
  <c r="O196" i="3"/>
  <c r="Q196" i="3"/>
  <c r="S196" i="3"/>
  <c r="U196" i="3"/>
  <c r="W196" i="3"/>
  <c r="Y196" i="3"/>
  <c r="AA196" i="3"/>
  <c r="I197" i="3"/>
  <c r="K197" i="3"/>
  <c r="M197" i="3"/>
  <c r="O197" i="3"/>
  <c r="Q197" i="3"/>
  <c r="S197" i="3"/>
  <c r="U197" i="3"/>
  <c r="W197" i="3"/>
  <c r="Y197" i="3"/>
  <c r="AA197" i="3"/>
  <c r="I198" i="3"/>
  <c r="K198" i="3"/>
  <c r="M198" i="3"/>
  <c r="O198" i="3"/>
  <c r="Q198" i="3"/>
  <c r="S198" i="3"/>
  <c r="U198" i="3"/>
  <c r="W198" i="3"/>
  <c r="Y198" i="3"/>
  <c r="AA198" i="3"/>
  <c r="I199" i="3"/>
  <c r="K199" i="3"/>
  <c r="M199" i="3"/>
  <c r="O199" i="3"/>
  <c r="Q199" i="3"/>
  <c r="S199" i="3"/>
  <c r="U199" i="3"/>
  <c r="W199" i="3"/>
  <c r="Y199" i="3"/>
  <c r="AA199" i="3"/>
  <c r="I200" i="3"/>
  <c r="K200" i="3"/>
  <c r="M200" i="3"/>
  <c r="O200" i="3"/>
  <c r="Q200" i="3"/>
  <c r="S200" i="3"/>
  <c r="U200" i="3"/>
  <c r="W200" i="3"/>
  <c r="Y200" i="3"/>
  <c r="AA200" i="3"/>
  <c r="ME91" i="3"/>
  <c r="MF91" i="3" s="1"/>
  <c r="ME92" i="3"/>
  <c r="ME93" i="3"/>
  <c r="MF93" i="3" s="1"/>
  <c r="ME94" i="3"/>
  <c r="MF94" i="3" s="1"/>
  <c r="ME95" i="3"/>
  <c r="MF95" i="3" s="1"/>
  <c r="ME96" i="3"/>
  <c r="MF96" i="3" s="1"/>
  <c r="ME97" i="3"/>
  <c r="MF97" i="3" s="1"/>
  <c r="ME98" i="3"/>
  <c r="MF98" i="3" s="1"/>
  <c r="ME99" i="3"/>
  <c r="MF99" i="3" s="1"/>
  <c r="ME100" i="3"/>
  <c r="MF100" i="3" s="1"/>
  <c r="MP101" i="3"/>
  <c r="MQ101" i="3"/>
  <c r="MS101" i="3"/>
  <c r="MT101" i="3"/>
  <c r="MU101" i="3"/>
  <c r="MV101" i="3"/>
  <c r="MW101" i="3"/>
  <c r="MX101" i="3"/>
  <c r="MY101" i="3"/>
  <c r="MZ101" i="3"/>
  <c r="NA101" i="3"/>
  <c r="NB101" i="3"/>
  <c r="NC101" i="3"/>
  <c r="MO101" i="3"/>
  <c r="NE91" i="3"/>
  <c r="NE98" i="3"/>
  <c r="NE99" i="3"/>
  <c r="I102" i="8"/>
  <c r="L102" i="8"/>
  <c r="J102" i="8"/>
  <c r="M102" i="8"/>
  <c r="F102" i="8"/>
  <c r="O102" i="8" s="1"/>
  <c r="M101" i="8"/>
  <c r="N101" i="8"/>
  <c r="F101" i="8"/>
  <c r="H101" i="8"/>
  <c r="I101" i="8"/>
  <c r="J101" i="8"/>
  <c r="C101" i="8"/>
  <c r="NE90" i="3"/>
  <c r="NE75" i="3"/>
  <c r="NE74" i="3"/>
  <c r="NE67" i="3"/>
  <c r="NE66" i="3"/>
  <c r="NE59" i="3"/>
  <c r="NE51" i="3"/>
  <c r="NE35" i="3"/>
  <c r="NE27" i="3"/>
  <c r="ME8" i="3"/>
  <c r="MF8" i="3" s="1"/>
  <c r="G99" i="8"/>
  <c r="M99" i="8"/>
  <c r="MD102" i="3"/>
  <c r="J99" i="8"/>
  <c r="L99" i="8"/>
  <c r="I99" i="8"/>
  <c r="ME9" i="3"/>
  <c r="MF9" i="3" s="1"/>
  <c r="ME10" i="3"/>
  <c r="MF10" i="3" s="1"/>
  <c r="ME11" i="3"/>
  <c r="MF11" i="3" s="1"/>
  <c r="ME12" i="3"/>
  <c r="MF12" i="3" s="1"/>
  <c r="ME13" i="3"/>
  <c r="MF13" i="3" s="1"/>
  <c r="ME14" i="3"/>
  <c r="ME15" i="3"/>
  <c r="MF15" i="3" s="1"/>
  <c r="ME16" i="3"/>
  <c r="MF16" i="3" s="1"/>
  <c r="ME17" i="3"/>
  <c r="MF17" i="3" s="1"/>
  <c r="ME18" i="3"/>
  <c r="ME19" i="3"/>
  <c r="MF19" i="3" s="1"/>
  <c r="ME20" i="3"/>
  <c r="MF20" i="3" s="1"/>
  <c r="ME21" i="3"/>
  <c r="MF21" i="3" s="1"/>
  <c r="ME22" i="3"/>
  <c r="MF22" i="3" s="1"/>
  <c r="ME23" i="3"/>
  <c r="MF23" i="3" s="1"/>
  <c r="ME24" i="3"/>
  <c r="MF24" i="3" s="1"/>
  <c r="ME25" i="3"/>
  <c r="MF25" i="3" s="1"/>
  <c r="ME26" i="3"/>
  <c r="MF26" i="3" s="1"/>
  <c r="ME27" i="3"/>
  <c r="MF27" i="3" s="1"/>
  <c r="ME28" i="3"/>
  <c r="MF28" i="3" s="1"/>
  <c r="ME29" i="3"/>
  <c r="MF29" i="3" s="1"/>
  <c r="ME30" i="3"/>
  <c r="MF30" i="3" s="1"/>
  <c r="ME31" i="3"/>
  <c r="MF31" i="3" s="1"/>
  <c r="ME32" i="3"/>
  <c r="MF32" i="3" s="1"/>
  <c r="ME33" i="3"/>
  <c r="MF33" i="3" s="1"/>
  <c r="ME34" i="3"/>
  <c r="MF34" i="3" s="1"/>
  <c r="ME35" i="3"/>
  <c r="MF35" i="3" s="1"/>
  <c r="ME36" i="3"/>
  <c r="MF36" i="3" s="1"/>
  <c r="ME37" i="3"/>
  <c r="MF37" i="3" s="1"/>
  <c r="ME38" i="3"/>
  <c r="MF38" i="3" s="1"/>
  <c r="ME39" i="3"/>
  <c r="MF39" i="3" s="1"/>
  <c r="ME40" i="3"/>
  <c r="MF40" i="3" s="1"/>
  <c r="ME41" i="3"/>
  <c r="MF41" i="3" s="1"/>
  <c r="ME42" i="3"/>
  <c r="MF42" i="3" s="1"/>
  <c r="ME43" i="3"/>
  <c r="MF43" i="3" s="1"/>
  <c r="ME44" i="3"/>
  <c r="MF44" i="3" s="1"/>
  <c r="ME45" i="3"/>
  <c r="MF45" i="3" s="1"/>
  <c r="ME46" i="3"/>
  <c r="MF46" i="3" s="1"/>
  <c r="ME47" i="3"/>
  <c r="MF47" i="3" s="1"/>
  <c r="ME48" i="3"/>
  <c r="MF48" i="3" s="1"/>
  <c r="ME49" i="3"/>
  <c r="MF49" i="3" s="1"/>
  <c r="ME50" i="3"/>
  <c r="MF50" i="3" s="1"/>
  <c r="ME51" i="3"/>
  <c r="MF51" i="3" s="1"/>
  <c r="ME52" i="3"/>
  <c r="MF52" i="3" s="1"/>
  <c r="ME53" i="3"/>
  <c r="ME54" i="3"/>
  <c r="MF54" i="3" s="1"/>
  <c r="ME55" i="3"/>
  <c r="ME56" i="3"/>
  <c r="ME57" i="3"/>
  <c r="MF57" i="3" s="1"/>
  <c r="ME58" i="3"/>
  <c r="MF58" i="3" s="1"/>
  <c r="ME59" i="3"/>
  <c r="MF59" i="3" s="1"/>
  <c r="ME60" i="3"/>
  <c r="MF60" i="3" s="1"/>
  <c r="ME61" i="3"/>
  <c r="MF61" i="3" s="1"/>
  <c r="ME62" i="3"/>
  <c r="MF62" i="3" s="1"/>
  <c r="ME63" i="3"/>
  <c r="MF63" i="3" s="1"/>
  <c r="ME64" i="3"/>
  <c r="ME65" i="3"/>
  <c r="MF65" i="3" s="1"/>
  <c r="ME66" i="3"/>
  <c r="MF66" i="3" s="1"/>
  <c r="ME67" i="3"/>
  <c r="MF67" i="3" s="1"/>
  <c r="ME68" i="3"/>
  <c r="MF68" i="3" s="1"/>
  <c r="ME69" i="3"/>
  <c r="ME70" i="3"/>
  <c r="MF70" i="3" s="1"/>
  <c r="ME71" i="3"/>
  <c r="MF71" i="3" s="1"/>
  <c r="ME72" i="3"/>
  <c r="MF72" i="3" s="1"/>
  <c r="ME73" i="3"/>
  <c r="MF73" i="3" s="1"/>
  <c r="ME74" i="3"/>
  <c r="ME75" i="3"/>
  <c r="MF75" i="3" s="1"/>
  <c r="ME76" i="3"/>
  <c r="MF76" i="3" s="1"/>
  <c r="ME77" i="3"/>
  <c r="MF77" i="3" s="1"/>
  <c r="ME78" i="3"/>
  <c r="MF78" i="3" s="1"/>
  <c r="ME79" i="3"/>
  <c r="ME80" i="3"/>
  <c r="ME81" i="3"/>
  <c r="ME82" i="3"/>
  <c r="MF82" i="3" s="1"/>
  <c r="ME83" i="3"/>
  <c r="ME84" i="3"/>
  <c r="MF84" i="3" s="1"/>
  <c r="ME85" i="3"/>
  <c r="MF85" i="3" s="1"/>
  <c r="ME86" i="3"/>
  <c r="MF86" i="3" s="1"/>
  <c r="ME87" i="3"/>
  <c r="ME88" i="3"/>
  <c r="ME89" i="3"/>
  <c r="ME90" i="3"/>
  <c r="F98" i="8"/>
  <c r="M84" i="8"/>
  <c r="I84" i="8"/>
  <c r="Z228" i="3"/>
  <c r="AL228" i="3" s="1"/>
  <c r="I98" i="8"/>
  <c r="H98" i="8"/>
  <c r="J98" i="8"/>
  <c r="M98" i="8"/>
  <c r="C98" i="8"/>
  <c r="AF260" i="3"/>
  <c r="AF261" i="3"/>
  <c r="AF262" i="3"/>
  <c r="AF263" i="3"/>
  <c r="AF264" i="3"/>
  <c r="AF265" i="3"/>
  <c r="AF266" i="3"/>
  <c r="AF267" i="3"/>
  <c r="AF268" i="3"/>
  <c r="AF269" i="3"/>
  <c r="AF270" i="3"/>
  <c r="AF271" i="3"/>
  <c r="AF272" i="3"/>
  <c r="AF273" i="3"/>
  <c r="AF274" i="3"/>
  <c r="AF275" i="3"/>
  <c r="AF276" i="3"/>
  <c r="AF277" i="3"/>
  <c r="AF278" i="3"/>
  <c r="AF279" i="3"/>
  <c r="AF280" i="3"/>
  <c r="AF281" i="3"/>
  <c r="AF282" i="3"/>
  <c r="AF283" i="3"/>
  <c r="AF284" i="3"/>
  <c r="AF285" i="3"/>
  <c r="AF286" i="3"/>
  <c r="AF287" i="3"/>
  <c r="AF288" i="3"/>
  <c r="AF289" i="3"/>
  <c r="AF290" i="3"/>
  <c r="AF291" i="3"/>
  <c r="M96" i="8"/>
  <c r="M97" i="8"/>
  <c r="F97" i="8"/>
  <c r="N97" i="8"/>
  <c r="I97" i="8"/>
  <c r="J96" i="8"/>
  <c r="G96" i="8"/>
  <c r="L96" i="8"/>
  <c r="N96" i="8"/>
  <c r="I96" i="8"/>
  <c r="M95" i="8"/>
  <c r="G95" i="8"/>
  <c r="C95" i="8"/>
  <c r="J95" i="8"/>
  <c r="L95" i="8"/>
  <c r="I95" i="8"/>
  <c r="N95" i="8"/>
  <c r="C94" i="8"/>
  <c r="J91" i="8"/>
  <c r="J92" i="8"/>
  <c r="K91" i="8"/>
  <c r="L91" i="8"/>
  <c r="N91" i="8"/>
  <c r="M91" i="8"/>
  <c r="H91" i="8"/>
  <c r="I91" i="8"/>
  <c r="LQ101" i="3"/>
  <c r="LV101" i="3"/>
  <c r="N90" i="8"/>
  <c r="H90" i="8"/>
  <c r="L90" i="8"/>
  <c r="I90" i="8"/>
  <c r="M90" i="8"/>
  <c r="J87" i="8"/>
  <c r="M87" i="8"/>
  <c r="I87" i="8"/>
  <c r="M94" i="8"/>
  <c r="N94" i="8"/>
  <c r="J94" i="8"/>
  <c r="I94" i="8"/>
  <c r="L94" i="8"/>
  <c r="G94" i="8"/>
  <c r="H94" i="8"/>
  <c r="O252" i="3"/>
  <c r="O251" i="3"/>
  <c r="LW101" i="3"/>
  <c r="L92" i="8"/>
  <c r="G92" i="8"/>
  <c r="H92" i="8"/>
  <c r="I92" i="8"/>
  <c r="M92" i="8"/>
  <c r="LW102" i="3"/>
  <c r="LU101" i="3"/>
  <c r="LX101" i="3"/>
  <c r="LY101" i="3"/>
  <c r="LZ101" i="3"/>
  <c r="MA101" i="3"/>
  <c r="MB101" i="3"/>
  <c r="MF74" i="3"/>
  <c r="L89" i="8"/>
  <c r="G89" i="8"/>
  <c r="O89" i="8" s="1"/>
  <c r="J89" i="8"/>
  <c r="I89" i="8"/>
  <c r="M89" i="8"/>
  <c r="LT101" i="3"/>
  <c r="M88" i="8"/>
  <c r="I88" i="8"/>
  <c r="LS101" i="3"/>
  <c r="LR101" i="3"/>
  <c r="LR102" i="3"/>
  <c r="G85" i="8"/>
  <c r="I85" i="8"/>
  <c r="L85" i="8"/>
  <c r="J85" i="8"/>
  <c r="M85" i="8"/>
  <c r="LP101" i="3"/>
  <c r="KF102" i="3"/>
  <c r="KT102" i="3"/>
  <c r="LG102" i="3"/>
  <c r="C84" i="8"/>
  <c r="L84" i="8"/>
  <c r="LE101" i="3"/>
  <c r="H83" i="8"/>
  <c r="M83" i="8"/>
  <c r="J83" i="8"/>
  <c r="I83" i="8"/>
  <c r="F83" i="8"/>
  <c r="O83" i="8" s="1"/>
  <c r="M82" i="8"/>
  <c r="J82" i="8"/>
  <c r="G82" i="8"/>
  <c r="I82" i="8"/>
  <c r="L82" i="8"/>
  <c r="C82" i="8"/>
  <c r="I176" i="3"/>
  <c r="K176" i="3"/>
  <c r="M176" i="3"/>
  <c r="O176" i="3"/>
  <c r="Q176" i="3"/>
  <c r="S176" i="3"/>
  <c r="U176" i="3"/>
  <c r="W176" i="3"/>
  <c r="I177" i="3"/>
  <c r="K177" i="3"/>
  <c r="M177" i="3"/>
  <c r="O177" i="3"/>
  <c r="Q177" i="3"/>
  <c r="S177" i="3"/>
  <c r="U177" i="3"/>
  <c r="W177" i="3"/>
  <c r="I178" i="3"/>
  <c r="K178" i="3"/>
  <c r="M178" i="3"/>
  <c r="O178" i="3"/>
  <c r="Q178" i="3"/>
  <c r="S178" i="3"/>
  <c r="U178" i="3"/>
  <c r="W178" i="3"/>
  <c r="I179" i="3"/>
  <c r="K179" i="3"/>
  <c r="M179" i="3"/>
  <c r="O179" i="3"/>
  <c r="Q179" i="3"/>
  <c r="S179" i="3"/>
  <c r="U179" i="3"/>
  <c r="W179" i="3"/>
  <c r="I180" i="3"/>
  <c r="K180" i="3"/>
  <c r="M180" i="3"/>
  <c r="O180" i="3"/>
  <c r="Q180" i="3"/>
  <c r="S180" i="3"/>
  <c r="U180" i="3"/>
  <c r="W180" i="3"/>
  <c r="I181" i="3"/>
  <c r="K181" i="3"/>
  <c r="M181" i="3"/>
  <c r="O181" i="3"/>
  <c r="Q181" i="3"/>
  <c r="S181" i="3"/>
  <c r="U181" i="3"/>
  <c r="W181" i="3"/>
  <c r="I182" i="3"/>
  <c r="K182" i="3"/>
  <c r="M182" i="3"/>
  <c r="O182" i="3"/>
  <c r="Q182" i="3"/>
  <c r="S182" i="3"/>
  <c r="U182" i="3"/>
  <c r="W182" i="3"/>
  <c r="I183" i="3"/>
  <c r="K183" i="3"/>
  <c r="M183" i="3"/>
  <c r="O183" i="3"/>
  <c r="Q183" i="3"/>
  <c r="S183" i="3"/>
  <c r="U183" i="3"/>
  <c r="W183" i="3"/>
  <c r="I184" i="3"/>
  <c r="K184" i="3"/>
  <c r="M184" i="3"/>
  <c r="O184" i="3"/>
  <c r="Q184" i="3"/>
  <c r="S184" i="3"/>
  <c r="U184" i="3"/>
  <c r="W184" i="3"/>
  <c r="I185" i="3"/>
  <c r="K185" i="3"/>
  <c r="M185" i="3"/>
  <c r="O185" i="3"/>
  <c r="Q185" i="3"/>
  <c r="S185" i="3"/>
  <c r="U185" i="3"/>
  <c r="W185" i="3"/>
  <c r="I186" i="3"/>
  <c r="K186" i="3"/>
  <c r="M186" i="3"/>
  <c r="O186" i="3"/>
  <c r="Q186" i="3"/>
  <c r="S186" i="3"/>
  <c r="U186" i="3"/>
  <c r="W186" i="3"/>
  <c r="I187" i="3"/>
  <c r="K187" i="3"/>
  <c r="M187" i="3"/>
  <c r="O187" i="3"/>
  <c r="Q187" i="3"/>
  <c r="S187" i="3"/>
  <c r="U187" i="3"/>
  <c r="W187" i="3"/>
  <c r="I188" i="3"/>
  <c r="K188" i="3"/>
  <c r="M188" i="3"/>
  <c r="O188" i="3"/>
  <c r="Q188" i="3"/>
  <c r="S188" i="3"/>
  <c r="U188" i="3"/>
  <c r="W188" i="3"/>
  <c r="I189" i="3"/>
  <c r="K189" i="3"/>
  <c r="M189" i="3"/>
  <c r="O189" i="3"/>
  <c r="Q189" i="3"/>
  <c r="S189" i="3"/>
  <c r="U189" i="3"/>
  <c r="W189" i="3"/>
  <c r="I190" i="3"/>
  <c r="K190" i="3"/>
  <c r="M190" i="3"/>
  <c r="O190" i="3"/>
  <c r="Q190" i="3"/>
  <c r="S190" i="3"/>
  <c r="U190" i="3"/>
  <c r="W190" i="3"/>
  <c r="O85" i="8" l="1"/>
  <c r="O88" i="8"/>
  <c r="O96" i="8"/>
  <c r="O97" i="8"/>
  <c r="O105" i="8"/>
  <c r="O113" i="8"/>
  <c r="O82" i="8"/>
  <c r="O94" i="8"/>
  <c r="O90" i="8"/>
  <c r="O84" i="8"/>
  <c r="O106" i="8"/>
  <c r="O115" i="8"/>
  <c r="O91" i="8"/>
  <c r="O101" i="8"/>
  <c r="O103" i="8"/>
  <c r="O108" i="8"/>
  <c r="O112" i="8"/>
  <c r="O92" i="8"/>
  <c r="O87" i="8"/>
  <c r="O95" i="8"/>
  <c r="O98" i="8"/>
  <c r="O99" i="8"/>
  <c r="O116" i="8"/>
  <c r="OD9" i="3"/>
  <c r="AL109" i="3" s="1"/>
  <c r="AJ109" i="3"/>
  <c r="OD13" i="3"/>
  <c r="AL113" i="3" s="1"/>
  <c r="AJ113" i="3"/>
  <c r="OD17" i="3"/>
  <c r="AL117" i="3" s="1"/>
  <c r="AJ117" i="3"/>
  <c r="OD21" i="3"/>
  <c r="AL121" i="3" s="1"/>
  <c r="AJ121" i="3"/>
  <c r="OD25" i="3"/>
  <c r="AL125" i="3" s="1"/>
  <c r="AJ125" i="3"/>
  <c r="OD29" i="3"/>
  <c r="AL129" i="3" s="1"/>
  <c r="AJ129" i="3"/>
  <c r="OD33" i="3"/>
  <c r="AL133" i="3" s="1"/>
  <c r="AJ133" i="3"/>
  <c r="OD37" i="3"/>
  <c r="AL137" i="3" s="1"/>
  <c r="AJ137" i="3"/>
  <c r="OD41" i="3"/>
  <c r="AL141" i="3" s="1"/>
  <c r="AJ141" i="3"/>
  <c r="OD45" i="3"/>
  <c r="AL145" i="3" s="1"/>
  <c r="AJ145" i="3"/>
  <c r="OD49" i="3"/>
  <c r="AL149" i="3" s="1"/>
  <c r="AJ149" i="3"/>
  <c r="OD53" i="3"/>
  <c r="AL153" i="3" s="1"/>
  <c r="AJ153" i="3"/>
  <c r="OD57" i="3"/>
  <c r="AL157" i="3" s="1"/>
  <c r="AJ157" i="3"/>
  <c r="OD61" i="3"/>
  <c r="AL161" i="3" s="1"/>
  <c r="AJ161" i="3"/>
  <c r="OD65" i="3"/>
  <c r="AL165" i="3" s="1"/>
  <c r="AJ165" i="3"/>
  <c r="OD69" i="3"/>
  <c r="AL169" i="3" s="1"/>
  <c r="AJ169" i="3"/>
  <c r="OD73" i="3"/>
  <c r="AL173" i="3" s="1"/>
  <c r="AJ173" i="3"/>
  <c r="OD77" i="3"/>
  <c r="AL177" i="3" s="1"/>
  <c r="AJ177" i="3"/>
  <c r="OD81" i="3"/>
  <c r="AL181" i="3" s="1"/>
  <c r="AJ181" i="3"/>
  <c r="OD85" i="3"/>
  <c r="AL185" i="3" s="1"/>
  <c r="AJ185" i="3"/>
  <c r="OD89" i="3"/>
  <c r="AL189" i="3" s="1"/>
  <c r="AJ189" i="3"/>
  <c r="OD93" i="3"/>
  <c r="AL193" i="3" s="1"/>
  <c r="AJ193" i="3"/>
  <c r="OD97" i="3"/>
  <c r="AL197" i="3" s="1"/>
  <c r="AJ197" i="3"/>
  <c r="OD10" i="3"/>
  <c r="AL110" i="3" s="1"/>
  <c r="AJ110" i="3"/>
  <c r="OD14" i="3"/>
  <c r="AL114" i="3" s="1"/>
  <c r="AJ114" i="3"/>
  <c r="OD18" i="3"/>
  <c r="AL118" i="3" s="1"/>
  <c r="AJ118" i="3"/>
  <c r="OD22" i="3"/>
  <c r="AL122" i="3" s="1"/>
  <c r="AJ122" i="3"/>
  <c r="OD26" i="3"/>
  <c r="AL126" i="3" s="1"/>
  <c r="AJ126" i="3"/>
  <c r="OD30" i="3"/>
  <c r="AL130" i="3" s="1"/>
  <c r="AJ130" i="3"/>
  <c r="OD34" i="3"/>
  <c r="AL134" i="3" s="1"/>
  <c r="AJ134" i="3"/>
  <c r="OD38" i="3"/>
  <c r="AL138" i="3" s="1"/>
  <c r="AJ138" i="3"/>
  <c r="OD42" i="3"/>
  <c r="AL142" i="3" s="1"/>
  <c r="AJ142" i="3"/>
  <c r="OD46" i="3"/>
  <c r="AL146" i="3" s="1"/>
  <c r="AJ146" i="3"/>
  <c r="OD50" i="3"/>
  <c r="AL150" i="3" s="1"/>
  <c r="AJ150" i="3"/>
  <c r="OD54" i="3"/>
  <c r="AL154" i="3" s="1"/>
  <c r="AJ154" i="3"/>
  <c r="OD58" i="3"/>
  <c r="AL158" i="3" s="1"/>
  <c r="AJ158" i="3"/>
  <c r="OD62" i="3"/>
  <c r="AL162" i="3" s="1"/>
  <c r="AJ162" i="3"/>
  <c r="OD66" i="3"/>
  <c r="AL166" i="3" s="1"/>
  <c r="AJ166" i="3"/>
  <c r="OD70" i="3"/>
  <c r="AL170" i="3" s="1"/>
  <c r="AJ170" i="3"/>
  <c r="OD74" i="3"/>
  <c r="AL174" i="3" s="1"/>
  <c r="AJ174" i="3"/>
  <c r="OD78" i="3"/>
  <c r="AL178" i="3" s="1"/>
  <c r="AJ178" i="3"/>
  <c r="OD82" i="3"/>
  <c r="AL182" i="3" s="1"/>
  <c r="AJ182" i="3"/>
  <c r="OD86" i="3"/>
  <c r="AL186" i="3" s="1"/>
  <c r="AJ186" i="3"/>
  <c r="OD90" i="3"/>
  <c r="AL190" i="3" s="1"/>
  <c r="AJ190" i="3"/>
  <c r="OD94" i="3"/>
  <c r="AL194" i="3" s="1"/>
  <c r="AJ194" i="3"/>
  <c r="OD98" i="3"/>
  <c r="AL198" i="3" s="1"/>
  <c r="AJ198" i="3"/>
  <c r="OD11" i="3"/>
  <c r="AL111" i="3" s="1"/>
  <c r="AJ111" i="3"/>
  <c r="OD15" i="3"/>
  <c r="AL115" i="3" s="1"/>
  <c r="AJ115" i="3"/>
  <c r="OD19" i="3"/>
  <c r="AL119" i="3" s="1"/>
  <c r="AJ119" i="3"/>
  <c r="OD23" i="3"/>
  <c r="AL123" i="3" s="1"/>
  <c r="AJ123" i="3"/>
  <c r="OD27" i="3"/>
  <c r="AL127" i="3" s="1"/>
  <c r="AJ127" i="3"/>
  <c r="OD31" i="3"/>
  <c r="AL131" i="3" s="1"/>
  <c r="AJ131" i="3"/>
  <c r="OD35" i="3"/>
  <c r="AL135" i="3" s="1"/>
  <c r="AJ135" i="3"/>
  <c r="OD39" i="3"/>
  <c r="AL139" i="3" s="1"/>
  <c r="AJ139" i="3"/>
  <c r="OD43" i="3"/>
  <c r="AL143" i="3" s="1"/>
  <c r="AJ143" i="3"/>
  <c r="OD47" i="3"/>
  <c r="AL147" i="3" s="1"/>
  <c r="AJ147" i="3"/>
  <c r="OD51" i="3"/>
  <c r="AL151" i="3" s="1"/>
  <c r="AJ151" i="3"/>
  <c r="OD55" i="3"/>
  <c r="AL155" i="3" s="1"/>
  <c r="AJ155" i="3"/>
  <c r="OD59" i="3"/>
  <c r="AL159" i="3" s="1"/>
  <c r="AJ159" i="3"/>
  <c r="OD63" i="3"/>
  <c r="AL163" i="3" s="1"/>
  <c r="AJ163" i="3"/>
  <c r="OD67" i="3"/>
  <c r="AL167" i="3" s="1"/>
  <c r="AJ167" i="3"/>
  <c r="OD71" i="3"/>
  <c r="AL171" i="3" s="1"/>
  <c r="AJ171" i="3"/>
  <c r="OD75" i="3"/>
  <c r="AL175" i="3" s="1"/>
  <c r="AJ175" i="3"/>
  <c r="OD79" i="3"/>
  <c r="AL179" i="3" s="1"/>
  <c r="AJ179" i="3"/>
  <c r="OD83" i="3"/>
  <c r="AL183" i="3" s="1"/>
  <c r="AJ183" i="3"/>
  <c r="OD87" i="3"/>
  <c r="AL187" i="3" s="1"/>
  <c r="AJ187" i="3"/>
  <c r="OD91" i="3"/>
  <c r="AL191" i="3" s="1"/>
  <c r="AJ191" i="3"/>
  <c r="OD95" i="3"/>
  <c r="AL195" i="3" s="1"/>
  <c r="AJ195" i="3"/>
  <c r="OD99" i="3"/>
  <c r="AL199" i="3" s="1"/>
  <c r="AJ199" i="3"/>
  <c r="OD8" i="3"/>
  <c r="AL108" i="3" s="1"/>
  <c r="AJ108" i="3"/>
  <c r="OD12" i="3"/>
  <c r="AL112" i="3" s="1"/>
  <c r="AJ112" i="3"/>
  <c r="OD16" i="3"/>
  <c r="AL116" i="3" s="1"/>
  <c r="AJ116" i="3"/>
  <c r="OD20" i="3"/>
  <c r="AL120" i="3" s="1"/>
  <c r="AJ120" i="3"/>
  <c r="OD24" i="3"/>
  <c r="AL124" i="3" s="1"/>
  <c r="AJ124" i="3"/>
  <c r="OD28" i="3"/>
  <c r="AL128" i="3" s="1"/>
  <c r="AJ128" i="3"/>
  <c r="OD32" i="3"/>
  <c r="AL132" i="3" s="1"/>
  <c r="AJ132" i="3"/>
  <c r="OD36" i="3"/>
  <c r="AL136" i="3" s="1"/>
  <c r="AJ136" i="3"/>
  <c r="OD40" i="3"/>
  <c r="AL140" i="3" s="1"/>
  <c r="AJ140" i="3"/>
  <c r="OD44" i="3"/>
  <c r="AL144" i="3" s="1"/>
  <c r="AJ144" i="3"/>
  <c r="OD48" i="3"/>
  <c r="AL148" i="3" s="1"/>
  <c r="AJ148" i="3"/>
  <c r="OD52" i="3"/>
  <c r="AL152" i="3" s="1"/>
  <c r="AJ152" i="3"/>
  <c r="OD56" i="3"/>
  <c r="AL156" i="3" s="1"/>
  <c r="AJ156" i="3"/>
  <c r="OD60" i="3"/>
  <c r="AL160" i="3" s="1"/>
  <c r="AJ160" i="3"/>
  <c r="OD64" i="3"/>
  <c r="AL164" i="3" s="1"/>
  <c r="AJ164" i="3"/>
  <c r="OD68" i="3"/>
  <c r="AL168" i="3" s="1"/>
  <c r="AJ168" i="3"/>
  <c r="OD72" i="3"/>
  <c r="AL172" i="3" s="1"/>
  <c r="AJ172" i="3"/>
  <c r="OD76" i="3"/>
  <c r="AL176" i="3" s="1"/>
  <c r="AJ176" i="3"/>
  <c r="OD80" i="3"/>
  <c r="AL180" i="3" s="1"/>
  <c r="AJ180" i="3"/>
  <c r="OD84" i="3"/>
  <c r="AL184" i="3" s="1"/>
  <c r="AJ184" i="3"/>
  <c r="OD88" i="3"/>
  <c r="AL188" i="3" s="1"/>
  <c r="AJ188" i="3"/>
  <c r="OD92" i="3"/>
  <c r="AL192" i="3" s="1"/>
  <c r="AJ192" i="3"/>
  <c r="OD96" i="3"/>
  <c r="AL196" i="3" s="1"/>
  <c r="AJ196" i="3"/>
  <c r="OD100" i="3"/>
  <c r="AL200" i="3" s="1"/>
  <c r="AJ200" i="3"/>
  <c r="AC189" i="3"/>
  <c r="AC181" i="3"/>
  <c r="MF92" i="3"/>
  <c r="AH192" i="3" s="1"/>
  <c r="AC192" i="3"/>
  <c r="AH173" i="3"/>
  <c r="NE102" i="3"/>
  <c r="AH185" i="3"/>
  <c r="AC188" i="3"/>
  <c r="AC180" i="3"/>
  <c r="AH197" i="3"/>
  <c r="AH196" i="3"/>
  <c r="AC199" i="3"/>
  <c r="AN199" i="3" s="1"/>
  <c r="AH195" i="3"/>
  <c r="AH194" i="3"/>
  <c r="AH193" i="3"/>
  <c r="AH200" i="3"/>
  <c r="AH199" i="3"/>
  <c r="AH191" i="3"/>
  <c r="AH198" i="3"/>
  <c r="AP198" i="3" s="1"/>
  <c r="AC194" i="3"/>
  <c r="AN194" i="3" s="1"/>
  <c r="AC197" i="3"/>
  <c r="AN197" i="3" s="1"/>
  <c r="AC195" i="3"/>
  <c r="AC193" i="3"/>
  <c r="AC191" i="3"/>
  <c r="AC200" i="3"/>
  <c r="AC198" i="3"/>
  <c r="AC196" i="3"/>
  <c r="AH182" i="3"/>
  <c r="MF80" i="3"/>
  <c r="AH180" i="3" s="1"/>
  <c r="AH174" i="3"/>
  <c r="NE101" i="3"/>
  <c r="AH186" i="3"/>
  <c r="AH178" i="3"/>
  <c r="AH122" i="3"/>
  <c r="AH130" i="3"/>
  <c r="AH138" i="3"/>
  <c r="AH146" i="3"/>
  <c r="AH170" i="3"/>
  <c r="AC187" i="3"/>
  <c r="AC179" i="3"/>
  <c r="AH166" i="3"/>
  <c r="AC184" i="3"/>
  <c r="MF79" i="3"/>
  <c r="AH179" i="3" s="1"/>
  <c r="MF89" i="3"/>
  <c r="AH189" i="3" s="1"/>
  <c r="AC182" i="3"/>
  <c r="AC134" i="3"/>
  <c r="AH115" i="3"/>
  <c r="MF87" i="3"/>
  <c r="AH187" i="3" s="1"/>
  <c r="AC178" i="3"/>
  <c r="AC176" i="3"/>
  <c r="AH113" i="3"/>
  <c r="AH121" i="3"/>
  <c r="AH129" i="3"/>
  <c r="AH137" i="3"/>
  <c r="AH145" i="3"/>
  <c r="AH161" i="3"/>
  <c r="AC186" i="3"/>
  <c r="AH176" i="3"/>
  <c r="AC183" i="3"/>
  <c r="AH154" i="3"/>
  <c r="AH177" i="3"/>
  <c r="AC190" i="3"/>
  <c r="AH117" i="3"/>
  <c r="AH184" i="3"/>
  <c r="MF81" i="3"/>
  <c r="AH181" i="3" s="1"/>
  <c r="AH111" i="3"/>
  <c r="AH119" i="3"/>
  <c r="AH127" i="3"/>
  <c r="AH135" i="3"/>
  <c r="AH143" i="3"/>
  <c r="AH159" i="3"/>
  <c r="AH167" i="3"/>
  <c r="AH175" i="3"/>
  <c r="AH112" i="3"/>
  <c r="AH120" i="3"/>
  <c r="AH128" i="3"/>
  <c r="AH136" i="3"/>
  <c r="AH144" i="3"/>
  <c r="AH152" i="3"/>
  <c r="AH160" i="3"/>
  <c r="AH168" i="3"/>
  <c r="AH162" i="3"/>
  <c r="AH123" i="3"/>
  <c r="AH131" i="3"/>
  <c r="AH139" i="3"/>
  <c r="AH147" i="3"/>
  <c r="AH163" i="3"/>
  <c r="AH171" i="3"/>
  <c r="AC185" i="3"/>
  <c r="AC177" i="3"/>
  <c r="AH108" i="3"/>
  <c r="AH116" i="3"/>
  <c r="AH124" i="3"/>
  <c r="AH132" i="3"/>
  <c r="AH140" i="3"/>
  <c r="AH148" i="3"/>
  <c r="AH172" i="3"/>
  <c r="AH109" i="3"/>
  <c r="AH125" i="3"/>
  <c r="AH133" i="3"/>
  <c r="AH141" i="3"/>
  <c r="AH149" i="3"/>
  <c r="AH157" i="3"/>
  <c r="AH165" i="3"/>
  <c r="AH110" i="3"/>
  <c r="AH126" i="3"/>
  <c r="AH134" i="3"/>
  <c r="AH142" i="3"/>
  <c r="AH150" i="3"/>
  <c r="AH158" i="3"/>
  <c r="AC173" i="3"/>
  <c r="AC147" i="3"/>
  <c r="AC172" i="3"/>
  <c r="AC171" i="3"/>
  <c r="AC138" i="3"/>
  <c r="AC175" i="3"/>
  <c r="AC174" i="3"/>
  <c r="AC163" i="3"/>
  <c r="AC154" i="3"/>
  <c r="AC170" i="3"/>
  <c r="AC166" i="3"/>
  <c r="AC162" i="3"/>
  <c r="AC158" i="3"/>
  <c r="AC153" i="3"/>
  <c r="AC146" i="3"/>
  <c r="AC142" i="3"/>
  <c r="AC137" i="3"/>
  <c r="AC133" i="3"/>
  <c r="AC129" i="3"/>
  <c r="AC125" i="3"/>
  <c r="AC116" i="3"/>
  <c r="AC111" i="3"/>
  <c r="AC169" i="3"/>
  <c r="AC165" i="3"/>
  <c r="AC161" i="3"/>
  <c r="AC157" i="3"/>
  <c r="AC150" i="3"/>
  <c r="AC145" i="3"/>
  <c r="AC141" i="3"/>
  <c r="AC136" i="3"/>
  <c r="AC132" i="3"/>
  <c r="AC128" i="3"/>
  <c r="AC124" i="3"/>
  <c r="AC115" i="3"/>
  <c r="AC168" i="3"/>
  <c r="AC164" i="3"/>
  <c r="AC160" i="3"/>
  <c r="AC155" i="3"/>
  <c r="AC148" i="3"/>
  <c r="AC144" i="3"/>
  <c r="AC140" i="3"/>
  <c r="AC135" i="3"/>
  <c r="AC131" i="3"/>
  <c r="AC127" i="3"/>
  <c r="AC123" i="3"/>
  <c r="AC114" i="3"/>
  <c r="AC167" i="3"/>
  <c r="AC159" i="3"/>
  <c r="AC143" i="3"/>
  <c r="AC130" i="3"/>
  <c r="AC126" i="3"/>
  <c r="AC122" i="3"/>
  <c r="AC113" i="3"/>
  <c r="AC120" i="3"/>
  <c r="AC108" i="3"/>
  <c r="AC139" i="3"/>
  <c r="AH151" i="3"/>
  <c r="AC151" i="3"/>
  <c r="AC112" i="3"/>
  <c r="AC118" i="3"/>
  <c r="AC156" i="3"/>
  <c r="AC152" i="3"/>
  <c r="AC149" i="3"/>
  <c r="AC119" i="3"/>
  <c r="AC117" i="3"/>
  <c r="AC110" i="3"/>
  <c r="AC109" i="3"/>
  <c r="AC121" i="3"/>
  <c r="MF18" i="3"/>
  <c r="AH118" i="3" s="1"/>
  <c r="MF102" i="3"/>
  <c r="AC202" i="3" s="1"/>
  <c r="MF90" i="3"/>
  <c r="AH190" i="3" s="1"/>
  <c r="MF14" i="3"/>
  <c r="AH114" i="3" s="1"/>
  <c r="Y202" i="3"/>
  <c r="MF56" i="3"/>
  <c r="AH156" i="3" s="1"/>
  <c r="MF64" i="3"/>
  <c r="AH164" i="3" s="1"/>
  <c r="MF88" i="3"/>
  <c r="AH188" i="3" s="1"/>
  <c r="MF55" i="3"/>
  <c r="AH155" i="3" s="1"/>
  <c r="MF69" i="3"/>
  <c r="AH169" i="3" s="1"/>
  <c r="MF83" i="3"/>
  <c r="AH183" i="3" s="1"/>
  <c r="MF53" i="3"/>
  <c r="AH153" i="3" s="1"/>
  <c r="LF76" i="3"/>
  <c r="LF77" i="3"/>
  <c r="LF78" i="3"/>
  <c r="LF79" i="3"/>
  <c r="LF80" i="3"/>
  <c r="LF81" i="3"/>
  <c r="LF82" i="3"/>
  <c r="LF83" i="3"/>
  <c r="LF84" i="3"/>
  <c r="LF85" i="3"/>
  <c r="LF86" i="3"/>
  <c r="LF87" i="3"/>
  <c r="LF88" i="3"/>
  <c r="LF89" i="3"/>
  <c r="LF90" i="3"/>
  <c r="LD101" i="3"/>
  <c r="LC101" i="3"/>
  <c r="LF75" i="3"/>
  <c r="LG75" i="3" s="1"/>
  <c r="LF74" i="3"/>
  <c r="LG74" i="3" s="1"/>
  <c r="LF73" i="3"/>
  <c r="LG73" i="3" s="1"/>
  <c r="LF72" i="3"/>
  <c r="LG72" i="3" s="1"/>
  <c r="LF71" i="3"/>
  <c r="LG71" i="3" s="1"/>
  <c r="LF70" i="3"/>
  <c r="LG70" i="3" s="1"/>
  <c r="LF69" i="3"/>
  <c r="LG69" i="3" s="1"/>
  <c r="LF68" i="3"/>
  <c r="LG68" i="3" s="1"/>
  <c r="LF67" i="3"/>
  <c r="LG67" i="3" s="1"/>
  <c r="LF66" i="3"/>
  <c r="LG66" i="3" s="1"/>
  <c r="LF65" i="3"/>
  <c r="LG65" i="3" s="1"/>
  <c r="LF64" i="3"/>
  <c r="LG64" i="3" s="1"/>
  <c r="LF63" i="3"/>
  <c r="LG63" i="3" s="1"/>
  <c r="LF62" i="3"/>
  <c r="LF61" i="3"/>
  <c r="LG61" i="3" s="1"/>
  <c r="LF60" i="3"/>
  <c r="LG60" i="3" s="1"/>
  <c r="LF59" i="3"/>
  <c r="LG59" i="3" s="1"/>
  <c r="LF58" i="3"/>
  <c r="LG58" i="3" s="1"/>
  <c r="LF57" i="3"/>
  <c r="LG57" i="3" s="1"/>
  <c r="LF56" i="3"/>
  <c r="LG56" i="3" s="1"/>
  <c r="LF55" i="3"/>
  <c r="LF54" i="3"/>
  <c r="LG54" i="3" s="1"/>
  <c r="LF53" i="3"/>
  <c r="LG53" i="3" s="1"/>
  <c r="LF52" i="3"/>
  <c r="LG52" i="3" s="1"/>
  <c r="LF51" i="3"/>
  <c r="LG51" i="3" s="1"/>
  <c r="LF50" i="3"/>
  <c r="LG50" i="3" s="1"/>
  <c r="LF49" i="3"/>
  <c r="LF48" i="3"/>
  <c r="LF47" i="3"/>
  <c r="LF46" i="3"/>
  <c r="LG46" i="3" s="1"/>
  <c r="LF45" i="3"/>
  <c r="LG45" i="3" s="1"/>
  <c r="LF44" i="3"/>
  <c r="LG44" i="3" s="1"/>
  <c r="LF43" i="3"/>
  <c r="LG43" i="3" s="1"/>
  <c r="LF42" i="3"/>
  <c r="LG42" i="3" s="1"/>
  <c r="LF41" i="3"/>
  <c r="LG41" i="3" s="1"/>
  <c r="LF40" i="3"/>
  <c r="LG40" i="3" s="1"/>
  <c r="LF39" i="3"/>
  <c r="LG39" i="3" s="1"/>
  <c r="LF38" i="3"/>
  <c r="LG38" i="3" s="1"/>
  <c r="LF37" i="3"/>
  <c r="LG37" i="3" s="1"/>
  <c r="LF36" i="3"/>
  <c r="LG36" i="3" s="1"/>
  <c r="LF35" i="3"/>
  <c r="LG35" i="3" s="1"/>
  <c r="LF34" i="3"/>
  <c r="LG34" i="3" s="1"/>
  <c r="LF33" i="3"/>
  <c r="LG33" i="3" s="1"/>
  <c r="LF32" i="3"/>
  <c r="LF31" i="3"/>
  <c r="LG31" i="3" s="1"/>
  <c r="LF30" i="3"/>
  <c r="LG30" i="3" s="1"/>
  <c r="LF29" i="3"/>
  <c r="LG29" i="3" s="1"/>
  <c r="LF28" i="3"/>
  <c r="LG28" i="3" s="1"/>
  <c r="LF27" i="3"/>
  <c r="LG27" i="3" s="1"/>
  <c r="LF26" i="3"/>
  <c r="LG26" i="3" s="1"/>
  <c r="LF25" i="3"/>
  <c r="LG25" i="3" s="1"/>
  <c r="LF24" i="3"/>
  <c r="LF23" i="3"/>
  <c r="LF22" i="3"/>
  <c r="LG22" i="3" s="1"/>
  <c r="LF21" i="3"/>
  <c r="LF20" i="3"/>
  <c r="LF19" i="3"/>
  <c r="LF18" i="3"/>
  <c r="LF17" i="3"/>
  <c r="LF16" i="3"/>
  <c r="LF15" i="3"/>
  <c r="LG15" i="3" s="1"/>
  <c r="LF14" i="3"/>
  <c r="LF13" i="3"/>
  <c r="LG13" i="3" s="1"/>
  <c r="LF12" i="3"/>
  <c r="LF11" i="3"/>
  <c r="LF10" i="3"/>
  <c r="LF9" i="3"/>
  <c r="LF8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M81" i="8"/>
  <c r="I81" i="8"/>
  <c r="G81" i="8"/>
  <c r="O81" i="8" s="1"/>
  <c r="C80" i="8"/>
  <c r="I80" i="8"/>
  <c r="J80" i="8"/>
  <c r="L80" i="8"/>
  <c r="M80" i="8"/>
  <c r="H80" i="8"/>
  <c r="O80" i="8" s="1"/>
  <c r="KP101" i="3"/>
  <c r="KQ101" i="3"/>
  <c r="KR101" i="3"/>
  <c r="KO101" i="3"/>
  <c r="F77" i="8"/>
  <c r="L78" i="8"/>
  <c r="J78" i="8"/>
  <c r="I78" i="8"/>
  <c r="O78" i="8" s="1"/>
  <c r="M78" i="8"/>
  <c r="KS8" i="3"/>
  <c r="KT8" i="3" s="1"/>
  <c r="KS75" i="3"/>
  <c r="KT75" i="3" s="1"/>
  <c r="KS74" i="3"/>
  <c r="KT74" i="3" s="1"/>
  <c r="KS73" i="3"/>
  <c r="KT73" i="3" s="1"/>
  <c r="KS72" i="3"/>
  <c r="KT72" i="3" s="1"/>
  <c r="KS71" i="3"/>
  <c r="KT71" i="3" s="1"/>
  <c r="KS70" i="3"/>
  <c r="KT70" i="3" s="1"/>
  <c r="KS69" i="3"/>
  <c r="KT69" i="3" s="1"/>
  <c r="KS68" i="3"/>
  <c r="KT68" i="3" s="1"/>
  <c r="KS67" i="3"/>
  <c r="KT67" i="3" s="1"/>
  <c r="KS66" i="3"/>
  <c r="KT66" i="3" s="1"/>
  <c r="KS65" i="3"/>
  <c r="KT65" i="3" s="1"/>
  <c r="KS64" i="3"/>
  <c r="KT64" i="3" s="1"/>
  <c r="KS63" i="3"/>
  <c r="KT63" i="3" s="1"/>
  <c r="KS62" i="3"/>
  <c r="KT62" i="3" s="1"/>
  <c r="KS61" i="3"/>
  <c r="KT61" i="3" s="1"/>
  <c r="KS60" i="3"/>
  <c r="KT60" i="3" s="1"/>
  <c r="KS59" i="3"/>
  <c r="KT59" i="3" s="1"/>
  <c r="KS58" i="3"/>
  <c r="KT58" i="3" s="1"/>
  <c r="KS57" i="3"/>
  <c r="KT57" i="3" s="1"/>
  <c r="KS56" i="3"/>
  <c r="KT56" i="3" s="1"/>
  <c r="KS55" i="3"/>
  <c r="KT55" i="3" s="1"/>
  <c r="KS54" i="3"/>
  <c r="KT54" i="3" s="1"/>
  <c r="KS53" i="3"/>
  <c r="KT53" i="3" s="1"/>
  <c r="KS52" i="3"/>
  <c r="KT52" i="3" s="1"/>
  <c r="KS51" i="3"/>
  <c r="KT51" i="3" s="1"/>
  <c r="KS50" i="3"/>
  <c r="KT50" i="3" s="1"/>
  <c r="KS49" i="3"/>
  <c r="KT49" i="3" s="1"/>
  <c r="KS48" i="3"/>
  <c r="KT48" i="3" s="1"/>
  <c r="KS47" i="3"/>
  <c r="KT47" i="3" s="1"/>
  <c r="KS46" i="3"/>
  <c r="KT46" i="3" s="1"/>
  <c r="KS45" i="3"/>
  <c r="KT45" i="3" s="1"/>
  <c r="KS44" i="3"/>
  <c r="KT44" i="3" s="1"/>
  <c r="KS43" i="3"/>
  <c r="KT43" i="3" s="1"/>
  <c r="KS42" i="3"/>
  <c r="KT42" i="3" s="1"/>
  <c r="KS41" i="3"/>
  <c r="KT41" i="3" s="1"/>
  <c r="KS40" i="3"/>
  <c r="KT40" i="3" s="1"/>
  <c r="KS39" i="3"/>
  <c r="KT39" i="3" s="1"/>
  <c r="KS38" i="3"/>
  <c r="KT38" i="3" s="1"/>
  <c r="KS37" i="3"/>
  <c r="KT37" i="3" s="1"/>
  <c r="KS36" i="3"/>
  <c r="KT36" i="3" s="1"/>
  <c r="KS35" i="3"/>
  <c r="KT35" i="3" s="1"/>
  <c r="KS34" i="3"/>
  <c r="KT34" i="3" s="1"/>
  <c r="KS33" i="3"/>
  <c r="KT33" i="3" s="1"/>
  <c r="KS32" i="3"/>
  <c r="KT32" i="3" s="1"/>
  <c r="KS31" i="3"/>
  <c r="KT31" i="3" s="1"/>
  <c r="KS30" i="3"/>
  <c r="KT30" i="3" s="1"/>
  <c r="KS29" i="3"/>
  <c r="KT29" i="3" s="1"/>
  <c r="KS28" i="3"/>
  <c r="KT28" i="3" s="1"/>
  <c r="KS27" i="3"/>
  <c r="KT27" i="3" s="1"/>
  <c r="KS26" i="3"/>
  <c r="KT26" i="3" s="1"/>
  <c r="KS25" i="3"/>
  <c r="KT25" i="3" s="1"/>
  <c r="KS24" i="3"/>
  <c r="KT24" i="3" s="1"/>
  <c r="KS23" i="3"/>
  <c r="KT23" i="3" s="1"/>
  <c r="KS22" i="3"/>
  <c r="KT22" i="3" s="1"/>
  <c r="KS21" i="3"/>
  <c r="KT21" i="3" s="1"/>
  <c r="KS20" i="3"/>
  <c r="KT20" i="3" s="1"/>
  <c r="KS19" i="3"/>
  <c r="KS18" i="3"/>
  <c r="KT18" i="3" s="1"/>
  <c r="KS17" i="3"/>
  <c r="KT17" i="3" s="1"/>
  <c r="KS16" i="3"/>
  <c r="KT16" i="3" s="1"/>
  <c r="KS15" i="3"/>
  <c r="KS14" i="3"/>
  <c r="KT14" i="3" s="1"/>
  <c r="KS13" i="3"/>
  <c r="KT13" i="3" s="1"/>
  <c r="KS12" i="3"/>
  <c r="KT12" i="3" s="1"/>
  <c r="KS11" i="3"/>
  <c r="KS10" i="3"/>
  <c r="KT10" i="3" s="1"/>
  <c r="KS9" i="3"/>
  <c r="KT9" i="3" s="1"/>
  <c r="KE9" i="3"/>
  <c r="KE10" i="3"/>
  <c r="KE11" i="3"/>
  <c r="KE12" i="3"/>
  <c r="KE13" i="3"/>
  <c r="KE14" i="3"/>
  <c r="KE15" i="3"/>
  <c r="KE16" i="3"/>
  <c r="KE17" i="3"/>
  <c r="KE18" i="3"/>
  <c r="KE19" i="3"/>
  <c r="KE20" i="3"/>
  <c r="KE21" i="3"/>
  <c r="KE22" i="3"/>
  <c r="KE23" i="3"/>
  <c r="KE24" i="3"/>
  <c r="KE25" i="3"/>
  <c r="KE26" i="3"/>
  <c r="KE27" i="3"/>
  <c r="KE28" i="3"/>
  <c r="KE29" i="3"/>
  <c r="KE30" i="3"/>
  <c r="KE31" i="3"/>
  <c r="KE32" i="3"/>
  <c r="KE33" i="3"/>
  <c r="KE34" i="3"/>
  <c r="KE35" i="3"/>
  <c r="KE36" i="3"/>
  <c r="KE37" i="3"/>
  <c r="KE38" i="3"/>
  <c r="KE39" i="3"/>
  <c r="KE40" i="3"/>
  <c r="KE41" i="3"/>
  <c r="KE42" i="3"/>
  <c r="KE43" i="3"/>
  <c r="KE44" i="3"/>
  <c r="KE45" i="3"/>
  <c r="KE46" i="3"/>
  <c r="KE47" i="3"/>
  <c r="KE48" i="3"/>
  <c r="KE49" i="3"/>
  <c r="KE50" i="3"/>
  <c r="KE51" i="3"/>
  <c r="KE52" i="3"/>
  <c r="KE53" i="3"/>
  <c r="KE54" i="3"/>
  <c r="KE55" i="3"/>
  <c r="KE56" i="3"/>
  <c r="KE57" i="3"/>
  <c r="KE58" i="3"/>
  <c r="KE59" i="3"/>
  <c r="KE60" i="3"/>
  <c r="KE61" i="3"/>
  <c r="KE62" i="3"/>
  <c r="KE63" i="3"/>
  <c r="KE64" i="3"/>
  <c r="KE65" i="3"/>
  <c r="KE66" i="3"/>
  <c r="KE67" i="3"/>
  <c r="KE68" i="3"/>
  <c r="KE69" i="3"/>
  <c r="KE70" i="3"/>
  <c r="KE71" i="3"/>
  <c r="KE72" i="3"/>
  <c r="KE73" i="3"/>
  <c r="KE74" i="3"/>
  <c r="KE75" i="3"/>
  <c r="KE8" i="3"/>
  <c r="L77" i="8"/>
  <c r="I77" i="8"/>
  <c r="J77" i="8"/>
  <c r="M77" i="8"/>
  <c r="C77" i="8"/>
  <c r="KC101" i="3"/>
  <c r="J76" i="8"/>
  <c r="I76" i="8"/>
  <c r="M76" i="8"/>
  <c r="C76" i="8"/>
  <c r="KB101" i="3"/>
  <c r="O76" i="8" l="1"/>
  <c r="O77" i="8"/>
  <c r="AP194" i="3"/>
  <c r="AN198" i="3"/>
  <c r="AP193" i="3"/>
  <c r="AP192" i="3"/>
  <c r="AP191" i="3"/>
  <c r="AP199" i="3"/>
  <c r="AN196" i="3"/>
  <c r="AP200" i="3"/>
  <c r="AN195" i="3"/>
  <c r="AP195" i="3"/>
  <c r="AN200" i="3"/>
  <c r="AN193" i="3"/>
  <c r="AB292" i="3" s="1"/>
  <c r="AC292" i="3" s="1"/>
  <c r="AE292" i="3" s="1"/>
  <c r="AP196" i="3"/>
  <c r="AP197" i="3"/>
  <c r="AN191" i="3"/>
  <c r="M324" i="3" s="1"/>
  <c r="N324" i="3" s="1"/>
  <c r="O324" i="3" s="1"/>
  <c r="OD101" i="3"/>
  <c r="AN192" i="3"/>
  <c r="M325" i="3" s="1"/>
  <c r="AJ201" i="3"/>
  <c r="AC201" i="3"/>
  <c r="MF101" i="3"/>
  <c r="Y174" i="3"/>
  <c r="Y175" i="3"/>
  <c r="LG89" i="3"/>
  <c r="AA189" i="3" s="1"/>
  <c r="AP189" i="3" s="1"/>
  <c r="Y189" i="3"/>
  <c r="AN189" i="3" s="1"/>
  <c r="LG81" i="3"/>
  <c r="AA181" i="3" s="1"/>
  <c r="AP181" i="3" s="1"/>
  <c r="Y181" i="3"/>
  <c r="AN181" i="3" s="1"/>
  <c r="LG88" i="3"/>
  <c r="AA188" i="3" s="1"/>
  <c r="AP188" i="3" s="1"/>
  <c r="Y188" i="3"/>
  <c r="AN188" i="3" s="1"/>
  <c r="LG80" i="3"/>
  <c r="AA180" i="3" s="1"/>
  <c r="AP180" i="3" s="1"/>
  <c r="Y180" i="3"/>
  <c r="AN180" i="3" s="1"/>
  <c r="LG87" i="3"/>
  <c r="AA187" i="3" s="1"/>
  <c r="AP187" i="3" s="1"/>
  <c r="Y187" i="3"/>
  <c r="AN187" i="3" s="1"/>
  <c r="LG79" i="3"/>
  <c r="AA179" i="3" s="1"/>
  <c r="AP179" i="3" s="1"/>
  <c r="Y179" i="3"/>
  <c r="AN179" i="3" s="1"/>
  <c r="LG86" i="3"/>
  <c r="AA186" i="3" s="1"/>
  <c r="AP186" i="3" s="1"/>
  <c r="Y186" i="3"/>
  <c r="AN186" i="3" s="1"/>
  <c r="LG78" i="3"/>
  <c r="AA178" i="3" s="1"/>
  <c r="AP178" i="3" s="1"/>
  <c r="Y178" i="3"/>
  <c r="AN178" i="3" s="1"/>
  <c r="LG85" i="3"/>
  <c r="AA185" i="3" s="1"/>
  <c r="AP185" i="3" s="1"/>
  <c r="Y185" i="3"/>
  <c r="AN185" i="3" s="1"/>
  <c r="LG77" i="3"/>
  <c r="AA177" i="3" s="1"/>
  <c r="AP177" i="3" s="1"/>
  <c r="Y177" i="3"/>
  <c r="AN177" i="3" s="1"/>
  <c r="LG84" i="3"/>
  <c r="AA184" i="3" s="1"/>
  <c r="AP184" i="3" s="1"/>
  <c r="Y184" i="3"/>
  <c r="AN184" i="3" s="1"/>
  <c r="LG83" i="3"/>
  <c r="AA183" i="3" s="1"/>
  <c r="AP183" i="3" s="1"/>
  <c r="Y183" i="3"/>
  <c r="AN183" i="3" s="1"/>
  <c r="LG90" i="3"/>
  <c r="AA190" i="3" s="1"/>
  <c r="AP190" i="3" s="1"/>
  <c r="Y190" i="3"/>
  <c r="AN190" i="3" s="1"/>
  <c r="LG82" i="3"/>
  <c r="AA182" i="3" s="1"/>
  <c r="AP182" i="3" s="1"/>
  <c r="Y182" i="3"/>
  <c r="AN182" i="3" s="1"/>
  <c r="LG55" i="3"/>
  <c r="LG48" i="3"/>
  <c r="LG21" i="3"/>
  <c r="LG14" i="3"/>
  <c r="LG32" i="3"/>
  <c r="LG49" i="3"/>
  <c r="LG47" i="3"/>
  <c r="LG76" i="3"/>
  <c r="AA176" i="3" s="1"/>
  <c r="AP176" i="3" s="1"/>
  <c r="Y176" i="3"/>
  <c r="AN176" i="3" s="1"/>
  <c r="LG62" i="3"/>
  <c r="LG11" i="3"/>
  <c r="LG10" i="3"/>
  <c r="LG8" i="3"/>
  <c r="LG12" i="3"/>
  <c r="LG23" i="3"/>
  <c r="LG20" i="3"/>
  <c r="LG16" i="3"/>
  <c r="LG18" i="3"/>
  <c r="LG24" i="3"/>
  <c r="LG19" i="3"/>
  <c r="LG9" i="3"/>
  <c r="LG17" i="3"/>
  <c r="KT11" i="3"/>
  <c r="KT15" i="3"/>
  <c r="KT19" i="3"/>
  <c r="M75" i="8"/>
  <c r="L75" i="8"/>
  <c r="J75" i="8"/>
  <c r="KA101" i="3"/>
  <c r="I75" i="8"/>
  <c r="C75" i="8"/>
  <c r="I68" i="8"/>
  <c r="O75" i="8" l="1"/>
  <c r="C73" i="1"/>
  <c r="C25" i="1"/>
  <c r="P313" i="3"/>
  <c r="P308" i="3"/>
  <c r="Q308" i="3" s="1"/>
  <c r="P310" i="3"/>
  <c r="Q310" i="3" s="1"/>
  <c r="P312" i="3"/>
  <c r="P306" i="3"/>
  <c r="Q306" i="3" s="1"/>
  <c r="P301" i="3"/>
  <c r="Q301" i="3" s="1"/>
  <c r="P303" i="3"/>
  <c r="Q303" i="3" s="1"/>
  <c r="P307" i="3"/>
  <c r="Q307" i="3" s="1"/>
  <c r="P309" i="3"/>
  <c r="Q309" i="3" s="1"/>
  <c r="P311" i="3"/>
  <c r="AB291" i="3"/>
  <c r="AC291" i="3" s="1"/>
  <c r="P305" i="3"/>
  <c r="Q305" i="3" s="1"/>
  <c r="P300" i="3"/>
  <c r="P304" i="3"/>
  <c r="Q304" i="3" s="1"/>
  <c r="LG101" i="3"/>
  <c r="KT101" i="3"/>
  <c r="I74" i="8"/>
  <c r="G74" i="8"/>
  <c r="M74" i="8"/>
  <c r="L74" i="8"/>
  <c r="C74" i="8"/>
  <c r="O74" i="8" l="1"/>
  <c r="AE291" i="3"/>
  <c r="P302" i="3"/>
  <c r="Q302" i="3" s="1"/>
  <c r="N325" i="3"/>
  <c r="R303" i="3"/>
  <c r="R308" i="3"/>
  <c r="R306" i="3"/>
  <c r="R304" i="3"/>
  <c r="R307" i="3"/>
  <c r="R310" i="3"/>
  <c r="R309" i="3"/>
  <c r="R305" i="3"/>
  <c r="R301" i="3"/>
  <c r="C68" i="1"/>
  <c r="C84" i="1"/>
  <c r="C6" i="1"/>
  <c r="C7" i="1"/>
  <c r="C83" i="1"/>
  <c r="C69" i="1"/>
  <c r="C87" i="1"/>
  <c r="C32" i="1"/>
  <c r="C40" i="1"/>
  <c r="C8" i="1"/>
  <c r="C73" i="8"/>
  <c r="J73" i="8"/>
  <c r="M73" i="8"/>
  <c r="L73" i="8"/>
  <c r="I73" i="8"/>
  <c r="G73" i="8"/>
  <c r="O73" i="8" s="1"/>
  <c r="JY101" i="3"/>
  <c r="I71" i="8"/>
  <c r="L71" i="8"/>
  <c r="M71" i="8"/>
  <c r="M70" i="8"/>
  <c r="C71" i="8"/>
  <c r="G70" i="8"/>
  <c r="O70" i="8" s="1"/>
  <c r="O71" i="8" l="1"/>
  <c r="R302" i="3"/>
  <c r="C85" i="1"/>
  <c r="O325" i="3"/>
  <c r="C26" i="1"/>
  <c r="M69" i="8"/>
  <c r="C69" i="8"/>
  <c r="F69" i="8"/>
  <c r="O69" i="8" s="1"/>
  <c r="M68" i="8"/>
  <c r="L68" i="8"/>
  <c r="O68" i="8" s="1"/>
  <c r="I175" i="3"/>
  <c r="K175" i="3"/>
  <c r="M175" i="3"/>
  <c r="O175" i="3"/>
  <c r="Q175" i="3"/>
  <c r="S175" i="3"/>
  <c r="U175" i="3"/>
  <c r="W175" i="3"/>
  <c r="KF75" i="3"/>
  <c r="AA175" i="3" s="1"/>
  <c r="O299" i="3"/>
  <c r="M67" i="8"/>
  <c r="L67" i="8"/>
  <c r="I67" i="8"/>
  <c r="H67" i="8"/>
  <c r="O67" i="8" s="1"/>
  <c r="C67" i="8"/>
  <c r="I174" i="3"/>
  <c r="K174" i="3"/>
  <c r="M174" i="3"/>
  <c r="O174" i="3"/>
  <c r="Q174" i="3"/>
  <c r="S174" i="3"/>
  <c r="U174" i="3"/>
  <c r="W174" i="3"/>
  <c r="KF74" i="3"/>
  <c r="AA174" i="3" s="1"/>
  <c r="M62" i="8"/>
  <c r="AN175" i="3" l="1"/>
  <c r="P299" i="3" s="1"/>
  <c r="AP174" i="3"/>
  <c r="AN174" i="3"/>
  <c r="AP175" i="3"/>
  <c r="O326" i="3"/>
  <c r="JP101" i="3"/>
  <c r="JQ101" i="3"/>
  <c r="JR101" i="3"/>
  <c r="JS101" i="3"/>
  <c r="JT101" i="3"/>
  <c r="JU101" i="3"/>
  <c r="JV101" i="3"/>
  <c r="JW101" i="3"/>
  <c r="JX101" i="3"/>
  <c r="JZ101" i="3"/>
  <c r="KF9" i="3"/>
  <c r="KF10" i="3"/>
  <c r="KF11" i="3"/>
  <c r="KF12" i="3"/>
  <c r="KF13" i="3"/>
  <c r="KF14" i="3"/>
  <c r="KF15" i="3"/>
  <c r="KF16" i="3"/>
  <c r="KF17" i="3"/>
  <c r="KF18" i="3"/>
  <c r="KF19" i="3"/>
  <c r="KF20" i="3"/>
  <c r="KF21" i="3"/>
  <c r="KF22" i="3"/>
  <c r="KF23" i="3"/>
  <c r="KF24" i="3"/>
  <c r="KF25" i="3"/>
  <c r="KF26" i="3"/>
  <c r="KF28" i="3"/>
  <c r="KF29" i="3"/>
  <c r="KF30" i="3"/>
  <c r="KF31" i="3"/>
  <c r="KF32" i="3"/>
  <c r="KF33" i="3"/>
  <c r="KF34" i="3"/>
  <c r="KF35" i="3"/>
  <c r="KF36" i="3"/>
  <c r="KF37" i="3"/>
  <c r="KF38" i="3"/>
  <c r="KF39" i="3"/>
  <c r="KF40" i="3"/>
  <c r="KF41" i="3"/>
  <c r="KF43" i="3"/>
  <c r="KF44" i="3"/>
  <c r="KF45" i="3"/>
  <c r="KF46" i="3"/>
  <c r="KF47" i="3"/>
  <c r="KF48" i="3"/>
  <c r="KF49" i="3"/>
  <c r="KF50" i="3"/>
  <c r="KF51" i="3"/>
  <c r="KF52" i="3"/>
  <c r="KF53" i="3"/>
  <c r="KF54" i="3"/>
  <c r="KF55" i="3"/>
  <c r="KF56" i="3"/>
  <c r="KF57" i="3"/>
  <c r="KF58" i="3"/>
  <c r="KF59" i="3"/>
  <c r="KF60" i="3"/>
  <c r="KF61" i="3"/>
  <c r="KF62" i="3"/>
  <c r="KF63" i="3"/>
  <c r="KF64" i="3"/>
  <c r="KF65" i="3"/>
  <c r="KF66" i="3"/>
  <c r="KF67" i="3"/>
  <c r="KF68" i="3"/>
  <c r="KF70" i="3"/>
  <c r="KF71" i="3"/>
  <c r="KF72" i="3"/>
  <c r="KF73" i="3"/>
  <c r="KF8" i="3"/>
  <c r="IY10" i="3"/>
  <c r="Y110" i="3" s="1"/>
  <c r="JO101" i="3"/>
  <c r="I63" i="8"/>
  <c r="M63" i="8"/>
  <c r="C63" i="8"/>
  <c r="KF42" i="3"/>
  <c r="KF69" i="3"/>
  <c r="JN101" i="3"/>
  <c r="I62" i="8"/>
  <c r="O62" i="8" s="1"/>
  <c r="C62" i="8"/>
  <c r="H61" i="8"/>
  <c r="I61" i="8"/>
  <c r="M61" i="8"/>
  <c r="L61" i="8"/>
  <c r="J61" i="8"/>
  <c r="C61" i="8"/>
  <c r="C60" i="8"/>
  <c r="I60" i="8"/>
  <c r="O60" i="8" s="1"/>
  <c r="M60" i="8"/>
  <c r="JK101" i="3"/>
  <c r="JJ101" i="3"/>
  <c r="JL101" i="3"/>
  <c r="JM101" i="3"/>
  <c r="I59" i="8"/>
  <c r="C59" i="8"/>
  <c r="J59" i="8"/>
  <c r="M59" i="8"/>
  <c r="J57" i="8"/>
  <c r="I57" i="8"/>
  <c r="M57" i="8"/>
  <c r="JI101" i="3"/>
  <c r="IY8" i="3"/>
  <c r="Y108" i="3" s="1"/>
  <c r="IM8" i="3"/>
  <c r="M56" i="8"/>
  <c r="O56" i="8" s="1"/>
  <c r="C56" i="8"/>
  <c r="J55" i="8"/>
  <c r="M55" i="8"/>
  <c r="IX101" i="3"/>
  <c r="IW101" i="3"/>
  <c r="IY73" i="3"/>
  <c r="Y173" i="3" s="1"/>
  <c r="IY72" i="3"/>
  <c r="Y172" i="3" s="1"/>
  <c r="IY71" i="3"/>
  <c r="Y171" i="3" s="1"/>
  <c r="IY70" i="3"/>
  <c r="Y170" i="3" s="1"/>
  <c r="IY69" i="3"/>
  <c r="Y169" i="3" s="1"/>
  <c r="IY68" i="3"/>
  <c r="Y168" i="3" s="1"/>
  <c r="IY67" i="3"/>
  <c r="Y167" i="3" s="1"/>
  <c r="IY66" i="3"/>
  <c r="Y166" i="3" s="1"/>
  <c r="IY65" i="3"/>
  <c r="Y165" i="3" s="1"/>
  <c r="IY64" i="3"/>
  <c r="Y164" i="3" s="1"/>
  <c r="IY63" i="3"/>
  <c r="Y163" i="3" s="1"/>
  <c r="IY62" i="3"/>
  <c r="Y162" i="3" s="1"/>
  <c r="IY61" i="3"/>
  <c r="Y161" i="3" s="1"/>
  <c r="IY60" i="3"/>
  <c r="Y160" i="3" s="1"/>
  <c r="IY59" i="3"/>
  <c r="Y159" i="3" s="1"/>
  <c r="IY58" i="3"/>
  <c r="Y158" i="3" s="1"/>
  <c r="IY57" i="3"/>
  <c r="Y157" i="3" s="1"/>
  <c r="IY56" i="3"/>
  <c r="Y156" i="3" s="1"/>
  <c r="IY55" i="3"/>
  <c r="Y155" i="3" s="1"/>
  <c r="IY54" i="3"/>
  <c r="Y154" i="3" s="1"/>
  <c r="IY53" i="3"/>
  <c r="Y153" i="3" s="1"/>
  <c r="IY52" i="3"/>
  <c r="Y152" i="3" s="1"/>
  <c r="IY51" i="3"/>
  <c r="Y151" i="3" s="1"/>
  <c r="IY50" i="3"/>
  <c r="Y150" i="3" s="1"/>
  <c r="IY49" i="3"/>
  <c r="Y149" i="3" s="1"/>
  <c r="IY48" i="3"/>
  <c r="Y148" i="3" s="1"/>
  <c r="IY47" i="3"/>
  <c r="Y147" i="3" s="1"/>
  <c r="IY46" i="3"/>
  <c r="Y146" i="3" s="1"/>
  <c r="IY45" i="3"/>
  <c r="Y145" i="3" s="1"/>
  <c r="IY44" i="3"/>
  <c r="Y144" i="3" s="1"/>
  <c r="IY43" i="3"/>
  <c r="Y143" i="3" s="1"/>
  <c r="IY42" i="3"/>
  <c r="Y142" i="3" s="1"/>
  <c r="IY41" i="3"/>
  <c r="Y141" i="3" s="1"/>
  <c r="IY40" i="3"/>
  <c r="Y140" i="3" s="1"/>
  <c r="IY39" i="3"/>
  <c r="Y139" i="3" s="1"/>
  <c r="IY38" i="3"/>
  <c r="Y138" i="3" s="1"/>
  <c r="IY37" i="3"/>
  <c r="Y137" i="3" s="1"/>
  <c r="IY36" i="3"/>
  <c r="Y136" i="3" s="1"/>
  <c r="IY35" i="3"/>
  <c r="Y135" i="3" s="1"/>
  <c r="IY34" i="3"/>
  <c r="Y134" i="3" s="1"/>
  <c r="IY33" i="3"/>
  <c r="Y133" i="3" s="1"/>
  <c r="IY32" i="3"/>
  <c r="Y132" i="3" s="1"/>
  <c r="IY31" i="3"/>
  <c r="Y131" i="3" s="1"/>
  <c r="IY30" i="3"/>
  <c r="Y130" i="3" s="1"/>
  <c r="IY29" i="3"/>
  <c r="Y129" i="3" s="1"/>
  <c r="IY28" i="3"/>
  <c r="Y128" i="3" s="1"/>
  <c r="IY27" i="3"/>
  <c r="Y127" i="3" s="1"/>
  <c r="IY26" i="3"/>
  <c r="Y126" i="3" s="1"/>
  <c r="IY25" i="3"/>
  <c r="Y125" i="3" s="1"/>
  <c r="IY24" i="3"/>
  <c r="Y124" i="3" s="1"/>
  <c r="IY23" i="3"/>
  <c r="Y123" i="3" s="1"/>
  <c r="IY22" i="3"/>
  <c r="Y122" i="3" s="1"/>
  <c r="IY21" i="3"/>
  <c r="Y121" i="3" s="1"/>
  <c r="IY20" i="3"/>
  <c r="Y120" i="3" s="1"/>
  <c r="IY19" i="3"/>
  <c r="Y119" i="3" s="1"/>
  <c r="IY18" i="3"/>
  <c r="Y118" i="3" s="1"/>
  <c r="IY17" i="3"/>
  <c r="Y117" i="3" s="1"/>
  <c r="IY16" i="3"/>
  <c r="Y116" i="3" s="1"/>
  <c r="IY15" i="3"/>
  <c r="Y115" i="3" s="1"/>
  <c r="IY14" i="3"/>
  <c r="Y114" i="3" s="1"/>
  <c r="IY13" i="3"/>
  <c r="Y113" i="3" s="1"/>
  <c r="IY12" i="3"/>
  <c r="Y112" i="3" s="1"/>
  <c r="IY11" i="3"/>
  <c r="Y111" i="3" s="1"/>
  <c r="IY9" i="3"/>
  <c r="Y109" i="3" s="1"/>
  <c r="O57" i="8" l="1"/>
  <c r="O55" i="8"/>
  <c r="O59" i="8"/>
  <c r="O61" i="8"/>
  <c r="O63" i="8"/>
  <c r="IZ33" i="3"/>
  <c r="AA133" i="3" s="1"/>
  <c r="IZ57" i="3"/>
  <c r="AA157" i="3" s="1"/>
  <c r="IZ8" i="3"/>
  <c r="AA108" i="3" s="1"/>
  <c r="IZ9" i="3"/>
  <c r="AA109" i="3" s="1"/>
  <c r="IZ34" i="3"/>
  <c r="AA134" i="3" s="1"/>
  <c r="IZ58" i="3"/>
  <c r="AA158" i="3" s="1"/>
  <c r="IZ26" i="3"/>
  <c r="AA126" i="3" s="1"/>
  <c r="IZ50" i="3"/>
  <c r="AA150" i="3" s="1"/>
  <c r="IZ11" i="3"/>
  <c r="AA111" i="3" s="1"/>
  <c r="IZ27" i="3"/>
  <c r="IZ59" i="3"/>
  <c r="AA159" i="3" s="1"/>
  <c r="IZ36" i="3"/>
  <c r="AA136" i="3" s="1"/>
  <c r="IZ60" i="3"/>
  <c r="AA160" i="3" s="1"/>
  <c r="IZ49" i="3"/>
  <c r="AA149" i="3" s="1"/>
  <c r="IZ18" i="3"/>
  <c r="AA118" i="3" s="1"/>
  <c r="IZ42" i="3"/>
  <c r="AA142" i="3" s="1"/>
  <c r="IZ12" i="3"/>
  <c r="AA112" i="3" s="1"/>
  <c r="IZ28" i="3"/>
  <c r="AA128" i="3" s="1"/>
  <c r="IZ52" i="3"/>
  <c r="AA152" i="3" s="1"/>
  <c r="IZ25" i="3"/>
  <c r="AA125" i="3" s="1"/>
  <c r="IZ73" i="3"/>
  <c r="AA173" i="3" s="1"/>
  <c r="IZ13" i="3"/>
  <c r="AA113" i="3" s="1"/>
  <c r="IZ29" i="3"/>
  <c r="AA129" i="3" s="1"/>
  <c r="IZ45" i="3"/>
  <c r="AA145" i="3" s="1"/>
  <c r="IZ69" i="3"/>
  <c r="AA169" i="3" s="1"/>
  <c r="IZ30" i="3"/>
  <c r="AA130" i="3" s="1"/>
  <c r="IZ38" i="3"/>
  <c r="AA138" i="3" s="1"/>
  <c r="IZ46" i="3"/>
  <c r="AA146" i="3" s="1"/>
  <c r="IZ62" i="3"/>
  <c r="AA162" i="3" s="1"/>
  <c r="IZ70" i="3"/>
  <c r="AA170" i="3" s="1"/>
  <c r="IZ17" i="3"/>
  <c r="AA117" i="3" s="1"/>
  <c r="IZ65" i="3"/>
  <c r="AA165" i="3" s="1"/>
  <c r="IZ19" i="3"/>
  <c r="AA119" i="3" s="1"/>
  <c r="IZ35" i="3"/>
  <c r="AA135" i="3" s="1"/>
  <c r="IZ51" i="3"/>
  <c r="AA151" i="3" s="1"/>
  <c r="IZ67" i="3"/>
  <c r="AA167" i="3" s="1"/>
  <c r="IZ20" i="3"/>
  <c r="AA120" i="3" s="1"/>
  <c r="IZ44" i="3"/>
  <c r="AA144" i="3" s="1"/>
  <c r="IZ68" i="3"/>
  <c r="AA168" i="3" s="1"/>
  <c r="IZ21" i="3"/>
  <c r="AA121" i="3" s="1"/>
  <c r="IZ37" i="3"/>
  <c r="AA137" i="3" s="1"/>
  <c r="IZ53" i="3"/>
  <c r="AA153" i="3" s="1"/>
  <c r="IZ61" i="3"/>
  <c r="AA161" i="3" s="1"/>
  <c r="IZ14" i="3"/>
  <c r="AA114" i="3" s="1"/>
  <c r="IZ15" i="3"/>
  <c r="AA115" i="3" s="1"/>
  <c r="IZ23" i="3"/>
  <c r="AA123" i="3" s="1"/>
  <c r="IZ31" i="3"/>
  <c r="AA131" i="3" s="1"/>
  <c r="IZ39" i="3"/>
  <c r="AA139" i="3" s="1"/>
  <c r="IZ47" i="3"/>
  <c r="AA147" i="3" s="1"/>
  <c r="IZ55" i="3"/>
  <c r="AA155" i="3" s="1"/>
  <c r="IZ63" i="3"/>
  <c r="AA163" i="3" s="1"/>
  <c r="IZ71" i="3"/>
  <c r="AA171" i="3" s="1"/>
  <c r="IZ41" i="3"/>
  <c r="AA141" i="3" s="1"/>
  <c r="IZ16" i="3"/>
  <c r="AA116" i="3" s="1"/>
  <c r="IZ24" i="3"/>
  <c r="AA124" i="3" s="1"/>
  <c r="IZ32" i="3"/>
  <c r="AA132" i="3" s="1"/>
  <c r="IZ40" i="3"/>
  <c r="AA140" i="3" s="1"/>
  <c r="IZ48" i="3"/>
  <c r="AA148" i="3" s="1"/>
  <c r="IZ56" i="3"/>
  <c r="AA156" i="3" s="1"/>
  <c r="IZ64" i="3"/>
  <c r="AA164" i="3" s="1"/>
  <c r="IZ72" i="3"/>
  <c r="AA172" i="3" s="1"/>
  <c r="AM234" i="3"/>
  <c r="AN234" i="3" s="1"/>
  <c r="Q299" i="3"/>
  <c r="IZ10" i="3"/>
  <c r="AA110" i="3" s="1"/>
  <c r="IZ54" i="3"/>
  <c r="AA154" i="3" s="1"/>
  <c r="KF27" i="3"/>
  <c r="KF101" i="3" s="1"/>
  <c r="IZ43" i="3"/>
  <c r="AA143" i="3" s="1"/>
  <c r="IZ22" i="3"/>
  <c r="AA122" i="3" s="1"/>
  <c r="IZ66" i="3"/>
  <c r="AA166" i="3" s="1"/>
  <c r="C52" i="8"/>
  <c r="I54" i="8"/>
  <c r="M54" i="8"/>
  <c r="J54" i="8"/>
  <c r="G54" i="8"/>
  <c r="C54" i="8"/>
  <c r="M53" i="8"/>
  <c r="L53" i="8"/>
  <c r="C53" i="8"/>
  <c r="L52" i="8"/>
  <c r="M52" i="8"/>
  <c r="IM9" i="3"/>
  <c r="HL18" i="3"/>
  <c r="HL8" i="3"/>
  <c r="IN8" i="3"/>
  <c r="HW8" i="3"/>
  <c r="II101" i="3"/>
  <c r="IJ101" i="3"/>
  <c r="IK101" i="3"/>
  <c r="IL101" i="3"/>
  <c r="IM10" i="3"/>
  <c r="IM11" i="3"/>
  <c r="IM12" i="3"/>
  <c r="IM13" i="3"/>
  <c r="IM14" i="3"/>
  <c r="IM15" i="3"/>
  <c r="IM16" i="3"/>
  <c r="IM17" i="3"/>
  <c r="IM18" i="3"/>
  <c r="IM19" i="3"/>
  <c r="IM20" i="3"/>
  <c r="IM21" i="3"/>
  <c r="IM22" i="3"/>
  <c r="IM23" i="3"/>
  <c r="IM24" i="3"/>
  <c r="IM25" i="3"/>
  <c r="IM26" i="3"/>
  <c r="IM27" i="3"/>
  <c r="IM28" i="3"/>
  <c r="IM29" i="3"/>
  <c r="IM30" i="3"/>
  <c r="IM31" i="3"/>
  <c r="IM32" i="3"/>
  <c r="IM33" i="3"/>
  <c r="IM34" i="3"/>
  <c r="IM35" i="3"/>
  <c r="IM36" i="3"/>
  <c r="IM37" i="3"/>
  <c r="IM38" i="3"/>
  <c r="IM39" i="3"/>
  <c r="IM40" i="3"/>
  <c r="IM41" i="3"/>
  <c r="IM42" i="3"/>
  <c r="IM43" i="3"/>
  <c r="IM44" i="3"/>
  <c r="IM45" i="3"/>
  <c r="IM46" i="3"/>
  <c r="IM47" i="3"/>
  <c r="IM48" i="3"/>
  <c r="IM49" i="3"/>
  <c r="IM50" i="3"/>
  <c r="IM51" i="3"/>
  <c r="IM52" i="3"/>
  <c r="IM53" i="3"/>
  <c r="IM54" i="3"/>
  <c r="IM55" i="3"/>
  <c r="IM56" i="3"/>
  <c r="IM57" i="3"/>
  <c r="IM58" i="3"/>
  <c r="IM59" i="3"/>
  <c r="IM60" i="3"/>
  <c r="IM61" i="3"/>
  <c r="IM62" i="3"/>
  <c r="IM63" i="3"/>
  <c r="IM64" i="3"/>
  <c r="IM65" i="3"/>
  <c r="IM66" i="3"/>
  <c r="IM67" i="3"/>
  <c r="IM68" i="3"/>
  <c r="IM69" i="3"/>
  <c r="IM70" i="3"/>
  <c r="IM71" i="3"/>
  <c r="IM72" i="3"/>
  <c r="IM73" i="3"/>
  <c r="F52" i="8"/>
  <c r="O52" i="8" l="1"/>
  <c r="AO234" i="3"/>
  <c r="R299" i="3"/>
  <c r="C39" i="1"/>
  <c r="AA127" i="3"/>
  <c r="C20" i="1"/>
  <c r="IZ101" i="3"/>
  <c r="L50" i="8"/>
  <c r="M50" i="8"/>
  <c r="J50" i="8"/>
  <c r="C50" i="8"/>
  <c r="IH101" i="3"/>
  <c r="IG101" i="3"/>
  <c r="IN9" i="3"/>
  <c r="IN13" i="3"/>
  <c r="IN14" i="3"/>
  <c r="IN15" i="3"/>
  <c r="IN16" i="3"/>
  <c r="IN17" i="3"/>
  <c r="IN19" i="3"/>
  <c r="IN20" i="3"/>
  <c r="IN21" i="3"/>
  <c r="IN22" i="3"/>
  <c r="IN23" i="3"/>
  <c r="IN24" i="3"/>
  <c r="IN25" i="3"/>
  <c r="IN30" i="3"/>
  <c r="IN31" i="3"/>
  <c r="IN32" i="3"/>
  <c r="IN33" i="3"/>
  <c r="IN36" i="3"/>
  <c r="IN37" i="3"/>
  <c r="IN38" i="3"/>
  <c r="IN39" i="3"/>
  <c r="IN40" i="3"/>
  <c r="IN41" i="3"/>
  <c r="IN45" i="3"/>
  <c r="IN46" i="3"/>
  <c r="IN47" i="3"/>
  <c r="IN48" i="3"/>
  <c r="IN49" i="3"/>
  <c r="IN53" i="3"/>
  <c r="IN54" i="3"/>
  <c r="IN55" i="3"/>
  <c r="IN56" i="3"/>
  <c r="IN57" i="3"/>
  <c r="IN60" i="3"/>
  <c r="IN61" i="3"/>
  <c r="IN62" i="3"/>
  <c r="IN63" i="3"/>
  <c r="IN64" i="3"/>
  <c r="IN65" i="3"/>
  <c r="IN68" i="3"/>
  <c r="IN69" i="3"/>
  <c r="IN70" i="3"/>
  <c r="IN71" i="3"/>
  <c r="IN72" i="3"/>
  <c r="J71" i="12"/>
  <c r="K71" i="12"/>
  <c r="J72" i="12"/>
  <c r="K72" i="12"/>
  <c r="J73" i="12"/>
  <c r="K73" i="12"/>
  <c r="J74" i="12"/>
  <c r="K74" i="12"/>
  <c r="J75" i="12"/>
  <c r="K75" i="12"/>
  <c r="J76" i="12"/>
  <c r="K76" i="12"/>
  <c r="J77" i="12"/>
  <c r="K77" i="12"/>
  <c r="J78" i="12"/>
  <c r="K78" i="12"/>
  <c r="J79" i="12"/>
  <c r="K79" i="12"/>
  <c r="J80" i="12"/>
  <c r="K80" i="12"/>
  <c r="J81" i="12"/>
  <c r="K81" i="12"/>
  <c r="J82" i="12"/>
  <c r="K82" i="12"/>
  <c r="J83" i="12"/>
  <c r="K83" i="12"/>
  <c r="J84" i="12"/>
  <c r="K84" i="12"/>
  <c r="J85" i="12"/>
  <c r="K85" i="12"/>
  <c r="J86" i="12"/>
  <c r="K86" i="12"/>
  <c r="J87" i="12"/>
  <c r="K87" i="12"/>
  <c r="J88" i="12"/>
  <c r="K88" i="12"/>
  <c r="J89" i="12"/>
  <c r="K89" i="12"/>
  <c r="J90" i="12"/>
  <c r="K90" i="12"/>
  <c r="J91" i="12"/>
  <c r="K91" i="12"/>
  <c r="J92" i="12"/>
  <c r="K92" i="12"/>
  <c r="J93" i="12"/>
  <c r="K93" i="12"/>
  <c r="J94" i="12"/>
  <c r="K94" i="12"/>
  <c r="J95" i="12"/>
  <c r="K95" i="12"/>
  <c r="J96" i="12"/>
  <c r="K96" i="12"/>
  <c r="J97" i="12"/>
  <c r="K97" i="12"/>
  <c r="J98" i="12"/>
  <c r="K98" i="12"/>
  <c r="J99" i="12"/>
  <c r="K99" i="12"/>
  <c r="J100" i="12"/>
  <c r="K100" i="12"/>
  <c r="J101" i="12"/>
  <c r="K101" i="12"/>
  <c r="J102" i="12"/>
  <c r="K102" i="12"/>
  <c r="J103" i="12"/>
  <c r="K103" i="12"/>
  <c r="J104" i="12"/>
  <c r="K104" i="12"/>
  <c r="J105" i="12"/>
  <c r="K105" i="12"/>
  <c r="J106" i="12"/>
  <c r="K106" i="12"/>
  <c r="J107" i="12"/>
  <c r="K107" i="12"/>
  <c r="J108" i="12"/>
  <c r="K108" i="12"/>
  <c r="J109" i="12"/>
  <c r="K109" i="12"/>
  <c r="J110" i="12"/>
  <c r="K110" i="12"/>
  <c r="J111" i="12"/>
  <c r="K111" i="12"/>
  <c r="J112" i="12"/>
  <c r="K112" i="12"/>
  <c r="J113" i="12"/>
  <c r="K113" i="12"/>
  <c r="J114" i="12"/>
  <c r="K114" i="12"/>
  <c r="J115" i="12"/>
  <c r="K115" i="12"/>
  <c r="J116" i="12"/>
  <c r="K116" i="12"/>
  <c r="J117" i="12"/>
  <c r="K117" i="12"/>
  <c r="J118" i="12"/>
  <c r="K118" i="12"/>
  <c r="J119" i="12"/>
  <c r="K119" i="12"/>
  <c r="J120" i="12"/>
  <c r="K120" i="12"/>
  <c r="J121" i="12"/>
  <c r="K121" i="12"/>
  <c r="J122" i="12"/>
  <c r="K122" i="12"/>
  <c r="J123" i="12"/>
  <c r="K123" i="12"/>
  <c r="J124" i="12"/>
  <c r="K124" i="12"/>
  <c r="J125" i="12"/>
  <c r="K125" i="12"/>
  <c r="J126" i="12"/>
  <c r="K126" i="12"/>
  <c r="J127" i="12"/>
  <c r="K127" i="12"/>
  <c r="J128" i="12"/>
  <c r="K128" i="12"/>
  <c r="J129" i="12"/>
  <c r="K129" i="12"/>
  <c r="J130" i="12"/>
  <c r="K130" i="12"/>
  <c r="J131" i="12"/>
  <c r="K131" i="12"/>
  <c r="J132" i="12"/>
  <c r="K132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71" i="12"/>
  <c r="GL73" i="3"/>
  <c r="K221" i="12"/>
  <c r="K229" i="12"/>
  <c r="K236" i="12"/>
  <c r="K237" i="12"/>
  <c r="K245" i="12"/>
  <c r="K253" i="12"/>
  <c r="K261" i="12"/>
  <c r="K269" i="12"/>
  <c r="K235" i="12"/>
  <c r="K238" i="12"/>
  <c r="K239" i="12"/>
  <c r="K240" i="12"/>
  <c r="K241" i="12"/>
  <c r="K242" i="12"/>
  <c r="K243" i="12"/>
  <c r="K244" i="12"/>
  <c r="K246" i="12"/>
  <c r="K247" i="12"/>
  <c r="K248" i="12"/>
  <c r="K249" i="12"/>
  <c r="K250" i="12"/>
  <c r="K251" i="12"/>
  <c r="K252" i="12"/>
  <c r="K254" i="12"/>
  <c r="K255" i="12"/>
  <c r="K256" i="12"/>
  <c r="K257" i="12"/>
  <c r="K258" i="12"/>
  <c r="K259" i="12"/>
  <c r="K260" i="12"/>
  <c r="K262" i="12"/>
  <c r="K263" i="12"/>
  <c r="K264" i="12"/>
  <c r="K265" i="12"/>
  <c r="K266" i="12"/>
  <c r="K267" i="12"/>
  <c r="K268" i="12"/>
  <c r="K270" i="12"/>
  <c r="K271" i="12"/>
  <c r="K272" i="12"/>
  <c r="K273" i="12"/>
  <c r="K274" i="12"/>
  <c r="K214" i="12"/>
  <c r="K215" i="12"/>
  <c r="K216" i="12"/>
  <c r="K217" i="12"/>
  <c r="K218" i="12"/>
  <c r="K219" i="12"/>
  <c r="K220" i="12"/>
  <c r="K222" i="12"/>
  <c r="K223" i="12"/>
  <c r="K224" i="12"/>
  <c r="K225" i="12"/>
  <c r="K226" i="12"/>
  <c r="K227" i="12"/>
  <c r="K228" i="12"/>
  <c r="K230" i="12"/>
  <c r="K231" i="12"/>
  <c r="K232" i="12"/>
  <c r="K233" i="12"/>
  <c r="K234" i="12"/>
  <c r="K213" i="12"/>
  <c r="C141" i="12"/>
  <c r="C214" i="12" s="1"/>
  <c r="C142" i="12"/>
  <c r="C215" i="12" s="1"/>
  <c r="C143" i="12"/>
  <c r="C216" i="12" s="1"/>
  <c r="C144" i="12"/>
  <c r="C217" i="12" s="1"/>
  <c r="C145" i="12"/>
  <c r="C218" i="12" s="1"/>
  <c r="C146" i="12"/>
  <c r="C219" i="12" s="1"/>
  <c r="C147" i="12"/>
  <c r="C220" i="12" s="1"/>
  <c r="C148" i="12"/>
  <c r="C221" i="12" s="1"/>
  <c r="C149" i="12"/>
  <c r="C222" i="12" s="1"/>
  <c r="C150" i="12"/>
  <c r="C223" i="12" s="1"/>
  <c r="C151" i="12"/>
  <c r="C224" i="12" s="1"/>
  <c r="C152" i="12"/>
  <c r="C225" i="12" s="1"/>
  <c r="C153" i="12"/>
  <c r="C226" i="12" s="1"/>
  <c r="C154" i="12"/>
  <c r="C227" i="12" s="1"/>
  <c r="C155" i="12"/>
  <c r="C228" i="12" s="1"/>
  <c r="C156" i="12"/>
  <c r="C229" i="12" s="1"/>
  <c r="C157" i="12"/>
  <c r="C230" i="12" s="1"/>
  <c r="C158" i="12"/>
  <c r="C231" i="12" s="1"/>
  <c r="C159" i="12"/>
  <c r="C232" i="12" s="1"/>
  <c r="C160" i="12"/>
  <c r="C233" i="12" s="1"/>
  <c r="C161" i="12"/>
  <c r="C234" i="12" s="1"/>
  <c r="C162" i="12"/>
  <c r="C235" i="12" s="1"/>
  <c r="C163" i="12"/>
  <c r="C236" i="12" s="1"/>
  <c r="C164" i="12"/>
  <c r="C237" i="12" s="1"/>
  <c r="C165" i="12"/>
  <c r="C238" i="12" s="1"/>
  <c r="C166" i="12"/>
  <c r="C239" i="12" s="1"/>
  <c r="C167" i="12"/>
  <c r="C240" i="12" s="1"/>
  <c r="C168" i="12"/>
  <c r="C241" i="12" s="1"/>
  <c r="C169" i="12"/>
  <c r="C242" i="12" s="1"/>
  <c r="C170" i="12"/>
  <c r="C243" i="12" s="1"/>
  <c r="C171" i="12"/>
  <c r="C244" i="12" s="1"/>
  <c r="C172" i="12"/>
  <c r="C245" i="12" s="1"/>
  <c r="C173" i="12"/>
  <c r="C246" i="12" s="1"/>
  <c r="C174" i="12"/>
  <c r="C247" i="12" s="1"/>
  <c r="C175" i="12"/>
  <c r="C248" i="12" s="1"/>
  <c r="C176" i="12"/>
  <c r="C249" i="12" s="1"/>
  <c r="C177" i="12"/>
  <c r="C250" i="12" s="1"/>
  <c r="C178" i="12"/>
  <c r="C251" i="12" s="1"/>
  <c r="C179" i="12"/>
  <c r="C252" i="12" s="1"/>
  <c r="C180" i="12"/>
  <c r="C253" i="12" s="1"/>
  <c r="C181" i="12"/>
  <c r="C254" i="12" s="1"/>
  <c r="C182" i="12"/>
  <c r="C255" i="12" s="1"/>
  <c r="C183" i="12"/>
  <c r="C256" i="12" s="1"/>
  <c r="C184" i="12"/>
  <c r="C257" i="12" s="1"/>
  <c r="C185" i="12"/>
  <c r="C258" i="12" s="1"/>
  <c r="C186" i="12"/>
  <c r="C259" i="12" s="1"/>
  <c r="C187" i="12"/>
  <c r="C260" i="12" s="1"/>
  <c r="C188" i="12"/>
  <c r="C261" i="12" s="1"/>
  <c r="C189" i="12"/>
  <c r="C262" i="12" s="1"/>
  <c r="C190" i="12"/>
  <c r="C263" i="12" s="1"/>
  <c r="C191" i="12"/>
  <c r="C264" i="12" s="1"/>
  <c r="C192" i="12"/>
  <c r="C265" i="12" s="1"/>
  <c r="C193" i="12"/>
  <c r="C266" i="12" s="1"/>
  <c r="C194" i="12"/>
  <c r="C267" i="12" s="1"/>
  <c r="C195" i="12"/>
  <c r="C268" i="12" s="1"/>
  <c r="C196" i="12"/>
  <c r="C269" i="12" s="1"/>
  <c r="C197" i="12"/>
  <c r="C270" i="12" s="1"/>
  <c r="C198" i="12"/>
  <c r="C271" i="12" s="1"/>
  <c r="C199" i="12"/>
  <c r="C272" i="12" s="1"/>
  <c r="C200" i="12"/>
  <c r="C273" i="12" s="1"/>
  <c r="C201" i="12"/>
  <c r="C274" i="12" s="1"/>
  <c r="C139" i="12"/>
  <c r="C140" i="12"/>
  <c r="C213" i="12" s="1"/>
  <c r="L36" i="12"/>
  <c r="M36" i="12" s="1"/>
  <c r="J168" i="12" s="1"/>
  <c r="L9" i="12"/>
  <c r="M9" i="12" s="1"/>
  <c r="J141" i="12" s="1"/>
  <c r="L10" i="12"/>
  <c r="M10" i="12" s="1"/>
  <c r="J142" i="12" s="1"/>
  <c r="L11" i="12"/>
  <c r="M11" i="12" s="1"/>
  <c r="J143" i="12" s="1"/>
  <c r="L12" i="12"/>
  <c r="M12" i="12" s="1"/>
  <c r="J144" i="12" s="1"/>
  <c r="L13" i="12"/>
  <c r="M13" i="12" s="1"/>
  <c r="J145" i="12" s="1"/>
  <c r="L14" i="12"/>
  <c r="M14" i="12" s="1"/>
  <c r="J146" i="12" s="1"/>
  <c r="L15" i="12"/>
  <c r="M15" i="12" s="1"/>
  <c r="J147" i="12" s="1"/>
  <c r="L16" i="12"/>
  <c r="M16" i="12" s="1"/>
  <c r="J148" i="12" s="1"/>
  <c r="L17" i="12"/>
  <c r="M17" i="12" s="1"/>
  <c r="J149" i="12" s="1"/>
  <c r="L18" i="12"/>
  <c r="M18" i="12" s="1"/>
  <c r="J150" i="12" s="1"/>
  <c r="L19" i="12"/>
  <c r="M19" i="12" s="1"/>
  <c r="J151" i="12" s="1"/>
  <c r="L20" i="12"/>
  <c r="M20" i="12" s="1"/>
  <c r="J152" i="12" s="1"/>
  <c r="L21" i="12"/>
  <c r="M21" i="12" s="1"/>
  <c r="J153" i="12" s="1"/>
  <c r="L22" i="12"/>
  <c r="M22" i="12" s="1"/>
  <c r="J154" i="12" s="1"/>
  <c r="L23" i="12"/>
  <c r="M23" i="12" s="1"/>
  <c r="J155" i="12" s="1"/>
  <c r="L24" i="12"/>
  <c r="H156" i="12" s="1"/>
  <c r="L25" i="12"/>
  <c r="M25" i="12" s="1"/>
  <c r="J157" i="12" s="1"/>
  <c r="L26" i="12"/>
  <c r="M26" i="12" s="1"/>
  <c r="J158" i="12" s="1"/>
  <c r="L27" i="12"/>
  <c r="M27" i="12" s="1"/>
  <c r="J159" i="12" s="1"/>
  <c r="L28" i="12"/>
  <c r="M28" i="12" s="1"/>
  <c r="J160" i="12" s="1"/>
  <c r="L29" i="12"/>
  <c r="M29" i="12" s="1"/>
  <c r="J161" i="12" s="1"/>
  <c r="L30" i="12"/>
  <c r="M30" i="12" s="1"/>
  <c r="J162" i="12" s="1"/>
  <c r="L31" i="12"/>
  <c r="M31" i="12" s="1"/>
  <c r="J163" i="12" s="1"/>
  <c r="L32" i="12"/>
  <c r="H164" i="12" s="1"/>
  <c r="L33" i="12"/>
  <c r="M33" i="12" s="1"/>
  <c r="J165" i="12" s="1"/>
  <c r="L34" i="12"/>
  <c r="M34" i="12" s="1"/>
  <c r="J166" i="12" s="1"/>
  <c r="L35" i="12"/>
  <c r="M35" i="12" s="1"/>
  <c r="J167" i="12" s="1"/>
  <c r="L37" i="12"/>
  <c r="M37" i="12" s="1"/>
  <c r="J169" i="12" s="1"/>
  <c r="L38" i="12"/>
  <c r="M38" i="12" s="1"/>
  <c r="J170" i="12" s="1"/>
  <c r="L39" i="12"/>
  <c r="M39" i="12" s="1"/>
  <c r="J171" i="12" s="1"/>
  <c r="L40" i="12"/>
  <c r="H172" i="12" s="1"/>
  <c r="L41" i="12"/>
  <c r="M41" i="12" s="1"/>
  <c r="J173" i="12" s="1"/>
  <c r="L42" i="12"/>
  <c r="M42" i="12" s="1"/>
  <c r="J174" i="12" s="1"/>
  <c r="L43" i="12"/>
  <c r="M43" i="12" s="1"/>
  <c r="J175" i="12" s="1"/>
  <c r="L44" i="12"/>
  <c r="M44" i="12" s="1"/>
  <c r="J176" i="12" s="1"/>
  <c r="L45" i="12"/>
  <c r="M45" i="12" s="1"/>
  <c r="J177" i="12" s="1"/>
  <c r="L46" i="12"/>
  <c r="M46" i="12" s="1"/>
  <c r="J178" i="12" s="1"/>
  <c r="L47" i="12"/>
  <c r="M47" i="12" s="1"/>
  <c r="J179" i="12" s="1"/>
  <c r="L48" i="12"/>
  <c r="H180" i="12" s="1"/>
  <c r="L49" i="12"/>
  <c r="M49" i="12" s="1"/>
  <c r="J181" i="12" s="1"/>
  <c r="L50" i="12"/>
  <c r="M50" i="12" s="1"/>
  <c r="J182" i="12" s="1"/>
  <c r="L51" i="12"/>
  <c r="M51" i="12" s="1"/>
  <c r="J183" i="12" s="1"/>
  <c r="L52" i="12"/>
  <c r="M52" i="12" s="1"/>
  <c r="J184" i="12" s="1"/>
  <c r="L53" i="12"/>
  <c r="M53" i="12" s="1"/>
  <c r="J185" i="12" s="1"/>
  <c r="L54" i="12"/>
  <c r="M54" i="12" s="1"/>
  <c r="J186" i="12" s="1"/>
  <c r="L55" i="12"/>
  <c r="M55" i="12" s="1"/>
  <c r="J187" i="12" s="1"/>
  <c r="L56" i="12"/>
  <c r="H188" i="12" s="1"/>
  <c r="L57" i="12"/>
  <c r="M57" i="12" s="1"/>
  <c r="J189" i="12" s="1"/>
  <c r="L58" i="12"/>
  <c r="M58" i="12" s="1"/>
  <c r="J190" i="12" s="1"/>
  <c r="L59" i="12"/>
  <c r="M59" i="12" s="1"/>
  <c r="J191" i="12" s="1"/>
  <c r="L60" i="12"/>
  <c r="M60" i="12" s="1"/>
  <c r="J192" i="12" s="1"/>
  <c r="L61" i="12"/>
  <c r="M61" i="12" s="1"/>
  <c r="J193" i="12" s="1"/>
  <c r="L62" i="12"/>
  <c r="M62" i="12" s="1"/>
  <c r="J194" i="12" s="1"/>
  <c r="L63" i="12"/>
  <c r="H195" i="12" s="1"/>
  <c r="L64" i="12"/>
  <c r="M64" i="12" s="1"/>
  <c r="J196" i="12" s="1"/>
  <c r="L65" i="12"/>
  <c r="M65" i="12" s="1"/>
  <c r="J197" i="12" s="1"/>
  <c r="L66" i="12"/>
  <c r="M66" i="12" s="1"/>
  <c r="J198" i="12" s="1"/>
  <c r="L67" i="12"/>
  <c r="M67" i="12" s="1"/>
  <c r="J199" i="12" s="1"/>
  <c r="L68" i="12"/>
  <c r="M68" i="12" s="1"/>
  <c r="J200" i="12" s="1"/>
  <c r="L69" i="12"/>
  <c r="M69" i="12" s="1"/>
  <c r="J201" i="12" s="1"/>
  <c r="L8" i="12"/>
  <c r="M8" i="12" s="1"/>
  <c r="J140" i="12" s="1"/>
  <c r="N201" i="12"/>
  <c r="L201" i="12"/>
  <c r="N197" i="12"/>
  <c r="L197" i="12"/>
  <c r="N181" i="12"/>
  <c r="L181" i="12"/>
  <c r="N161" i="12"/>
  <c r="L161" i="12"/>
  <c r="N160" i="12"/>
  <c r="L160" i="12"/>
  <c r="N159" i="12"/>
  <c r="L159" i="12"/>
  <c r="N158" i="12"/>
  <c r="L158" i="12"/>
  <c r="R201" i="12"/>
  <c r="V200" i="12"/>
  <c r="R200" i="12"/>
  <c r="P200" i="12"/>
  <c r="N200" i="12"/>
  <c r="T199" i="12"/>
  <c r="R199" i="12"/>
  <c r="V198" i="12"/>
  <c r="P195" i="12"/>
  <c r="P192" i="12"/>
  <c r="V191" i="12"/>
  <c r="R190" i="12"/>
  <c r="P190" i="12"/>
  <c r="P189" i="12"/>
  <c r="P188" i="12"/>
  <c r="L188" i="12"/>
  <c r="T187" i="12"/>
  <c r="N186" i="12"/>
  <c r="V185" i="12"/>
  <c r="P185" i="12"/>
  <c r="P181" i="12"/>
  <c r="P180" i="12"/>
  <c r="L180" i="12"/>
  <c r="T179" i="12"/>
  <c r="N178" i="12"/>
  <c r="V177" i="12"/>
  <c r="P177" i="12"/>
  <c r="P173" i="12"/>
  <c r="P172" i="12"/>
  <c r="L172" i="12"/>
  <c r="T171" i="12"/>
  <c r="N170" i="12"/>
  <c r="V169" i="12"/>
  <c r="P169" i="12"/>
  <c r="P165" i="12"/>
  <c r="L164" i="12"/>
  <c r="T163" i="12"/>
  <c r="P163" i="12"/>
  <c r="R160" i="12"/>
  <c r="V159" i="12"/>
  <c r="L156" i="12"/>
  <c r="T155" i="12"/>
  <c r="P153" i="12"/>
  <c r="L153" i="12"/>
  <c r="V150" i="12"/>
  <c r="L149" i="12"/>
  <c r="R148" i="12"/>
  <c r="P148" i="12"/>
  <c r="P146" i="12"/>
  <c r="L146" i="12"/>
  <c r="T145" i="12"/>
  <c r="P145" i="12"/>
  <c r="T142" i="12"/>
  <c r="P142" i="12"/>
  <c r="M49" i="8"/>
  <c r="C49" i="8"/>
  <c r="IN73" i="3"/>
  <c r="IN67" i="3"/>
  <c r="IN66" i="3"/>
  <c r="IN59" i="3"/>
  <c r="IN58" i="3"/>
  <c r="IN52" i="3"/>
  <c r="IN51" i="3"/>
  <c r="IN50" i="3"/>
  <c r="IN44" i="3"/>
  <c r="IN43" i="3"/>
  <c r="IN42" i="3"/>
  <c r="IN35" i="3"/>
  <c r="IN34" i="3"/>
  <c r="IN29" i="3"/>
  <c r="IN28" i="3"/>
  <c r="IN27" i="3"/>
  <c r="IN26" i="3"/>
  <c r="IN18" i="3"/>
  <c r="IN12" i="3"/>
  <c r="IN11" i="3"/>
  <c r="IN10" i="3"/>
  <c r="J70" i="12" l="1"/>
  <c r="K70" i="12"/>
  <c r="Y201" i="3"/>
  <c r="I70" i="12"/>
  <c r="H199" i="12"/>
  <c r="H191" i="12"/>
  <c r="H187" i="12"/>
  <c r="H183" i="12"/>
  <c r="H179" i="12"/>
  <c r="H175" i="12"/>
  <c r="H171" i="12"/>
  <c r="H167" i="12"/>
  <c r="H163" i="12"/>
  <c r="H159" i="12"/>
  <c r="H155" i="12"/>
  <c r="H151" i="12"/>
  <c r="H147" i="12"/>
  <c r="H143" i="12"/>
  <c r="H140" i="12"/>
  <c r="H198" i="12"/>
  <c r="H194" i="12"/>
  <c r="H190" i="12"/>
  <c r="H186" i="12"/>
  <c r="H182" i="12"/>
  <c r="H178" i="12"/>
  <c r="H174" i="12"/>
  <c r="H170" i="12"/>
  <c r="H166" i="12"/>
  <c r="H162" i="12"/>
  <c r="H158" i="12"/>
  <c r="H154" i="12"/>
  <c r="H150" i="12"/>
  <c r="H146" i="12"/>
  <c r="H142" i="12"/>
  <c r="H201" i="12"/>
  <c r="H197" i="12"/>
  <c r="H193" i="12"/>
  <c r="H189" i="12"/>
  <c r="H185" i="12"/>
  <c r="H181" i="12"/>
  <c r="H177" i="12"/>
  <c r="H173" i="12"/>
  <c r="H169" i="12"/>
  <c r="H165" i="12"/>
  <c r="H161" i="12"/>
  <c r="H157" i="12"/>
  <c r="H153" i="12"/>
  <c r="H149" i="12"/>
  <c r="H145" i="12"/>
  <c r="H141" i="12"/>
  <c r="H200" i="12"/>
  <c r="H196" i="12"/>
  <c r="H192" i="12"/>
  <c r="H184" i="12"/>
  <c r="H176" i="12"/>
  <c r="H168" i="12"/>
  <c r="H160" i="12"/>
  <c r="H152" i="12"/>
  <c r="H148" i="12"/>
  <c r="H144" i="12"/>
  <c r="M63" i="12"/>
  <c r="J195" i="12" s="1"/>
  <c r="M56" i="12"/>
  <c r="J188" i="12" s="1"/>
  <c r="M48" i="12"/>
  <c r="J180" i="12" s="1"/>
  <c r="M40" i="12"/>
  <c r="J172" i="12" s="1"/>
  <c r="M32" i="12"/>
  <c r="J164" i="12" s="1"/>
  <c r="M24" i="12"/>
  <c r="J156" i="12" s="1"/>
  <c r="V141" i="12"/>
  <c r="N142" i="12"/>
  <c r="V148" i="12"/>
  <c r="L195" i="12"/>
  <c r="N195" i="12"/>
  <c r="L140" i="12"/>
  <c r="P140" i="12"/>
  <c r="V145" i="12"/>
  <c r="N146" i="12"/>
  <c r="R146" i="12"/>
  <c r="N149" i="12"/>
  <c r="T150" i="12"/>
  <c r="R153" i="12"/>
  <c r="V155" i="12"/>
  <c r="N156" i="12"/>
  <c r="R156" i="12"/>
  <c r="P157" i="12"/>
  <c r="R157" i="12"/>
  <c r="T158" i="12"/>
  <c r="V158" i="12"/>
  <c r="P161" i="12"/>
  <c r="R161" i="12"/>
  <c r="T166" i="12"/>
  <c r="V166" i="12"/>
  <c r="L167" i="12"/>
  <c r="N167" i="12"/>
  <c r="T174" i="12"/>
  <c r="V174" i="12"/>
  <c r="L175" i="12"/>
  <c r="N175" i="12"/>
  <c r="T182" i="12"/>
  <c r="V182" i="12"/>
  <c r="L183" i="12"/>
  <c r="N183" i="12"/>
  <c r="R149" i="12"/>
  <c r="N140" i="12"/>
  <c r="V163" i="12"/>
  <c r="N164" i="12"/>
  <c r="N152" i="12"/>
  <c r="T154" i="12"/>
  <c r="V154" i="12"/>
  <c r="R142" i="12"/>
  <c r="L147" i="12"/>
  <c r="N147" i="12"/>
  <c r="N153" i="12"/>
  <c r="R140" i="12"/>
  <c r="L142" i="12"/>
  <c r="N144" i="12"/>
  <c r="T148" i="12"/>
  <c r="R152" i="12"/>
  <c r="P143" i="12"/>
  <c r="R145" i="12"/>
  <c r="T149" i="12"/>
  <c r="L150" i="12"/>
  <c r="P150" i="12"/>
  <c r="P151" i="12"/>
  <c r="P155" i="12"/>
  <c r="R155" i="12"/>
  <c r="T156" i="12"/>
  <c r="V156" i="12"/>
  <c r="T196" i="12"/>
  <c r="V196" i="12"/>
  <c r="V142" i="12"/>
  <c r="T141" i="12"/>
  <c r="V143" i="12"/>
  <c r="V151" i="12"/>
  <c r="L145" i="12"/>
  <c r="P141" i="12"/>
  <c r="L143" i="12"/>
  <c r="R143" i="12"/>
  <c r="N145" i="12"/>
  <c r="T146" i="12"/>
  <c r="X146" i="12" s="1"/>
  <c r="L219" i="12" s="1"/>
  <c r="M219" i="12" s="1"/>
  <c r="N219" i="12" s="1"/>
  <c r="V146" i="12"/>
  <c r="V149" i="12"/>
  <c r="N150" i="12"/>
  <c r="R150" i="12"/>
  <c r="R151" i="12"/>
  <c r="N157" i="12"/>
  <c r="P159" i="12"/>
  <c r="R159" i="12"/>
  <c r="Z159" i="12" s="1"/>
  <c r="T160" i="12"/>
  <c r="V160" i="12"/>
  <c r="Z160" i="12" s="1"/>
  <c r="P167" i="12"/>
  <c r="R167" i="12"/>
  <c r="P175" i="12"/>
  <c r="R175" i="12"/>
  <c r="P183" i="12"/>
  <c r="R183" i="12"/>
  <c r="R144" i="12"/>
  <c r="P147" i="12"/>
  <c r="R147" i="12"/>
  <c r="T140" i="12"/>
  <c r="L141" i="12"/>
  <c r="R141" i="12"/>
  <c r="N143" i="12"/>
  <c r="T144" i="12"/>
  <c r="T147" i="12"/>
  <c r="L148" i="12"/>
  <c r="L151" i="12"/>
  <c r="T152" i="12"/>
  <c r="V153" i="12"/>
  <c r="N154" i="12"/>
  <c r="R154" i="12"/>
  <c r="L155" i="12"/>
  <c r="N155" i="12"/>
  <c r="V157" i="12"/>
  <c r="R158" i="12"/>
  <c r="V161" i="12"/>
  <c r="N162" i="12"/>
  <c r="R162" i="12"/>
  <c r="R170" i="12"/>
  <c r="R178" i="12"/>
  <c r="R186" i="12"/>
  <c r="V140" i="12"/>
  <c r="N141" i="12"/>
  <c r="V144" i="12"/>
  <c r="V147" i="12"/>
  <c r="N148" i="12"/>
  <c r="P149" i="12"/>
  <c r="N151" i="12"/>
  <c r="V152" i="12"/>
  <c r="L157" i="12"/>
  <c r="T164" i="12"/>
  <c r="L165" i="12"/>
  <c r="V167" i="12"/>
  <c r="N168" i="12"/>
  <c r="R168" i="12"/>
  <c r="T172" i="12"/>
  <c r="X172" i="12" s="1"/>
  <c r="L245" i="12" s="1"/>
  <c r="M245" i="12" s="1"/>
  <c r="N245" i="12" s="1"/>
  <c r="L173" i="12"/>
  <c r="V175" i="12"/>
  <c r="N176" i="12"/>
  <c r="R176" i="12"/>
  <c r="T180" i="12"/>
  <c r="V183" i="12"/>
  <c r="N184" i="12"/>
  <c r="R184" i="12"/>
  <c r="T188" i="12"/>
  <c r="X188" i="12" s="1"/>
  <c r="L261" i="12" s="1"/>
  <c r="M261" i="12" s="1"/>
  <c r="N261" i="12" s="1"/>
  <c r="L189" i="12"/>
  <c r="V190" i="12"/>
  <c r="N192" i="12"/>
  <c r="L196" i="12"/>
  <c r="N196" i="12"/>
  <c r="P197" i="12"/>
  <c r="R197" i="12"/>
  <c r="N198" i="12"/>
  <c r="P156" i="12"/>
  <c r="T161" i="12"/>
  <c r="L162" i="12"/>
  <c r="P162" i="12"/>
  <c r="V164" i="12"/>
  <c r="N165" i="12"/>
  <c r="R165" i="12"/>
  <c r="T169" i="12"/>
  <c r="L170" i="12"/>
  <c r="P170" i="12"/>
  <c r="V172" i="12"/>
  <c r="N173" i="12"/>
  <c r="R173" i="12"/>
  <c r="T177" i="12"/>
  <c r="L178" i="12"/>
  <c r="P178" i="12"/>
  <c r="V180" i="12"/>
  <c r="R181" i="12"/>
  <c r="T185" i="12"/>
  <c r="L186" i="12"/>
  <c r="P186" i="12"/>
  <c r="V188" i="12"/>
  <c r="N189" i="12"/>
  <c r="R189" i="12"/>
  <c r="T191" i="12"/>
  <c r="R195" i="12"/>
  <c r="P164" i="12"/>
  <c r="X180" i="12"/>
  <c r="L253" i="12" s="1"/>
  <c r="M253" i="12" s="1"/>
  <c r="N253" i="12" s="1"/>
  <c r="L190" i="12"/>
  <c r="T192" i="12"/>
  <c r="V192" i="12"/>
  <c r="R164" i="12"/>
  <c r="T168" i="12"/>
  <c r="L169" i="12"/>
  <c r="V171" i="12"/>
  <c r="N172" i="12"/>
  <c r="R172" i="12"/>
  <c r="T176" i="12"/>
  <c r="L177" i="12"/>
  <c r="V179" i="12"/>
  <c r="N180" i="12"/>
  <c r="R180" i="12"/>
  <c r="T184" i="12"/>
  <c r="L185" i="12"/>
  <c r="V187" i="12"/>
  <c r="N188" i="12"/>
  <c r="R188" i="12"/>
  <c r="N190" i="12"/>
  <c r="V195" i="12"/>
  <c r="T195" i="12"/>
  <c r="X195" i="12" s="1"/>
  <c r="L268" i="12" s="1"/>
  <c r="M268" i="12" s="1"/>
  <c r="N268" i="12" s="1"/>
  <c r="Z200" i="12"/>
  <c r="T143" i="12"/>
  <c r="L144" i="12"/>
  <c r="P144" i="12"/>
  <c r="T151" i="12"/>
  <c r="L152" i="12"/>
  <c r="P152" i="12"/>
  <c r="T157" i="12"/>
  <c r="P158" i="12"/>
  <c r="T165" i="12"/>
  <c r="L166" i="12"/>
  <c r="P166" i="12"/>
  <c r="V168" i="12"/>
  <c r="N169" i="12"/>
  <c r="R169" i="12"/>
  <c r="T173" i="12"/>
  <c r="L174" i="12"/>
  <c r="P174" i="12"/>
  <c r="V176" i="12"/>
  <c r="N177" i="12"/>
  <c r="R177" i="12"/>
  <c r="T181" i="12"/>
  <c r="X181" i="12" s="1"/>
  <c r="L254" i="12" s="1"/>
  <c r="M254" i="12" s="1"/>
  <c r="N254" i="12" s="1"/>
  <c r="L182" i="12"/>
  <c r="P182" i="12"/>
  <c r="V184" i="12"/>
  <c r="N185" i="12"/>
  <c r="R185" i="12"/>
  <c r="T189" i="12"/>
  <c r="R191" i="12"/>
  <c r="R193" i="12"/>
  <c r="T162" i="12"/>
  <c r="L163" i="12"/>
  <c r="X163" i="12" s="1"/>
  <c r="L236" i="12" s="1"/>
  <c r="M236" i="12" s="1"/>
  <c r="N236" i="12" s="1"/>
  <c r="V165" i="12"/>
  <c r="N166" i="12"/>
  <c r="R166" i="12"/>
  <c r="T170" i="12"/>
  <c r="L171" i="12"/>
  <c r="P171" i="12"/>
  <c r="V173" i="12"/>
  <c r="N174" i="12"/>
  <c r="R174" i="12"/>
  <c r="T178" i="12"/>
  <c r="L179" i="12"/>
  <c r="P179" i="12"/>
  <c r="V181" i="12"/>
  <c r="N182" i="12"/>
  <c r="R182" i="12"/>
  <c r="T186" i="12"/>
  <c r="L187" i="12"/>
  <c r="P187" i="12"/>
  <c r="V189" i="12"/>
  <c r="N191" i="12"/>
  <c r="T194" i="12"/>
  <c r="P196" i="12"/>
  <c r="R196" i="12"/>
  <c r="V199" i="12"/>
  <c r="T153" i="12"/>
  <c r="L154" i="12"/>
  <c r="P154" i="12"/>
  <c r="T159" i="12"/>
  <c r="P160" i="12"/>
  <c r="V162" i="12"/>
  <c r="N163" i="12"/>
  <c r="R163" i="12"/>
  <c r="T167" i="12"/>
  <c r="L168" i="12"/>
  <c r="P168" i="12"/>
  <c r="V170" i="12"/>
  <c r="Z170" i="12" s="1"/>
  <c r="N171" i="12"/>
  <c r="R171" i="12"/>
  <c r="T175" i="12"/>
  <c r="L176" i="12"/>
  <c r="P176" i="12"/>
  <c r="V178" i="12"/>
  <c r="N179" i="12"/>
  <c r="R179" i="12"/>
  <c r="T183" i="12"/>
  <c r="L184" i="12"/>
  <c r="P184" i="12"/>
  <c r="V186" i="12"/>
  <c r="N187" i="12"/>
  <c r="R187" i="12"/>
  <c r="L192" i="12"/>
  <c r="R192" i="12"/>
  <c r="L193" i="12"/>
  <c r="N193" i="12"/>
  <c r="V194" i="12"/>
  <c r="T197" i="12"/>
  <c r="L198" i="12"/>
  <c r="P198" i="12"/>
  <c r="V197" i="12"/>
  <c r="R198" i="12"/>
  <c r="L200" i="12"/>
  <c r="T193" i="12"/>
  <c r="L194" i="12"/>
  <c r="P194" i="12"/>
  <c r="T201" i="12"/>
  <c r="T190" i="12"/>
  <c r="L191" i="12"/>
  <c r="P191" i="12"/>
  <c r="V193" i="12"/>
  <c r="N194" i="12"/>
  <c r="R194" i="12"/>
  <c r="T198" i="12"/>
  <c r="L199" i="12"/>
  <c r="P199" i="12"/>
  <c r="V201" i="12"/>
  <c r="Z201" i="12" s="1"/>
  <c r="N199" i="12"/>
  <c r="P193" i="12"/>
  <c r="T200" i="12"/>
  <c r="P201" i="12"/>
  <c r="IN101" i="3"/>
  <c r="F49" i="8"/>
  <c r="J48" i="8"/>
  <c r="M48" i="8"/>
  <c r="C48" i="8"/>
  <c r="HV101" i="3"/>
  <c r="F48" i="8"/>
  <c r="HW9" i="3"/>
  <c r="HX9" i="3" s="1"/>
  <c r="HW10" i="3"/>
  <c r="HW11" i="3"/>
  <c r="HX11" i="3" s="1"/>
  <c r="HW12" i="3"/>
  <c r="HX12" i="3" s="1"/>
  <c r="HW13" i="3"/>
  <c r="HX13" i="3" s="1"/>
  <c r="HW14" i="3"/>
  <c r="HX14" i="3" s="1"/>
  <c r="HW15" i="3"/>
  <c r="HX15" i="3" s="1"/>
  <c r="HW16" i="3"/>
  <c r="HX16" i="3" s="1"/>
  <c r="HW17" i="3"/>
  <c r="HX17" i="3" s="1"/>
  <c r="HW18" i="3"/>
  <c r="HW19" i="3"/>
  <c r="HX19" i="3" s="1"/>
  <c r="HW20" i="3"/>
  <c r="HX20" i="3" s="1"/>
  <c r="HW21" i="3"/>
  <c r="HX21" i="3" s="1"/>
  <c r="HW22" i="3"/>
  <c r="HX22" i="3" s="1"/>
  <c r="HW23" i="3"/>
  <c r="HX23" i="3" s="1"/>
  <c r="HW24" i="3"/>
  <c r="HX24" i="3" s="1"/>
  <c r="HW25" i="3"/>
  <c r="HX25" i="3" s="1"/>
  <c r="HW26" i="3"/>
  <c r="HX26" i="3" s="1"/>
  <c r="HW27" i="3"/>
  <c r="HX27" i="3" s="1"/>
  <c r="HW28" i="3"/>
  <c r="HX28" i="3" s="1"/>
  <c r="HW29" i="3"/>
  <c r="HX29" i="3" s="1"/>
  <c r="HW30" i="3"/>
  <c r="HX30" i="3" s="1"/>
  <c r="HW31" i="3"/>
  <c r="HX31" i="3" s="1"/>
  <c r="HW32" i="3"/>
  <c r="HX32" i="3" s="1"/>
  <c r="HW33" i="3"/>
  <c r="HX33" i="3" s="1"/>
  <c r="HW34" i="3"/>
  <c r="HX34" i="3" s="1"/>
  <c r="HW35" i="3"/>
  <c r="HX35" i="3" s="1"/>
  <c r="HW36" i="3"/>
  <c r="HX36" i="3" s="1"/>
  <c r="HW37" i="3"/>
  <c r="HX37" i="3" s="1"/>
  <c r="HW38" i="3"/>
  <c r="HX38" i="3" s="1"/>
  <c r="HW39" i="3"/>
  <c r="HX39" i="3" s="1"/>
  <c r="HW40" i="3"/>
  <c r="HX40" i="3" s="1"/>
  <c r="HW41" i="3"/>
  <c r="HX41" i="3" s="1"/>
  <c r="HW42" i="3"/>
  <c r="HX42" i="3" s="1"/>
  <c r="HW43" i="3"/>
  <c r="HX43" i="3" s="1"/>
  <c r="HW44" i="3"/>
  <c r="HX44" i="3" s="1"/>
  <c r="HW45" i="3"/>
  <c r="HX45" i="3" s="1"/>
  <c r="HW46" i="3"/>
  <c r="HX46" i="3" s="1"/>
  <c r="HW47" i="3"/>
  <c r="HX47" i="3" s="1"/>
  <c r="HW48" i="3"/>
  <c r="HX48" i="3" s="1"/>
  <c r="HW49" i="3"/>
  <c r="HX49" i="3" s="1"/>
  <c r="HW50" i="3"/>
  <c r="HX50" i="3" s="1"/>
  <c r="HW51" i="3"/>
  <c r="HX51" i="3" s="1"/>
  <c r="HW52" i="3"/>
  <c r="HX52" i="3" s="1"/>
  <c r="HW53" i="3"/>
  <c r="HX53" i="3" s="1"/>
  <c r="HW54" i="3"/>
  <c r="HX54" i="3" s="1"/>
  <c r="HW55" i="3"/>
  <c r="HX55" i="3" s="1"/>
  <c r="HW56" i="3"/>
  <c r="HX56" i="3" s="1"/>
  <c r="HW57" i="3"/>
  <c r="HX57" i="3" s="1"/>
  <c r="HW58" i="3"/>
  <c r="HX58" i="3" s="1"/>
  <c r="HW59" i="3"/>
  <c r="HX59" i="3" s="1"/>
  <c r="HW60" i="3"/>
  <c r="HX60" i="3" s="1"/>
  <c r="HW61" i="3"/>
  <c r="HX61" i="3" s="1"/>
  <c r="HW62" i="3"/>
  <c r="HX62" i="3" s="1"/>
  <c r="HW63" i="3"/>
  <c r="HX63" i="3" s="1"/>
  <c r="HW64" i="3"/>
  <c r="HX64" i="3" s="1"/>
  <c r="HW65" i="3"/>
  <c r="HX65" i="3" s="1"/>
  <c r="HW66" i="3"/>
  <c r="HX66" i="3" s="1"/>
  <c r="HW67" i="3"/>
  <c r="HX67" i="3" s="1"/>
  <c r="HW68" i="3"/>
  <c r="HX68" i="3" s="1"/>
  <c r="HW69" i="3"/>
  <c r="HX69" i="3" s="1"/>
  <c r="HW70" i="3"/>
  <c r="HX70" i="3" s="1"/>
  <c r="HW71" i="3"/>
  <c r="HX71" i="3" s="1"/>
  <c r="HW72" i="3"/>
  <c r="HX72" i="3" s="1"/>
  <c r="HW73" i="3"/>
  <c r="HX73" i="3" s="1"/>
  <c r="HX8" i="3"/>
  <c r="I47" i="8"/>
  <c r="L47" i="8"/>
  <c r="J47" i="8"/>
  <c r="M47" i="8"/>
  <c r="C47" i="8"/>
  <c r="L46" i="8"/>
  <c r="I46" i="8"/>
  <c r="C46" i="8"/>
  <c r="M46" i="8"/>
  <c r="M45" i="8"/>
  <c r="J45" i="8"/>
  <c r="O45" i="8" s="1"/>
  <c r="L45" i="8"/>
  <c r="M43" i="8"/>
  <c r="I43" i="8"/>
  <c r="O43" i="8" s="1"/>
  <c r="GD73" i="3"/>
  <c r="GJ73" i="3"/>
  <c r="GE73" i="3"/>
  <c r="GF73" i="3"/>
  <c r="GG73" i="3"/>
  <c r="GH73" i="3"/>
  <c r="GI73" i="3"/>
  <c r="GK73" i="3"/>
  <c r="GM73" i="3"/>
  <c r="GN73" i="3"/>
  <c r="GO73" i="3"/>
  <c r="GP73" i="3"/>
  <c r="HA101" i="3"/>
  <c r="HK101" i="3"/>
  <c r="HJ101" i="3"/>
  <c r="HI101" i="3"/>
  <c r="HH101" i="3"/>
  <c r="HG101" i="3"/>
  <c r="HF101" i="3"/>
  <c r="HE101" i="3"/>
  <c r="HD101" i="3"/>
  <c r="HC101" i="3"/>
  <c r="HB101" i="3"/>
  <c r="HM8" i="3"/>
  <c r="M42" i="8"/>
  <c r="L42" i="8"/>
  <c r="J42" i="8"/>
  <c r="I42" i="8"/>
  <c r="C42" i="8"/>
  <c r="I41" i="8"/>
  <c r="M41" i="8"/>
  <c r="L41" i="8"/>
  <c r="J41" i="8"/>
  <c r="O44" i="8"/>
  <c r="O49" i="8"/>
  <c r="O50" i="8"/>
  <c r="O51" i="8"/>
  <c r="O53" i="8"/>
  <c r="O54" i="8"/>
  <c r="I40" i="8"/>
  <c r="J40" i="8"/>
  <c r="M40" i="8"/>
  <c r="L318" i="3"/>
  <c r="I173" i="3"/>
  <c r="K173" i="3"/>
  <c r="M173" i="3"/>
  <c r="O173" i="3"/>
  <c r="Q173" i="3"/>
  <c r="S173" i="3"/>
  <c r="HL73" i="3"/>
  <c r="M39" i="8"/>
  <c r="H39" i="8"/>
  <c r="L39" i="8"/>
  <c r="C39" i="8"/>
  <c r="GQ9" i="3"/>
  <c r="GQ10" i="3"/>
  <c r="GQ11" i="3"/>
  <c r="GQ12" i="3"/>
  <c r="GQ13" i="3"/>
  <c r="GQ14" i="3"/>
  <c r="GQ15" i="3"/>
  <c r="GQ16" i="3"/>
  <c r="GQ17" i="3"/>
  <c r="GQ18" i="3"/>
  <c r="GQ19" i="3"/>
  <c r="GQ20" i="3"/>
  <c r="GQ21" i="3"/>
  <c r="GQ22" i="3"/>
  <c r="GQ23" i="3"/>
  <c r="GQ24" i="3"/>
  <c r="GQ25" i="3"/>
  <c r="GQ26" i="3"/>
  <c r="GQ27" i="3"/>
  <c r="GQ28" i="3"/>
  <c r="GQ29" i="3"/>
  <c r="GQ30" i="3"/>
  <c r="GQ31" i="3"/>
  <c r="GQ32" i="3"/>
  <c r="GQ33" i="3"/>
  <c r="GQ34" i="3"/>
  <c r="GQ35" i="3"/>
  <c r="GQ36" i="3"/>
  <c r="GQ37" i="3"/>
  <c r="GQ38" i="3"/>
  <c r="GQ39" i="3"/>
  <c r="GQ40" i="3"/>
  <c r="GQ41" i="3"/>
  <c r="GQ42" i="3"/>
  <c r="GQ43" i="3"/>
  <c r="GQ44" i="3"/>
  <c r="GQ45" i="3"/>
  <c r="GQ46" i="3"/>
  <c r="GQ47" i="3"/>
  <c r="GQ48" i="3"/>
  <c r="GQ49" i="3"/>
  <c r="GQ50" i="3"/>
  <c r="GQ51" i="3"/>
  <c r="GQ52" i="3"/>
  <c r="GQ53" i="3"/>
  <c r="GQ54" i="3"/>
  <c r="GQ55" i="3"/>
  <c r="GQ56" i="3"/>
  <c r="GQ57" i="3"/>
  <c r="GQ58" i="3"/>
  <c r="GQ59" i="3"/>
  <c r="GQ60" i="3"/>
  <c r="GQ61" i="3"/>
  <c r="GQ62" i="3"/>
  <c r="GQ63" i="3"/>
  <c r="GQ64" i="3"/>
  <c r="GQ65" i="3"/>
  <c r="GQ66" i="3"/>
  <c r="GQ67" i="3"/>
  <c r="GQ68" i="3"/>
  <c r="GQ69" i="3"/>
  <c r="GQ70" i="3"/>
  <c r="GQ71" i="3"/>
  <c r="GQ72" i="3"/>
  <c r="GQ8" i="3"/>
  <c r="M38" i="8"/>
  <c r="I38" i="8"/>
  <c r="J38" i="8"/>
  <c r="M36" i="8"/>
  <c r="I36" i="8"/>
  <c r="O36" i="8" s="1"/>
  <c r="M35" i="8"/>
  <c r="J35" i="8"/>
  <c r="HL72" i="3"/>
  <c r="HM72" i="3" s="1"/>
  <c r="HL71" i="3"/>
  <c r="HM71" i="3" s="1"/>
  <c r="HL70" i="3"/>
  <c r="HM70" i="3" s="1"/>
  <c r="HL69" i="3"/>
  <c r="HM69" i="3" s="1"/>
  <c r="HL68" i="3"/>
  <c r="HM68" i="3" s="1"/>
  <c r="HL67" i="3"/>
  <c r="HM67" i="3" s="1"/>
  <c r="HL66" i="3"/>
  <c r="HM66" i="3" s="1"/>
  <c r="HL65" i="3"/>
  <c r="HM65" i="3" s="1"/>
  <c r="HL64" i="3"/>
  <c r="HM64" i="3" s="1"/>
  <c r="HL63" i="3"/>
  <c r="HM63" i="3" s="1"/>
  <c r="HL62" i="3"/>
  <c r="HM62" i="3" s="1"/>
  <c r="HL61" i="3"/>
  <c r="HM61" i="3" s="1"/>
  <c r="HL60" i="3"/>
  <c r="HM60" i="3" s="1"/>
  <c r="HL59" i="3"/>
  <c r="HM59" i="3" s="1"/>
  <c r="HL58" i="3"/>
  <c r="HM58" i="3" s="1"/>
  <c r="HL57" i="3"/>
  <c r="HM57" i="3" s="1"/>
  <c r="HL56" i="3"/>
  <c r="HM56" i="3" s="1"/>
  <c r="HL55" i="3"/>
  <c r="HM55" i="3" s="1"/>
  <c r="HL54" i="3"/>
  <c r="HM54" i="3" s="1"/>
  <c r="HL53" i="3"/>
  <c r="HM53" i="3" s="1"/>
  <c r="HL52" i="3"/>
  <c r="HM52" i="3" s="1"/>
  <c r="HL51" i="3"/>
  <c r="HM51" i="3" s="1"/>
  <c r="HL50" i="3"/>
  <c r="HM50" i="3" s="1"/>
  <c r="HL49" i="3"/>
  <c r="HM49" i="3" s="1"/>
  <c r="HL48" i="3"/>
  <c r="HM48" i="3" s="1"/>
  <c r="HL47" i="3"/>
  <c r="HM47" i="3" s="1"/>
  <c r="HL46" i="3"/>
  <c r="HM46" i="3" s="1"/>
  <c r="HL45" i="3"/>
  <c r="HM45" i="3" s="1"/>
  <c r="HL44" i="3"/>
  <c r="HM44" i="3" s="1"/>
  <c r="HL43" i="3"/>
  <c r="HM43" i="3" s="1"/>
  <c r="HL42" i="3"/>
  <c r="HM42" i="3" s="1"/>
  <c r="HL41" i="3"/>
  <c r="HM41" i="3" s="1"/>
  <c r="HL40" i="3"/>
  <c r="HM40" i="3" s="1"/>
  <c r="HL39" i="3"/>
  <c r="HM39" i="3" s="1"/>
  <c r="HL38" i="3"/>
  <c r="HM38" i="3" s="1"/>
  <c r="HL37" i="3"/>
  <c r="HM37" i="3" s="1"/>
  <c r="HL36" i="3"/>
  <c r="HM36" i="3" s="1"/>
  <c r="HL35" i="3"/>
  <c r="HL34" i="3"/>
  <c r="HM34" i="3" s="1"/>
  <c r="HL33" i="3"/>
  <c r="HM33" i="3" s="1"/>
  <c r="HL32" i="3"/>
  <c r="HM32" i="3" s="1"/>
  <c r="HL31" i="3"/>
  <c r="HM31" i="3" s="1"/>
  <c r="HL30" i="3"/>
  <c r="HM30" i="3" s="1"/>
  <c r="HL29" i="3"/>
  <c r="HM29" i="3" s="1"/>
  <c r="HL28" i="3"/>
  <c r="HM28" i="3" s="1"/>
  <c r="HL27" i="3"/>
  <c r="HM27" i="3" s="1"/>
  <c r="HL26" i="3"/>
  <c r="HM26" i="3" s="1"/>
  <c r="HL25" i="3"/>
  <c r="HM25" i="3" s="1"/>
  <c r="HL24" i="3"/>
  <c r="HM24" i="3" s="1"/>
  <c r="HL23" i="3"/>
  <c r="HM23" i="3" s="1"/>
  <c r="HL22" i="3"/>
  <c r="HM22" i="3" s="1"/>
  <c r="HL21" i="3"/>
  <c r="HM21" i="3" s="1"/>
  <c r="HL20" i="3"/>
  <c r="HM20" i="3" s="1"/>
  <c r="HL19" i="3"/>
  <c r="HM19" i="3" s="1"/>
  <c r="HM18" i="3"/>
  <c r="HL17" i="3"/>
  <c r="HM17" i="3" s="1"/>
  <c r="HL16" i="3"/>
  <c r="HM16" i="3" s="1"/>
  <c r="HL15" i="3"/>
  <c r="HM15" i="3" s="1"/>
  <c r="HL14" i="3"/>
  <c r="HM14" i="3" s="1"/>
  <c r="HL13" i="3"/>
  <c r="HM13" i="3" s="1"/>
  <c r="HL12" i="3"/>
  <c r="HM12" i="3" s="1"/>
  <c r="HL11" i="3"/>
  <c r="HM11" i="3" s="1"/>
  <c r="HL10" i="3"/>
  <c r="HM10" i="3" s="1"/>
  <c r="HL9" i="3"/>
  <c r="HM9" i="3" s="1"/>
  <c r="I35" i="8"/>
  <c r="C35" i="8"/>
  <c r="O30" i="8"/>
  <c r="M34" i="8"/>
  <c r="O34" i="8" s="1"/>
  <c r="C34" i="8"/>
  <c r="I33" i="8"/>
  <c r="M33" i="8"/>
  <c r="J33" i="8"/>
  <c r="C33" i="8"/>
  <c r="G32" i="8"/>
  <c r="J32" i="8"/>
  <c r="I32" i="8"/>
  <c r="M32" i="8"/>
  <c r="C32" i="8"/>
  <c r="M31" i="8"/>
  <c r="I31" i="8"/>
  <c r="C31" i="8"/>
  <c r="J29" i="8"/>
  <c r="C29" i="8"/>
  <c r="I29" i="8"/>
  <c r="L29" i="8"/>
  <c r="M29" i="8"/>
  <c r="M28" i="8"/>
  <c r="G28" i="8"/>
  <c r="J27" i="8"/>
  <c r="O27" i="8" s="1"/>
  <c r="I26" i="8"/>
  <c r="O26" i="8" s="1"/>
  <c r="C26" i="8"/>
  <c r="M25" i="8"/>
  <c r="I25" i="8"/>
  <c r="C25" i="8"/>
  <c r="J24" i="8"/>
  <c r="O24" i="8" s="1"/>
  <c r="I24" i="8"/>
  <c r="C24" i="8"/>
  <c r="EQ72" i="3"/>
  <c r="EQ9" i="3"/>
  <c r="EQ10" i="3"/>
  <c r="EQ11" i="3"/>
  <c r="EQ12" i="3"/>
  <c r="EQ13" i="3"/>
  <c r="EQ14" i="3"/>
  <c r="EQ15" i="3"/>
  <c r="EQ16" i="3"/>
  <c r="EQ17" i="3"/>
  <c r="EQ18" i="3"/>
  <c r="EQ19" i="3"/>
  <c r="EQ20" i="3"/>
  <c r="EQ21" i="3"/>
  <c r="EQ22" i="3"/>
  <c r="EQ23" i="3"/>
  <c r="EQ24" i="3"/>
  <c r="EQ25" i="3"/>
  <c r="EQ26" i="3"/>
  <c r="EQ27" i="3"/>
  <c r="EQ28" i="3"/>
  <c r="EQ29" i="3"/>
  <c r="EQ30" i="3"/>
  <c r="EQ31" i="3"/>
  <c r="EQ32" i="3"/>
  <c r="EQ33" i="3"/>
  <c r="EQ34" i="3"/>
  <c r="EQ35" i="3"/>
  <c r="EQ36" i="3"/>
  <c r="EQ37" i="3"/>
  <c r="EQ38" i="3"/>
  <c r="EQ39" i="3"/>
  <c r="EQ40" i="3"/>
  <c r="EQ41" i="3"/>
  <c r="EQ42" i="3"/>
  <c r="EQ43" i="3"/>
  <c r="EQ44" i="3"/>
  <c r="EQ45" i="3"/>
  <c r="EQ46" i="3"/>
  <c r="EQ47" i="3"/>
  <c r="EQ48" i="3"/>
  <c r="EQ49" i="3"/>
  <c r="EQ50" i="3"/>
  <c r="EQ51" i="3"/>
  <c r="EQ52" i="3"/>
  <c r="EQ53" i="3"/>
  <c r="EQ54" i="3"/>
  <c r="EQ55" i="3"/>
  <c r="EQ56" i="3"/>
  <c r="EQ57" i="3"/>
  <c r="EQ58" i="3"/>
  <c r="EQ59" i="3"/>
  <c r="EQ60" i="3"/>
  <c r="EQ61" i="3"/>
  <c r="EQ62" i="3"/>
  <c r="EQ63" i="3"/>
  <c r="EQ64" i="3"/>
  <c r="EQ65" i="3"/>
  <c r="EQ66" i="3"/>
  <c r="EQ67" i="3"/>
  <c r="EQ68" i="3"/>
  <c r="EQ69" i="3"/>
  <c r="EQ70" i="3"/>
  <c r="EQ71" i="3"/>
  <c r="EQ8" i="3"/>
  <c r="M22" i="8"/>
  <c r="O22" i="8" s="1"/>
  <c r="C22" i="8"/>
  <c r="L21" i="8"/>
  <c r="J21" i="8"/>
  <c r="C21" i="8"/>
  <c r="FT9" i="3"/>
  <c r="FU9" i="3" s="1"/>
  <c r="FT10" i="3"/>
  <c r="FU10" i="3" s="1"/>
  <c r="FT11" i="3"/>
  <c r="FU11" i="3" s="1"/>
  <c r="FT12" i="3"/>
  <c r="FU12" i="3" s="1"/>
  <c r="FT13" i="3"/>
  <c r="FU13" i="3" s="1"/>
  <c r="FT14" i="3"/>
  <c r="FU14" i="3" s="1"/>
  <c r="FT15" i="3"/>
  <c r="FU15" i="3" s="1"/>
  <c r="FT16" i="3"/>
  <c r="FU16" i="3" s="1"/>
  <c r="FT17" i="3"/>
  <c r="FU17" i="3" s="1"/>
  <c r="FT18" i="3"/>
  <c r="FU18" i="3" s="1"/>
  <c r="FT19" i="3"/>
  <c r="FU19" i="3" s="1"/>
  <c r="FT20" i="3"/>
  <c r="FU20" i="3" s="1"/>
  <c r="FT21" i="3"/>
  <c r="FU21" i="3" s="1"/>
  <c r="FT22" i="3"/>
  <c r="FU22" i="3" s="1"/>
  <c r="FT23" i="3"/>
  <c r="FU23" i="3" s="1"/>
  <c r="FT24" i="3"/>
  <c r="FU24" i="3" s="1"/>
  <c r="FT25" i="3"/>
  <c r="FU25" i="3" s="1"/>
  <c r="FT26" i="3"/>
  <c r="FU26" i="3" s="1"/>
  <c r="FT27" i="3"/>
  <c r="FU27" i="3" s="1"/>
  <c r="FT28" i="3"/>
  <c r="FU28" i="3" s="1"/>
  <c r="FT29" i="3"/>
  <c r="FU29" i="3" s="1"/>
  <c r="FT30" i="3"/>
  <c r="FU30" i="3" s="1"/>
  <c r="FT31" i="3"/>
  <c r="FU31" i="3" s="1"/>
  <c r="FT32" i="3"/>
  <c r="FU32" i="3" s="1"/>
  <c r="FT33" i="3"/>
  <c r="FU33" i="3" s="1"/>
  <c r="FT34" i="3"/>
  <c r="FU34" i="3" s="1"/>
  <c r="FT35" i="3"/>
  <c r="FU35" i="3" s="1"/>
  <c r="FT36" i="3"/>
  <c r="FU36" i="3" s="1"/>
  <c r="FT37" i="3"/>
  <c r="FU37" i="3" s="1"/>
  <c r="FT38" i="3"/>
  <c r="FU38" i="3" s="1"/>
  <c r="FT39" i="3"/>
  <c r="FU39" i="3" s="1"/>
  <c r="FT40" i="3"/>
  <c r="FU40" i="3" s="1"/>
  <c r="FT41" i="3"/>
  <c r="FU41" i="3" s="1"/>
  <c r="FT42" i="3"/>
  <c r="FU42" i="3" s="1"/>
  <c r="FT43" i="3"/>
  <c r="FU43" i="3" s="1"/>
  <c r="FT44" i="3"/>
  <c r="FU44" i="3" s="1"/>
  <c r="FT45" i="3"/>
  <c r="FU45" i="3" s="1"/>
  <c r="FT46" i="3"/>
  <c r="FU46" i="3" s="1"/>
  <c r="FT47" i="3"/>
  <c r="FU47" i="3" s="1"/>
  <c r="FT48" i="3"/>
  <c r="FU48" i="3" s="1"/>
  <c r="FT49" i="3"/>
  <c r="FU49" i="3" s="1"/>
  <c r="FT50" i="3"/>
  <c r="FU50" i="3" s="1"/>
  <c r="FT51" i="3"/>
  <c r="FU51" i="3" s="1"/>
  <c r="FT52" i="3"/>
  <c r="FU52" i="3" s="1"/>
  <c r="FT53" i="3"/>
  <c r="FU53" i="3" s="1"/>
  <c r="FT54" i="3"/>
  <c r="FU54" i="3" s="1"/>
  <c r="FT55" i="3"/>
  <c r="FU55" i="3" s="1"/>
  <c r="FT56" i="3"/>
  <c r="FU56" i="3" s="1"/>
  <c r="FT57" i="3"/>
  <c r="FU57" i="3" s="1"/>
  <c r="FT58" i="3"/>
  <c r="FU58" i="3" s="1"/>
  <c r="FT59" i="3"/>
  <c r="FU59" i="3" s="1"/>
  <c r="FT60" i="3"/>
  <c r="FU60" i="3" s="1"/>
  <c r="FT61" i="3"/>
  <c r="FU61" i="3" s="1"/>
  <c r="FT62" i="3"/>
  <c r="FU62" i="3" s="1"/>
  <c r="FT63" i="3"/>
  <c r="FU63" i="3" s="1"/>
  <c r="FT64" i="3"/>
  <c r="FU64" i="3" s="1"/>
  <c r="FT65" i="3"/>
  <c r="FU65" i="3" s="1"/>
  <c r="FT66" i="3"/>
  <c r="FU66" i="3" s="1"/>
  <c r="FT67" i="3"/>
  <c r="FU67" i="3" s="1"/>
  <c r="FT68" i="3"/>
  <c r="FU68" i="3" s="1"/>
  <c r="FT69" i="3"/>
  <c r="FU69" i="3" s="1"/>
  <c r="FT70" i="3"/>
  <c r="FU70" i="3" s="1"/>
  <c r="FT71" i="3"/>
  <c r="FU71" i="3" s="1"/>
  <c r="FT72" i="3"/>
  <c r="FU72" i="3" s="1"/>
  <c r="FT8" i="3"/>
  <c r="FU8" i="3" s="1"/>
  <c r="C20" i="8"/>
  <c r="I20" i="8"/>
  <c r="L240" i="3"/>
  <c r="L241" i="3"/>
  <c r="L242" i="3"/>
  <c r="L243" i="3"/>
  <c r="L244" i="3"/>
  <c r="L239" i="3"/>
  <c r="M19" i="8"/>
  <c r="C19" i="8"/>
  <c r="I18" i="8"/>
  <c r="L18" i="8"/>
  <c r="J18" i="8"/>
  <c r="M18" i="8"/>
  <c r="J17" i="8"/>
  <c r="C17" i="8"/>
  <c r="M17" i="8"/>
  <c r="L15" i="8"/>
  <c r="I15" i="8"/>
  <c r="J15" i="8"/>
  <c r="M15" i="8"/>
  <c r="I13" i="8"/>
  <c r="J13" i="8"/>
  <c r="C13" i="8"/>
  <c r="M13" i="8"/>
  <c r="O298" i="3"/>
  <c r="O297" i="3"/>
  <c r="I172" i="3"/>
  <c r="K172" i="3"/>
  <c r="M172" i="3"/>
  <c r="O172" i="3"/>
  <c r="M12" i="8"/>
  <c r="J12" i="8"/>
  <c r="J11" i="8"/>
  <c r="C11" i="8"/>
  <c r="I11" i="8"/>
  <c r="M10" i="8"/>
  <c r="O10" i="8" s="1"/>
  <c r="O9" i="8"/>
  <c r="O14" i="8"/>
  <c r="O16" i="8"/>
  <c r="O23" i="8"/>
  <c r="O37" i="8"/>
  <c r="M8" i="8"/>
  <c r="M7" i="8"/>
  <c r="G5" i="8"/>
  <c r="M5" i="8"/>
  <c r="M6" i="8"/>
  <c r="J6" i="8"/>
  <c r="I6" i="8"/>
  <c r="H6" i="8"/>
  <c r="O20" i="8" l="1"/>
  <c r="O38" i="8"/>
  <c r="O40" i="8"/>
  <c r="O28" i="8"/>
  <c r="O13" i="8"/>
  <c r="O41" i="8"/>
  <c r="O5" i="8"/>
  <c r="O39" i="8"/>
  <c r="O12" i="8"/>
  <c r="O19" i="8"/>
  <c r="O25" i="8"/>
  <c r="O29" i="8"/>
  <c r="O32" i="8"/>
  <c r="O33" i="8"/>
  <c r="O42" i="8"/>
  <c r="O46" i="8"/>
  <c r="O47" i="8"/>
  <c r="O21" i="8"/>
  <c r="O11" i="8"/>
  <c r="O15" i="8"/>
  <c r="O18" i="8"/>
  <c r="O31" i="8"/>
  <c r="C98" i="1"/>
  <c r="K4" i="1" s="1"/>
  <c r="X164" i="12"/>
  <c r="L237" i="12" s="1"/>
  <c r="M237" i="12" s="1"/>
  <c r="N237" i="12" s="1"/>
  <c r="O6" i="8"/>
  <c r="U173" i="3"/>
  <c r="AN173" i="3" s="1"/>
  <c r="U109" i="3"/>
  <c r="U168" i="3"/>
  <c r="U160" i="3"/>
  <c r="U144" i="3"/>
  <c r="U136" i="3"/>
  <c r="U128" i="3"/>
  <c r="U120" i="3"/>
  <c r="U118" i="3"/>
  <c r="GR66" i="3"/>
  <c r="W166" i="3" s="1"/>
  <c r="U166" i="3"/>
  <c r="GR58" i="3"/>
  <c r="W158" i="3" s="1"/>
  <c r="U158" i="3"/>
  <c r="GR50" i="3"/>
  <c r="W150" i="3" s="1"/>
  <c r="U150" i="3"/>
  <c r="GR42" i="3"/>
  <c r="W142" i="3" s="1"/>
  <c r="U142" i="3"/>
  <c r="GR34" i="3"/>
  <c r="W134" i="3" s="1"/>
  <c r="U134" i="3"/>
  <c r="GR26" i="3"/>
  <c r="W126" i="3" s="1"/>
  <c r="U126" i="3"/>
  <c r="GR10" i="3"/>
  <c r="U110" i="3"/>
  <c r="GR8" i="3"/>
  <c r="W108" i="3" s="1"/>
  <c r="U108" i="3"/>
  <c r="GR65" i="3"/>
  <c r="W165" i="3" s="1"/>
  <c r="U165" i="3"/>
  <c r="GR57" i="3"/>
  <c r="W157" i="3" s="1"/>
  <c r="U157" i="3"/>
  <c r="GR49" i="3"/>
  <c r="W149" i="3" s="1"/>
  <c r="U149" i="3"/>
  <c r="GR41" i="3"/>
  <c r="W141" i="3" s="1"/>
  <c r="U141" i="3"/>
  <c r="GR33" i="3"/>
  <c r="W133" i="3" s="1"/>
  <c r="U133" i="3"/>
  <c r="GR25" i="3"/>
  <c r="W125" i="3" s="1"/>
  <c r="U125" i="3"/>
  <c r="GR17" i="3"/>
  <c r="W117" i="3" s="1"/>
  <c r="U117" i="3"/>
  <c r="GR9" i="3"/>
  <c r="W109" i="3" s="1"/>
  <c r="GR72" i="3"/>
  <c r="W172" i="3" s="1"/>
  <c r="U172" i="3"/>
  <c r="GR64" i="3"/>
  <c r="W164" i="3" s="1"/>
  <c r="U164" i="3"/>
  <c r="GR56" i="3"/>
  <c r="W156" i="3" s="1"/>
  <c r="U156" i="3"/>
  <c r="GR48" i="3"/>
  <c r="W148" i="3" s="1"/>
  <c r="U148" i="3"/>
  <c r="GR40" i="3"/>
  <c r="W140" i="3" s="1"/>
  <c r="U140" i="3"/>
  <c r="GR32" i="3"/>
  <c r="W132" i="3" s="1"/>
  <c r="U132" i="3"/>
  <c r="GR24" i="3"/>
  <c r="W124" i="3" s="1"/>
  <c r="U124" i="3"/>
  <c r="GR16" i="3"/>
  <c r="W116" i="3" s="1"/>
  <c r="U116" i="3"/>
  <c r="U171" i="3"/>
  <c r="U163" i="3"/>
  <c r="U155" i="3"/>
  <c r="U147" i="3"/>
  <c r="U139" i="3"/>
  <c r="U131" i="3"/>
  <c r="U123" i="3"/>
  <c r="GR15" i="3"/>
  <c r="W115" i="3" s="1"/>
  <c r="U115" i="3"/>
  <c r="GR70" i="3"/>
  <c r="W170" i="3" s="1"/>
  <c r="U170" i="3"/>
  <c r="GR62" i="3"/>
  <c r="W162" i="3" s="1"/>
  <c r="U162" i="3"/>
  <c r="GR54" i="3"/>
  <c r="W154" i="3" s="1"/>
  <c r="U154" i="3"/>
  <c r="GR46" i="3"/>
  <c r="W146" i="3" s="1"/>
  <c r="U146" i="3"/>
  <c r="GR38" i="3"/>
  <c r="W138" i="3" s="1"/>
  <c r="U138" i="3"/>
  <c r="GR30" i="3"/>
  <c r="W130" i="3" s="1"/>
  <c r="U130" i="3"/>
  <c r="GR22" i="3"/>
  <c r="W122" i="3" s="1"/>
  <c r="U122" i="3"/>
  <c r="U114" i="3"/>
  <c r="U169" i="3"/>
  <c r="U161" i="3"/>
  <c r="U153" i="3"/>
  <c r="U145" i="3"/>
  <c r="U137" i="3"/>
  <c r="GR29" i="3"/>
  <c r="W129" i="3" s="1"/>
  <c r="U129" i="3"/>
  <c r="GR21" i="3"/>
  <c r="W121" i="3" s="1"/>
  <c r="U121" i="3"/>
  <c r="GR13" i="3"/>
  <c r="W113" i="3" s="1"/>
  <c r="U113" i="3"/>
  <c r="GR52" i="3"/>
  <c r="W152" i="3" s="1"/>
  <c r="U152" i="3"/>
  <c r="GR12" i="3"/>
  <c r="W112" i="3" s="1"/>
  <c r="U112" i="3"/>
  <c r="U167" i="3"/>
  <c r="U159" i="3"/>
  <c r="U151" i="3"/>
  <c r="U143" i="3"/>
  <c r="U135" i="3"/>
  <c r="U127" i="3"/>
  <c r="U119" i="3"/>
  <c r="U111" i="3"/>
  <c r="X159" i="12"/>
  <c r="L232" i="12" s="1"/>
  <c r="M232" i="12" s="1"/>
  <c r="N232" i="12" s="1"/>
  <c r="X140" i="12"/>
  <c r="H202" i="12"/>
  <c r="Z178" i="12"/>
  <c r="X197" i="12"/>
  <c r="L270" i="12" s="1"/>
  <c r="M270" i="12" s="1"/>
  <c r="N270" i="12" s="1"/>
  <c r="Z186" i="12"/>
  <c r="X157" i="12"/>
  <c r="L230" i="12" s="1"/>
  <c r="M230" i="12" s="1"/>
  <c r="N230" i="12" s="1"/>
  <c r="X158" i="12"/>
  <c r="L231" i="12" s="1"/>
  <c r="M231" i="12" s="1"/>
  <c r="N231" i="12" s="1"/>
  <c r="X160" i="12"/>
  <c r="L233" i="12" s="1"/>
  <c r="M233" i="12" s="1"/>
  <c r="N233" i="12" s="1"/>
  <c r="Z158" i="12"/>
  <c r="Z141" i="12"/>
  <c r="Z181" i="12"/>
  <c r="X201" i="12"/>
  <c r="L274" i="12" s="1"/>
  <c r="M274" i="12" s="1"/>
  <c r="N274" i="12" s="1"/>
  <c r="X144" i="12"/>
  <c r="L217" i="12" s="1"/>
  <c r="M217" i="12" s="1"/>
  <c r="N217" i="12" s="1"/>
  <c r="Z172" i="12"/>
  <c r="Z195" i="12"/>
  <c r="Z197" i="12"/>
  <c r="Z149" i="12"/>
  <c r="X141" i="12"/>
  <c r="L214" i="12" s="1"/>
  <c r="M214" i="12" s="1"/>
  <c r="N214" i="12" s="1"/>
  <c r="Z151" i="12"/>
  <c r="Z187" i="12"/>
  <c r="Z171" i="12"/>
  <c r="Z163" i="12"/>
  <c r="X187" i="12"/>
  <c r="L260" i="12" s="1"/>
  <c r="M260" i="12" s="1"/>
  <c r="N260" i="12" s="1"/>
  <c r="Z188" i="12"/>
  <c r="X199" i="12"/>
  <c r="L272" i="12" s="1"/>
  <c r="M272" i="12" s="1"/>
  <c r="N272" i="12" s="1"/>
  <c r="Z145" i="12"/>
  <c r="X145" i="12"/>
  <c r="L218" i="12" s="1"/>
  <c r="M218" i="12" s="1"/>
  <c r="N218" i="12" s="1"/>
  <c r="X173" i="12"/>
  <c r="L246" i="12" s="1"/>
  <c r="M246" i="12" s="1"/>
  <c r="N246" i="12" s="1"/>
  <c r="X142" i="12"/>
  <c r="L215" i="12" s="1"/>
  <c r="M215" i="12" s="1"/>
  <c r="N215" i="12" s="1"/>
  <c r="Z143" i="12"/>
  <c r="X151" i="12"/>
  <c r="L224" i="12" s="1"/>
  <c r="M224" i="12" s="1"/>
  <c r="N224" i="12" s="1"/>
  <c r="Z142" i="12"/>
  <c r="X156" i="12"/>
  <c r="L229" i="12" s="1"/>
  <c r="M229" i="12" s="1"/>
  <c r="N229" i="12" s="1"/>
  <c r="X152" i="12"/>
  <c r="L225" i="12" s="1"/>
  <c r="M225" i="12" s="1"/>
  <c r="N225" i="12" s="1"/>
  <c r="X169" i="12"/>
  <c r="L242" i="12" s="1"/>
  <c r="M242" i="12" s="1"/>
  <c r="N242" i="12" s="1"/>
  <c r="Z192" i="12"/>
  <c r="X186" i="12"/>
  <c r="L259" i="12" s="1"/>
  <c r="M259" i="12" s="1"/>
  <c r="N259" i="12" s="1"/>
  <c r="X192" i="12"/>
  <c r="L265" i="12" s="1"/>
  <c r="M265" i="12" s="1"/>
  <c r="N265" i="12" s="1"/>
  <c r="Z162" i="12"/>
  <c r="Z154" i="12"/>
  <c r="Z153" i="12"/>
  <c r="Z164" i="12"/>
  <c r="X196" i="12"/>
  <c r="L269" i="12" s="1"/>
  <c r="M269" i="12" s="1"/>
  <c r="N269" i="12" s="1"/>
  <c r="X184" i="12"/>
  <c r="L257" i="12" s="1"/>
  <c r="M257" i="12" s="1"/>
  <c r="N257" i="12" s="1"/>
  <c r="X176" i="12"/>
  <c r="L249" i="12" s="1"/>
  <c r="M249" i="12" s="1"/>
  <c r="N249" i="12" s="1"/>
  <c r="X168" i="12"/>
  <c r="L241" i="12" s="1"/>
  <c r="M241" i="12" s="1"/>
  <c r="N241" i="12" s="1"/>
  <c r="Z182" i="12"/>
  <c r="Z174" i="12"/>
  <c r="Z166" i="12"/>
  <c r="X177" i="12"/>
  <c r="L250" i="12" s="1"/>
  <c r="M250" i="12" s="1"/>
  <c r="N250" i="12" s="1"/>
  <c r="Z183" i="12"/>
  <c r="Z167" i="12"/>
  <c r="Z147" i="12"/>
  <c r="Z157" i="12"/>
  <c r="L213" i="12"/>
  <c r="M213" i="12" s="1"/>
  <c r="N213" i="12" s="1"/>
  <c r="Z198" i="12"/>
  <c r="Z191" i="12"/>
  <c r="Z190" i="12"/>
  <c r="X182" i="12"/>
  <c r="L255" i="12" s="1"/>
  <c r="M255" i="12" s="1"/>
  <c r="N255" i="12" s="1"/>
  <c r="X174" i="12"/>
  <c r="L247" i="12" s="1"/>
  <c r="M247" i="12" s="1"/>
  <c r="N247" i="12" s="1"/>
  <c r="X166" i="12"/>
  <c r="L239" i="12" s="1"/>
  <c r="M239" i="12" s="1"/>
  <c r="N239" i="12" s="1"/>
  <c r="X185" i="12"/>
  <c r="L258" i="12" s="1"/>
  <c r="M258" i="12" s="1"/>
  <c r="N258" i="12" s="1"/>
  <c r="Z173" i="12"/>
  <c r="Z165" i="12"/>
  <c r="X143" i="12"/>
  <c r="L216" i="12" s="1"/>
  <c r="M216" i="12" s="1"/>
  <c r="N216" i="12" s="1"/>
  <c r="X183" i="12"/>
  <c r="L256" i="12" s="1"/>
  <c r="M256" i="12" s="1"/>
  <c r="N256" i="12" s="1"/>
  <c r="X167" i="12"/>
  <c r="L240" i="12" s="1"/>
  <c r="M240" i="12" s="1"/>
  <c r="N240" i="12" s="1"/>
  <c r="X147" i="12"/>
  <c r="L220" i="12" s="1"/>
  <c r="M220" i="12" s="1"/>
  <c r="N220" i="12" s="1"/>
  <c r="Z152" i="12"/>
  <c r="X149" i="12"/>
  <c r="L222" i="12" s="1"/>
  <c r="M222" i="12" s="1"/>
  <c r="N222" i="12" s="1"/>
  <c r="X191" i="12"/>
  <c r="L264" i="12" s="1"/>
  <c r="M264" i="12" s="1"/>
  <c r="N264" i="12" s="1"/>
  <c r="X200" i="12"/>
  <c r="L273" i="12" s="1"/>
  <c r="M273" i="12" s="1"/>
  <c r="N273" i="12" s="1"/>
  <c r="X194" i="12"/>
  <c r="L267" i="12" s="1"/>
  <c r="M267" i="12" s="1"/>
  <c r="N267" i="12" s="1"/>
  <c r="Z199" i="12"/>
  <c r="X154" i="12"/>
  <c r="L227" i="12" s="1"/>
  <c r="M227" i="12" s="1"/>
  <c r="N227" i="12" s="1"/>
  <c r="X189" i="12"/>
  <c r="L262" i="12" s="1"/>
  <c r="M262" i="12" s="1"/>
  <c r="N262" i="12" s="1"/>
  <c r="Z168" i="12"/>
  <c r="P202" i="12"/>
  <c r="Z144" i="12"/>
  <c r="Z161" i="12"/>
  <c r="X193" i="12"/>
  <c r="L266" i="12" s="1"/>
  <c r="M266" i="12" s="1"/>
  <c r="N266" i="12" s="1"/>
  <c r="X190" i="12"/>
  <c r="L263" i="12" s="1"/>
  <c r="M263" i="12" s="1"/>
  <c r="N263" i="12" s="1"/>
  <c r="X198" i="12"/>
  <c r="L271" i="12" s="1"/>
  <c r="M271" i="12" s="1"/>
  <c r="N271" i="12" s="1"/>
  <c r="Z189" i="12"/>
  <c r="Z176" i="12"/>
  <c r="Z150" i="12"/>
  <c r="X153" i="12"/>
  <c r="L226" i="12" s="1"/>
  <c r="M226" i="12" s="1"/>
  <c r="N226" i="12" s="1"/>
  <c r="Z140" i="12"/>
  <c r="L202" i="12"/>
  <c r="X161" i="12"/>
  <c r="L234" i="12" s="1"/>
  <c r="M234" i="12" s="1"/>
  <c r="N234" i="12" s="1"/>
  <c r="Z156" i="12"/>
  <c r="Z194" i="12"/>
  <c r="Z179" i="12"/>
  <c r="X179" i="12"/>
  <c r="L252" i="12" s="1"/>
  <c r="M252" i="12" s="1"/>
  <c r="N252" i="12" s="1"/>
  <c r="X171" i="12"/>
  <c r="L244" i="12" s="1"/>
  <c r="M244" i="12" s="1"/>
  <c r="N244" i="12" s="1"/>
  <c r="T202" i="12"/>
  <c r="X148" i="12"/>
  <c r="L221" i="12" s="1"/>
  <c r="M221" i="12" s="1"/>
  <c r="N221" i="12" s="1"/>
  <c r="Z155" i="12"/>
  <c r="Z175" i="12"/>
  <c r="X150" i="12"/>
  <c r="L223" i="12" s="1"/>
  <c r="M223" i="12" s="1"/>
  <c r="N223" i="12" s="1"/>
  <c r="M70" i="12"/>
  <c r="Z146" i="12"/>
  <c r="Z184" i="12"/>
  <c r="Z185" i="12"/>
  <c r="Z177" i="12"/>
  <c r="Z169" i="12"/>
  <c r="Z180" i="12"/>
  <c r="Z193" i="12"/>
  <c r="X178" i="12"/>
  <c r="L251" i="12" s="1"/>
  <c r="M251" i="12" s="1"/>
  <c r="N251" i="12" s="1"/>
  <c r="X170" i="12"/>
  <c r="L243" i="12" s="1"/>
  <c r="M243" i="12" s="1"/>
  <c r="N243" i="12" s="1"/>
  <c r="X162" i="12"/>
  <c r="L235" i="12" s="1"/>
  <c r="M235" i="12" s="1"/>
  <c r="N235" i="12" s="1"/>
  <c r="X165" i="12"/>
  <c r="L238" i="12" s="1"/>
  <c r="M238" i="12" s="1"/>
  <c r="N238" i="12" s="1"/>
  <c r="Z148" i="12"/>
  <c r="Z196" i="12"/>
  <c r="X155" i="12"/>
  <c r="L228" i="12" s="1"/>
  <c r="M228" i="12" s="1"/>
  <c r="N228" i="12" s="1"/>
  <c r="X175" i="12"/>
  <c r="L248" i="12" s="1"/>
  <c r="M248" i="12" s="1"/>
  <c r="N248" i="12" s="1"/>
  <c r="O48" i="8"/>
  <c r="HX18" i="3"/>
  <c r="HX10" i="3"/>
  <c r="HM73" i="3"/>
  <c r="W173" i="3" s="1"/>
  <c r="AP173" i="3" s="1"/>
  <c r="HM35" i="3"/>
  <c r="GR69" i="3"/>
  <c r="W169" i="3" s="1"/>
  <c r="GR51" i="3"/>
  <c r="W151" i="3" s="1"/>
  <c r="GR28" i="3"/>
  <c r="W128" i="3" s="1"/>
  <c r="GR68" i="3"/>
  <c r="W168" i="3" s="1"/>
  <c r="GR45" i="3"/>
  <c r="W145" i="3" s="1"/>
  <c r="GR27" i="3"/>
  <c r="W127" i="3" s="1"/>
  <c r="GR67" i="3"/>
  <c r="W167" i="3" s="1"/>
  <c r="GR44" i="3"/>
  <c r="W144" i="3" s="1"/>
  <c r="GR20" i="3"/>
  <c r="W120" i="3" s="1"/>
  <c r="GR61" i="3"/>
  <c r="W161" i="3" s="1"/>
  <c r="GR43" i="3"/>
  <c r="W143" i="3" s="1"/>
  <c r="GR19" i="3"/>
  <c r="W119" i="3" s="1"/>
  <c r="GR60" i="3"/>
  <c r="W160" i="3" s="1"/>
  <c r="GR37" i="3"/>
  <c r="W137" i="3" s="1"/>
  <c r="GR18" i="3"/>
  <c r="GR59" i="3"/>
  <c r="W159" i="3" s="1"/>
  <c r="GR36" i="3"/>
  <c r="W136" i="3" s="1"/>
  <c r="GR53" i="3"/>
  <c r="W153" i="3" s="1"/>
  <c r="GR35" i="3"/>
  <c r="GR11" i="3"/>
  <c r="W111" i="3" s="1"/>
  <c r="GR71" i="3"/>
  <c r="W171" i="3" s="1"/>
  <c r="GR63" i="3"/>
  <c r="W163" i="3" s="1"/>
  <c r="GR55" i="3"/>
  <c r="W155" i="3" s="1"/>
  <c r="GR47" i="3"/>
  <c r="W147" i="3" s="1"/>
  <c r="GR39" i="3"/>
  <c r="W139" i="3" s="1"/>
  <c r="GR31" i="3"/>
  <c r="W131" i="3" s="1"/>
  <c r="GR14" i="3"/>
  <c r="W114" i="3" s="1"/>
  <c r="GR23" i="3"/>
  <c r="W123" i="3" s="1"/>
  <c r="O35" i="8"/>
  <c r="O17" i="8"/>
  <c r="S172" i="3"/>
  <c r="Q172" i="3"/>
  <c r="AN172" i="3" s="1"/>
  <c r="M3" i="8"/>
  <c r="C3" i="8"/>
  <c r="O4" i="8"/>
  <c r="O7" i="8"/>
  <c r="O8" i="8"/>
  <c r="EO9" i="3"/>
  <c r="EP9" i="3" s="1"/>
  <c r="EO10" i="3"/>
  <c r="EP10" i="3" s="1"/>
  <c r="EO11" i="3"/>
  <c r="EP11" i="3" s="1"/>
  <c r="S111" i="3" s="1"/>
  <c r="EO12" i="3"/>
  <c r="EP12" i="3" s="1"/>
  <c r="EO13" i="3"/>
  <c r="EP13" i="3" s="1"/>
  <c r="S113" i="3" s="1"/>
  <c r="EO14" i="3"/>
  <c r="EP14" i="3" s="1"/>
  <c r="S114" i="3" s="1"/>
  <c r="EO15" i="3"/>
  <c r="EO16" i="3"/>
  <c r="EP16" i="3" s="1"/>
  <c r="S116" i="3" s="1"/>
  <c r="EO17" i="3"/>
  <c r="EP17" i="3" s="1"/>
  <c r="S117" i="3" s="1"/>
  <c r="EO18" i="3"/>
  <c r="EP18" i="3" s="1"/>
  <c r="S118" i="3" s="1"/>
  <c r="EO19" i="3"/>
  <c r="EP19" i="3" s="1"/>
  <c r="S119" i="3" s="1"/>
  <c r="EO20" i="3"/>
  <c r="EP20" i="3" s="1"/>
  <c r="S120" i="3" s="1"/>
  <c r="EO21" i="3"/>
  <c r="EP21" i="3" s="1"/>
  <c r="S121" i="3" s="1"/>
  <c r="EO22" i="3"/>
  <c r="EP22" i="3" s="1"/>
  <c r="S122" i="3" s="1"/>
  <c r="EO23" i="3"/>
  <c r="EO24" i="3"/>
  <c r="EO25" i="3"/>
  <c r="EP25" i="3" s="1"/>
  <c r="S125" i="3" s="1"/>
  <c r="EO26" i="3"/>
  <c r="EP26" i="3" s="1"/>
  <c r="S126" i="3" s="1"/>
  <c r="EO27" i="3"/>
  <c r="EP27" i="3" s="1"/>
  <c r="S127" i="3" s="1"/>
  <c r="EO28" i="3"/>
  <c r="Q128" i="3" s="1"/>
  <c r="EO29" i="3"/>
  <c r="Q129" i="3" s="1"/>
  <c r="EO30" i="3"/>
  <c r="Q130" i="3" s="1"/>
  <c r="EO31" i="3"/>
  <c r="EO32" i="3"/>
  <c r="EP32" i="3" s="1"/>
  <c r="S132" i="3" s="1"/>
  <c r="EO33" i="3"/>
  <c r="EP33" i="3" s="1"/>
  <c r="S133" i="3" s="1"/>
  <c r="EO34" i="3"/>
  <c r="EP34" i="3" s="1"/>
  <c r="EO35" i="3"/>
  <c r="EP35" i="3" s="1"/>
  <c r="S135" i="3" s="1"/>
  <c r="EO36" i="3"/>
  <c r="EP36" i="3" s="1"/>
  <c r="S136" i="3" s="1"/>
  <c r="EO37" i="3"/>
  <c r="Q137" i="3" s="1"/>
  <c r="EO38" i="3"/>
  <c r="Q138" i="3" s="1"/>
  <c r="EO39" i="3"/>
  <c r="EO40" i="3"/>
  <c r="EO41" i="3"/>
  <c r="EO42" i="3"/>
  <c r="EP42" i="3" s="1"/>
  <c r="S142" i="3" s="1"/>
  <c r="EO43" i="3"/>
  <c r="EP43" i="3" s="1"/>
  <c r="S143" i="3" s="1"/>
  <c r="EO44" i="3"/>
  <c r="EP44" i="3" s="1"/>
  <c r="S144" i="3" s="1"/>
  <c r="EO45" i="3"/>
  <c r="EP45" i="3" s="1"/>
  <c r="S145" i="3" s="1"/>
  <c r="EO46" i="3"/>
  <c r="Q146" i="3" s="1"/>
  <c r="EO47" i="3"/>
  <c r="EO48" i="3"/>
  <c r="EO49" i="3"/>
  <c r="EP49" i="3" s="1"/>
  <c r="S149" i="3" s="1"/>
  <c r="EO50" i="3"/>
  <c r="EP50" i="3" s="1"/>
  <c r="S150" i="3" s="1"/>
  <c r="EO51" i="3"/>
  <c r="EP51" i="3" s="1"/>
  <c r="S151" i="3" s="1"/>
  <c r="EO52" i="3"/>
  <c r="EP52" i="3" s="1"/>
  <c r="S152" i="3" s="1"/>
  <c r="EO53" i="3"/>
  <c r="EP53" i="3" s="1"/>
  <c r="S153" i="3" s="1"/>
  <c r="EO54" i="3"/>
  <c r="Q154" i="3" s="1"/>
  <c r="EO55" i="3"/>
  <c r="EP55" i="3" s="1"/>
  <c r="S155" i="3" s="1"/>
  <c r="EO56" i="3"/>
  <c r="EP56" i="3" s="1"/>
  <c r="S156" i="3" s="1"/>
  <c r="EO57" i="3"/>
  <c r="EP57" i="3" s="1"/>
  <c r="S157" i="3" s="1"/>
  <c r="EO58" i="3"/>
  <c r="Q158" i="3" s="1"/>
  <c r="EO59" i="3"/>
  <c r="EP59" i="3" s="1"/>
  <c r="S159" i="3" s="1"/>
  <c r="EO60" i="3"/>
  <c r="Q160" i="3" s="1"/>
  <c r="EO61" i="3"/>
  <c r="EP61" i="3" s="1"/>
  <c r="S161" i="3" s="1"/>
  <c r="EO62" i="3"/>
  <c r="EP62" i="3" s="1"/>
  <c r="S162" i="3" s="1"/>
  <c r="EO63" i="3"/>
  <c r="EP63" i="3" s="1"/>
  <c r="S163" i="3" s="1"/>
  <c r="EO64" i="3"/>
  <c r="EO65" i="3"/>
  <c r="EP65" i="3" s="1"/>
  <c r="S165" i="3" s="1"/>
  <c r="EO66" i="3"/>
  <c r="EP66" i="3" s="1"/>
  <c r="S166" i="3" s="1"/>
  <c r="EO67" i="3"/>
  <c r="EP67" i="3" s="1"/>
  <c r="S167" i="3" s="1"/>
  <c r="EO68" i="3"/>
  <c r="Q168" i="3" s="1"/>
  <c r="EO69" i="3"/>
  <c r="EP69" i="3" s="1"/>
  <c r="S169" i="3" s="1"/>
  <c r="EO70" i="3"/>
  <c r="Q170" i="3" s="1"/>
  <c r="EO71" i="3"/>
  <c r="EP71" i="3" s="1"/>
  <c r="S171" i="3" s="1"/>
  <c r="EO8" i="3"/>
  <c r="I165" i="3"/>
  <c r="K165" i="3"/>
  <c r="M165" i="3"/>
  <c r="O165" i="3"/>
  <c r="I149" i="3"/>
  <c r="K149" i="3"/>
  <c r="M149" i="3"/>
  <c r="O149" i="3"/>
  <c r="K169" i="3"/>
  <c r="M169" i="3"/>
  <c r="O169" i="3"/>
  <c r="I169" i="3"/>
  <c r="O2" i="8"/>
  <c r="O126" i="3"/>
  <c r="O127" i="3"/>
  <c r="O128" i="3"/>
  <c r="O129" i="3"/>
  <c r="M126" i="3"/>
  <c r="M127" i="3"/>
  <c r="M128" i="3"/>
  <c r="M129" i="3"/>
  <c r="I125" i="3"/>
  <c r="I126" i="3"/>
  <c r="I127" i="3"/>
  <c r="I128" i="3"/>
  <c r="I129" i="3"/>
  <c r="K126" i="3"/>
  <c r="K127" i="3"/>
  <c r="K128" i="3"/>
  <c r="K129" i="3"/>
  <c r="AN128" i="3" l="1"/>
  <c r="AP172" i="3"/>
  <c r="AP127" i="3"/>
  <c r="AN129" i="3"/>
  <c r="AM232" i="3" s="1"/>
  <c r="AN232" i="3" s="1"/>
  <c r="AP149" i="3"/>
  <c r="AP165" i="3"/>
  <c r="AP169" i="3"/>
  <c r="AP126" i="3"/>
  <c r="P298" i="3"/>
  <c r="Q298" i="3" s="1"/>
  <c r="AM231" i="3"/>
  <c r="AN231" i="3" s="1"/>
  <c r="M318" i="3"/>
  <c r="N318" i="3" s="1"/>
  <c r="C43" i="1" s="1"/>
  <c r="W135" i="3"/>
  <c r="W110" i="3"/>
  <c r="W118" i="3"/>
  <c r="N275" i="12"/>
  <c r="X202" i="12"/>
  <c r="HX101" i="3"/>
  <c r="GR101" i="3"/>
  <c r="Q108" i="3"/>
  <c r="EP8" i="3"/>
  <c r="S108" i="3" s="1"/>
  <c r="Q161" i="3"/>
  <c r="Q163" i="3"/>
  <c r="EP37" i="3"/>
  <c r="S137" i="3" s="1"/>
  <c r="EP30" i="3"/>
  <c r="S130" i="3" s="1"/>
  <c r="EP29" i="3"/>
  <c r="S129" i="3" s="1"/>
  <c r="AP129" i="3" s="1"/>
  <c r="Q136" i="3"/>
  <c r="Q144" i="3"/>
  <c r="Q152" i="3"/>
  <c r="EP68" i="3"/>
  <c r="S168" i="3" s="1"/>
  <c r="Q114" i="3"/>
  <c r="EP28" i="3"/>
  <c r="S128" i="3" s="1"/>
  <c r="AP128" i="3" s="1"/>
  <c r="Q120" i="3"/>
  <c r="EP60" i="3"/>
  <c r="S160" i="3" s="1"/>
  <c r="Q113" i="3"/>
  <c r="Q162" i="3"/>
  <c r="Q121" i="3"/>
  <c r="Q145" i="3"/>
  <c r="EP54" i="3"/>
  <c r="S154" i="3" s="1"/>
  <c r="Q122" i="3"/>
  <c r="Q153" i="3"/>
  <c r="Q169" i="3"/>
  <c r="AN169" i="3" s="1"/>
  <c r="EP38" i="3"/>
  <c r="S138" i="3" s="1"/>
  <c r="Q117" i="3"/>
  <c r="EP70" i="3"/>
  <c r="S170" i="3" s="1"/>
  <c r="EP46" i="3"/>
  <c r="S146" i="3" s="1"/>
  <c r="EP58" i="3"/>
  <c r="S158" i="3" s="1"/>
  <c r="Q150" i="3"/>
  <c r="Q118" i="3"/>
  <c r="Q133" i="3"/>
  <c r="Q125" i="3"/>
  <c r="Q166" i="3"/>
  <c r="Q126" i="3"/>
  <c r="AN126" i="3" s="1"/>
  <c r="Q142" i="3"/>
  <c r="Q159" i="3"/>
  <c r="Q151" i="3"/>
  <c r="Q141" i="3"/>
  <c r="Q167" i="3"/>
  <c r="Q111" i="3"/>
  <c r="Q119" i="3"/>
  <c r="Q127" i="3"/>
  <c r="AN127" i="3" s="1"/>
  <c r="Q135" i="3"/>
  <c r="Q143" i="3"/>
  <c r="EP41" i="3"/>
  <c r="S141" i="3" s="1"/>
  <c r="Q157" i="3"/>
  <c r="Q149" i="3"/>
  <c r="AN149" i="3" s="1"/>
  <c r="Q165" i="3"/>
  <c r="AN165" i="3" s="1"/>
  <c r="S109" i="3"/>
  <c r="Q112" i="3"/>
  <c r="Q164" i="3"/>
  <c r="Q148" i="3"/>
  <c r="Q140" i="3"/>
  <c r="Q147" i="3"/>
  <c r="Q139" i="3"/>
  <c r="Q131" i="3"/>
  <c r="Q115" i="3"/>
  <c r="Q155" i="3"/>
  <c r="S110" i="3"/>
  <c r="S134" i="3"/>
  <c r="Q123" i="3"/>
  <c r="Q134" i="3"/>
  <c r="Q124" i="3"/>
  <c r="Q109" i="3"/>
  <c r="Q110" i="3"/>
  <c r="O3" i="8"/>
  <c r="EP64" i="3"/>
  <c r="S164" i="3" s="1"/>
  <c r="EP24" i="3"/>
  <c r="S124" i="3" s="1"/>
  <c r="Q171" i="3"/>
  <c r="EP47" i="3"/>
  <c r="S147" i="3" s="1"/>
  <c r="EP39" i="3"/>
  <c r="S139" i="3" s="1"/>
  <c r="EP31" i="3"/>
  <c r="S131" i="3" s="1"/>
  <c r="EP23" i="3"/>
  <c r="S123" i="3" s="1"/>
  <c r="EP15" i="3"/>
  <c r="S115" i="3" s="1"/>
  <c r="EP40" i="3"/>
  <c r="S140" i="3" s="1"/>
  <c r="Q132" i="3"/>
  <c r="Q116" i="3"/>
  <c r="EP48" i="3"/>
  <c r="S148" i="3" s="1"/>
  <c r="Q156" i="3"/>
  <c r="DU9" i="3"/>
  <c r="DV9" i="3" s="1"/>
  <c r="DU10" i="3"/>
  <c r="DV10" i="3" s="1"/>
  <c r="DU11" i="3"/>
  <c r="DV11" i="3" s="1"/>
  <c r="DU12" i="3"/>
  <c r="DV12" i="3" s="1"/>
  <c r="DU13" i="3"/>
  <c r="DV13" i="3" s="1"/>
  <c r="DU14" i="3"/>
  <c r="DV14" i="3" s="1"/>
  <c r="DU15" i="3"/>
  <c r="DV15" i="3" s="1"/>
  <c r="DU16" i="3"/>
  <c r="DV16" i="3" s="1"/>
  <c r="DU17" i="3"/>
  <c r="DV17" i="3" s="1"/>
  <c r="DU18" i="3"/>
  <c r="DV18" i="3" s="1"/>
  <c r="DU19" i="3"/>
  <c r="DV19" i="3" s="1"/>
  <c r="DU20" i="3"/>
  <c r="DV20" i="3" s="1"/>
  <c r="DU21" i="3"/>
  <c r="DV21" i="3" s="1"/>
  <c r="DU22" i="3"/>
  <c r="DV22" i="3" s="1"/>
  <c r="DU23" i="3"/>
  <c r="DV23" i="3" s="1"/>
  <c r="DU24" i="3"/>
  <c r="DV24" i="3" s="1"/>
  <c r="DU25" i="3"/>
  <c r="DV25" i="3" s="1"/>
  <c r="DU30" i="3"/>
  <c r="DV30" i="3" s="1"/>
  <c r="DU31" i="3"/>
  <c r="DV31" i="3" s="1"/>
  <c r="DU32" i="3"/>
  <c r="DV32" i="3" s="1"/>
  <c r="DU33" i="3"/>
  <c r="DV33" i="3" s="1"/>
  <c r="DU34" i="3"/>
  <c r="DV34" i="3" s="1"/>
  <c r="DU35" i="3"/>
  <c r="DV35" i="3" s="1"/>
  <c r="DU36" i="3"/>
  <c r="DV36" i="3" s="1"/>
  <c r="DU37" i="3"/>
  <c r="DV37" i="3" s="1"/>
  <c r="DU38" i="3"/>
  <c r="DV38" i="3" s="1"/>
  <c r="DU39" i="3"/>
  <c r="DV39" i="3" s="1"/>
  <c r="DU40" i="3"/>
  <c r="DV40" i="3" s="1"/>
  <c r="DU41" i="3"/>
  <c r="DV41" i="3" s="1"/>
  <c r="DU42" i="3"/>
  <c r="DV42" i="3" s="1"/>
  <c r="DU43" i="3"/>
  <c r="DV43" i="3" s="1"/>
  <c r="DU44" i="3"/>
  <c r="DV44" i="3" s="1"/>
  <c r="DU45" i="3"/>
  <c r="DV45" i="3" s="1"/>
  <c r="DU46" i="3"/>
  <c r="DV46" i="3" s="1"/>
  <c r="DU47" i="3"/>
  <c r="DV47" i="3" s="1"/>
  <c r="DU48" i="3"/>
  <c r="DV48" i="3" s="1"/>
  <c r="DU50" i="3"/>
  <c r="DV50" i="3" s="1"/>
  <c r="DU51" i="3"/>
  <c r="DV51" i="3" s="1"/>
  <c r="DU52" i="3"/>
  <c r="DV52" i="3" s="1"/>
  <c r="DU53" i="3"/>
  <c r="DV53" i="3" s="1"/>
  <c r="DU54" i="3"/>
  <c r="DV54" i="3" s="1"/>
  <c r="DU55" i="3"/>
  <c r="DV55" i="3" s="1"/>
  <c r="DU56" i="3"/>
  <c r="DV56" i="3" s="1"/>
  <c r="DU57" i="3"/>
  <c r="DV57" i="3" s="1"/>
  <c r="DU58" i="3"/>
  <c r="DV58" i="3" s="1"/>
  <c r="DU59" i="3"/>
  <c r="DV59" i="3" s="1"/>
  <c r="DU60" i="3"/>
  <c r="DV60" i="3" s="1"/>
  <c r="DU61" i="3"/>
  <c r="DV61" i="3" s="1"/>
  <c r="DU62" i="3"/>
  <c r="DV62" i="3" s="1"/>
  <c r="DU63" i="3"/>
  <c r="DV63" i="3" s="1"/>
  <c r="DU64" i="3"/>
  <c r="DV64" i="3" s="1"/>
  <c r="DU66" i="3"/>
  <c r="DV66" i="3" s="1"/>
  <c r="DU67" i="3"/>
  <c r="DV67" i="3" s="1"/>
  <c r="DU68" i="3"/>
  <c r="DV68" i="3" s="1"/>
  <c r="DU70" i="3"/>
  <c r="DV70" i="3" s="1"/>
  <c r="DU71" i="3"/>
  <c r="DV71" i="3" s="1"/>
  <c r="DU8" i="3"/>
  <c r="DV8" i="3" s="1"/>
  <c r="CJ25" i="3"/>
  <c r="BQ25" i="3"/>
  <c r="BE25" i="3"/>
  <c r="AQ25" i="3"/>
  <c r="Z25" i="3"/>
  <c r="N25" i="3"/>
  <c r="BP33" i="3"/>
  <c r="DA9" i="3"/>
  <c r="DB9" i="3" s="1"/>
  <c r="DA10" i="3"/>
  <c r="DB10" i="3" s="1"/>
  <c r="DA11" i="3"/>
  <c r="DB11" i="3" s="1"/>
  <c r="DA12" i="3"/>
  <c r="DB12" i="3" s="1"/>
  <c r="DA13" i="3"/>
  <c r="DB13" i="3" s="1"/>
  <c r="DA14" i="3"/>
  <c r="DB14" i="3" s="1"/>
  <c r="DA15" i="3"/>
  <c r="DB15" i="3" s="1"/>
  <c r="DA16" i="3"/>
  <c r="DB16" i="3" s="1"/>
  <c r="DA17" i="3"/>
  <c r="DB17" i="3" s="1"/>
  <c r="DA18" i="3"/>
  <c r="DB18" i="3" s="1"/>
  <c r="DA19" i="3"/>
  <c r="DB19" i="3" s="1"/>
  <c r="DA20" i="3"/>
  <c r="DB20" i="3" s="1"/>
  <c r="DA21" i="3"/>
  <c r="DB21" i="3" s="1"/>
  <c r="DA22" i="3"/>
  <c r="DB22" i="3" s="1"/>
  <c r="DA23" i="3"/>
  <c r="DB23" i="3" s="1"/>
  <c r="DA24" i="3"/>
  <c r="DB24" i="3" s="1"/>
  <c r="DA25" i="3"/>
  <c r="DA30" i="3"/>
  <c r="DB30" i="3" s="1"/>
  <c r="DA31" i="3"/>
  <c r="DB31" i="3" s="1"/>
  <c r="DA32" i="3"/>
  <c r="DB32" i="3" s="1"/>
  <c r="DA33" i="3"/>
  <c r="DB33" i="3" s="1"/>
  <c r="DA34" i="3"/>
  <c r="DB34" i="3" s="1"/>
  <c r="DA35" i="3"/>
  <c r="DB35" i="3" s="1"/>
  <c r="DA36" i="3"/>
  <c r="DB36" i="3" s="1"/>
  <c r="DA37" i="3"/>
  <c r="DB37" i="3" s="1"/>
  <c r="DA38" i="3"/>
  <c r="DB38" i="3" s="1"/>
  <c r="DA39" i="3"/>
  <c r="DB39" i="3" s="1"/>
  <c r="DA40" i="3"/>
  <c r="DB40" i="3" s="1"/>
  <c r="DA41" i="3"/>
  <c r="DB41" i="3" s="1"/>
  <c r="DA42" i="3"/>
  <c r="DB42" i="3" s="1"/>
  <c r="DA43" i="3"/>
  <c r="DB43" i="3" s="1"/>
  <c r="DA44" i="3"/>
  <c r="DB44" i="3" s="1"/>
  <c r="DA45" i="3"/>
  <c r="DB45" i="3" s="1"/>
  <c r="DA46" i="3"/>
  <c r="DB46" i="3" s="1"/>
  <c r="DA47" i="3"/>
  <c r="DB47" i="3" s="1"/>
  <c r="DA48" i="3"/>
  <c r="DB48" i="3" s="1"/>
  <c r="DA50" i="3"/>
  <c r="DB50" i="3" s="1"/>
  <c r="DA51" i="3"/>
  <c r="DB51" i="3" s="1"/>
  <c r="DA52" i="3"/>
  <c r="DB52" i="3" s="1"/>
  <c r="DA53" i="3"/>
  <c r="DB53" i="3" s="1"/>
  <c r="DA54" i="3"/>
  <c r="DB54" i="3" s="1"/>
  <c r="DA55" i="3"/>
  <c r="DB55" i="3" s="1"/>
  <c r="DA56" i="3"/>
  <c r="DB56" i="3" s="1"/>
  <c r="DA57" i="3"/>
  <c r="DB57" i="3" s="1"/>
  <c r="DA58" i="3"/>
  <c r="DB58" i="3" s="1"/>
  <c r="DA59" i="3"/>
  <c r="DB59" i="3" s="1"/>
  <c r="DA60" i="3"/>
  <c r="DB60" i="3" s="1"/>
  <c r="DA61" i="3"/>
  <c r="DB61" i="3" s="1"/>
  <c r="DA62" i="3"/>
  <c r="DB62" i="3" s="1"/>
  <c r="DA63" i="3"/>
  <c r="DB63" i="3" s="1"/>
  <c r="DA64" i="3"/>
  <c r="DB64" i="3" s="1"/>
  <c r="DA66" i="3"/>
  <c r="DB66" i="3" s="1"/>
  <c r="DA67" i="3"/>
  <c r="DB67" i="3" s="1"/>
  <c r="DA68" i="3"/>
  <c r="DB68" i="3" s="1"/>
  <c r="DA70" i="3"/>
  <c r="DB70" i="3" s="1"/>
  <c r="DA71" i="3"/>
  <c r="DB71" i="3" s="1"/>
  <c r="DA8" i="3"/>
  <c r="DB8" i="3" s="1"/>
  <c r="CI9" i="3"/>
  <c r="CJ9" i="3" s="1"/>
  <c r="CI10" i="3"/>
  <c r="CJ10" i="3" s="1"/>
  <c r="CI11" i="3"/>
  <c r="CJ11" i="3" s="1"/>
  <c r="CI12" i="3"/>
  <c r="CJ12" i="3" s="1"/>
  <c r="CI13" i="3"/>
  <c r="CJ13" i="3" s="1"/>
  <c r="CI14" i="3"/>
  <c r="CJ14" i="3" s="1"/>
  <c r="CI15" i="3"/>
  <c r="CJ15" i="3" s="1"/>
  <c r="CI16" i="3"/>
  <c r="CJ16" i="3" s="1"/>
  <c r="CI17" i="3"/>
  <c r="CJ17" i="3" s="1"/>
  <c r="CI18" i="3"/>
  <c r="CJ18" i="3" s="1"/>
  <c r="CI19" i="3"/>
  <c r="CJ19" i="3" s="1"/>
  <c r="CI20" i="3"/>
  <c r="CJ20" i="3" s="1"/>
  <c r="CI21" i="3"/>
  <c r="CJ21" i="3" s="1"/>
  <c r="CI22" i="3"/>
  <c r="CJ22" i="3" s="1"/>
  <c r="CI23" i="3"/>
  <c r="CJ23" i="3" s="1"/>
  <c r="CI24" i="3"/>
  <c r="CJ24" i="3" s="1"/>
  <c r="CI30" i="3"/>
  <c r="CJ30" i="3" s="1"/>
  <c r="CI31" i="3"/>
  <c r="CJ31" i="3" s="1"/>
  <c r="CI32" i="3"/>
  <c r="CJ32" i="3" s="1"/>
  <c r="CI33" i="3"/>
  <c r="CJ33" i="3" s="1"/>
  <c r="CI34" i="3"/>
  <c r="CJ34" i="3" s="1"/>
  <c r="CI35" i="3"/>
  <c r="CJ35" i="3" s="1"/>
  <c r="CI36" i="3"/>
  <c r="CJ36" i="3" s="1"/>
  <c r="CI37" i="3"/>
  <c r="CJ37" i="3" s="1"/>
  <c r="CI38" i="3"/>
  <c r="CJ38" i="3" s="1"/>
  <c r="CI39" i="3"/>
  <c r="CJ39" i="3" s="1"/>
  <c r="CI40" i="3"/>
  <c r="CJ40" i="3" s="1"/>
  <c r="CI41" i="3"/>
  <c r="CJ41" i="3" s="1"/>
  <c r="CI42" i="3"/>
  <c r="CJ42" i="3" s="1"/>
  <c r="CI43" i="3"/>
  <c r="CJ43" i="3" s="1"/>
  <c r="CI44" i="3"/>
  <c r="CJ44" i="3" s="1"/>
  <c r="CI45" i="3"/>
  <c r="CJ45" i="3" s="1"/>
  <c r="CI46" i="3"/>
  <c r="CJ46" i="3" s="1"/>
  <c r="CI47" i="3"/>
  <c r="CJ47" i="3" s="1"/>
  <c r="CI48" i="3"/>
  <c r="CJ48" i="3" s="1"/>
  <c r="CI50" i="3"/>
  <c r="CJ50" i="3" s="1"/>
  <c r="CI51" i="3"/>
  <c r="CJ51" i="3" s="1"/>
  <c r="CI52" i="3"/>
  <c r="CJ52" i="3" s="1"/>
  <c r="CI53" i="3"/>
  <c r="CJ53" i="3" s="1"/>
  <c r="CI54" i="3"/>
  <c r="CJ54" i="3" s="1"/>
  <c r="CI55" i="3"/>
  <c r="CJ55" i="3" s="1"/>
  <c r="CI56" i="3"/>
  <c r="CJ56" i="3" s="1"/>
  <c r="CI57" i="3"/>
  <c r="CJ57" i="3" s="1"/>
  <c r="CI58" i="3"/>
  <c r="CJ58" i="3" s="1"/>
  <c r="CI59" i="3"/>
  <c r="CJ59" i="3" s="1"/>
  <c r="CI60" i="3"/>
  <c r="CJ60" i="3" s="1"/>
  <c r="CI61" i="3"/>
  <c r="CI62" i="3"/>
  <c r="CJ62" i="3" s="1"/>
  <c r="CI63" i="3"/>
  <c r="CJ63" i="3" s="1"/>
  <c r="CI64" i="3"/>
  <c r="CJ64" i="3" s="1"/>
  <c r="CI66" i="3"/>
  <c r="CJ66" i="3" s="1"/>
  <c r="CI67" i="3"/>
  <c r="CJ67" i="3" s="1"/>
  <c r="CI68" i="3"/>
  <c r="CJ68" i="3" s="1"/>
  <c r="CI70" i="3"/>
  <c r="CJ70" i="3" s="1"/>
  <c r="CI71" i="3"/>
  <c r="CJ71" i="3" s="1"/>
  <c r="CI8" i="3"/>
  <c r="CJ8" i="3" s="1"/>
  <c r="BP9" i="3"/>
  <c r="BP10" i="3"/>
  <c r="BP11" i="3"/>
  <c r="BP12" i="3"/>
  <c r="BP13" i="3"/>
  <c r="BP14" i="3"/>
  <c r="BP15" i="3"/>
  <c r="BP16" i="3"/>
  <c r="BP17" i="3"/>
  <c r="BP18" i="3"/>
  <c r="BP19" i="3"/>
  <c r="BP20" i="3"/>
  <c r="BP21" i="3"/>
  <c r="BP22" i="3"/>
  <c r="BP23" i="3"/>
  <c r="BP24" i="3"/>
  <c r="BP30" i="3"/>
  <c r="BP31" i="3"/>
  <c r="BP32" i="3"/>
  <c r="BP34" i="3"/>
  <c r="BP35" i="3"/>
  <c r="BP36" i="3"/>
  <c r="BP37" i="3"/>
  <c r="BP38" i="3"/>
  <c r="BP39" i="3"/>
  <c r="BP40" i="3"/>
  <c r="BP41" i="3"/>
  <c r="BP42" i="3"/>
  <c r="BP43" i="3"/>
  <c r="BP44" i="3"/>
  <c r="BP45" i="3"/>
  <c r="BP46" i="3"/>
  <c r="BP47" i="3"/>
  <c r="BP48" i="3"/>
  <c r="BP50" i="3"/>
  <c r="BP51" i="3"/>
  <c r="BP52" i="3"/>
  <c r="BP53" i="3"/>
  <c r="BP54" i="3"/>
  <c r="BP55" i="3"/>
  <c r="BP56" i="3"/>
  <c r="BP57" i="3"/>
  <c r="BP58" i="3"/>
  <c r="BP59" i="3"/>
  <c r="BP60" i="3"/>
  <c r="BP61" i="3"/>
  <c r="BP62" i="3"/>
  <c r="BP63" i="3"/>
  <c r="BP64" i="3"/>
  <c r="BP66" i="3"/>
  <c r="BP67" i="3"/>
  <c r="BP68" i="3"/>
  <c r="BP70" i="3"/>
  <c r="BP71" i="3"/>
  <c r="BP8" i="3"/>
  <c r="BD9" i="3"/>
  <c r="BE9" i="3" s="1"/>
  <c r="BD10" i="3"/>
  <c r="BE10" i="3" s="1"/>
  <c r="BD11" i="3"/>
  <c r="BE11" i="3" s="1"/>
  <c r="BD12" i="3"/>
  <c r="BE12" i="3" s="1"/>
  <c r="BD13" i="3"/>
  <c r="BE13" i="3" s="1"/>
  <c r="BD14" i="3"/>
  <c r="BE14" i="3" s="1"/>
  <c r="BD15" i="3"/>
  <c r="BE15" i="3" s="1"/>
  <c r="BD16" i="3"/>
  <c r="BE16" i="3" s="1"/>
  <c r="BD17" i="3"/>
  <c r="BE17" i="3" s="1"/>
  <c r="BD18" i="3"/>
  <c r="BE18" i="3" s="1"/>
  <c r="BD19" i="3"/>
  <c r="BE19" i="3" s="1"/>
  <c r="BD20" i="3"/>
  <c r="BE20" i="3" s="1"/>
  <c r="BD21" i="3"/>
  <c r="BE21" i="3" s="1"/>
  <c r="BD22" i="3"/>
  <c r="BE22" i="3" s="1"/>
  <c r="BD23" i="3"/>
  <c r="BE23" i="3" s="1"/>
  <c r="BD24" i="3"/>
  <c r="BE24" i="3" s="1"/>
  <c r="BD30" i="3"/>
  <c r="BE30" i="3" s="1"/>
  <c r="BD31" i="3"/>
  <c r="BE31" i="3" s="1"/>
  <c r="BD32" i="3"/>
  <c r="BE32" i="3" s="1"/>
  <c r="BD33" i="3"/>
  <c r="BE33" i="3" s="1"/>
  <c r="BD34" i="3"/>
  <c r="BE34" i="3" s="1"/>
  <c r="BD35" i="3"/>
  <c r="BE35" i="3" s="1"/>
  <c r="BD36" i="3"/>
  <c r="BE36" i="3" s="1"/>
  <c r="BD37" i="3"/>
  <c r="BE37" i="3" s="1"/>
  <c r="BD38" i="3"/>
  <c r="BE38" i="3" s="1"/>
  <c r="BD39" i="3"/>
  <c r="BE39" i="3" s="1"/>
  <c r="BD40" i="3"/>
  <c r="BE40" i="3" s="1"/>
  <c r="BD41" i="3"/>
  <c r="BE41" i="3" s="1"/>
  <c r="BD42" i="3"/>
  <c r="BE42" i="3" s="1"/>
  <c r="BD43" i="3"/>
  <c r="BE43" i="3" s="1"/>
  <c r="BD44" i="3"/>
  <c r="BE44" i="3" s="1"/>
  <c r="BD45" i="3"/>
  <c r="BE45" i="3" s="1"/>
  <c r="BD46" i="3"/>
  <c r="BE46" i="3" s="1"/>
  <c r="BD47" i="3"/>
  <c r="BE47" i="3" s="1"/>
  <c r="BD48" i="3"/>
  <c r="BE48" i="3" s="1"/>
  <c r="BD50" i="3"/>
  <c r="BE50" i="3" s="1"/>
  <c r="BD51" i="3"/>
  <c r="BE51" i="3" s="1"/>
  <c r="BD52" i="3"/>
  <c r="BE52" i="3" s="1"/>
  <c r="BD53" i="3"/>
  <c r="BE53" i="3" s="1"/>
  <c r="BD54" i="3"/>
  <c r="BE54" i="3" s="1"/>
  <c r="BD55" i="3"/>
  <c r="BE55" i="3" s="1"/>
  <c r="BD56" i="3"/>
  <c r="BE56" i="3" s="1"/>
  <c r="BD57" i="3"/>
  <c r="BE57" i="3" s="1"/>
  <c r="BD58" i="3"/>
  <c r="BE58" i="3" s="1"/>
  <c r="BD59" i="3"/>
  <c r="BE59" i="3" s="1"/>
  <c r="BD60" i="3"/>
  <c r="BE60" i="3" s="1"/>
  <c r="BD61" i="3"/>
  <c r="BE61" i="3" s="1"/>
  <c r="BD62" i="3"/>
  <c r="BE62" i="3" s="1"/>
  <c r="BD63" i="3"/>
  <c r="BE63" i="3" s="1"/>
  <c r="BD64" i="3"/>
  <c r="BE64" i="3" s="1"/>
  <c r="BD66" i="3"/>
  <c r="BE66" i="3" s="1"/>
  <c r="BD67" i="3"/>
  <c r="BE67" i="3" s="1"/>
  <c r="BD68" i="3"/>
  <c r="BE68" i="3" s="1"/>
  <c r="BD70" i="3"/>
  <c r="BE70" i="3" s="1"/>
  <c r="BD71" i="3"/>
  <c r="BE71" i="3" s="1"/>
  <c r="BD8" i="3"/>
  <c r="BE8" i="3" s="1"/>
  <c r="AP9" i="3"/>
  <c r="AQ9" i="3" s="1"/>
  <c r="AP10" i="3"/>
  <c r="AQ10" i="3" s="1"/>
  <c r="AP11" i="3"/>
  <c r="AQ11" i="3" s="1"/>
  <c r="AP12" i="3"/>
  <c r="AQ12" i="3" s="1"/>
  <c r="AP13" i="3"/>
  <c r="AQ13" i="3" s="1"/>
  <c r="AP14" i="3"/>
  <c r="AQ14" i="3" s="1"/>
  <c r="AP15" i="3"/>
  <c r="AQ15" i="3" s="1"/>
  <c r="AP16" i="3"/>
  <c r="AQ16" i="3" s="1"/>
  <c r="AP17" i="3"/>
  <c r="AQ17" i="3" s="1"/>
  <c r="AP18" i="3"/>
  <c r="AQ18" i="3" s="1"/>
  <c r="AP19" i="3"/>
  <c r="AQ19" i="3" s="1"/>
  <c r="AP20" i="3"/>
  <c r="AQ20" i="3" s="1"/>
  <c r="AP21" i="3"/>
  <c r="AQ21" i="3" s="1"/>
  <c r="AP22" i="3"/>
  <c r="AQ22" i="3" s="1"/>
  <c r="AP23" i="3"/>
  <c r="AQ23" i="3" s="1"/>
  <c r="AP24" i="3"/>
  <c r="AQ24" i="3" s="1"/>
  <c r="AP30" i="3"/>
  <c r="AQ30" i="3" s="1"/>
  <c r="AP31" i="3"/>
  <c r="AQ31" i="3" s="1"/>
  <c r="AP32" i="3"/>
  <c r="AQ32" i="3" s="1"/>
  <c r="AP33" i="3"/>
  <c r="AQ33" i="3" s="1"/>
  <c r="AP34" i="3"/>
  <c r="AQ34" i="3" s="1"/>
  <c r="AP35" i="3"/>
  <c r="AQ35" i="3" s="1"/>
  <c r="AP36" i="3"/>
  <c r="AQ36" i="3" s="1"/>
  <c r="AP37" i="3"/>
  <c r="AQ37" i="3" s="1"/>
  <c r="AP38" i="3"/>
  <c r="AQ38" i="3" s="1"/>
  <c r="AP39" i="3"/>
  <c r="AQ39" i="3" s="1"/>
  <c r="AP40" i="3"/>
  <c r="AQ40" i="3" s="1"/>
  <c r="AP41" i="3"/>
  <c r="AQ41" i="3" s="1"/>
  <c r="AP42" i="3"/>
  <c r="AQ42" i="3" s="1"/>
  <c r="AP43" i="3"/>
  <c r="AQ43" i="3" s="1"/>
  <c r="AP44" i="3"/>
  <c r="AQ44" i="3" s="1"/>
  <c r="AP45" i="3"/>
  <c r="AQ45" i="3" s="1"/>
  <c r="AP46" i="3"/>
  <c r="AQ46" i="3" s="1"/>
  <c r="AP47" i="3"/>
  <c r="AQ47" i="3" s="1"/>
  <c r="AP48" i="3"/>
  <c r="AQ48" i="3" s="1"/>
  <c r="AP50" i="3"/>
  <c r="AQ50" i="3" s="1"/>
  <c r="AP51" i="3"/>
  <c r="AQ51" i="3" s="1"/>
  <c r="AP52" i="3"/>
  <c r="AQ52" i="3" s="1"/>
  <c r="AP53" i="3"/>
  <c r="AQ53" i="3" s="1"/>
  <c r="AP54" i="3"/>
  <c r="AQ54" i="3" s="1"/>
  <c r="AP55" i="3"/>
  <c r="AQ55" i="3" s="1"/>
  <c r="AP56" i="3"/>
  <c r="AQ56" i="3" s="1"/>
  <c r="AP57" i="3"/>
  <c r="AQ57" i="3" s="1"/>
  <c r="AP58" i="3"/>
  <c r="AQ58" i="3" s="1"/>
  <c r="AP59" i="3"/>
  <c r="AQ59" i="3" s="1"/>
  <c r="AP60" i="3"/>
  <c r="AQ60" i="3" s="1"/>
  <c r="AP61" i="3"/>
  <c r="AQ61" i="3" s="1"/>
  <c r="AP62" i="3"/>
  <c r="AQ62" i="3" s="1"/>
  <c r="AP63" i="3"/>
  <c r="AQ63" i="3" s="1"/>
  <c r="AP64" i="3"/>
  <c r="AQ64" i="3" s="1"/>
  <c r="AP66" i="3"/>
  <c r="AQ66" i="3" s="1"/>
  <c r="AP67" i="3"/>
  <c r="AQ67" i="3" s="1"/>
  <c r="AP68" i="3"/>
  <c r="AQ68" i="3" s="1"/>
  <c r="AP70" i="3"/>
  <c r="AQ70" i="3" s="1"/>
  <c r="AP71" i="3"/>
  <c r="AQ71" i="3" s="1"/>
  <c r="AP8" i="3"/>
  <c r="AQ8" i="3" s="1"/>
  <c r="Y9" i="3"/>
  <c r="Z9" i="3" s="1"/>
  <c r="Y10" i="3"/>
  <c r="Z10" i="3" s="1"/>
  <c r="Y11" i="3"/>
  <c r="Z11" i="3" s="1"/>
  <c r="Y12" i="3"/>
  <c r="Z12" i="3" s="1"/>
  <c r="Y13" i="3"/>
  <c r="Z13" i="3" s="1"/>
  <c r="Y14" i="3"/>
  <c r="Z14" i="3" s="1"/>
  <c r="Y15" i="3"/>
  <c r="Z15" i="3" s="1"/>
  <c r="Y16" i="3"/>
  <c r="Z16" i="3" s="1"/>
  <c r="Y17" i="3"/>
  <c r="Z17" i="3" s="1"/>
  <c r="Y18" i="3"/>
  <c r="Z18" i="3" s="1"/>
  <c r="Y19" i="3"/>
  <c r="Z19" i="3" s="1"/>
  <c r="Y20" i="3"/>
  <c r="Z20" i="3" s="1"/>
  <c r="Y21" i="3"/>
  <c r="Z21" i="3" s="1"/>
  <c r="Y22" i="3"/>
  <c r="Z22" i="3" s="1"/>
  <c r="Y23" i="3"/>
  <c r="Z23" i="3" s="1"/>
  <c r="Y24" i="3"/>
  <c r="Z24" i="3" s="1"/>
  <c r="Y30" i="3"/>
  <c r="Z30" i="3" s="1"/>
  <c r="Y31" i="3"/>
  <c r="Z31" i="3" s="1"/>
  <c r="Y32" i="3"/>
  <c r="Z32" i="3" s="1"/>
  <c r="Y33" i="3"/>
  <c r="Z33" i="3" s="1"/>
  <c r="Y34" i="3"/>
  <c r="Z34" i="3" s="1"/>
  <c r="Y35" i="3"/>
  <c r="Z35" i="3" s="1"/>
  <c r="Y36" i="3"/>
  <c r="Z36" i="3" s="1"/>
  <c r="Y37" i="3"/>
  <c r="Z37" i="3" s="1"/>
  <c r="Y38" i="3"/>
  <c r="Z38" i="3" s="1"/>
  <c r="Y39" i="3"/>
  <c r="Z39" i="3" s="1"/>
  <c r="Y40" i="3"/>
  <c r="Z40" i="3" s="1"/>
  <c r="Y41" i="3"/>
  <c r="Z41" i="3" s="1"/>
  <c r="Y42" i="3"/>
  <c r="Z42" i="3" s="1"/>
  <c r="Y43" i="3"/>
  <c r="Z43" i="3" s="1"/>
  <c r="Y44" i="3"/>
  <c r="Z44" i="3" s="1"/>
  <c r="Y45" i="3"/>
  <c r="Z45" i="3" s="1"/>
  <c r="Y46" i="3"/>
  <c r="Z46" i="3" s="1"/>
  <c r="Y47" i="3"/>
  <c r="Z47" i="3" s="1"/>
  <c r="Y48" i="3"/>
  <c r="Z48" i="3" s="1"/>
  <c r="Y50" i="3"/>
  <c r="Z50" i="3" s="1"/>
  <c r="Y51" i="3"/>
  <c r="Z51" i="3" s="1"/>
  <c r="Y52" i="3"/>
  <c r="Z52" i="3" s="1"/>
  <c r="Y53" i="3"/>
  <c r="Z53" i="3" s="1"/>
  <c r="Y54" i="3"/>
  <c r="Z54" i="3" s="1"/>
  <c r="Y55" i="3"/>
  <c r="Z55" i="3" s="1"/>
  <c r="Y56" i="3"/>
  <c r="Z56" i="3" s="1"/>
  <c r="Y57" i="3"/>
  <c r="Z57" i="3" s="1"/>
  <c r="Y58" i="3"/>
  <c r="Z58" i="3" s="1"/>
  <c r="Y59" i="3"/>
  <c r="Z59" i="3" s="1"/>
  <c r="Y60" i="3"/>
  <c r="Z60" i="3" s="1"/>
  <c r="Y61" i="3"/>
  <c r="Z61" i="3" s="1"/>
  <c r="Y62" i="3"/>
  <c r="Z62" i="3" s="1"/>
  <c r="Y63" i="3"/>
  <c r="Z63" i="3" s="1"/>
  <c r="Y64" i="3"/>
  <c r="Z64" i="3" s="1"/>
  <c r="Y66" i="3"/>
  <c r="Z66" i="3" s="1"/>
  <c r="Y67" i="3"/>
  <c r="Z67" i="3" s="1"/>
  <c r="Y68" i="3"/>
  <c r="Z68" i="3" s="1"/>
  <c r="Y70" i="3"/>
  <c r="Z70" i="3" s="1"/>
  <c r="Y71" i="3"/>
  <c r="Z71" i="3" s="1"/>
  <c r="Y8" i="3"/>
  <c r="Z8" i="3" s="1"/>
  <c r="M9" i="3"/>
  <c r="M10" i="3"/>
  <c r="M11" i="3"/>
  <c r="M12" i="3"/>
  <c r="M13" i="3"/>
  <c r="M14" i="3"/>
  <c r="M15" i="3"/>
  <c r="I115" i="3" s="1"/>
  <c r="M16" i="3"/>
  <c r="M17" i="3"/>
  <c r="M18" i="3"/>
  <c r="M19" i="3"/>
  <c r="M20" i="3"/>
  <c r="M21" i="3"/>
  <c r="M22" i="3"/>
  <c r="I122" i="3" s="1"/>
  <c r="M23" i="3"/>
  <c r="M24" i="3"/>
  <c r="I124" i="3" s="1"/>
  <c r="M30" i="3"/>
  <c r="M31" i="3"/>
  <c r="M32" i="3"/>
  <c r="I132" i="3" s="1"/>
  <c r="M33" i="3"/>
  <c r="M34" i="3"/>
  <c r="I134" i="3" s="1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50" i="3"/>
  <c r="M51" i="3"/>
  <c r="I151" i="3" s="1"/>
  <c r="M52" i="3"/>
  <c r="I152" i="3" s="1"/>
  <c r="M53" i="3"/>
  <c r="M54" i="3"/>
  <c r="M55" i="3"/>
  <c r="M56" i="3"/>
  <c r="M57" i="3"/>
  <c r="M58" i="3"/>
  <c r="M59" i="3"/>
  <c r="M60" i="3"/>
  <c r="I160" i="3" s="1"/>
  <c r="M61" i="3"/>
  <c r="M62" i="3"/>
  <c r="M63" i="3"/>
  <c r="M64" i="3"/>
  <c r="M66" i="3"/>
  <c r="M67" i="3"/>
  <c r="M68" i="3"/>
  <c r="M70" i="3"/>
  <c r="M71" i="3"/>
  <c r="M8" i="3"/>
  <c r="N8" i="3" s="1"/>
  <c r="K108" i="3" s="1"/>
  <c r="AO232" i="3" l="1"/>
  <c r="AO231" i="3"/>
  <c r="I170" i="3"/>
  <c r="I142" i="3"/>
  <c r="I135" i="3"/>
  <c r="U201" i="3"/>
  <c r="I140" i="3"/>
  <c r="R298" i="3"/>
  <c r="O318" i="3"/>
  <c r="I123" i="3"/>
  <c r="I159" i="3"/>
  <c r="I116" i="3"/>
  <c r="I143" i="3"/>
  <c r="C86" i="1"/>
  <c r="AB285" i="3"/>
  <c r="AC285" i="3" s="1"/>
  <c r="AB269" i="3"/>
  <c r="AC269" i="3" s="1"/>
  <c r="AM229" i="3"/>
  <c r="AN229" i="3" s="1"/>
  <c r="AB289" i="3"/>
  <c r="AC289" i="3" s="1"/>
  <c r="AM230" i="3"/>
  <c r="AN230" i="3" s="1"/>
  <c r="I114" i="3"/>
  <c r="I168" i="3"/>
  <c r="FU101" i="3"/>
  <c r="S112" i="3"/>
  <c r="Q201" i="3" s="1"/>
  <c r="M132" i="3"/>
  <c r="AN132" i="3" s="1"/>
  <c r="M162" i="3"/>
  <c r="M154" i="3"/>
  <c r="M145" i="3"/>
  <c r="M137" i="3"/>
  <c r="M123" i="3"/>
  <c r="M115" i="3"/>
  <c r="AN115" i="3" s="1"/>
  <c r="M119" i="3"/>
  <c r="M131" i="3"/>
  <c r="M118" i="3"/>
  <c r="M110" i="3"/>
  <c r="N41" i="3"/>
  <c r="K141" i="3" s="1"/>
  <c r="I141" i="3"/>
  <c r="BQ58" i="3"/>
  <c r="O158" i="3" s="1"/>
  <c r="M158" i="3"/>
  <c r="BQ11" i="3"/>
  <c r="O111" i="3" s="1"/>
  <c r="M111" i="3"/>
  <c r="N21" i="3"/>
  <c r="K121" i="3" s="1"/>
  <c r="I121" i="3"/>
  <c r="N13" i="3"/>
  <c r="K113" i="3" s="1"/>
  <c r="I113" i="3"/>
  <c r="BQ68" i="3"/>
  <c r="O168" i="3" s="1"/>
  <c r="M168" i="3"/>
  <c r="BQ59" i="3"/>
  <c r="O159" i="3" s="1"/>
  <c r="M159" i="3"/>
  <c r="BQ51" i="3"/>
  <c r="O151" i="3" s="1"/>
  <c r="M151" i="3"/>
  <c r="AN151" i="3" s="1"/>
  <c r="BQ42" i="3"/>
  <c r="O142" i="3" s="1"/>
  <c r="M142" i="3"/>
  <c r="BQ34" i="3"/>
  <c r="O134" i="3" s="1"/>
  <c r="M134" i="3"/>
  <c r="BQ20" i="3"/>
  <c r="O120" i="3" s="1"/>
  <c r="M120" i="3"/>
  <c r="BQ12" i="3"/>
  <c r="O112" i="3" s="1"/>
  <c r="M112" i="3"/>
  <c r="C49" i="1"/>
  <c r="N20" i="3"/>
  <c r="K120" i="3" s="1"/>
  <c r="I120" i="3"/>
  <c r="N67" i="3"/>
  <c r="K167" i="3" s="1"/>
  <c r="I167" i="3"/>
  <c r="BQ50" i="3"/>
  <c r="O150" i="3" s="1"/>
  <c r="M150" i="3"/>
  <c r="M166" i="3"/>
  <c r="N64" i="3"/>
  <c r="K164" i="3" s="1"/>
  <c r="I164" i="3"/>
  <c r="N56" i="3"/>
  <c r="K156" i="3" s="1"/>
  <c r="I156" i="3"/>
  <c r="N47" i="3"/>
  <c r="K147" i="3" s="1"/>
  <c r="AP147" i="3" s="1"/>
  <c r="I147" i="3"/>
  <c r="N39" i="3"/>
  <c r="K139" i="3" s="1"/>
  <c r="I139" i="3"/>
  <c r="N31" i="3"/>
  <c r="K131" i="3" s="1"/>
  <c r="I131" i="3"/>
  <c r="N18" i="3"/>
  <c r="K118" i="3" s="1"/>
  <c r="I118" i="3"/>
  <c r="N10" i="3"/>
  <c r="K110" i="3" s="1"/>
  <c r="I110" i="3"/>
  <c r="BQ64" i="3"/>
  <c r="O164" i="3" s="1"/>
  <c r="M164" i="3"/>
  <c r="M156" i="3"/>
  <c r="BQ47" i="3"/>
  <c r="O147" i="3" s="1"/>
  <c r="M147" i="3"/>
  <c r="BQ39" i="3"/>
  <c r="O139" i="3" s="1"/>
  <c r="M139" i="3"/>
  <c r="M130" i="3"/>
  <c r="BQ17" i="3"/>
  <c r="O117" i="3" s="1"/>
  <c r="M117" i="3"/>
  <c r="BQ9" i="3"/>
  <c r="O109" i="3" s="1"/>
  <c r="M109" i="3"/>
  <c r="N33" i="3"/>
  <c r="K133" i="3" s="1"/>
  <c r="I133" i="3"/>
  <c r="BQ41" i="3"/>
  <c r="O141" i="3" s="1"/>
  <c r="M141" i="3"/>
  <c r="N66" i="3"/>
  <c r="K166" i="3" s="1"/>
  <c r="I166" i="3"/>
  <c r="AN166" i="3" s="1"/>
  <c r="N48" i="3"/>
  <c r="K148" i="3" s="1"/>
  <c r="I148" i="3"/>
  <c r="BQ57" i="3"/>
  <c r="O157" i="3" s="1"/>
  <c r="M157" i="3"/>
  <c r="N63" i="3"/>
  <c r="K163" i="3" s="1"/>
  <c r="I163" i="3"/>
  <c r="N55" i="3"/>
  <c r="K155" i="3" s="1"/>
  <c r="I155" i="3"/>
  <c r="N46" i="3"/>
  <c r="K146" i="3" s="1"/>
  <c r="I146" i="3"/>
  <c r="N38" i="3"/>
  <c r="K138" i="3" s="1"/>
  <c r="I138" i="3"/>
  <c r="N30" i="3"/>
  <c r="K130" i="3" s="1"/>
  <c r="I130" i="3"/>
  <c r="AN130" i="3" s="1"/>
  <c r="N17" i="3"/>
  <c r="K117" i="3" s="1"/>
  <c r="AP117" i="3" s="1"/>
  <c r="I117" i="3"/>
  <c r="AN117" i="3" s="1"/>
  <c r="N9" i="3"/>
  <c r="K109" i="3" s="1"/>
  <c r="AP109" i="3" s="1"/>
  <c r="I109" i="3"/>
  <c r="M163" i="3"/>
  <c r="M155" i="3"/>
  <c r="M146" i="3"/>
  <c r="M138" i="3"/>
  <c r="BQ24" i="3"/>
  <c r="O124" i="3" s="1"/>
  <c r="M124" i="3"/>
  <c r="AN124" i="3" s="1"/>
  <c r="BQ16" i="3"/>
  <c r="O116" i="3" s="1"/>
  <c r="M116" i="3"/>
  <c r="DB25" i="3"/>
  <c r="O125" i="3" s="1"/>
  <c r="M125" i="3"/>
  <c r="AN125" i="3" s="1"/>
  <c r="M148" i="3"/>
  <c r="N45" i="3"/>
  <c r="K145" i="3" s="1"/>
  <c r="I145" i="3"/>
  <c r="N58" i="3"/>
  <c r="K158" i="3" s="1"/>
  <c r="AP158" i="3" s="1"/>
  <c r="I158" i="3"/>
  <c r="N12" i="3"/>
  <c r="K112" i="3" s="1"/>
  <c r="I112" i="3"/>
  <c r="BQ67" i="3"/>
  <c r="O167" i="3" s="1"/>
  <c r="M167" i="3"/>
  <c r="N57" i="3"/>
  <c r="K157" i="3" s="1"/>
  <c r="I157" i="3"/>
  <c r="N19" i="3"/>
  <c r="K119" i="3" s="1"/>
  <c r="I119" i="3"/>
  <c r="AN119" i="3" s="1"/>
  <c r="N11" i="3"/>
  <c r="K111" i="3" s="1"/>
  <c r="I111" i="3"/>
  <c r="M140" i="3"/>
  <c r="N54" i="3"/>
  <c r="K154" i="3" s="1"/>
  <c r="I154" i="3"/>
  <c r="N71" i="3"/>
  <c r="K171" i="3" s="1"/>
  <c r="I171" i="3"/>
  <c r="AN171" i="3" s="1"/>
  <c r="N61" i="3"/>
  <c r="K161" i="3" s="1"/>
  <c r="I161" i="3"/>
  <c r="N53" i="3"/>
  <c r="K153" i="3" s="1"/>
  <c r="I153" i="3"/>
  <c r="N44" i="3"/>
  <c r="K144" i="3" s="1"/>
  <c r="I144" i="3"/>
  <c r="N36" i="3"/>
  <c r="K136" i="3" s="1"/>
  <c r="I136" i="3"/>
  <c r="AN136" i="3" s="1"/>
  <c r="BQ71" i="3"/>
  <c r="O171" i="3" s="1"/>
  <c r="M171" i="3"/>
  <c r="BQ61" i="3"/>
  <c r="M161" i="3"/>
  <c r="BQ53" i="3"/>
  <c r="O153" i="3" s="1"/>
  <c r="M153" i="3"/>
  <c r="BQ44" i="3"/>
  <c r="O144" i="3" s="1"/>
  <c r="M144" i="3"/>
  <c r="BQ36" i="3"/>
  <c r="O136" i="3" s="1"/>
  <c r="M136" i="3"/>
  <c r="BQ22" i="3"/>
  <c r="O122" i="3" s="1"/>
  <c r="M122" i="3"/>
  <c r="AN122" i="3" s="1"/>
  <c r="BQ14" i="3"/>
  <c r="O114" i="3" s="1"/>
  <c r="M114" i="3"/>
  <c r="BQ33" i="3"/>
  <c r="O133" i="3" s="1"/>
  <c r="M133" i="3"/>
  <c r="N50" i="3"/>
  <c r="K150" i="3" s="1"/>
  <c r="I150" i="3"/>
  <c r="N62" i="3"/>
  <c r="K162" i="3" s="1"/>
  <c r="I162" i="3"/>
  <c r="N37" i="3"/>
  <c r="K137" i="3" s="1"/>
  <c r="I137" i="3"/>
  <c r="AN137" i="3" s="1"/>
  <c r="BQ70" i="3"/>
  <c r="O170" i="3" s="1"/>
  <c r="M170" i="3"/>
  <c r="BQ60" i="3"/>
  <c r="O160" i="3" s="1"/>
  <c r="M160" i="3"/>
  <c r="AN160" i="3" s="1"/>
  <c r="BQ52" i="3"/>
  <c r="O152" i="3" s="1"/>
  <c r="M152" i="3"/>
  <c r="AN152" i="3" s="1"/>
  <c r="BQ43" i="3"/>
  <c r="O143" i="3" s="1"/>
  <c r="M143" i="3"/>
  <c r="BQ35" i="3"/>
  <c r="O135" i="3" s="1"/>
  <c r="M135" i="3"/>
  <c r="BQ21" i="3"/>
  <c r="O121" i="3" s="1"/>
  <c r="M121" i="3"/>
  <c r="BQ13" i="3"/>
  <c r="O113" i="3" s="1"/>
  <c r="M113" i="3"/>
  <c r="K125" i="3"/>
  <c r="AP125" i="3" s="1"/>
  <c r="C47" i="1"/>
  <c r="M108" i="3"/>
  <c r="EP101" i="3"/>
  <c r="DV101" i="3"/>
  <c r="BQ19" i="3"/>
  <c r="O119" i="3" s="1"/>
  <c r="BQ56" i="3"/>
  <c r="O156" i="3" s="1"/>
  <c r="BQ31" i="3"/>
  <c r="O131" i="3" s="1"/>
  <c r="Z101" i="3"/>
  <c r="BE101" i="3"/>
  <c r="AQ101" i="3"/>
  <c r="N43" i="3"/>
  <c r="K143" i="3" s="1"/>
  <c r="AP143" i="3" s="1"/>
  <c r="BQ63" i="3"/>
  <c r="O163" i="3" s="1"/>
  <c r="BQ55" i="3"/>
  <c r="O155" i="3" s="1"/>
  <c r="BQ46" i="3"/>
  <c r="O146" i="3" s="1"/>
  <c r="BQ38" i="3"/>
  <c r="O138" i="3" s="1"/>
  <c r="BQ30" i="3"/>
  <c r="O130" i="3" s="1"/>
  <c r="BQ18" i="3"/>
  <c r="O118" i="3" s="1"/>
  <c r="BQ10" i="3"/>
  <c r="O110" i="3" s="1"/>
  <c r="BQ8" i="3"/>
  <c r="O108" i="3" s="1"/>
  <c r="AP108" i="3" s="1"/>
  <c r="BQ62" i="3"/>
  <c r="O162" i="3" s="1"/>
  <c r="BQ54" i="3"/>
  <c r="O154" i="3" s="1"/>
  <c r="BQ45" i="3"/>
  <c r="O145" i="3" s="1"/>
  <c r="BQ37" i="3"/>
  <c r="O137" i="3" s="1"/>
  <c r="BQ23" i="3"/>
  <c r="O123" i="3" s="1"/>
  <c r="BQ15" i="3"/>
  <c r="O115" i="3" s="1"/>
  <c r="CJ61" i="3"/>
  <c r="CJ101" i="3" s="1"/>
  <c r="BQ66" i="3"/>
  <c r="O166" i="3" s="1"/>
  <c r="BQ48" i="3"/>
  <c r="O148" i="3" s="1"/>
  <c r="BQ40" i="3"/>
  <c r="O140" i="3" s="1"/>
  <c r="BQ32" i="3"/>
  <c r="O132" i="3" s="1"/>
  <c r="N40" i="3"/>
  <c r="K140" i="3" s="1"/>
  <c r="N70" i="3"/>
  <c r="K170" i="3" s="1"/>
  <c r="N35" i="3"/>
  <c r="K135" i="3" s="1"/>
  <c r="N32" i="3"/>
  <c r="K132" i="3" s="1"/>
  <c r="AP132" i="3" s="1"/>
  <c r="N60" i="3"/>
  <c r="K160" i="3" s="1"/>
  <c r="AP160" i="3" s="1"/>
  <c r="N23" i="3"/>
  <c r="K123" i="3" s="1"/>
  <c r="AP123" i="3" s="1"/>
  <c r="N52" i="3"/>
  <c r="K152" i="3" s="1"/>
  <c r="AP152" i="3" s="1"/>
  <c r="N24" i="3"/>
  <c r="K124" i="3" s="1"/>
  <c r="N16" i="3"/>
  <c r="K116" i="3" s="1"/>
  <c r="AP116" i="3" s="1"/>
  <c r="N15" i="3"/>
  <c r="K115" i="3" s="1"/>
  <c r="N14" i="3"/>
  <c r="K114" i="3" s="1"/>
  <c r="N68" i="3"/>
  <c r="K168" i="3" s="1"/>
  <c r="AP168" i="3" s="1"/>
  <c r="N59" i="3"/>
  <c r="K159" i="3" s="1"/>
  <c r="AP159" i="3" s="1"/>
  <c r="N51" i="3"/>
  <c r="K151" i="3" s="1"/>
  <c r="N42" i="3"/>
  <c r="K142" i="3" s="1"/>
  <c r="N34" i="3"/>
  <c r="K134" i="3" s="1"/>
  <c r="AP134" i="3" s="1"/>
  <c r="N22" i="3"/>
  <c r="K122" i="3" s="1"/>
  <c r="AP122" i="3" s="1"/>
  <c r="I108" i="3"/>
  <c r="AN156" i="3" l="1"/>
  <c r="AB276" i="3" s="1"/>
  <c r="AC276" i="3" s="1"/>
  <c r="AP142" i="3"/>
  <c r="AP114" i="3"/>
  <c r="AP136" i="3"/>
  <c r="AP171" i="3"/>
  <c r="AN145" i="3"/>
  <c r="AB265" i="3" s="1"/>
  <c r="AC265" i="3" s="1"/>
  <c r="AP111" i="3"/>
  <c r="AP150" i="3"/>
  <c r="AP151" i="3"/>
  <c r="AP124" i="3"/>
  <c r="AP119" i="3"/>
  <c r="AN139" i="3"/>
  <c r="AB259" i="3" s="1"/>
  <c r="AC259" i="3" s="1"/>
  <c r="AN121" i="3"/>
  <c r="AM225" i="3" s="1"/>
  <c r="AN225" i="3" s="1"/>
  <c r="AN162" i="3"/>
  <c r="AN153" i="3"/>
  <c r="AN138" i="3"/>
  <c r="M244" i="3" s="1"/>
  <c r="N244" i="3" s="1"/>
  <c r="AN118" i="3"/>
  <c r="AM222" i="3" s="1"/>
  <c r="AN222" i="3" s="1"/>
  <c r="AP135" i="3"/>
  <c r="AP153" i="3"/>
  <c r="AN111" i="3"/>
  <c r="AM215" i="3" s="1"/>
  <c r="AN215" i="3" s="1"/>
  <c r="AN120" i="3"/>
  <c r="AN108" i="3"/>
  <c r="AM212" i="3" s="1"/>
  <c r="AN212" i="3" s="1"/>
  <c r="AP170" i="3"/>
  <c r="AN150" i="3"/>
  <c r="AP112" i="3"/>
  <c r="AN131" i="3"/>
  <c r="M239" i="3" s="1"/>
  <c r="AN155" i="3"/>
  <c r="AP162" i="3"/>
  <c r="AN157" i="3"/>
  <c r="AB277" i="3" s="1"/>
  <c r="AC277" i="3" s="1"/>
  <c r="AN112" i="3"/>
  <c r="AM216" i="3" s="1"/>
  <c r="AN216" i="3" s="1"/>
  <c r="AP138" i="3"/>
  <c r="AP155" i="3"/>
  <c r="AP166" i="3"/>
  <c r="AP133" i="3"/>
  <c r="AP118" i="3"/>
  <c r="AP139" i="3"/>
  <c r="AP156" i="3"/>
  <c r="AP121" i="3"/>
  <c r="AN168" i="3"/>
  <c r="AN143" i="3"/>
  <c r="AB263" i="3" s="1"/>
  <c r="AC263" i="3" s="1"/>
  <c r="AN133" i="3"/>
  <c r="M241" i="3" s="1"/>
  <c r="N241" i="3" s="1"/>
  <c r="AP167" i="3"/>
  <c r="AN170" i="3"/>
  <c r="AP115" i="3"/>
  <c r="AN144" i="3"/>
  <c r="AN161" i="3"/>
  <c r="AB281" i="3" s="1"/>
  <c r="AC281" i="3" s="1"/>
  <c r="AN154" i="3"/>
  <c r="AP157" i="3"/>
  <c r="AP145" i="3"/>
  <c r="AN109" i="3"/>
  <c r="AM213" i="3" s="1"/>
  <c r="AN146" i="3"/>
  <c r="AB266" i="3" s="1"/>
  <c r="AC266" i="3" s="1"/>
  <c r="AN163" i="3"/>
  <c r="AB283" i="3" s="1"/>
  <c r="AC283" i="3" s="1"/>
  <c r="AN148" i="3"/>
  <c r="AN110" i="3"/>
  <c r="AM214" i="3" s="1"/>
  <c r="AN214" i="3" s="1"/>
  <c r="AN147" i="3"/>
  <c r="AN164" i="3"/>
  <c r="AB284" i="3" s="1"/>
  <c r="AC284" i="3" s="1"/>
  <c r="AP120" i="3"/>
  <c r="AN113" i="3"/>
  <c r="AM217" i="3" s="1"/>
  <c r="AN217" i="3" s="1"/>
  <c r="AN141" i="3"/>
  <c r="AN114" i="3"/>
  <c r="AM218" i="3" s="1"/>
  <c r="AN218" i="3" s="1"/>
  <c r="AN116" i="3"/>
  <c r="AM220" i="3" s="1"/>
  <c r="AN220" i="3" s="1"/>
  <c r="AN159" i="3"/>
  <c r="AB279" i="3" s="1"/>
  <c r="AC279" i="3" s="1"/>
  <c r="AN135" i="3"/>
  <c r="M242" i="3" s="1"/>
  <c r="N242" i="3" s="1"/>
  <c r="AN140" i="3"/>
  <c r="AB260" i="3" s="1"/>
  <c r="AC260" i="3" s="1"/>
  <c r="AP140" i="3"/>
  <c r="AP137" i="3"/>
  <c r="AP144" i="3"/>
  <c r="AP154" i="3"/>
  <c r="AN158" i="3"/>
  <c r="AP130" i="3"/>
  <c r="AP146" i="3"/>
  <c r="AP163" i="3"/>
  <c r="AP148" i="3"/>
  <c r="AP110" i="3"/>
  <c r="AP131" i="3"/>
  <c r="AP164" i="3"/>
  <c r="AN167" i="3"/>
  <c r="AP113" i="3"/>
  <c r="AP141" i="3"/>
  <c r="AN123" i="3"/>
  <c r="AM227" i="3" s="1"/>
  <c r="AN227" i="3" s="1"/>
  <c r="AN142" i="3"/>
  <c r="AN134" i="3"/>
  <c r="P251" i="3" s="1"/>
  <c r="Q251" i="3" s="1"/>
  <c r="AO230" i="3"/>
  <c r="AE289" i="3"/>
  <c r="AO229" i="3"/>
  <c r="AE269" i="3"/>
  <c r="AE285" i="3"/>
  <c r="AM223" i="3"/>
  <c r="AN223" i="3" s="1"/>
  <c r="O319" i="3"/>
  <c r="AB278" i="3"/>
  <c r="AC278" i="3" s="1"/>
  <c r="AM221" i="3"/>
  <c r="AN221" i="3" s="1"/>
  <c r="AB270" i="3"/>
  <c r="AC270" i="3" s="1"/>
  <c r="M243" i="3"/>
  <c r="N243" i="3" s="1"/>
  <c r="AB274" i="3"/>
  <c r="AC274" i="3" s="1"/>
  <c r="AB282" i="3"/>
  <c r="AC282" i="3" s="1"/>
  <c r="AB273" i="3"/>
  <c r="AC273" i="3" s="1"/>
  <c r="AM224" i="3"/>
  <c r="AN224" i="3" s="1"/>
  <c r="AB288" i="3"/>
  <c r="AC288" i="3" s="1"/>
  <c r="AB261" i="3"/>
  <c r="AC261" i="3" s="1"/>
  <c r="AB287" i="3"/>
  <c r="AC287" i="3" s="1"/>
  <c r="AB268" i="3"/>
  <c r="AC268" i="3" s="1"/>
  <c r="P252" i="3"/>
  <c r="P297" i="3"/>
  <c r="AB275" i="3"/>
  <c r="AC275" i="3" s="1"/>
  <c r="C33" i="1"/>
  <c r="C13" i="1"/>
  <c r="C29" i="1"/>
  <c r="I201" i="3"/>
  <c r="AB286" i="3"/>
  <c r="AC286" i="3" s="1"/>
  <c r="C46" i="1"/>
  <c r="C48" i="1"/>
  <c r="AM219" i="3"/>
  <c r="AN219" i="3" s="1"/>
  <c r="AM233" i="3"/>
  <c r="AN233" i="3" s="1"/>
  <c r="AM226" i="3"/>
  <c r="AN226" i="3" s="1"/>
  <c r="M240" i="3"/>
  <c r="N240" i="3" s="1"/>
  <c r="AB290" i="3"/>
  <c r="AC290" i="3" s="1"/>
  <c r="DB101" i="3"/>
  <c r="AM228" i="3"/>
  <c r="AN228" i="3" s="1"/>
  <c r="O161" i="3"/>
  <c r="AP161" i="3" s="1"/>
  <c r="AB272" i="3"/>
  <c r="AC272" i="3" s="1"/>
  <c r="AB271" i="3"/>
  <c r="AC271" i="3" s="1"/>
  <c r="AB280" i="3"/>
  <c r="AC280" i="3" s="1"/>
  <c r="AB262" i="3"/>
  <c r="AC262" i="3" s="1"/>
  <c r="N101" i="3"/>
  <c r="BQ101" i="3"/>
  <c r="AN201" i="3" l="1"/>
  <c r="AE290" i="3"/>
  <c r="AE287" i="3"/>
  <c r="AO221" i="3"/>
  <c r="AE280" i="3"/>
  <c r="AO226" i="3"/>
  <c r="AE266" i="3"/>
  <c r="AE261" i="3"/>
  <c r="AO222" i="3"/>
  <c r="AE275" i="3"/>
  <c r="AE273" i="3"/>
  <c r="AE271" i="3"/>
  <c r="AO233" i="3"/>
  <c r="AE284" i="3"/>
  <c r="AE282" i="3"/>
  <c r="AE274" i="3"/>
  <c r="AE272" i="3"/>
  <c r="AE283" i="3"/>
  <c r="AO215" i="3"/>
  <c r="AE286" i="3"/>
  <c r="AE260" i="3"/>
  <c r="AE268" i="3"/>
  <c r="AO223" i="3"/>
  <c r="AO219" i="3"/>
  <c r="AE279" i="3"/>
  <c r="AO220" i="3"/>
  <c r="AE263" i="3"/>
  <c r="AE276" i="3"/>
  <c r="AO228" i="3"/>
  <c r="AO225" i="3"/>
  <c r="AO218" i="3"/>
  <c r="AE288" i="3"/>
  <c r="AO216" i="3"/>
  <c r="AE265" i="3"/>
  <c r="AO227" i="3"/>
  <c r="AE262" i="3"/>
  <c r="AE259" i="3"/>
  <c r="AO217" i="3"/>
  <c r="AO224" i="3"/>
  <c r="AE277" i="3"/>
  <c r="AE281" i="3"/>
  <c r="AE270" i="3"/>
  <c r="AE278" i="3"/>
  <c r="AO212" i="3"/>
  <c r="AO214" i="3"/>
  <c r="O242" i="3"/>
  <c r="O244" i="3"/>
  <c r="O241" i="3"/>
  <c r="O240" i="3"/>
  <c r="Q311" i="3"/>
  <c r="O243" i="3"/>
  <c r="Q313" i="3"/>
  <c r="AB267" i="3"/>
  <c r="AC267" i="3" s="1"/>
  <c r="Q300" i="3"/>
  <c r="AN213" i="3"/>
  <c r="M201" i="3"/>
  <c r="C78" i="1"/>
  <c r="Q297" i="3"/>
  <c r="C72" i="1"/>
  <c r="C16" i="1"/>
  <c r="C14" i="1"/>
  <c r="C63" i="1"/>
  <c r="C71" i="1"/>
  <c r="C56" i="1"/>
  <c r="C37" i="1"/>
  <c r="C61" i="1"/>
  <c r="C27" i="1"/>
  <c r="C9" i="1"/>
  <c r="C54" i="1"/>
  <c r="C30" i="1"/>
  <c r="C5" i="1"/>
  <c r="C42" i="1"/>
  <c r="C18" i="1"/>
  <c r="C53" i="1"/>
  <c r="C65" i="1"/>
  <c r="C45" i="1"/>
  <c r="C28" i="1"/>
  <c r="C57" i="1"/>
  <c r="C36" i="1"/>
  <c r="C34" i="1"/>
  <c r="C51" i="1"/>
  <c r="C11" i="1"/>
  <c r="C88" i="1"/>
  <c r="C10" i="1"/>
  <c r="C52" i="1"/>
  <c r="C50" i="1"/>
  <c r="C35" i="1"/>
  <c r="C17" i="1"/>
  <c r="C79" i="1"/>
  <c r="C58" i="1"/>
  <c r="C31" i="1"/>
  <c r="C59" i="1"/>
  <c r="C74" i="1"/>
  <c r="C19" i="1"/>
  <c r="C70" i="1"/>
  <c r="C55" i="1"/>
  <c r="C64" i="1"/>
  <c r="C15" i="1"/>
  <c r="C62" i="1"/>
  <c r="C21" i="1"/>
  <c r="C44" i="1"/>
  <c r="C23" i="1"/>
  <c r="AB264" i="3"/>
  <c r="AC264" i="3" s="1"/>
  <c r="Q252" i="3"/>
  <c r="N239" i="3"/>
  <c r="AE264" i="3" l="1"/>
  <c r="AE267" i="3"/>
  <c r="AO213" i="3"/>
  <c r="R297" i="3"/>
  <c r="R311" i="3"/>
  <c r="R313" i="3"/>
  <c r="R300" i="3"/>
  <c r="C12" i="1"/>
  <c r="R252" i="3"/>
  <c r="O239" i="3"/>
  <c r="C67" i="1"/>
  <c r="Q312" i="3"/>
  <c r="C41" i="1"/>
  <c r="C66" i="1"/>
  <c r="C24" i="1"/>
  <c r="C22" i="1"/>
  <c r="C76" i="1"/>
  <c r="R251" i="3"/>
  <c r="C38" i="1"/>
  <c r="C75" i="1"/>
  <c r="C82" i="1"/>
  <c r="C60" i="1"/>
  <c r="C80" i="1"/>
  <c r="C77" i="1"/>
  <c r="C81" i="1"/>
  <c r="AM235" i="3" l="1"/>
  <c r="R312" i="3"/>
  <c r="AE293" i="3"/>
  <c r="R253" i="3"/>
  <c r="O245" i="3"/>
  <c r="R314" i="3" l="1"/>
  <c r="HM101" i="3"/>
  <c r="AE115" i="18" l="1"/>
  <c r="AE116" i="18"/>
  <c r="AE112" i="18"/>
  <c r="AE113" i="18"/>
  <c r="AB112" i="18" l="1"/>
  <c r="Y112" i="18" s="1"/>
  <c r="AB113" i="18"/>
  <c r="Y113" i="18" s="1"/>
  <c r="AM113" i="18" s="1"/>
  <c r="AB115" i="18"/>
  <c r="AB116" i="18"/>
  <c r="Y116" i="18" s="1"/>
  <c r="AM116" i="18" l="1"/>
  <c r="AM112" i="18"/>
  <c r="AN112" i="18" s="1"/>
  <c r="Y115" i="18"/>
  <c r="AM115" i="18" s="1"/>
  <c r="AN113" i="18"/>
  <c r="AN116" i="18" l="1"/>
  <c r="AM122" i="18"/>
  <c r="T219" i="18" s="1"/>
  <c r="AN115" i="18"/>
  <c r="AE75" i="18"/>
  <c r="AN122" i="18" l="1"/>
  <c r="U219" i="18" s="1"/>
  <c r="AM216" i="18" s="1"/>
  <c r="AB75" i="18"/>
  <c r="Y75" i="18" s="1"/>
  <c r="AM75" i="18" l="1"/>
  <c r="AM105" i="18" s="1"/>
  <c r="T218" i="18" s="1"/>
  <c r="AO122" i="18"/>
  <c r="V219" i="18" s="1"/>
  <c r="AN75" i="18" l="1"/>
  <c r="AN105" i="18" s="1"/>
  <c r="U218" i="18" s="1"/>
  <c r="AL216" i="18" s="1"/>
  <c r="AE34" i="18"/>
  <c r="AB34" i="18" s="1"/>
  <c r="AE42" i="18"/>
  <c r="AE59" i="18"/>
  <c r="AE35" i="18"/>
  <c r="AE48" i="18"/>
  <c r="AE56" i="18"/>
  <c r="AE36" i="18"/>
  <c r="AB36" i="18" s="1"/>
  <c r="AE37" i="18"/>
  <c r="AE44" i="18"/>
  <c r="AE55" i="18"/>
  <c r="AE67" i="18"/>
  <c r="AE68" i="18"/>
  <c r="AE40" i="18"/>
  <c r="AE66" i="18"/>
  <c r="AE52" i="18"/>
  <c r="AB52" i="18" s="1"/>
  <c r="Y52" i="18" s="1"/>
  <c r="AB59" i="18"/>
  <c r="AE38" i="18"/>
  <c r="AB56" i="18"/>
  <c r="AB42" i="18"/>
  <c r="AB44" i="18" l="1"/>
  <c r="Y44" i="18" s="1"/>
  <c r="AM44" i="18"/>
  <c r="AN44" i="18" s="1"/>
  <c r="AO105" i="18"/>
  <c r="V218" i="18" s="1"/>
  <c r="AB38" i="18"/>
  <c r="Y38" i="18" s="1"/>
  <c r="Y34" i="18"/>
  <c r="AM34" i="18" s="1"/>
  <c r="AN34" i="18" s="1"/>
  <c r="AB68" i="18"/>
  <c r="Y68" i="18" s="1"/>
  <c r="Y36" i="18"/>
  <c r="AM36" i="18" s="1"/>
  <c r="AN36" i="18" s="1"/>
  <c r="AM52" i="18"/>
  <c r="AN52" i="18" s="1"/>
  <c r="AB67" i="18"/>
  <c r="Y67" i="18" s="1"/>
  <c r="AB48" i="18"/>
  <c r="Y48" i="18" s="1"/>
  <c r="AM48" i="18" s="1"/>
  <c r="AN48" i="18" s="1"/>
  <c r="AB35" i="18"/>
  <c r="Y35" i="18" s="1"/>
  <c r="Y56" i="18"/>
  <c r="AM56" i="18" s="1"/>
  <c r="AN56" i="18" s="1"/>
  <c r="Y42" i="18"/>
  <c r="AM42" i="18" s="1"/>
  <c r="AN42" i="18" s="1"/>
  <c r="AB55" i="18"/>
  <c r="Y55" i="18" s="1"/>
  <c r="AB66" i="18"/>
  <c r="Y66" i="18" s="1"/>
  <c r="AB37" i="18"/>
  <c r="Y37" i="18" s="1"/>
  <c r="AB40" i="18"/>
  <c r="Y40" i="18" s="1"/>
  <c r="Y59" i="18"/>
  <c r="AM59" i="18" l="1"/>
  <c r="AN59" i="18" s="1"/>
  <c r="AM38" i="18"/>
  <c r="AN38" i="18" s="1"/>
  <c r="AM68" i="18"/>
  <c r="AN68" i="18" s="1"/>
  <c r="AM67" i="18"/>
  <c r="AN67" i="18" s="1"/>
  <c r="AM35" i="18"/>
  <c r="AN35" i="18" s="1"/>
  <c r="AM55" i="18"/>
  <c r="AN55" i="18" s="1"/>
  <c r="AM40" i="18"/>
  <c r="AM66" i="18"/>
  <c r="AN66" i="18" s="1"/>
  <c r="AM37" i="18"/>
  <c r="AN37" i="18" s="1"/>
  <c r="AN40" i="18" l="1"/>
  <c r="AN71" i="18" s="1"/>
  <c r="U217" i="18" s="1"/>
  <c r="AM71" i="18"/>
  <c r="T217" i="18" s="1"/>
  <c r="AE4" i="18"/>
  <c r="AO71" i="18" l="1"/>
  <c r="V217" i="18" s="1"/>
  <c r="AK216" i="18"/>
  <c r="AB4" i="18"/>
  <c r="Y4" i="18" s="1"/>
  <c r="AM4" i="18" l="1"/>
  <c r="AN4" i="18" s="1"/>
  <c r="AE5" i="18"/>
  <c r="AE25" i="18"/>
  <c r="AE24" i="18"/>
  <c r="AE22" i="18"/>
  <c r="AE16" i="18"/>
  <c r="AB16" i="18" s="1"/>
  <c r="AE15" i="18"/>
  <c r="AB15" i="18" s="1"/>
  <c r="AE27" i="18"/>
  <c r="AE23" i="18"/>
  <c r="AE6" i="18"/>
  <c r="AE7" i="18"/>
  <c r="AE12" i="18"/>
  <c r="AB12" i="18" s="1"/>
  <c r="AE26" i="18"/>
  <c r="AE8" i="18"/>
  <c r="AB11" i="18"/>
  <c r="Y11" i="18" s="1"/>
  <c r="AM11" i="18" s="1"/>
  <c r="AN11" i="18" s="1"/>
  <c r="AB13" i="18"/>
  <c r="Y13" i="18" s="1"/>
  <c r="AM13" i="18" s="1"/>
  <c r="AN13" i="18" s="1"/>
  <c r="AB24" i="18" l="1"/>
  <c r="Y24" i="18" s="1"/>
  <c r="AB27" i="18"/>
  <c r="Y27" i="18" s="1"/>
  <c r="AB5" i="18"/>
  <c r="Y5" i="18" s="1"/>
  <c r="AM5" i="18" s="1"/>
  <c r="AN5" i="18" s="1"/>
  <c r="AB26" i="18"/>
  <c r="Y26" i="18" s="1"/>
  <c r="AM26" i="18" s="1"/>
  <c r="AN26" i="18" s="1"/>
  <c r="AB6" i="18"/>
  <c r="Y6" i="18" s="1"/>
  <c r="AM6" i="18" s="1"/>
  <c r="AB8" i="18"/>
  <c r="Y8" i="18" s="1"/>
  <c r="AM8" i="18" s="1"/>
  <c r="AN8" i="18" s="1"/>
  <c r="Y15" i="18"/>
  <c r="AM15" i="18" s="1"/>
  <c r="AN15" i="18" s="1"/>
  <c r="Y12" i="18"/>
  <c r="AM12" i="18" s="1"/>
  <c r="AN12" i="18" s="1"/>
  <c r="AB25" i="18"/>
  <c r="Y25" i="18" s="1"/>
  <c r="AB23" i="18"/>
  <c r="Y16" i="18"/>
  <c r="AM16" i="18" s="1"/>
  <c r="AN16" i="18" s="1"/>
  <c r="Y9" i="18"/>
  <c r="AM9" i="18" s="1"/>
  <c r="AN9" i="18" s="1"/>
  <c r="AB22" i="18"/>
  <c r="Y22" i="18" s="1"/>
  <c r="AB7" i="18"/>
  <c r="Y7" i="18" s="1"/>
  <c r="AM24" i="18" l="1"/>
  <c r="AN24" i="18" s="1"/>
  <c r="AN6" i="18"/>
  <c r="AM27" i="18"/>
  <c r="AN27" i="18" s="1"/>
  <c r="AM25" i="18"/>
  <c r="AN25" i="18" s="1"/>
  <c r="AM7" i="18"/>
  <c r="AN7" i="18" s="1"/>
  <c r="AM22" i="18"/>
  <c r="AN22" i="18" s="1"/>
  <c r="Y23" i="18"/>
  <c r="AM23" i="18" s="1"/>
  <c r="AN23" i="18" s="1"/>
  <c r="AM29" i="18" l="1"/>
  <c r="T216" i="18" s="1"/>
  <c r="T222" i="18" s="1"/>
  <c r="AN29" i="18"/>
  <c r="U216" i="18" s="1"/>
  <c r="U222" i="18" l="1"/>
  <c r="AO29" i="18"/>
  <c r="V216" i="18" s="1"/>
  <c r="V222" i="18" l="1"/>
  <c r="AI216" i="18"/>
  <c r="AJ216" i="18"/>
  <c r="AN202" i="3"/>
</calcChain>
</file>

<file path=xl/sharedStrings.xml><?xml version="1.0" encoding="utf-8"?>
<sst xmlns="http://schemas.openxmlformats.org/spreadsheetml/2006/main" count="4255" uniqueCount="833">
  <si>
    <t>LISTA DE PRECIOS PROCURA INVERSIONES, C.A.</t>
  </si>
  <si>
    <t>CANTIDAD</t>
  </si>
  <si>
    <t>DESCRIPCION</t>
  </si>
  <si>
    <t>PVP</t>
  </si>
  <si>
    <t>CEMENTO PLASTICO GLN BITUPLAST</t>
  </si>
  <si>
    <t>CEMENTO PLASTICO 4 GLN BITUPLAST</t>
  </si>
  <si>
    <t>ASFALTO PLASTICO GLN BITUPLAST</t>
  </si>
  <si>
    <t>ASFALTO PLASTICO 4 GLN BITUPLAST</t>
  </si>
  <si>
    <t>PRIMER GLN BITUPLAST</t>
  </si>
  <si>
    <t>PRIMER 4 GLN BITUPLAST</t>
  </si>
  <si>
    <t>PINT ALUMINIZADA GLN BITUPLAST</t>
  </si>
  <si>
    <t>PINT ALUMINIZADA 4 GLN BITUPLAST</t>
  </si>
  <si>
    <t>MANTO 2,7 MM</t>
  </si>
  <si>
    <t>MANTO 3,2 MM (R-34)</t>
  </si>
  <si>
    <t>TANQUE CILIND 500 LT</t>
  </si>
  <si>
    <t>TANQUE CILIND 560 LT</t>
  </si>
  <si>
    <t>TANQUE CILIND 1000 LT</t>
  </si>
  <si>
    <t>TANQUE T/VASO 1100 LT</t>
  </si>
  <si>
    <t>TANQUE T/VASO 2200 LT</t>
  </si>
  <si>
    <t>TANQUE TINACO 2000 LT</t>
  </si>
  <si>
    <t>MAPEI UNO GARRAFA 0,8 KG</t>
  </si>
  <si>
    <t>MAPEI UNO GARRAFA 2 KG</t>
  </si>
  <si>
    <t>MAPELATEX  CO GARRAFA 0,8 KG</t>
  </si>
  <si>
    <t>MAPELATEX PVA GARRAFA 0,25 KG</t>
  </si>
  <si>
    <t>MAPELATEX PVA GARRAFA 1 KG</t>
  </si>
  <si>
    <t>MAPEPLAST WP20 GARRAFA 4,5 KG</t>
  </si>
  <si>
    <t>MAPEBAND EASY H130 ROLLO 10M</t>
  </si>
  <si>
    <t>AQUAFLEX TECHO MAXI 5GL BLANCO</t>
  </si>
  <si>
    <t>AQUAFLEX TECHO MAXI GL BLANCO</t>
  </si>
  <si>
    <t>AQUAFLEX TECHO MAXI 5GL GRIS</t>
  </si>
  <si>
    <t>AQUAFLEX TECHO MAXI 5GL ROJO</t>
  </si>
  <si>
    <t>AQUAFLEX TECHO MAXI GL ROJO</t>
  </si>
  <si>
    <t>MAPEFLEX MS CRYSTAL CART 300ML TRANSP</t>
  </si>
  <si>
    <t>MAPEFLEX MS 45 CART 300ML BLANCO</t>
  </si>
  <si>
    <t>MAPEFLEX MS 45 CART 300ML GRIS</t>
  </si>
  <si>
    <t>MAPEFLEX AC4 CART 300ML BLANCO</t>
  </si>
  <si>
    <t>MAPESIL U TRANSP CART 280ML</t>
  </si>
  <si>
    <t>ULTRABOND SUPER GRIP CART 310ML</t>
  </si>
  <si>
    <t>MAPEUR UNIV FOAM LATA 500ML</t>
  </si>
  <si>
    <t>MAPEUR UNIV FOAM LATA 750ML</t>
  </si>
  <si>
    <t>ADESILEX PG1 COMP A+B TARRO 2KG</t>
  </si>
  <si>
    <t>KERACOLOR FF 100 BLANCO BOLSA 2KG</t>
  </si>
  <si>
    <t>KERACOLOR FF 113 GRIS CEMENTO BOLSA 2KG</t>
  </si>
  <si>
    <t>KERACOLOR FF 142 MARRON BOLSA 2KG</t>
  </si>
  <si>
    <t>KERACOLOR FF 166 FANGO BOLSA 2KG</t>
  </si>
  <si>
    <t>KERACOLOR FF 112 GRIS MEDIO BOLSA 5KG</t>
  </si>
  <si>
    <t>KERACOLOR FF 142 MARRON BOLSA 5KG</t>
  </si>
  <si>
    <t>KERACOLOR FF 136 BARRO FANGO BOLSA 5KG</t>
  </si>
  <si>
    <t>EPORIP COMP A+B TARRO 1,5 KG + 0,5 KG</t>
  </si>
  <si>
    <t>ASFALTO LIQUIDO 4 GLN BITUPLAST</t>
  </si>
  <si>
    <t>ASFALTO PLASTICO 1/4 GLN BITUPLAST</t>
  </si>
  <si>
    <t>SELLADOR DE CAPAS 4GLN BITUPLAST</t>
  </si>
  <si>
    <t>MANTO ALUMINIZADO 3 MM</t>
  </si>
  <si>
    <t>BITUBACHE SACO</t>
  </si>
  <si>
    <t>TANQUE CILIND 1000 LT TUBENCA</t>
  </si>
  <si>
    <t>CEMENTO PLASTICO 1/4 GLN BITUPLAST</t>
  </si>
  <si>
    <t>ASFALTO LIQUIDO GLN BITUPLAST</t>
  </si>
  <si>
    <t>REPARAMANTO INTERPRIMER PRO 4 GAL</t>
  </si>
  <si>
    <t>Lamina Sinoxsa Calibre 28</t>
  </si>
  <si>
    <t>TANQUE T/VASO 1400 LT TUVENCA</t>
  </si>
  <si>
    <t>25/05 - 26/05</t>
  </si>
  <si>
    <t>27/05</t>
  </si>
  <si>
    <t>28/05 - 31/05</t>
  </si>
  <si>
    <t>1/06 - 2/06</t>
  </si>
  <si>
    <t>NOTA: EL DIA 9/06 SE VENDIERON 10 MANTOS DE 3.2MM A $32</t>
  </si>
  <si>
    <t>3/06 - 12/06</t>
  </si>
  <si>
    <t>NOTA: EL DIA 17/06 SE VENDIERON 4 MANTOS DE 3.2MM A $32</t>
  </si>
  <si>
    <t>MANTO 3.2 MM SEGUNDA</t>
  </si>
  <si>
    <t>NOTA: EL DIA 21/06 SE VENDIERON 11 LAMINAS A $14</t>
  </si>
  <si>
    <t>13/06 - 20/06</t>
  </si>
  <si>
    <t>20 (PREVIO)</t>
  </si>
  <si>
    <t>20/05 - 24/05</t>
  </si>
  <si>
    <t>TOTAL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</si>
  <si>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20/05 - 31/05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</si>
  <si>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01/06 - 30/06</t>
    </r>
    <r>
      <rPr>
        <b/>
        <sz val="12"/>
        <color theme="1"/>
        <rFont val="Calibri"/>
        <family val="2"/>
        <scheme val="minor"/>
      </rPr>
      <t xml:space="preserve"> - TOTAL</t>
    </r>
  </si>
  <si>
    <t>UTILIDAD</t>
  </si>
  <si>
    <t>21/06 - 30/06</t>
  </si>
  <si>
    <t>PEDIDO</t>
  </si>
  <si>
    <t>VENDIDO</t>
  </si>
  <si>
    <t>RESTANTE</t>
  </si>
  <si>
    <t>BITUPLAST</t>
  </si>
  <si>
    <t>SOLINCA</t>
  </si>
  <si>
    <t>MAPEI</t>
  </si>
  <si>
    <t>LAMINA SINOXSA CALIBRE 28</t>
  </si>
  <si>
    <t>FINANZAS</t>
  </si>
  <si>
    <t xml:space="preserve">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</t>
  </si>
  <si>
    <t>CANTIDAD VENDIDA</t>
  </si>
  <si>
    <t>COSTO</t>
  </si>
  <si>
    <t>VENTA</t>
  </si>
  <si>
    <t>INVENTARIO Y FINANZAS</t>
  </si>
  <si>
    <t>**</t>
  </si>
  <si>
    <t>TABLA RESUMEN</t>
  </si>
  <si>
    <t>% UTIL.</t>
  </si>
  <si>
    <t>TANQUE T/VASO 1400 LT</t>
  </si>
  <si>
    <t>CAPITAL</t>
  </si>
  <si>
    <t>ALMACEN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</si>
  <si>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01/07 - 31/07</t>
    </r>
    <r>
      <rPr>
        <b/>
        <sz val="12"/>
        <color theme="1"/>
        <rFont val="Calibri"/>
        <family val="2"/>
        <scheme val="minor"/>
      </rPr>
      <t xml:space="preserve"> - TOTAL</t>
    </r>
  </si>
  <si>
    <t>DIFERENCIA DETALLES</t>
  </si>
  <si>
    <t>MANTO LIQUIDO CUNETE 4 GLN ROJO</t>
  </si>
  <si>
    <t>MANTO LIQUIDO CUNETE 4 GLN BLANCO</t>
  </si>
  <si>
    <t>MANTO LIQUIDO CUNETE 4 GLN GRIS</t>
  </si>
  <si>
    <t>MANTO LIQUIDO CUNETE 4 GLN VERDE</t>
  </si>
  <si>
    <t>ZELLE</t>
  </si>
  <si>
    <t>N°</t>
  </si>
  <si>
    <t>DIA</t>
  </si>
  <si>
    <t>BS EFECTIVO</t>
  </si>
  <si>
    <t>TRANSF BS BANCO</t>
  </si>
  <si>
    <t>PUNTO DE VENTA</t>
  </si>
  <si>
    <t>BANESCO PANAMA</t>
  </si>
  <si>
    <t>PAGO MOVIL BAN</t>
  </si>
  <si>
    <t>$ EFECTIVO</t>
  </si>
  <si>
    <t>CREDITO MIGUELITO</t>
  </si>
  <si>
    <t>01/07 - 10-07</t>
  </si>
  <si>
    <t>AQUAFLEX TECHO MAXI GL GRIS</t>
  </si>
  <si>
    <t>KERACOLOR FF 132 BEIGE BOLSA 2KG</t>
  </si>
  <si>
    <t>KERACOLOR FF 112 GRIS MEDIO BOLSA 2KG</t>
  </si>
  <si>
    <t>ABONO JOSE FARIA</t>
  </si>
  <si>
    <t>TUBO RECT 2X1 GALV 6MTS</t>
  </si>
  <si>
    <t>LAMPARA DE NOCHE</t>
  </si>
  <si>
    <t>BUSH HG 1 1/2" X 1"</t>
  </si>
  <si>
    <t>BUSH HG 1" X 1/2"</t>
  </si>
  <si>
    <t>ANILLO HG 4</t>
  </si>
  <si>
    <t>ANILLO HG 3</t>
  </si>
  <si>
    <t>TAPON HG 1</t>
  </si>
  <si>
    <t>TEE HG 1 1/2</t>
  </si>
  <si>
    <t>DISCO C/M 4 1/2 WINONE</t>
  </si>
  <si>
    <t>DISCO R/M 4 1/2 WINONE</t>
  </si>
  <si>
    <t>CHECK PVC 1/2</t>
  </si>
  <si>
    <t>CHECK PVC 3/4</t>
  </si>
  <si>
    <t>CHECK PVC 1</t>
  </si>
  <si>
    <t>CHECK PVC 1 1/2</t>
  </si>
  <si>
    <t>UNION PAT A/F 1/2 P/P ECON</t>
  </si>
  <si>
    <t>TEE A/F 1 1/2 P/P</t>
  </si>
  <si>
    <t>FLANCHE PVC 3/4 ECON</t>
  </si>
  <si>
    <t>BUJE A/F 3/4 X 1/2</t>
  </si>
  <si>
    <t>BUJE A/F 1 X 3/4</t>
  </si>
  <si>
    <t>ADAPT HEM A/F 1 1/2</t>
  </si>
  <si>
    <t>MANG 1/2 X 5/8 PLAST ECON</t>
  </si>
  <si>
    <t>MANG 1/2 X 1/2 PLAST ECON</t>
  </si>
  <si>
    <t>ANILLO A/F C/R 3/4 PVC</t>
  </si>
  <si>
    <t>TEE A/F C/R 1/2 PVC</t>
  </si>
  <si>
    <t>TEE A/F C/R 3/4 PVC</t>
  </si>
  <si>
    <t>CODO A/F C/R 1/2 X 90 PVC</t>
  </si>
  <si>
    <t>TAPA A/F C/R 3/4 PVC</t>
  </si>
  <si>
    <t>TAPA A/F C/R 1/2 PVC</t>
  </si>
  <si>
    <t>ANILLO A/F C/R 1/2 PVC</t>
  </si>
  <si>
    <t>CHECK PVC A/N 4</t>
  </si>
  <si>
    <t>YEE A/N 4X2</t>
  </si>
  <si>
    <t>TEE A/N 4</t>
  </si>
  <si>
    <t>TEE A/N 3</t>
  </si>
  <si>
    <t>TEE A/N 4X2</t>
  </si>
  <si>
    <t>TAPA A/N 3 REGISTRO</t>
  </si>
  <si>
    <t>ANILLO A/N 2</t>
  </si>
  <si>
    <t>RED A/N 3X2</t>
  </si>
  <si>
    <t>TAPA A/N 2 REGISTRO</t>
  </si>
  <si>
    <t>TEE A/N 2</t>
  </si>
  <si>
    <t>CODO 75MM X 90 RIEGO</t>
  </si>
  <si>
    <t>GRIFERIA LAVAPLATO INDIVIDUAL</t>
  </si>
  <si>
    <t>INFLADOR P/CAUCHOS</t>
  </si>
  <si>
    <t>LLAVE SENCILLA LAVAPLATO GRIVEN</t>
  </si>
  <si>
    <t>LLAVERO GANCHO GRANDE</t>
  </si>
  <si>
    <t>LLAVERO GANCHO MEDIANO</t>
  </si>
  <si>
    <t>LLAVERO SECURITY</t>
  </si>
  <si>
    <t>SERRUCHO SECURITY 14" DE PODAR</t>
  </si>
  <si>
    <t>SPLINTER ORIG 2 VIAS</t>
  </si>
  <si>
    <t>TUBO COBRE 3/16</t>
  </si>
  <si>
    <t>UNION PAT A/F 1 1/2 P/P ECON</t>
  </si>
  <si>
    <t>TEE A/F 2 P/P</t>
  </si>
  <si>
    <t>YEE A/N 4</t>
  </si>
  <si>
    <t>CODO 3X45 TUBRICA</t>
  </si>
  <si>
    <t>CODO 4X45 BETAPLAST</t>
  </si>
  <si>
    <t>TEE 3X2 UNIPLAST</t>
  </si>
  <si>
    <t>TEE 4X3 PAVCO</t>
  </si>
  <si>
    <t>YEE 2 IMPLAVEN</t>
  </si>
  <si>
    <t>SIFON CORTO 3" DERIVADO</t>
  </si>
  <si>
    <t>SIFON 4 CORTO DERIVADOS</t>
  </si>
  <si>
    <t>SIFON 4 COMPLETO BETAPLAST</t>
  </si>
  <si>
    <t>TUBO RECT 2X1</t>
  </si>
  <si>
    <t>RONALD (ABRAHAM)</t>
  </si>
  <si>
    <t>TUVENCA</t>
  </si>
  <si>
    <t>11/07 - 31/07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</si>
  <si>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01/08 - 31/08</t>
    </r>
    <r>
      <rPr>
        <b/>
        <sz val="12"/>
        <color theme="1"/>
        <rFont val="Calibri"/>
        <family val="2"/>
        <scheme val="minor"/>
      </rPr>
      <t xml:space="preserve"> - TOTAL</t>
    </r>
  </si>
  <si>
    <t>JAIME PUENTE (PAGO)</t>
  </si>
  <si>
    <t>ROGER RB DEL NORTE (PAGO)</t>
  </si>
  <si>
    <t>MATERIALES PROINCA</t>
  </si>
  <si>
    <t>YEE 4</t>
  </si>
  <si>
    <t>YEE 4X2</t>
  </si>
  <si>
    <t>TEE 4X2</t>
  </si>
  <si>
    <t>RONALD (100), JOSE FARIA (10), EFECTIVO</t>
  </si>
  <si>
    <t>01/08-13/08</t>
  </si>
  <si>
    <t>($2.5 vuelto comprado)</t>
  </si>
  <si>
    <t>NOMBRE</t>
  </si>
  <si>
    <t>MONTO</t>
  </si>
  <si>
    <t>-1$ VALE JAIME (PAGADO)</t>
  </si>
  <si>
    <t>MANTO 2.2MM ADHESIVO EDIL</t>
  </si>
  <si>
    <t>EDIL</t>
  </si>
  <si>
    <t>AJUSTE DE FORMULA (NO SE TOMA EN CUENTA CREDITO MIGUELITO)</t>
  </si>
  <si>
    <t>VALE $20 JAIME, SE HIZO EL PAGO CON PUNTO DE VENTA</t>
  </si>
  <si>
    <t>SE VENDIO UN GUANTE PEPITA POR PROINCA</t>
  </si>
  <si>
    <t>BCV</t>
  </si>
  <si>
    <t>PARALELO</t>
  </si>
  <si>
    <t>%</t>
  </si>
  <si>
    <t>% DCTO</t>
  </si>
  <si>
    <t>CANT VENDIDA</t>
  </si>
  <si>
    <t>MANTO 3,2 MM</t>
  </si>
  <si>
    <t>25/08-</t>
  </si>
  <si>
    <t>14/08-24-08</t>
  </si>
  <si>
    <t>TANQUE RUBEN (40$ EFEC), ROGER RB (343$EF)</t>
  </si>
  <si>
    <t>OMAR CASTILLO (540 ZELLE), RONALD (32 MIGUELITO)</t>
  </si>
  <si>
    <t>YEE 3</t>
  </si>
  <si>
    <t>CODO 4X90</t>
  </si>
  <si>
    <t>SIFON COMPLETO 2"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</si>
  <si>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AGOSTO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</si>
  <si>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 xml:space="preserve">SEPTIEMBRE </t>
    </r>
    <r>
      <rPr>
        <b/>
        <sz val="12"/>
        <color theme="1"/>
        <rFont val="Calibri"/>
        <family val="2"/>
        <scheme val="minor"/>
      </rPr>
      <t>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</si>
  <si>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OCTUBRE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</si>
  <si>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NOVIEMBRE</t>
    </r>
    <r>
      <rPr>
        <b/>
        <sz val="12"/>
        <color theme="1"/>
        <rFont val="Calibri"/>
        <family val="2"/>
        <scheme val="minor"/>
      </rPr>
      <t xml:space="preserve"> - TOTAL</t>
    </r>
  </si>
  <si>
    <t>OTROS</t>
  </si>
  <si>
    <t>"VENDIDO ASF LIQUIDO A $25 POR SER DE 2DA"</t>
  </si>
  <si>
    <t>ROGER ($ EFE)</t>
  </si>
  <si>
    <t>KERACOLOR FF 136 FANGO BOLSA 2KG</t>
  </si>
  <si>
    <t>ROGER ($EFE)</t>
  </si>
  <si>
    <t>AJUSTE</t>
  </si>
  <si>
    <t>$24 en descuento ($1.9 en 10 mantos, $5 en un asfalto plastico de 2da</t>
  </si>
  <si>
    <t>31*</t>
  </si>
  <si>
    <t>27*</t>
  </si>
  <si>
    <t xml:space="preserve"> </t>
  </si>
  <si>
    <t>JOSE FARIA ($EF)</t>
  </si>
  <si>
    <t>01/08 - 02/08</t>
  </si>
  <si>
    <t>ALBA (BS EF)</t>
  </si>
  <si>
    <t>TORRE EMPR($ZELLE)</t>
  </si>
  <si>
    <t>POS CAM</t>
  </si>
  <si>
    <t>ALBA VAZQUEZ ($ EF)</t>
  </si>
  <si>
    <t>ASFALTO SOLIDO OXIDADO CARTUCHO</t>
  </si>
  <si>
    <t>TORRE EMP ($ ZEL)</t>
  </si>
  <si>
    <t>LAMINA ZINC 80 X 3,66 ONDULADA</t>
  </si>
  <si>
    <t>LAMINA ZINC ONDULADA 80 X 3,66</t>
  </si>
  <si>
    <t>ALBA ($EFE)</t>
  </si>
  <si>
    <t>TANQUE CILIND 1000 LT TUVENCA</t>
  </si>
  <si>
    <t>OMAR ($100 ZELLE), ABRAHAM ($100 ZELLE)</t>
  </si>
  <si>
    <t>PRECIO TOTAL</t>
  </si>
  <si>
    <t>ALBA VAZQUEZ (BS EF)</t>
  </si>
  <si>
    <t>03/08 - 23/08</t>
  </si>
  <si>
    <t>24/08 -</t>
  </si>
  <si>
    <t>DESCUENTO</t>
  </si>
  <si>
    <t>FERNANDO IRAMA ($ EF)</t>
  </si>
  <si>
    <t>KERACOLOR FF 114 ANTRACITA 2KG</t>
  </si>
  <si>
    <t>LAMINA ZINC 80 X 3,05 ONDULADA</t>
  </si>
  <si>
    <t>LAMINA ZINC 80 X 2,40 ONDULADA</t>
  </si>
  <si>
    <t>ANGULO SID 30X30X3MM 6MTS</t>
  </si>
  <si>
    <t>TUBO GALV CUADRADO 2X2 6MTS</t>
  </si>
  <si>
    <t>TUBO CUADRADO 1X1  6MTS</t>
  </si>
  <si>
    <t>TUBO CUADRADO 3/4X3/4 6MTS</t>
  </si>
  <si>
    <t>TUBO RECT GALV 3X1 6MTS</t>
  </si>
  <si>
    <t>ANGULO SID 25X25X3MM 6MTS</t>
  </si>
  <si>
    <t>ANGULO SID 40X40X4MM 6MTS</t>
  </si>
  <si>
    <t>PLETINA 3/4X3/16 6MTS</t>
  </si>
  <si>
    <t>PLETINA 1X3/16 6MTS</t>
  </si>
  <si>
    <t>PLETINA 1-1/2X1/8 6MTS</t>
  </si>
  <si>
    <t>PLETINA 1-1/2X3/16 6MTS</t>
  </si>
  <si>
    <t>PLETINA 1-1/4X3/16 6MTS</t>
  </si>
  <si>
    <t>KERACOLOR FF 114  ANTRACITA 2KG</t>
  </si>
  <si>
    <t>ARIANA PEÑA ($ EF)</t>
  </si>
  <si>
    <t>DESCUENTOS</t>
  </si>
  <si>
    <t>28/09 - 30/09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</si>
  <si>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01/09 - 30/09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</si>
  <si>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01/10 - 31/10</t>
    </r>
    <r>
      <rPr>
        <b/>
        <sz val="12"/>
        <color theme="1"/>
        <rFont val="Calibri"/>
        <family val="2"/>
        <scheme val="minor"/>
      </rPr>
      <t xml:space="preserve"> - TOTAL</t>
    </r>
  </si>
  <si>
    <t>JAIME ($ EF)</t>
  </si>
  <si>
    <t>CARLOS DEW(ZELLE)</t>
  </si>
  <si>
    <t>OMAR CASTILLO (ZELLE)</t>
  </si>
  <si>
    <t>HIERROS</t>
  </si>
  <si>
    <t>ROGER (ZELLE), JESUS VILL (PUNTO), JAIME ($EF)</t>
  </si>
  <si>
    <t>01/10 - 15/10</t>
  </si>
  <si>
    <t>ROGER ($ EF), JAIME (NOMINA), PASCUAL (GASTO)</t>
  </si>
  <si>
    <t>JESUS VILLARUEL (PUNTO)</t>
  </si>
  <si>
    <t>CEMENTO PLASTICO SPRAY FLAMINGO</t>
  </si>
  <si>
    <t>CINTA REPARADORA TECHOS 5CM X 2,5M</t>
  </si>
  <si>
    <t>ROLLO POLIESTER 10M REFUERZO P/ AQUAFLEX</t>
  </si>
  <si>
    <t>FERRETERIA MIGUELITO</t>
  </si>
  <si>
    <t>FRANCISCO PUENTE</t>
  </si>
  <si>
    <t>TANQUE CILIND 1000 LT SOLINCA</t>
  </si>
  <si>
    <t>TANQUE CILIND 500 LT SOLINCA</t>
  </si>
  <si>
    <t>TANQUE CILIND 560 LT SOLINCA</t>
  </si>
  <si>
    <t>TANQUE T/VASO 1100 LT SOLINCA</t>
  </si>
  <si>
    <t>TANQUE T/VASO 2200 LT SOLINCA</t>
  </si>
  <si>
    <t>TANQUE TINACO 2000 LT SOLINCA</t>
  </si>
  <si>
    <t>PRIMER BIDON</t>
  </si>
  <si>
    <t>17/10 - 31/10</t>
  </si>
  <si>
    <t xml:space="preserve">01/11 - 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</si>
  <si>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01/11 - 31/11</t>
    </r>
    <r>
      <rPr>
        <b/>
        <sz val="12"/>
        <color theme="1"/>
        <rFont val="Calibri"/>
        <family val="2"/>
        <scheme val="minor"/>
      </rPr>
      <t xml:space="preserve"> - TOTAL</t>
    </r>
  </si>
  <si>
    <t>JAIME ($EF, NOMINA), ABRAHAM (TRANS BS)</t>
  </si>
  <si>
    <t>ARIANA PEÑA (CRUCE)</t>
  </si>
  <si>
    <t>FRANCISCO JESUS PUENTE</t>
  </si>
  <si>
    <t>EUDO MONTIEL</t>
  </si>
  <si>
    <t>ROGER($530 ZELLE + $100 EF)</t>
  </si>
  <si>
    <t>PRIMA RUBEN PAZ ($215 EF)</t>
  </si>
  <si>
    <t>ROGER($EF)</t>
  </si>
  <si>
    <t>CLIENTE</t>
  </si>
  <si>
    <t>FECHA</t>
  </si>
  <si>
    <t>CANT</t>
  </si>
  <si>
    <t>PRECIO</t>
  </si>
  <si>
    <t>PASTELITOS DON JUAN</t>
  </si>
  <si>
    <t>PINT ALUM 4G</t>
  </si>
  <si>
    <t>CEM PLAST G</t>
  </si>
  <si>
    <t>ABONO</t>
  </si>
  <si>
    <t xml:space="preserve">DARIO RUBIO </t>
  </si>
  <si>
    <t>TANQUE TUVENCA 1400L</t>
  </si>
  <si>
    <t>ASF PLAST 4G</t>
  </si>
  <si>
    <t>CEM PLAST 4G</t>
  </si>
  <si>
    <t>AQUAFLEX BLANCO 5G</t>
  </si>
  <si>
    <t>TUBO 3/4X3/4</t>
  </si>
  <si>
    <t>ELIZABETH CALDERA</t>
  </si>
  <si>
    <t>ADRIANA PEÑA</t>
  </si>
  <si>
    <t>PRIMER G</t>
  </si>
  <si>
    <t>PINT ALUM G</t>
  </si>
  <si>
    <t>CEM PLAST 1/4</t>
  </si>
  <si>
    <t>ASF PLAST G</t>
  </si>
  <si>
    <t>CLEAN (ZELLE), YAMILETH ($EF)</t>
  </si>
  <si>
    <t>JOSE BOSCAN</t>
  </si>
  <si>
    <t>MIRLA, JOSE BOSCAN ($EF)</t>
  </si>
  <si>
    <t>CINTA REPARADORA GENERAL 2X25M</t>
  </si>
  <si>
    <t>CINTA REPARADORA 3X10M</t>
  </si>
  <si>
    <t>LAMINA ZINC 12 PIES ONDULADA</t>
  </si>
  <si>
    <t>LAMINA ZINC 8 PIES ONDULADA</t>
  </si>
  <si>
    <t>LAMINA ZINC 10 PIES ONDULADA</t>
  </si>
  <si>
    <t>NELSON ZAM($EF), MIRLA  (BAN PAN)</t>
  </si>
  <si>
    <t>ANTONIO DANTE</t>
  </si>
  <si>
    <t>YAMILETH ($EF), NELSON ZAMBRANO ($EF)</t>
  </si>
  <si>
    <t>JOSE BOSCAN ($ZELLE)</t>
  </si>
  <si>
    <t>CARLOS QUINTERO (ZELLE), ABRAHAM ($EF)</t>
  </si>
  <si>
    <t>NELSON ZAMBRANO ($EF)</t>
  </si>
  <si>
    <t>ROGER ($EF)</t>
  </si>
  <si>
    <t>JISSEL</t>
  </si>
  <si>
    <t>GERARDO GONZALEZ</t>
  </si>
  <si>
    <t>NELSON ZAMBRANO ($EF MIGUELITO)</t>
  </si>
  <si>
    <t>JAIME(NOMINA)</t>
  </si>
  <si>
    <t>ROGER (ZELLE)</t>
  </si>
  <si>
    <t>-</t>
  </si>
  <si>
    <t>PRECIO CON DCTO POR DIVISA CON NOTA DE ENTREGA $$$</t>
  </si>
  <si>
    <t>PRECIO CON FACTURA $$$</t>
  </si>
  <si>
    <t>PRECIO CON NOTA DE ENTREGA $$$</t>
  </si>
  <si>
    <t>PRECIO CON DCTO POR DIVISA CON FACTURA $$$</t>
  </si>
  <si>
    <t>JISSEL(PUNTO)</t>
  </si>
  <si>
    <t>EL CUJI (ZELLE)</t>
  </si>
  <si>
    <t>DOUGLAS HERNANDEZ (BS EF)</t>
  </si>
  <si>
    <t>LAGO COUNTRY III TORRE 10 (ZELLE), ROGER (ZELLE), LUIS RODRIGUEZ (ZELLE), CARLOS QUINTERO (ZELLE), ANGEL URDANETA (CRUCE), JISSEL (ZELLE Y EF)</t>
  </si>
  <si>
    <t>MAPEI UNO 4KG</t>
  </si>
  <si>
    <t>DOUGLAS (PUNTO=</t>
  </si>
  <si>
    <t>LAGO COUNTRY III ($EF)</t>
  </si>
  <si>
    <t>DOUGLAS (PUNTO)</t>
  </si>
  <si>
    <t>YEIKEL (PAGO MOVIL)</t>
  </si>
  <si>
    <t>JAIME (NOMINA)</t>
  </si>
  <si>
    <t>LUIS RODRIGUEZ</t>
  </si>
  <si>
    <t>TELEFONO</t>
  </si>
  <si>
    <t>N° NOTA</t>
  </si>
  <si>
    <t>NOTAS</t>
  </si>
  <si>
    <t>PENDIENTE</t>
  </si>
  <si>
    <t>AUTORIZADOR</t>
  </si>
  <si>
    <t>RUBEN PAZ</t>
  </si>
  <si>
    <t xml:space="preserve">MERCANCIA  </t>
  </si>
  <si>
    <t>METODO DE PAGO</t>
  </si>
  <si>
    <t>TIPO DE OPERACIÓN</t>
  </si>
  <si>
    <t>APERTURA DE CREDITO</t>
  </si>
  <si>
    <t>CIERRE DE CREDITO</t>
  </si>
  <si>
    <t>EFECTIVO</t>
  </si>
  <si>
    <t>GERARDO ($ EF) , LUIS RODRIGUEZ ($ EF) , EL CUJI  ($ EF), ELIZABETH CALDERA  ($ EF), ANTONIO DANTE  ($ EF), DON JUAN  ($ EF)</t>
  </si>
  <si>
    <t>PRECIO CON NOTA DE ENTREGA Y DCTO POR DIVISA $$$</t>
  </si>
  <si>
    <t>GERARDO ($EF)</t>
  </si>
  <si>
    <t>MANTO ALUMINIZADO 2.2mm AUTOADHESIVO</t>
  </si>
  <si>
    <t>CANT 1</t>
  </si>
  <si>
    <t>COSTO 1</t>
  </si>
  <si>
    <t>CANT 2</t>
  </si>
  <si>
    <t>COSTO 2</t>
  </si>
  <si>
    <t>CANT 3</t>
  </si>
  <si>
    <t>VENDIDO 1</t>
  </si>
  <si>
    <t>VENDIDO 2</t>
  </si>
  <si>
    <t>VENDIDO 3</t>
  </si>
  <si>
    <t>INVENTARIO</t>
  </si>
  <si>
    <t>VENDIDO 0</t>
  </si>
  <si>
    <t>CANT 0</t>
  </si>
  <si>
    <t>COSTO 0</t>
  </si>
  <si>
    <t>COSTO 3</t>
  </si>
  <si>
    <t>COSTO TOTAL</t>
  </si>
  <si>
    <t>VENTA TOTAL</t>
  </si>
  <si>
    <t>MAS?</t>
  </si>
  <si>
    <t>GANANCIA</t>
  </si>
  <si>
    <t>ADESILEX 2KG</t>
  </si>
  <si>
    <t>AQUAFLEX BLANCO G</t>
  </si>
  <si>
    <t>AQUAFLEX GRIS 5G</t>
  </si>
  <si>
    <t>AQUAFLEX GRIS G</t>
  </si>
  <si>
    <t>AQUAFLEX ROJO 5G</t>
  </si>
  <si>
    <t>AQUAFLEX ROJO G</t>
  </si>
  <si>
    <t>BRONCOPOL 10M</t>
  </si>
  <si>
    <t>EPORIP 2KG</t>
  </si>
  <si>
    <t>KER 100 2KG</t>
  </si>
  <si>
    <t>KER 112 2KG</t>
  </si>
  <si>
    <t>KER 112 5KG</t>
  </si>
  <si>
    <t>KER 113 2KG</t>
  </si>
  <si>
    <t>KER 114 2KG</t>
  </si>
  <si>
    <t>KER 132 2KG</t>
  </si>
  <si>
    <t>KER 134 2KG</t>
  </si>
  <si>
    <t>KER 136 2KG</t>
  </si>
  <si>
    <t>KER 136 5KG</t>
  </si>
  <si>
    <t>KER 142 2KG</t>
  </si>
  <si>
    <t>KER 142 5KG</t>
  </si>
  <si>
    <t>MAP AC4 CART</t>
  </si>
  <si>
    <t>MAP CO 0,8KG</t>
  </si>
  <si>
    <t>MAP CO 4KG</t>
  </si>
  <si>
    <t>MAP FOAM 500ML</t>
  </si>
  <si>
    <t>MAP FOAM 750ML</t>
  </si>
  <si>
    <t>MAP MS45 BLANCO CAR</t>
  </si>
  <si>
    <t>MAP MS45 GRIS CAR</t>
  </si>
  <si>
    <t>MAP MS45 TRANS CAR</t>
  </si>
  <si>
    <t>MAP PVA 0,25KG</t>
  </si>
  <si>
    <t>MAP PVA 1 KG</t>
  </si>
  <si>
    <t>MAP WP20 4,5KG</t>
  </si>
  <si>
    <t>MAPEBAND H130</t>
  </si>
  <si>
    <t>MAPEI UNO 0,8KG</t>
  </si>
  <si>
    <t>MAPEI UNO 2KG</t>
  </si>
  <si>
    <t>MAPESIL U CART</t>
  </si>
  <si>
    <t>ULTRA GRIP CAR</t>
  </si>
  <si>
    <t>HERRERIA</t>
  </si>
  <si>
    <t>ANG 1-1/2X1/8 6MTS</t>
  </si>
  <si>
    <t>ANG 1-1/4X3/16 6MTS</t>
  </si>
  <si>
    <t>ANG 1X3/16 6MTS</t>
  </si>
  <si>
    <t>GAN P/T 2X1 CORTO</t>
  </si>
  <si>
    <t>GAN P/T 2X1 LARGO</t>
  </si>
  <si>
    <t>GAN P/T 3X1 CORTO</t>
  </si>
  <si>
    <t>GAN P/T 3X1 LARGO</t>
  </si>
  <si>
    <t>LAM ACEROLIT MT OND</t>
  </si>
  <si>
    <t>LAM HIE PUL #28</t>
  </si>
  <si>
    <t>LAM ZINC 10 OND</t>
  </si>
  <si>
    <t>LAM ZINC 12 OND</t>
  </si>
  <si>
    <t>LAM ZINC 8 OND</t>
  </si>
  <si>
    <t>LAM ZINC CUAD 12 PIES</t>
  </si>
  <si>
    <t>PLE 1-1/2X1/8 6MTS</t>
  </si>
  <si>
    <t>PLE 1-1/2X3/16 6MTS</t>
  </si>
  <si>
    <t>PLE 1-1/4X3/16 6MTS</t>
  </si>
  <si>
    <t>PLE 1X3/16 6MTS</t>
  </si>
  <si>
    <t>PLE 3/4X3/16 6MTS</t>
  </si>
  <si>
    <t>TUB 1X1 6MTS 0,90</t>
  </si>
  <si>
    <t>TUB 3/4X3/4 6MTS 0,90</t>
  </si>
  <si>
    <t>TUB GALV 2X2 6MTS 0,90</t>
  </si>
  <si>
    <t>TUB GALV 3X1 6MTS 0,90</t>
  </si>
  <si>
    <t>TUBO GALV 2X1 6MTS 0,90</t>
  </si>
  <si>
    <t>TANQUES</t>
  </si>
  <si>
    <t>TAN CIL SOL 1000</t>
  </si>
  <si>
    <t>TAN CIL SOL 500</t>
  </si>
  <si>
    <t>TAN CIL SOL 560</t>
  </si>
  <si>
    <t>TAN CIL TUV 1000</t>
  </si>
  <si>
    <t>TAN T/V SOL 1100</t>
  </si>
  <si>
    <t>TAN T/V SOL 2200</t>
  </si>
  <si>
    <t>TAN T/V TUV 1400</t>
  </si>
  <si>
    <t>TAN TIN SOL 2000</t>
  </si>
  <si>
    <t>FERRETERIA</t>
  </si>
  <si>
    <t>CEM PLAST SPRAY</t>
  </si>
  <si>
    <t>CINTA GENERAL 2"X25M</t>
  </si>
  <si>
    <t>CINTA IMPERM 3"X10M</t>
  </si>
  <si>
    <t>CINTA TECHOS 2"X2.5M</t>
  </si>
  <si>
    <t>ANA KARINA ORTEGA</t>
  </si>
  <si>
    <t>GERARDO GONZALEZ ($10 EF)</t>
  </si>
  <si>
    <t>LUIS RODRIGUEZ (ZELLE)</t>
  </si>
  <si>
    <t>CARLOS VILLARRUEL</t>
  </si>
  <si>
    <t>JOSE BOSCAN ($ EF)</t>
  </si>
  <si>
    <t>GANANCIA BITUPLAST</t>
  </si>
  <si>
    <t>GANANCIA MAPEI</t>
  </si>
  <si>
    <t>GANANCIA HERRERIA</t>
  </si>
  <si>
    <t>GANANCIA TANQUES</t>
  </si>
  <si>
    <t>GANANCIA FERRETERIA</t>
  </si>
  <si>
    <t>GANANCIA TOTAL</t>
  </si>
  <si>
    <t>ANA KARINA ($EF)</t>
  </si>
  <si>
    <t>TUBO 1X1</t>
  </si>
  <si>
    <t>ANG 1"</t>
  </si>
  <si>
    <t>ROGER BRICEÑO</t>
  </si>
  <si>
    <t>ROGER BRICEÑO ($EF), GERARDO GONZALEZ ($EF)</t>
  </si>
  <si>
    <t>BOMBA 1/2 HP GEOSTAR</t>
  </si>
  <si>
    <t>OSCAR CABRITA</t>
  </si>
  <si>
    <t>TAN QT CIL 700</t>
  </si>
  <si>
    <t>TAN QT CIL 900</t>
  </si>
  <si>
    <t>ROGER BRICEÑO $EF</t>
  </si>
  <si>
    <t>TANQUE 1000L TUVENCA</t>
  </si>
  <si>
    <t>KER 100 5KG</t>
  </si>
  <si>
    <t>LUIS ROD ($EF)</t>
  </si>
  <si>
    <t>TUBO 1 1/2 X 1 1/2 0,90</t>
  </si>
  <si>
    <t>TUBO 3 X 1 1/2 0,90</t>
  </si>
  <si>
    <t>TUBO 1 X 1 1/2 0,90</t>
  </si>
  <si>
    <t>LOSACERO 0,70 X 740 X 6100</t>
  </si>
  <si>
    <t>FUNDA P/M 9"</t>
  </si>
  <si>
    <t>CINTA MULTIUSO 2" X 9M</t>
  </si>
  <si>
    <t>RODILLO CHASIS MET. 9"</t>
  </si>
  <si>
    <t>BANDEJA C/RODILLO 9"</t>
  </si>
  <si>
    <t>BROCHA 2"</t>
  </si>
  <si>
    <t>BROCHA 4"</t>
  </si>
  <si>
    <t>ESP PLAST 4"</t>
  </si>
  <si>
    <t>HARAGAN 13"</t>
  </si>
  <si>
    <t>ROGER BRICEÑO ($EF-CRUCE), OSCAR ($EF-NOM), GERARDO ($EF-NOM)</t>
  </si>
  <si>
    <t>TAN T/V SOL 5500</t>
  </si>
  <si>
    <t>ENTREGADO</t>
  </si>
  <si>
    <t>FRANCISCO PUENTE SR</t>
  </si>
  <si>
    <t>DON JUAN ($EF)</t>
  </si>
  <si>
    <t>OSCAR ($EF)</t>
  </si>
  <si>
    <t>DON JUAN ($ EF), FCO PUENTE SR ($EF)</t>
  </si>
  <si>
    <t>MADERAS ARAGUANEY</t>
  </si>
  <si>
    <t>ARIANA PEÑA</t>
  </si>
  <si>
    <t>GERARDO $EF, OSCAR $EF, ARIANA $EF</t>
  </si>
  <si>
    <t>OSCAR $EF</t>
  </si>
  <si>
    <t>ROGER $EF</t>
  </si>
  <si>
    <t>DON JUAN $EF</t>
  </si>
  <si>
    <t>JAIME PUENTE</t>
  </si>
  <si>
    <t>NULFO RAMOS</t>
  </si>
  <si>
    <t>RUBEN JR</t>
  </si>
  <si>
    <t>WILLIAM LINDARTE</t>
  </si>
  <si>
    <t>ARAGUANEY $EF</t>
  </si>
  <si>
    <t>CARLOS VILLARRUEL $ZELLE</t>
  </si>
  <si>
    <t>VLADIMIR ATENCIO</t>
  </si>
  <si>
    <t xml:space="preserve">HECTOR GARCIA </t>
  </si>
  <si>
    <t>LINDARTE BS.PUNTO, VHECTOR $EF</t>
  </si>
  <si>
    <t>PUNTO</t>
  </si>
  <si>
    <t>MAURICIO ZELLE</t>
  </si>
  <si>
    <t>RESIDENCIAS ATLANTIS</t>
  </si>
  <si>
    <t>ATLANTIS $ZELLE</t>
  </si>
  <si>
    <t>DON JUAN $EF, MAURICIO $EF</t>
  </si>
  <si>
    <t>RESIDENCIAS VISTALAGO</t>
  </si>
  <si>
    <t>TRANSF BS</t>
  </si>
  <si>
    <t>JAIME $EF, VISTALAGO BS TRANS</t>
  </si>
  <si>
    <t>PRIMER 4G</t>
  </si>
  <si>
    <t>ATLANTIS $ZELLE, ROGER $ZELLE</t>
  </si>
  <si>
    <t>CANTIDAD MAYOR</t>
  </si>
  <si>
    <t>PRECIO MAYOR</t>
  </si>
  <si>
    <t>ASF LIQ 4G</t>
  </si>
  <si>
    <t>ASF LIQ G</t>
  </si>
  <si>
    <t>ASF PLAST 1/4G</t>
  </si>
  <si>
    <t>ASF SOL OXI CART</t>
  </si>
  <si>
    <t>CEM PLAST 1/4G</t>
  </si>
  <si>
    <t>MAN A.A 2.2MM X METRO</t>
  </si>
  <si>
    <t>MANTO 3.2MM X METRO</t>
  </si>
  <si>
    <t>MANTO A.A. 2.2MM</t>
  </si>
  <si>
    <t>MANTO ALUM 3MM</t>
  </si>
  <si>
    <t>PRIMER 12G</t>
  </si>
  <si>
    <t>REPARAMANTO 4G</t>
  </si>
  <si>
    <t>SELLADOR CAPA 4G</t>
  </si>
  <si>
    <t>BAND C/R 9"</t>
  </si>
  <si>
    <t>CHASIS MET ROD 9"</t>
  </si>
  <si>
    <t>CINTA MULTI 2" X 9M</t>
  </si>
  <si>
    <t>HARAGAN PLAST 13"</t>
  </si>
  <si>
    <t>SOPLETE P/MANTO CORTO</t>
  </si>
  <si>
    <t>ANG  1 X 1/8</t>
  </si>
  <si>
    <t>ANG 1-1/2 X 3/16</t>
  </si>
  <si>
    <t>ANG 1-1/4 X 3/16</t>
  </si>
  <si>
    <t>LAM ZINC 12 CUAD</t>
  </si>
  <si>
    <t>LOS 0,70 X 740 X 6100</t>
  </si>
  <si>
    <t>PLE 1-1/2 X 3/16 6MTS</t>
  </si>
  <si>
    <t>TUB 1 1/2 X 1 1/2 0,90</t>
  </si>
  <si>
    <t>TUB 1 X 1 1/2 0,90</t>
  </si>
  <si>
    <t>TUB 1X1 0,90</t>
  </si>
  <si>
    <t>TUB 3 X 1 1/2 1,50</t>
  </si>
  <si>
    <t>TUB 3/4X3/4 0,90</t>
  </si>
  <si>
    <t>TUB GALV 2X2 0,90</t>
  </si>
  <si>
    <t>TUB GALV 3X1 0,90</t>
  </si>
  <si>
    <t>TUBO GALV 2X1 0,90</t>
  </si>
  <si>
    <t>BRONCOPOL PROMO</t>
  </si>
  <si>
    <t>PROMO MS45 BLANCO</t>
  </si>
  <si>
    <t>PROMO MS45 NEGRO</t>
  </si>
  <si>
    <t>PROMO MS45 TRANSP</t>
  </si>
  <si>
    <t>TAN QT CIL 700L</t>
  </si>
  <si>
    <t>TAN QT CIL 900L</t>
  </si>
  <si>
    <t>TAN QT T/V 600</t>
  </si>
  <si>
    <t>SOPLETE CORTO P/ MANTO</t>
  </si>
  <si>
    <t>ALBA VASQUEZ $EF, SR TANQUES $EF</t>
  </si>
  <si>
    <t>JONATHAN PARRA</t>
  </si>
  <si>
    <t>JONATHAN PARRA (FERRE EXPRESS)</t>
  </si>
  <si>
    <t>MANUEL MALDONADO</t>
  </si>
  <si>
    <t>MANUEL $EF, ANA KARINA $EF</t>
  </si>
  <si>
    <t>MELIDA DANTE $EF</t>
  </si>
  <si>
    <t>ROGER</t>
  </si>
  <si>
    <t>AMABLE RODRIGUEZ</t>
  </si>
  <si>
    <t>MELIDA ADANTE $EF</t>
  </si>
  <si>
    <t>ANA KARINA PUNTO</t>
  </si>
  <si>
    <t>CARLOS VILLARUEL (ZELLE), AMABLE ($EF)</t>
  </si>
  <si>
    <t>JAISEL MORA</t>
  </si>
  <si>
    <t>DR LUIS RODRIGUEZ PUNTO FERRE</t>
  </si>
  <si>
    <t>MANTO 2.2M ADHESIVO BITUPLAST</t>
  </si>
  <si>
    <t>PRECIO GRAN MAYOR</t>
  </si>
  <si>
    <t>PRECIO NORMAL</t>
  </si>
  <si>
    <t>CANTIDAD GRAN MAYOR</t>
  </si>
  <si>
    <t>PAGO EN DIVISA + NOTA DE ENTREGA + CONTADO</t>
  </si>
  <si>
    <t>13$ (vale Andres Quintero)</t>
  </si>
  <si>
    <t>7$ flete diferencia del dia</t>
  </si>
  <si>
    <t>ATLANTIS (TRANS BS)</t>
  </si>
  <si>
    <t>RADIADORES CLEAN</t>
  </si>
  <si>
    <t>NELSON VILLASMIL</t>
  </si>
  <si>
    <t>$190 CAMBIO 2 TANQUES TUVENCA X 2 TANQUES Q TANQUE</t>
  </si>
  <si>
    <t>PAGO MOVIL</t>
  </si>
  <si>
    <t>RADIADORES CLEAN (PAGO MOVIL), JAIME (PUNTO)</t>
  </si>
  <si>
    <t>ANEXO A CREDITO</t>
  </si>
  <si>
    <t>NULFO RAMOS ($EF), ROGER ($EF)</t>
  </si>
  <si>
    <t>ALEXIS FERRER</t>
  </si>
  <si>
    <t>ARAGUANEY($EF)</t>
  </si>
  <si>
    <t>ROD + FUN 9</t>
  </si>
  <si>
    <t>MAURICIO VILLARRUEL</t>
  </si>
  <si>
    <t>VALERIA GRATEROL</t>
  </si>
  <si>
    <t>PAGO MIGUELITO</t>
  </si>
  <si>
    <t>PAGOS DE CREDITO</t>
  </si>
  <si>
    <t>}</t>
  </si>
  <si>
    <t>MAURICIO $EF</t>
  </si>
  <si>
    <t>MELIDA DANTE</t>
  </si>
  <si>
    <t>EL CREDITO ORIGINAL DE ALEXIS ERA POR 86, CON DCTO LLEGO A 82, A EFECTOS DE CERRAR EL CREDITO SE PONDRA 86 EN DETALLE DE CREDITOS</t>
  </si>
  <si>
    <t>ALEXIS FERRER (ZELLE), VISTALAGO (TRANSF BS)</t>
  </si>
  <si>
    <t>VALERIA ZELLE</t>
  </si>
  <si>
    <t>VALERIA $EF, ATLANTIS ZELLE</t>
  </si>
  <si>
    <t>COSTO -10%</t>
  </si>
  <si>
    <t>PRECIO ST</t>
  </si>
  <si>
    <t>% GANANCIA DIVISA</t>
  </si>
  <si>
    <t>% GANANCIA BS</t>
  </si>
  <si>
    <t>PRECIO TENTATIVO</t>
  </si>
  <si>
    <t>COSTO -15%</t>
  </si>
  <si>
    <t>MELIDA ($EF)</t>
  </si>
  <si>
    <t>TUBO GALV 2X1 6MTS 1,50</t>
  </si>
  <si>
    <t>NELSON VILL (PM), ARAGUANEY ($EF)</t>
  </si>
  <si>
    <t>FACTURA DE ATLANTIS DEL DIA 12 DE 439 SE DEVOLVIERON 2 GALONES DE PRIMER, SE QUEDARON A FAVOR DE ELLOS $28 Y SE ANOTO PARA ESTE DIA LOS $410 QUE FUERON DEFINITIVOS</t>
  </si>
  <si>
    <t>VALERIA $EF</t>
  </si>
  <si>
    <t>EN EL PAPEL FISICO EXISTE UN CREDITO DE 99, ES UN VALE PENDIENTE DEBIDO A LA DEVOLUCION DE UN AQUAFLEX ($100)</t>
  </si>
  <si>
    <t>CARLOS B. (PUNTO), CARLOS VILLARRUEL (ZELLE)</t>
  </si>
  <si>
    <t>JAISEL $EF, ALEXIS $EF, VLADIMIR $EF</t>
  </si>
  <si>
    <t>EN EL PAPEL FISICO EXISTE UN CREDITO DE $100, ES UNA DEVOLUCION DE UN TANQUE TUVENCA DE 1400, CAMBIO POR UN TANQUE SOLINCA DE 1100 LTS, MARY MONTERO</t>
  </si>
  <si>
    <t>ANA KARINA $EF, AMABLE (ZELLE)</t>
  </si>
  <si>
    <t>ABRAHAM BURGUER</t>
  </si>
  <si>
    <t>CRUCE</t>
  </si>
  <si>
    <t>CERCHA 10</t>
  </si>
  <si>
    <t>CERCHA 15</t>
  </si>
  <si>
    <t>FCO JESUS</t>
  </si>
  <si>
    <t>PRECIO UNITARIO $</t>
  </si>
  <si>
    <t>PRECIO TOTAL $</t>
  </si>
  <si>
    <t>REPARAMANTO CUÑETE</t>
  </si>
  <si>
    <t>AQUAFLEX CUÑETE</t>
  </si>
  <si>
    <t>CEMENTO PLASTICO GALON</t>
  </si>
  <si>
    <t>PRIMER CUÑETE</t>
  </si>
  <si>
    <t>Nota: Los precios pueden variar sin previo aviso. No incluye transporte ni IVA.</t>
  </si>
  <si>
    <t>JULIO TORESCA</t>
  </si>
  <si>
    <t>CARLOS BELLERA</t>
  </si>
  <si>
    <t>PINTURAS</t>
  </si>
  <si>
    <t>PIN ALUM MG 1/4</t>
  </si>
  <si>
    <t>ESM ROJO BR MG G</t>
  </si>
  <si>
    <t>ESM GRIS CEM BR MG G</t>
  </si>
  <si>
    <t>ESM BLA BR MG G</t>
  </si>
  <si>
    <t>ESM NEGRO MATE MG G</t>
  </si>
  <si>
    <t>FON HER BLA MG G</t>
  </si>
  <si>
    <t>FON HER NEGRO MG G</t>
  </si>
  <si>
    <t>PIN EPO BLA MG G</t>
  </si>
  <si>
    <t>CAU BLAN B MG G</t>
  </si>
  <si>
    <t>FON ALC MG G</t>
  </si>
  <si>
    <t>CAU BLAN A MG G</t>
  </si>
  <si>
    <t>CAUCHO MARF RAF A MG G</t>
  </si>
  <si>
    <t>SAT BLAN A MG G</t>
  </si>
  <si>
    <t>SAT VAI A MG G</t>
  </si>
  <si>
    <t>CAU BLANC C MG G</t>
  </si>
  <si>
    <t>CAU BLAN OST MG G</t>
  </si>
  <si>
    <t>CAU MARF C MG G</t>
  </si>
  <si>
    <t>CAU MELO C  MG G</t>
  </si>
  <si>
    <t>CAU AZUL MAR MG G</t>
  </si>
  <si>
    <t>CAU OCRE C MG G</t>
  </si>
  <si>
    <t>CAU AMA LIR MG G</t>
  </si>
  <si>
    <t>CAU TRI DOR MG G</t>
  </si>
  <si>
    <t>CAU ROJO LAD C MG G</t>
  </si>
  <si>
    <t>CAU ROS C MG G</t>
  </si>
  <si>
    <t>CAU VER MAN C MG G</t>
  </si>
  <si>
    <t>CAU TUR TRO C MG G</t>
  </si>
  <si>
    <t>CAU GRIS CEM MG G</t>
  </si>
  <si>
    <t>CAU AZUL CIE MG G</t>
  </si>
  <si>
    <t>CAU SALM C MG G</t>
  </si>
  <si>
    <t>CAU VER PRI C MG G</t>
  </si>
  <si>
    <t>CAU GUA C MG G</t>
  </si>
  <si>
    <t>CAU BLAN C MG 4G</t>
  </si>
  <si>
    <t>CAU MARF C MG 4G</t>
  </si>
  <si>
    <t>CAU BLAN B MG 4G</t>
  </si>
  <si>
    <t>ESM ROJO BR MG 1/4</t>
  </si>
  <si>
    <t>ESM MARF BR MG 1/4</t>
  </si>
  <si>
    <t>ESM GRIS CLA BR MG 1/4</t>
  </si>
  <si>
    <t>ESM VER OSC BR MG 1/4</t>
  </si>
  <si>
    <t>ESM VER TIL BR MG 1/4</t>
  </si>
  <si>
    <t>ESM AMA CAT BR MG 1/4</t>
  </si>
  <si>
    <t>ESM GRI ACE BR MG 1/4</t>
  </si>
  <si>
    <t>ESM GRIS MAC BR MG 1/4</t>
  </si>
  <si>
    <t>ESM BLA MT MG 1/4</t>
  </si>
  <si>
    <t>FON 2-1 BLAN MT MG 1/4</t>
  </si>
  <si>
    <t>FON 2-1 NEGRO MT MG 1/4</t>
  </si>
  <si>
    <t>CAU GRIS CEN C MG G</t>
  </si>
  <si>
    <t>FONDO</t>
  </si>
  <si>
    <t>EF</t>
  </si>
  <si>
    <t>MAURICIO $ZELLE</t>
  </si>
  <si>
    <t>GABRIEL GOMEZ</t>
  </si>
  <si>
    <t>IMP BLANCO MG G</t>
  </si>
  <si>
    <t>AMABLE ($EF), ANA ($EF)</t>
  </si>
  <si>
    <t>TRANS BS</t>
  </si>
  <si>
    <t>ABRAHAM (TRANSF BS), JAISEL ($EF)</t>
  </si>
  <si>
    <t>MILAGROS PAZ</t>
  </si>
  <si>
    <t xml:space="preserve">manto </t>
  </si>
  <si>
    <t>CLEAN RADIADORES</t>
  </si>
  <si>
    <t>BLADIMIR ATENCIO</t>
  </si>
  <si>
    <t>ESM GALON</t>
  </si>
  <si>
    <t>CLEAN $EF, MILAGROS PM, VALERIA PUNTO</t>
  </si>
  <si>
    <t>AMABLE $EF, MELIDA $EF</t>
  </si>
  <si>
    <t>DESCUENTO POR EL SR RUBEN</t>
  </si>
  <si>
    <t>MIGUELITO (CRUCE)</t>
  </si>
  <si>
    <t>CINTA TANQUES NEGRA</t>
  </si>
  <si>
    <t>CINTA TANQUES TRANSP</t>
  </si>
  <si>
    <t>TAN TUV 160</t>
  </si>
  <si>
    <t>GABRIEL $EF</t>
  </si>
  <si>
    <t>EFECTIVO NOMINA</t>
  </si>
  <si>
    <t>ANA $EF, AMABLE $EF (NOMINA)</t>
  </si>
  <si>
    <t>CC LA CASCADA</t>
  </si>
  <si>
    <t>IMP BLANCO MG 4G</t>
  </si>
  <si>
    <t>FONDO GRIS 1/4</t>
  </si>
  <si>
    <t>PROT 110V 15A</t>
  </si>
  <si>
    <t>PROT 110V 20A</t>
  </si>
  <si>
    <t>PROT 110V TRIPLE 15A</t>
  </si>
  <si>
    <t>PROT 110V 20A BORNETA</t>
  </si>
  <si>
    <t>PROT 220V 20A BORNERA</t>
  </si>
  <si>
    <t>ANA $EF</t>
  </si>
  <si>
    <t>FERRETERIA $EF</t>
  </si>
  <si>
    <t>ANTONIO CEDEÑO</t>
  </si>
  <si>
    <t>CARLOS PUNTO</t>
  </si>
  <si>
    <t>TAN T/V TUV 1200</t>
  </si>
  <si>
    <t>TAN CIL TUV 500</t>
  </si>
  <si>
    <t>ANTONIO PM</t>
  </si>
  <si>
    <t>JOSE MAVO</t>
  </si>
  <si>
    <t>AMABLE $EF NOM, ANA $EF, MAVO $EF</t>
  </si>
  <si>
    <t>MARLON ALAÑA</t>
  </si>
  <si>
    <t>CARLOS V $EF, VALERIA $EF, FERRETERIA $EF, MARLON $EF</t>
  </si>
  <si>
    <t>JAISEL $EF</t>
  </si>
  <si>
    <t>CONDOMINIO PINO PONDEROSA</t>
  </si>
  <si>
    <t>COND PINO $EF</t>
  </si>
  <si>
    <t>+</t>
  </si>
  <si>
    <t>AMABLE PUNTO</t>
  </si>
  <si>
    <t>CHEO CHOURIO</t>
  </si>
  <si>
    <t>MAYEVIDEO IMPORT</t>
  </si>
  <si>
    <t>YOHENDRY PEREZ</t>
  </si>
  <si>
    <t>FELIX PEÑA MIGUELITO</t>
  </si>
  <si>
    <t>CARLOS $EF</t>
  </si>
  <si>
    <t>SUBTOTAL</t>
  </si>
  <si>
    <t>KARIM SABE</t>
  </si>
  <si>
    <t>VALERIA</t>
  </si>
  <si>
    <t>FERRETERIA PUNTO</t>
  </si>
  <si>
    <t>FERRETERIA CRUCE</t>
  </si>
  <si>
    <t>SOBRANTE EFECTIVO</t>
  </si>
  <si>
    <t>CAMBIO DE MERCANCIA #6545</t>
  </si>
  <si>
    <t>ALIMENTOS KIRI</t>
  </si>
  <si>
    <t>JOSE GONZALEZ MIGUELITO</t>
  </si>
  <si>
    <t>CONDOMINIO EL CUJI</t>
  </si>
  <si>
    <t>EL CUJI ZELLE</t>
  </si>
  <si>
    <t>JOSE GONZ MIGUELITO</t>
  </si>
  <si>
    <t>EL CUJI, JAIME PUNTO</t>
  </si>
  <si>
    <t>NOMINA</t>
  </si>
  <si>
    <t>JOSE $EF, FELIX NOMINA, ABRAHAM TRANSF BS, CHEO CRUCE</t>
  </si>
  <si>
    <t>CASCADA $EF, FERRETERIA $EF, FERRETERIA PM, ARAGUANEY PM, JULIO $EF, MAYE $EF</t>
  </si>
  <si>
    <t>512+A513:V513</t>
  </si>
  <si>
    <t>HERQUIMERO RINCON</t>
  </si>
  <si>
    <t>HILMAR BLANCO</t>
  </si>
  <si>
    <t>MIGUELITO $EF, MIGUELITO CRUCE</t>
  </si>
  <si>
    <t>ARENA BLANCA</t>
  </si>
  <si>
    <t>M3</t>
  </si>
  <si>
    <t>CEMENTO GRIS</t>
  </si>
  <si>
    <t>SACO</t>
  </si>
  <si>
    <t>MANTO 3.2MM</t>
  </si>
  <si>
    <t>ASFALTO PLASTICO</t>
  </si>
  <si>
    <t>CUÑETE</t>
  </si>
  <si>
    <t>ROLLO</t>
  </si>
  <si>
    <t>PRIMER</t>
  </si>
  <si>
    <t>PINTURA DE ALUMINIO</t>
  </si>
  <si>
    <t>UNIDAD</t>
  </si>
  <si>
    <t>YOHENDRY ZELLE</t>
  </si>
  <si>
    <t>JAISEL $EF, FERRETERIA $EF</t>
  </si>
  <si>
    <t>$21 FUERON CAMBIO DE MERCANCIA DEL DIA 09-12-23</t>
  </si>
  <si>
    <t>OBSERVACIONES</t>
  </si>
  <si>
    <t>STATUS</t>
  </si>
  <si>
    <t>NOTA</t>
  </si>
  <si>
    <t>FECHA ACTUAL</t>
  </si>
  <si>
    <t>DIAS DE CREDITO</t>
  </si>
  <si>
    <t>BIANCA RIOS</t>
  </si>
  <si>
    <t>BIANCA $EF</t>
  </si>
  <si>
    <t>JOSE G $EF, FERRE PUNTO</t>
  </si>
  <si>
    <t>CAMBIO DE MERCANCIA #7170</t>
  </si>
  <si>
    <t>SOBRANTE DE PAGO NOTA #2500</t>
  </si>
  <si>
    <t>EL CUJI $ZELLE, EL CUJI PUNTO, FERRETERIA $EF</t>
  </si>
  <si>
    <t>FERRETERIA PUNTO, ROGER PUNTO, HERQUIMRO NOMINA</t>
  </si>
  <si>
    <t>JAIME PUNTO</t>
  </si>
  <si>
    <t>ANA $EF, HILMAR $EF</t>
  </si>
  <si>
    <t>NOTIFICADO POR OSCAR, LOS RECIBIO MIGUELITO LA SEM PASADA</t>
  </si>
  <si>
    <t>OSCAR NOM, CARLOS NOM, HERQ NOM</t>
  </si>
  <si>
    <t>COST CON DCTO</t>
  </si>
  <si>
    <t>PRECIO 0,80</t>
  </si>
  <si>
    <t>PASAPALO EXPRESS</t>
  </si>
  <si>
    <t>MIGUELITO</t>
  </si>
  <si>
    <t>ABRAHAM ZELLE</t>
  </si>
  <si>
    <t>JORGE DIAZ</t>
  </si>
  <si>
    <t>SR RUBEN</t>
  </si>
  <si>
    <t>CARLOS V $ZELLE</t>
  </si>
  <si>
    <t>LUNES</t>
  </si>
  <si>
    <t>MARTES</t>
  </si>
  <si>
    <t>MIERCOLES</t>
  </si>
  <si>
    <t>JUEVES</t>
  </si>
  <si>
    <t>VIERNES</t>
  </si>
  <si>
    <t>DOMINGO</t>
  </si>
  <si>
    <t>MANTO AUTOADHESIVO BITUALUM 2.2 MM</t>
  </si>
  <si>
    <t xml:space="preserve">CEMENTO </t>
  </si>
  <si>
    <t>LAMINAS</t>
  </si>
  <si>
    <t>NULFO $EF</t>
  </si>
  <si>
    <t>ANEXO DE MERCANCIA APARTADA AL SISTEMA</t>
  </si>
  <si>
    <t>NINGUNA</t>
  </si>
  <si>
    <t>SÁBADO</t>
  </si>
  <si>
    <t xml:space="preserve"> TONY MATOS</t>
  </si>
  <si>
    <t>TONY MATOS</t>
  </si>
  <si>
    <t>ROGER CRUCE, AMABLE NOMINA</t>
  </si>
  <si>
    <t>DOUGLAS HERNANDEZ</t>
  </si>
  <si>
    <t>SIN ENTREGAR HASTA EL PAGO TOTAL</t>
  </si>
  <si>
    <t xml:space="preserve">JAIME </t>
  </si>
  <si>
    <t>NO ENTREGADO</t>
  </si>
  <si>
    <t>DEVOLUCION(NOTA ANULADA)</t>
  </si>
  <si>
    <t xml:space="preserve">TONY MATOS </t>
  </si>
  <si>
    <t>MIGUEL CORZO 6$</t>
  </si>
  <si>
    <t>SOBRANTE DIA 23/01</t>
  </si>
  <si>
    <t>ABONO DOUGLAS</t>
  </si>
  <si>
    <t>DOUGLAS BS EFECTIVO</t>
  </si>
  <si>
    <t>CAMBIO BINANCE</t>
  </si>
  <si>
    <t>ROGER  CRUZE PUNTO MIGUELITO</t>
  </si>
  <si>
    <t>sra isabel 9$</t>
  </si>
  <si>
    <t>punto miguelito</t>
  </si>
  <si>
    <t>JAIME VALE</t>
  </si>
  <si>
    <t>TRANSFERENCIA</t>
  </si>
  <si>
    <t>PAGO REPORTADO POR OSCAR EN DICIEMBRE</t>
  </si>
  <si>
    <t>EFECTIVO NO SE RECIBIO EN PROINCA</t>
  </si>
  <si>
    <t>AMABLE NOMINA, KIRI TRANSFERENCIA,RUBEN PAZ EFECTIVO</t>
  </si>
  <si>
    <t>CONDOMINIO RESIDENCIAS ATLANTIS</t>
  </si>
  <si>
    <t>PAGO ARCO MAYOR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</si>
</sst>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$-540A]#,##0.00"/>
    <numFmt numFmtId="165" formatCode="[$$-2C0A]\ #,##0.00"/>
    <numFmt numFmtId="166" formatCode="#,##0.00\ _€"/>
    <numFmt numFmtId="167" formatCode="[$$-340A]#,##0.0"/>
  </numFmts>
  <fonts count="4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48"/>
      <color theme="0"/>
      <name val="Calibri"/>
      <family val="2"/>
      <scheme val="minor"/>
    </font>
    <font>
      <b/>
      <sz val="72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0"/>
      <color theme="1"/>
      <name val="Arial Black"/>
      <family val="2"/>
    </font>
    <font>
      <b/>
      <sz val="20"/>
      <color rgb="FFFF0000"/>
      <name val="Arial Black"/>
      <family val="2"/>
    </font>
    <font>
      <sz val="12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4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7"/>
      <color indexed="8"/>
      <name val="Times New Roman"/>
      <family val="1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4EE7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7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mediumDashed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/>
      <top/>
      <bottom/>
      <diagonal/>
    </border>
    <border>
      <left/>
      <right style="mediumDashed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893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0" fillId="2" borderId="0" xfId="0" applyFill="1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1" xfId="0" applyBorder="1"/>
    <xf numFmtId="0" fontId="7" fillId="3" borderId="1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/>
    <xf numFmtId="0" fontId="7" fillId="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7" borderId="0" xfId="0" applyFill="1"/>
    <xf numFmtId="0" fontId="0" fillId="8" borderId="0" xfId="0" applyFill="1" applyAlignment="1">
      <alignment horizontal="center" vertical="center"/>
    </xf>
    <xf numFmtId="0" fontId="0" fillId="8" borderId="0" xfId="0" applyFill="1"/>
    <xf numFmtId="0" fontId="0" fillId="8" borderId="0" xfId="0" applyFill="1" applyAlignment="1">
      <alignment vertical="center"/>
    </xf>
    <xf numFmtId="0" fontId="2" fillId="8" borderId="0" xfId="0" applyFont="1" applyFill="1" applyAlignment="1">
      <alignment horizontal="center" vertical="center"/>
    </xf>
    <xf numFmtId="0" fontId="0" fillId="9" borderId="0" xfId="0" applyFill="1"/>
    <xf numFmtId="0" fontId="12" fillId="8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4" borderId="5" xfId="0" applyFont="1" applyFill="1" applyBorder="1" applyAlignment="1">
      <alignment vertical="center" wrapText="1"/>
    </xf>
    <xf numFmtId="0" fontId="14" fillId="4" borderId="5" xfId="0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16" fontId="3" fillId="2" borderId="0" xfId="0" quotePrefix="1" applyNumberFormat="1" applyFont="1" applyFill="1" applyAlignment="1">
      <alignment vertical="center"/>
    </xf>
    <xf numFmtId="0" fontId="4" fillId="4" borderId="29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7" fillId="4" borderId="7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19" fillId="4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0" fillId="10" borderId="1" xfId="0" applyFill="1" applyBorder="1"/>
    <xf numFmtId="0" fontId="16" fillId="2" borderId="0" xfId="0" applyFont="1" applyFill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14" fillId="2" borderId="29" xfId="0" applyFont="1" applyFill="1" applyBorder="1" applyAlignment="1">
      <alignment horizontal="center" vertical="center" wrapText="1"/>
    </xf>
    <xf numFmtId="0" fontId="5" fillId="2" borderId="0" xfId="0" applyFont="1" applyFill="1"/>
    <xf numFmtId="2" fontId="1" fillId="0" borderId="1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2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 wrapText="1"/>
    </xf>
    <xf numFmtId="0" fontId="0" fillId="2" borderId="7" xfId="0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4" borderId="7" xfId="0" applyFill="1" applyBorder="1" applyAlignment="1">
      <alignment horizontal="center"/>
    </xf>
    <xf numFmtId="0" fontId="2" fillId="4" borderId="7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6" fontId="0" fillId="0" borderId="1" xfId="0" applyNumberFormat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15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2" borderId="15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 vertical="center"/>
    </xf>
    <xf numFmtId="2" fontId="7" fillId="4" borderId="1" xfId="0" applyNumberFormat="1" applyFont="1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2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2" fontId="10" fillId="2" borderId="0" xfId="0" applyNumberFormat="1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0" fontId="6" fillId="4" borderId="29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4" fillId="0" borderId="0" xfId="0" applyFont="1"/>
    <xf numFmtId="16" fontId="0" fillId="6" borderId="1" xfId="0" applyNumberFormat="1" applyFill="1" applyBorder="1" applyAlignment="1">
      <alignment horizontal="center" vertical="center"/>
    </xf>
    <xf numFmtId="2" fontId="22" fillId="4" borderId="1" xfId="0" applyNumberFormat="1" applyFont="1" applyFill="1" applyBorder="1" applyAlignment="1">
      <alignment horizontal="center" vertical="center"/>
    </xf>
    <xf numFmtId="2" fontId="22" fillId="4" borderId="17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" fontId="3" fillId="0" borderId="0" xfId="0" quotePrefix="1" applyNumberFormat="1" applyFont="1" applyAlignment="1">
      <alignment vertic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2" fontId="10" fillId="0" borderId="0" xfId="0" applyNumberFormat="1" applyFont="1" applyAlignment="1">
      <alignment horizontal="center"/>
    </xf>
    <xf numFmtId="0" fontId="14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0" fillId="4" borderId="7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/>
    </xf>
    <xf numFmtId="2" fontId="7" fillId="4" borderId="17" xfId="0" applyNumberFormat="1" applyFont="1" applyFill="1" applyBorder="1" applyAlignment="1">
      <alignment horizontal="center" vertical="center"/>
    </xf>
    <xf numFmtId="0" fontId="15" fillId="4" borderId="18" xfId="0" applyFont="1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15" fillId="4" borderId="30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vertical="center"/>
    </xf>
    <xf numFmtId="0" fontId="7" fillId="4" borderId="29" xfId="0" applyFont="1" applyFill="1" applyBorder="1" applyAlignment="1">
      <alignment vertical="center"/>
    </xf>
    <xf numFmtId="0" fontId="6" fillId="4" borderId="5" xfId="0" applyFont="1" applyFill="1" applyBorder="1" applyAlignment="1">
      <alignment vertical="center"/>
    </xf>
    <xf numFmtId="0" fontId="7" fillId="2" borderId="32" xfId="0" applyFont="1" applyFill="1" applyBorder="1" applyAlignment="1">
      <alignment horizontal="center" vertical="center"/>
    </xf>
    <xf numFmtId="0" fontId="7" fillId="2" borderId="29" xfId="0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29" xfId="0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horizontal="center" vertical="center"/>
    </xf>
    <xf numFmtId="0" fontId="7" fillId="4" borderId="32" xfId="0" applyFont="1" applyFill="1" applyBorder="1" applyAlignment="1">
      <alignment horizontal="center" vertical="center"/>
    </xf>
    <xf numFmtId="2" fontId="7" fillId="4" borderId="29" xfId="0" applyNumberFormat="1" applyFont="1" applyFill="1" applyBorder="1" applyAlignment="1">
      <alignment horizontal="center" vertical="center"/>
    </xf>
    <xf numFmtId="0" fontId="15" fillId="4" borderId="33" xfId="0" applyFont="1" applyFill="1" applyBorder="1" applyAlignment="1">
      <alignment horizontal="center" vertical="center"/>
    </xf>
    <xf numFmtId="2" fontId="22" fillId="4" borderId="29" xfId="0" applyNumberFormat="1" applyFont="1" applyFill="1" applyBorder="1" applyAlignment="1">
      <alignment horizontal="center" vertical="center"/>
    </xf>
    <xf numFmtId="0" fontId="0" fillId="6" borderId="29" xfId="0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2" fillId="4" borderId="41" xfId="0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/>
    </xf>
    <xf numFmtId="0" fontId="14" fillId="4" borderId="42" xfId="0" applyFont="1" applyFill="1" applyBorder="1" applyAlignment="1">
      <alignment horizontal="center" vertical="center" wrapText="1"/>
    </xf>
    <xf numFmtId="0" fontId="14" fillId="2" borderId="28" xfId="0" applyFont="1" applyFill="1" applyBorder="1" applyAlignment="1">
      <alignment horizontal="center" vertical="center" wrapText="1"/>
    </xf>
    <xf numFmtId="0" fontId="2" fillId="4" borderId="26" xfId="0" applyFont="1" applyFill="1" applyBorder="1" applyAlignment="1">
      <alignment horizontal="center" vertical="center"/>
    </xf>
    <xf numFmtId="0" fontId="14" fillId="4" borderId="28" xfId="0" applyFont="1" applyFill="1" applyBorder="1" applyAlignment="1">
      <alignment horizontal="center" vertical="center" wrapText="1"/>
    </xf>
    <xf numFmtId="0" fontId="21" fillId="4" borderId="41" xfId="0" applyFont="1" applyFill="1" applyBorder="1" applyAlignment="1">
      <alignment horizontal="center" vertical="center" wrapText="1"/>
    </xf>
    <xf numFmtId="0" fontId="6" fillId="4" borderId="27" xfId="0" applyFont="1" applyFill="1" applyBorder="1" applyAlignment="1">
      <alignment horizontal="center" vertical="center" wrapText="1"/>
    </xf>
    <xf numFmtId="0" fontId="0" fillId="2" borderId="27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0" fillId="0" borderId="9" xfId="0" applyBorder="1"/>
    <xf numFmtId="0" fontId="11" fillId="0" borderId="1" xfId="0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" fillId="0" borderId="0" xfId="0" applyFont="1" applyAlignment="1">
      <alignment vertical="center"/>
    </xf>
    <xf numFmtId="0" fontId="0" fillId="14" borderId="1" xfId="0" applyFill="1" applyBorder="1" applyAlignment="1">
      <alignment horizontal="center" vertical="center"/>
    </xf>
    <xf numFmtId="16" fontId="0" fillId="14" borderId="1" xfId="0" applyNumberForma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10" fillId="4" borderId="15" xfId="0" applyFon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14" fillId="4" borderId="13" xfId="0" applyFont="1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/>
    </xf>
    <xf numFmtId="0" fontId="19" fillId="4" borderId="15" xfId="0" applyFont="1" applyFill="1" applyBorder="1" applyAlignment="1">
      <alignment horizontal="center" vertical="center"/>
    </xf>
    <xf numFmtId="0" fontId="16" fillId="4" borderId="15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19" fillId="4" borderId="18" xfId="0" applyFont="1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/>
    </xf>
    <xf numFmtId="2" fontId="0" fillId="4" borderId="17" xfId="0" applyNumberForma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/>
    </xf>
    <xf numFmtId="0" fontId="15" fillId="4" borderId="18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0" fontId="14" fillId="4" borderId="33" xfId="0" applyFont="1" applyFill="1" applyBorder="1" applyAlignment="1">
      <alignment horizontal="center" vertical="center" wrapText="1"/>
    </xf>
    <xf numFmtId="0" fontId="5" fillId="4" borderId="47" xfId="0" applyFont="1" applyFill="1" applyBorder="1" applyAlignment="1">
      <alignment horizontal="center" vertical="center" wrapText="1"/>
    </xf>
    <xf numFmtId="0" fontId="14" fillId="4" borderId="33" xfId="0" applyFont="1" applyFill="1" applyBorder="1" applyAlignment="1">
      <alignment vertical="center" wrapText="1"/>
    </xf>
    <xf numFmtId="0" fontId="6" fillId="3" borderId="0" xfId="0" applyFont="1" applyFill="1" applyAlignment="1">
      <alignment horizontal="center" vertical="center"/>
    </xf>
    <xf numFmtId="0" fontId="21" fillId="4" borderId="26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vertical="center"/>
    </xf>
    <xf numFmtId="0" fontId="23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0" fillId="4" borderId="7" xfId="0" quotePrefix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2" borderId="1" xfId="0" applyFill="1" applyBorder="1" applyAlignment="1">
      <alignment vertical="center"/>
    </xf>
    <xf numFmtId="0" fontId="0" fillId="15" borderId="1" xfId="0" applyFill="1" applyBorder="1" applyAlignment="1">
      <alignment horizontal="center"/>
    </xf>
    <xf numFmtId="0" fontId="0" fillId="15" borderId="7" xfId="0" applyFill="1" applyBorder="1" applyAlignment="1">
      <alignment horizontal="center"/>
    </xf>
    <xf numFmtId="0" fontId="0" fillId="15" borderId="1" xfId="0" applyFill="1" applyBorder="1"/>
    <xf numFmtId="0" fontId="0" fillId="15" borderId="9" xfId="0" applyFill="1" applyBorder="1" applyAlignment="1">
      <alignment horizontal="center"/>
    </xf>
    <xf numFmtId="0" fontId="0" fillId="15" borderId="9" xfId="0" applyFill="1" applyBorder="1"/>
    <xf numFmtId="0" fontId="0" fillId="15" borderId="1" xfId="0" applyFill="1" applyBorder="1" applyAlignment="1">
      <alignment horizontal="center" vertical="center" wrapText="1"/>
    </xf>
    <xf numFmtId="0" fontId="0" fillId="4" borderId="9" xfId="0" applyFill="1" applyBorder="1"/>
    <xf numFmtId="2" fontId="0" fillId="4" borderId="1" xfId="0" applyNumberForma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9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1" fillId="4" borderId="1" xfId="0" applyFont="1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6" borderId="1" xfId="0" applyFill="1" applyBorder="1"/>
    <xf numFmtId="0" fontId="0" fillId="16" borderId="9" xfId="0" applyFill="1" applyBorder="1"/>
    <xf numFmtId="0" fontId="0" fillId="16" borderId="1" xfId="0" applyFill="1" applyBorder="1" applyAlignment="1">
      <alignment horizontal="center" vertical="center" wrapText="1"/>
    </xf>
    <xf numFmtId="0" fontId="0" fillId="16" borderId="9" xfId="0" applyFill="1" applyBorder="1" applyAlignment="1">
      <alignment vertical="center"/>
    </xf>
    <xf numFmtId="0" fontId="0" fillId="16" borderId="1" xfId="0" applyFill="1" applyBorder="1" applyAlignment="1">
      <alignment vertical="center"/>
    </xf>
    <xf numFmtId="0" fontId="0" fillId="6" borderId="1" xfId="0" applyFill="1" applyBorder="1" applyAlignment="1">
      <alignment horizontal="center"/>
    </xf>
    <xf numFmtId="0" fontId="0" fillId="6" borderId="9" xfId="0" applyFill="1" applyBorder="1" applyAlignment="1">
      <alignment vertical="center"/>
    </xf>
    <xf numFmtId="0" fontId="0" fillId="14" borderId="1" xfId="0" applyFill="1" applyBorder="1" applyAlignment="1">
      <alignment horizontal="center" vertical="center" wrapText="1"/>
    </xf>
    <xf numFmtId="0" fontId="0" fillId="2" borderId="41" xfId="0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/>
    </xf>
    <xf numFmtId="0" fontId="26" fillId="4" borderId="6" xfId="0" applyFont="1" applyFill="1" applyBorder="1" applyAlignment="1">
      <alignment horizontal="center" vertical="center"/>
    </xf>
    <xf numFmtId="0" fontId="26" fillId="4" borderId="9" xfId="0" applyFont="1" applyFill="1" applyBorder="1" applyAlignment="1">
      <alignment horizontal="center" vertical="center"/>
    </xf>
    <xf numFmtId="0" fontId="26" fillId="4" borderId="31" xfId="0" applyFont="1" applyFill="1" applyBorder="1" applyAlignment="1">
      <alignment horizontal="center" vertical="center"/>
    </xf>
    <xf numFmtId="2" fontId="26" fillId="4" borderId="14" xfId="0" applyNumberFormat="1" applyFont="1" applyFill="1" applyBorder="1" applyAlignment="1">
      <alignment horizontal="center" vertical="center"/>
    </xf>
    <xf numFmtId="2" fontId="26" fillId="4" borderId="16" xfId="0" applyNumberFormat="1" applyFont="1" applyFill="1" applyBorder="1" applyAlignment="1">
      <alignment horizontal="center" vertical="center"/>
    </xf>
    <xf numFmtId="0" fontId="26" fillId="4" borderId="1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/>
    </xf>
    <xf numFmtId="0" fontId="15" fillId="4" borderId="30" xfId="0" applyFont="1" applyFill="1" applyBorder="1" applyAlignment="1">
      <alignment horizontal="center"/>
    </xf>
    <xf numFmtId="0" fontId="15" fillId="4" borderId="1" xfId="0" applyFont="1" applyFill="1" applyBorder="1" applyAlignment="1">
      <alignment horizontal="center"/>
    </xf>
    <xf numFmtId="0" fontId="22" fillId="4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0" fillId="10" borderId="9" xfId="0" applyFill="1" applyBorder="1" applyAlignment="1">
      <alignment vertical="center"/>
    </xf>
    <xf numFmtId="2" fontId="0" fillId="10" borderId="1" xfId="0" applyNumberFormat="1" applyFill="1" applyBorder="1" applyAlignment="1">
      <alignment horizontal="center"/>
    </xf>
    <xf numFmtId="0" fontId="0" fillId="10" borderId="1" xfId="0" applyFill="1" applyBorder="1" applyAlignment="1">
      <alignment vertical="center"/>
    </xf>
    <xf numFmtId="2" fontId="0" fillId="16" borderId="1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4" fillId="4" borderId="7" xfId="0" applyFont="1" applyFill="1" applyBorder="1" applyAlignment="1">
      <alignment horizontal="center" vertical="center" wrapText="1"/>
    </xf>
    <xf numFmtId="0" fontId="21" fillId="4" borderId="11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15" fillId="4" borderId="55" xfId="0" applyFont="1" applyFill="1" applyBorder="1" applyAlignment="1">
      <alignment horizontal="center" vertical="center"/>
    </xf>
    <xf numFmtId="0" fontId="10" fillId="4" borderId="55" xfId="0" applyFont="1" applyFill="1" applyBorder="1" applyAlignment="1">
      <alignment horizontal="center" vertical="center"/>
    </xf>
    <xf numFmtId="0" fontId="15" fillId="4" borderId="39" xfId="0" applyFont="1" applyFill="1" applyBorder="1" applyAlignment="1">
      <alignment horizontal="center" vertical="center"/>
    </xf>
    <xf numFmtId="0" fontId="22" fillId="4" borderId="32" xfId="0" applyFont="1" applyFill="1" applyBorder="1" applyAlignment="1">
      <alignment horizontal="center" vertical="center"/>
    </xf>
    <xf numFmtId="0" fontId="22" fillId="4" borderId="51" xfId="0" applyFont="1" applyFill="1" applyBorder="1" applyAlignment="1">
      <alignment horizontal="center" vertical="center"/>
    </xf>
    <xf numFmtId="0" fontId="0" fillId="10" borderId="29" xfId="0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29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0" fontId="0" fillId="17" borderId="0" xfId="0" applyFill="1"/>
    <xf numFmtId="0" fontId="0" fillId="17" borderId="1" xfId="0" applyFill="1" applyBorder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/>
    <xf numFmtId="0" fontId="0" fillId="18" borderId="1" xfId="0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10" fillId="4" borderId="34" xfId="0" applyFont="1" applyFill="1" applyBorder="1" applyAlignment="1">
      <alignment horizontal="center" vertical="center"/>
    </xf>
    <xf numFmtId="0" fontId="6" fillId="2" borderId="44" xfId="0" applyFont="1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10" borderId="4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1" fillId="14" borderId="1" xfId="0" applyFont="1" applyFill="1" applyBorder="1" applyAlignment="1">
      <alignment horizontal="center" vertical="center"/>
    </xf>
    <xf numFmtId="16" fontId="11" fillId="14" borderId="1" xfId="0" applyNumberFormat="1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2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2" fontId="16" fillId="0" borderId="1" xfId="0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2" fontId="16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30" fillId="0" borderId="0" xfId="0" applyFont="1" applyFill="1" applyAlignment="1">
      <alignment horizontal="left"/>
    </xf>
    <xf numFmtId="0" fontId="30" fillId="0" borderId="0" xfId="0" applyFont="1" applyFill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1" fillId="0" borderId="57" xfId="0" applyFont="1" applyBorder="1" applyAlignment="1">
      <alignment horizontal="center" vertical="center" wrapText="1"/>
    </xf>
    <xf numFmtId="0" fontId="31" fillId="2" borderId="58" xfId="0" applyFont="1" applyFill="1" applyBorder="1" applyAlignment="1">
      <alignment horizontal="center" vertical="center" wrapText="1"/>
    </xf>
    <xf numFmtId="0" fontId="5" fillId="10" borderId="58" xfId="0" applyFont="1" applyFill="1" applyBorder="1" applyAlignment="1">
      <alignment horizontal="center" vertical="center" wrapText="1"/>
    </xf>
    <xf numFmtId="0" fontId="31" fillId="2" borderId="59" xfId="0" applyFont="1" applyFill="1" applyBorder="1" applyAlignment="1">
      <alignment horizontal="center" vertical="center" wrapText="1"/>
    </xf>
    <xf numFmtId="0" fontId="31" fillId="2" borderId="60" xfId="0" applyFont="1" applyFill="1" applyBorder="1" applyAlignment="1">
      <alignment horizontal="center" vertical="center" wrapText="1"/>
    </xf>
    <xf numFmtId="2" fontId="31" fillId="2" borderId="1" xfId="0" applyNumberFormat="1" applyFont="1" applyFill="1" applyBorder="1" applyAlignment="1">
      <alignment horizontal="center" vertical="center" wrapText="1"/>
    </xf>
    <xf numFmtId="2" fontId="5" fillId="10" borderId="1" xfId="0" applyNumberFormat="1" applyFont="1" applyFill="1" applyBorder="1" applyAlignment="1">
      <alignment horizontal="center" vertical="center" wrapText="1"/>
    </xf>
    <xf numFmtId="10" fontId="31" fillId="2" borderId="61" xfId="0" applyNumberFormat="1" applyFont="1" applyFill="1" applyBorder="1" applyAlignment="1">
      <alignment horizontal="center" vertical="center" wrapText="1"/>
    </xf>
    <xf numFmtId="0" fontId="31" fillId="0" borderId="60" xfId="0" applyFont="1" applyBorder="1" applyAlignment="1">
      <alignment horizontal="center" vertical="center" wrapText="1"/>
    </xf>
    <xf numFmtId="2" fontId="31" fillId="0" borderId="1" xfId="0" applyNumberFormat="1" applyFont="1" applyBorder="1" applyAlignment="1">
      <alignment horizontal="center" vertical="center" wrapText="1"/>
    </xf>
    <xf numFmtId="0" fontId="5" fillId="2" borderId="60" xfId="0" applyFont="1" applyFill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 wrapText="1"/>
    </xf>
    <xf numFmtId="10" fontId="32" fillId="0" borderId="61" xfId="0" applyNumberFormat="1" applyFont="1" applyBorder="1" applyAlignment="1">
      <alignment horizontal="center" vertical="center"/>
    </xf>
    <xf numFmtId="2" fontId="28" fillId="0" borderId="0" xfId="0" applyNumberFormat="1" applyFont="1" applyBorder="1" applyAlignment="1">
      <alignment horizontal="center"/>
    </xf>
    <xf numFmtId="2" fontId="28" fillId="0" borderId="65" xfId="0" applyNumberFormat="1" applyFont="1" applyFill="1" applyBorder="1" applyAlignment="1">
      <alignment horizontal="center"/>
    </xf>
    <xf numFmtId="2" fontId="28" fillId="0" borderId="0" xfId="0" applyNumberFormat="1" applyFont="1" applyFill="1" applyBorder="1" applyAlignment="1">
      <alignment horizontal="center"/>
    </xf>
    <xf numFmtId="2" fontId="27" fillId="0" borderId="65" xfId="0" applyNumberFormat="1" applyFont="1" applyFill="1" applyBorder="1" applyAlignment="1">
      <alignment vertical="center"/>
    </xf>
    <xf numFmtId="10" fontId="27" fillId="0" borderId="66" xfId="0" applyNumberFormat="1" applyFont="1" applyFill="1" applyBorder="1" applyAlignment="1">
      <alignment vertical="center"/>
    </xf>
    <xf numFmtId="2" fontId="27" fillId="0" borderId="0" xfId="0" applyNumberFormat="1" applyFont="1" applyFill="1" applyBorder="1" applyAlignment="1">
      <alignment vertical="center"/>
    </xf>
    <xf numFmtId="10" fontId="27" fillId="0" borderId="0" xfId="0" applyNumberFormat="1" applyFont="1" applyFill="1" applyBorder="1" applyAlignment="1">
      <alignment vertical="center"/>
    </xf>
    <xf numFmtId="0" fontId="0" fillId="0" borderId="0" xfId="0" applyFill="1"/>
    <xf numFmtId="0" fontId="0" fillId="2" borderId="0" xfId="0" applyFill="1" applyBorder="1"/>
    <xf numFmtId="0" fontId="17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16" fillId="19" borderId="1" xfId="0" applyFont="1" applyFill="1" applyBorder="1" applyAlignment="1">
      <alignment horizontal="center" vertical="center"/>
    </xf>
    <xf numFmtId="0" fontId="17" fillId="20" borderId="1" xfId="0" applyFont="1" applyFill="1" applyBorder="1" applyAlignment="1">
      <alignment horizontal="center" vertical="center"/>
    </xf>
    <xf numFmtId="0" fontId="1" fillId="19" borderId="1" xfId="0" applyFont="1" applyFill="1" applyBorder="1" applyAlignment="1">
      <alignment horizontal="center" vertical="center"/>
    </xf>
    <xf numFmtId="0" fontId="1" fillId="20" borderId="1" xfId="0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/>
    </xf>
    <xf numFmtId="2" fontId="27" fillId="5" borderId="1" xfId="0" applyNumberFormat="1" applyFont="1" applyFill="1" applyBorder="1" applyAlignment="1">
      <alignment vertical="center"/>
    </xf>
    <xf numFmtId="10" fontId="27" fillId="5" borderId="1" xfId="0" applyNumberFormat="1" applyFont="1" applyFill="1" applyBorder="1" applyAlignment="1">
      <alignment vertical="center"/>
    </xf>
    <xf numFmtId="2" fontId="27" fillId="5" borderId="1" xfId="0" applyNumberFormat="1" applyFont="1" applyFill="1" applyBorder="1" applyAlignment="1">
      <alignment horizontal="center" vertical="center"/>
    </xf>
    <xf numFmtId="10" fontId="27" fillId="5" borderId="1" xfId="0" applyNumberFormat="1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34" fillId="1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19" borderId="34" xfId="0" applyFont="1" applyFill="1" applyBorder="1" applyAlignment="1">
      <alignment horizontal="center" vertical="center" wrapText="1"/>
    </xf>
    <xf numFmtId="0" fontId="1" fillId="19" borderId="0" xfId="0" applyFont="1" applyFill="1"/>
    <xf numFmtId="0" fontId="1" fillId="19" borderId="0" xfId="0" quotePrefix="1" applyFont="1" applyFill="1"/>
    <xf numFmtId="0" fontId="1" fillId="19" borderId="0" xfId="0" applyFont="1" applyFill="1" applyAlignment="1">
      <alignment horizontal="left" vertical="center"/>
    </xf>
    <xf numFmtId="164" fontId="1" fillId="19" borderId="1" xfId="0" applyNumberFormat="1" applyFon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164" fontId="1" fillId="19" borderId="1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4" fontId="1" fillId="14" borderId="1" xfId="0" applyNumberFormat="1" applyFont="1" applyFill="1" applyBorder="1" applyAlignment="1">
      <alignment horizontal="center" vertical="center"/>
    </xf>
    <xf numFmtId="164" fontId="0" fillId="1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0" borderId="1" xfId="0" applyNumberFormat="1" applyFill="1" applyBorder="1" applyAlignment="1">
      <alignment horizontal="center" vertical="center"/>
    </xf>
    <xf numFmtId="0" fontId="0" fillId="14" borderId="1" xfId="0" applyFill="1" applyBorder="1"/>
    <xf numFmtId="0" fontId="1" fillId="14" borderId="1" xfId="0" applyFont="1" applyFill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0" fillId="0" borderId="0" xfId="0" applyNumberFormat="1"/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2" fontId="1" fillId="0" borderId="0" xfId="0" applyNumberFormat="1" applyFont="1" applyBorder="1" applyAlignment="1">
      <alignment horizontal="center" vertical="center" wrapText="1"/>
    </xf>
    <xf numFmtId="2" fontId="28" fillId="0" borderId="29" xfId="0" applyNumberFormat="1" applyFont="1" applyBorder="1" applyAlignment="1">
      <alignment horizontal="center"/>
    </xf>
    <xf numFmtId="2" fontId="27" fillId="5" borderId="29" xfId="0" applyNumberFormat="1" applyFont="1" applyFill="1" applyBorder="1" applyAlignment="1">
      <alignment horizontal="center" vertical="center"/>
    </xf>
    <xf numFmtId="10" fontId="27" fillId="5" borderId="2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Border="1" applyAlignment="1">
      <alignment vertical="center"/>
    </xf>
    <xf numFmtId="0" fontId="1" fillId="0" borderId="0" xfId="0" applyFont="1" applyFill="1" applyBorder="1" applyAlignme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/>
    <xf numFmtId="0" fontId="0" fillId="0" borderId="0" xfId="0" applyFill="1" applyBorder="1" applyAlignment="1"/>
    <xf numFmtId="2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vertical="top" wrapText="1"/>
    </xf>
    <xf numFmtId="2" fontId="1" fillId="0" borderId="0" xfId="0" applyNumberFormat="1" applyFont="1" applyFill="1" applyBorder="1" applyAlignment="1">
      <alignment horizontal="center"/>
    </xf>
    <xf numFmtId="9" fontId="0" fillId="0" borderId="0" xfId="0" applyNumberFormat="1" applyFill="1" applyBorder="1"/>
    <xf numFmtId="0" fontId="0" fillId="0" borderId="0" xfId="0" applyFill="1" applyBorder="1" applyAlignment="1">
      <alignment wrapText="1"/>
    </xf>
    <xf numFmtId="0" fontId="6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top" wrapText="1"/>
    </xf>
    <xf numFmtId="0" fontId="35" fillId="0" borderId="1" xfId="0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wrapText="1"/>
    </xf>
    <xf numFmtId="0" fontId="36" fillId="21" borderId="1" xfId="0" applyFont="1" applyFill="1" applyBorder="1" applyAlignment="1">
      <alignment horizontal="center" vertical="center" wrapText="1"/>
    </xf>
    <xf numFmtId="0" fontId="35" fillId="0" borderId="1" xfId="0" applyFont="1" applyFill="1" applyBorder="1" applyAlignment="1">
      <alignment horizontal="left" vertical="center"/>
    </xf>
    <xf numFmtId="4" fontId="35" fillId="0" borderId="1" xfId="0" applyNumberFormat="1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vertical="center"/>
    </xf>
    <xf numFmtId="0" fontId="35" fillId="0" borderId="0" xfId="0" applyFont="1" applyAlignment="1">
      <alignment horizontal="left" vertical="center"/>
    </xf>
    <xf numFmtId="0" fontId="35" fillId="0" borderId="0" xfId="0" applyFont="1" applyAlignment="1">
      <alignment horizontal="center" vertical="center"/>
    </xf>
    <xf numFmtId="0" fontId="35" fillId="21" borderId="1" xfId="0" applyFont="1" applyFill="1" applyBorder="1" applyAlignment="1">
      <alignment horizontal="center" vertical="center"/>
    </xf>
    <xf numFmtId="0" fontId="0" fillId="21" borderId="1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wrapText="1"/>
    </xf>
    <xf numFmtId="0" fontId="16" fillId="18" borderId="1" xfId="0" applyFont="1" applyFill="1" applyBorder="1" applyAlignment="1">
      <alignment horizontal="center" vertical="center"/>
    </xf>
    <xf numFmtId="0" fontId="1" fillId="0" borderId="0" xfId="0" applyFont="1"/>
    <xf numFmtId="0" fontId="0" fillId="0" borderId="0" xfId="0" applyAlignment="1">
      <alignment horizontal="center"/>
    </xf>
    <xf numFmtId="0" fontId="35" fillId="0" borderId="1" xfId="0" applyFont="1" applyFill="1" applyBorder="1" applyAlignment="1">
      <alignment horizontal="center" vertical="center" wrapText="1"/>
    </xf>
    <xf numFmtId="2" fontId="35" fillId="0" borderId="1" xfId="0" applyNumberFormat="1" applyFont="1" applyFill="1" applyBorder="1" applyAlignment="1">
      <alignment horizontal="center" vertical="center"/>
    </xf>
    <xf numFmtId="4" fontId="35" fillId="2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166" fontId="1" fillId="0" borderId="0" xfId="0" applyNumberFormat="1" applyFont="1"/>
    <xf numFmtId="14" fontId="1" fillId="0" borderId="0" xfId="0" applyNumberFormat="1" applyFont="1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14" borderId="0" xfId="0" applyFill="1"/>
    <xf numFmtId="0" fontId="1" fillId="14" borderId="0" xfId="0" applyFont="1" applyFill="1"/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NumberFormat="1" applyFill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67" xfId="0" applyFill="1" applyBorder="1" applyAlignment="1">
      <alignment horizontal="center" vertical="center" wrapText="1"/>
    </xf>
    <xf numFmtId="0" fontId="0" fillId="0" borderId="68" xfId="0" applyFill="1" applyBorder="1" applyAlignment="1">
      <alignment horizontal="center" vertical="center" wrapText="1"/>
    </xf>
    <xf numFmtId="2" fontId="0" fillId="0" borderId="69" xfId="0" applyNumberFormat="1" applyFill="1" applyBorder="1" applyAlignment="1">
      <alignment horizontal="center" vertical="center"/>
    </xf>
    <xf numFmtId="2" fontId="0" fillId="0" borderId="70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7" fillId="0" borderId="71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 wrapText="1"/>
    </xf>
    <xf numFmtId="0" fontId="37" fillId="0" borderId="72" xfId="0" applyFont="1" applyBorder="1" applyAlignment="1">
      <alignment horizontal="center" vertical="center"/>
    </xf>
    <xf numFmtId="0" fontId="37" fillId="22" borderId="39" xfId="0" applyFont="1" applyFill="1" applyBorder="1" applyAlignment="1">
      <alignment horizontal="center" vertical="center"/>
    </xf>
    <xf numFmtId="0" fontId="37" fillId="0" borderId="39" xfId="0" applyFont="1" applyBorder="1" applyAlignment="1">
      <alignment horizontal="center" vertical="center"/>
    </xf>
    <xf numFmtId="0" fontId="37" fillId="22" borderId="73" xfId="0" applyFont="1" applyFill="1" applyBorder="1" applyAlignment="1">
      <alignment vertical="center" wrapText="1"/>
    </xf>
    <xf numFmtId="0" fontId="38" fillId="0" borderId="39" xfId="0" applyFont="1" applyBorder="1" applyAlignment="1">
      <alignment horizontal="center" vertical="center"/>
    </xf>
    <xf numFmtId="0" fontId="37" fillId="0" borderId="3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 wrapText="1"/>
    </xf>
    <xf numFmtId="2" fontId="17" fillId="0" borderId="1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165" fontId="0" fillId="0" borderId="1" xfId="0" applyNumberFormat="1" applyFill="1" applyBorder="1" applyAlignment="1">
      <alignment horizontal="center" vertical="center"/>
    </xf>
    <xf numFmtId="165" fontId="0" fillId="0" borderId="0" xfId="0" applyNumberFormat="1" applyFill="1" applyAlignment="1">
      <alignment horizontal="center" vertical="center"/>
    </xf>
    <xf numFmtId="165" fontId="0" fillId="14" borderId="1" xfId="0" applyNumberForma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wrapText="1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14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14" borderId="1" xfId="0" applyFont="1" applyFill="1" applyBorder="1"/>
    <xf numFmtId="0" fontId="0" fillId="14" borderId="0" xfId="0" applyFont="1" applyFill="1"/>
    <xf numFmtId="0" fontId="0" fillId="0" borderId="1" xfId="0" applyFont="1" applyFill="1" applyBorder="1" applyAlignment="1">
      <alignment horizontal="center" vertical="center"/>
    </xf>
    <xf numFmtId="0" fontId="0" fillId="0" borderId="0" xfId="0" applyFont="1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14" fontId="1" fillId="17" borderId="1" xfId="0" applyNumberFormat="1" applyFont="1" applyFill="1" applyBorder="1" applyAlignment="1">
      <alignment horizontal="center" vertical="center"/>
    </xf>
    <xf numFmtId="166" fontId="1" fillId="17" borderId="1" xfId="0" applyNumberFormat="1" applyFont="1" applyFill="1" applyBorder="1" applyAlignment="1">
      <alignment horizontal="center" vertical="center"/>
    </xf>
    <xf numFmtId="14" fontId="0" fillId="0" borderId="0" xfId="0" applyNumberFormat="1"/>
    <xf numFmtId="14" fontId="0" fillId="0" borderId="10" xfId="0" applyNumberFormat="1" applyFill="1" applyBorder="1" applyAlignment="1">
      <alignment horizontal="center" vertical="center"/>
    </xf>
    <xf numFmtId="0" fontId="1" fillId="17" borderId="10" xfId="0" applyNumberFormat="1" applyFont="1" applyFill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1" fillId="0" borderId="0" xfId="0" applyNumberFormat="1" applyFont="1"/>
    <xf numFmtId="0" fontId="1" fillId="6" borderId="1" xfId="0" applyFont="1" applyFill="1" applyBorder="1" applyAlignment="1">
      <alignment horizontal="center" vertical="center"/>
    </xf>
    <xf numFmtId="14" fontId="1" fillId="6" borderId="1" xfId="0" applyNumberFormat="1" applyFont="1" applyFill="1" applyBorder="1" applyAlignment="1">
      <alignment horizontal="center" vertical="center"/>
    </xf>
    <xf numFmtId="14" fontId="1" fillId="17" borderId="10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 wrapText="1"/>
    </xf>
    <xf numFmtId="14" fontId="1" fillId="17" borderId="7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0" fillId="2" borderId="10" xfId="0" applyNumberFormat="1" applyFont="1" applyFill="1" applyBorder="1" applyAlignment="1">
      <alignment horizontal="center" vertical="center"/>
    </xf>
    <xf numFmtId="14" fontId="0" fillId="2" borderId="2" xfId="0" applyNumberFormat="1" applyFont="1" applyFill="1" applyBorder="1" applyAlignment="1">
      <alignment horizontal="center" vertical="center"/>
    </xf>
    <xf numFmtId="0" fontId="0" fillId="2" borderId="1" xfId="0" applyNumberFormat="1" applyFont="1" applyFill="1" applyBorder="1" applyAlignment="1">
      <alignment horizontal="center" vertical="center"/>
    </xf>
    <xf numFmtId="0" fontId="0" fillId="2" borderId="34" xfId="0" applyFont="1" applyFill="1" applyBorder="1" applyAlignment="1">
      <alignment horizontal="center" vertical="center"/>
    </xf>
    <xf numFmtId="14" fontId="0" fillId="2" borderId="36" xfId="0" applyNumberFormat="1" applyFont="1" applyFill="1" applyBorder="1" applyAlignment="1">
      <alignment horizontal="center" vertical="center"/>
    </xf>
    <xf numFmtId="14" fontId="0" fillId="2" borderId="34" xfId="0" applyNumberFormat="1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36" xfId="0" applyFont="1" applyFill="1" applyBorder="1" applyAlignment="1">
      <alignment horizontal="center" vertical="center"/>
    </xf>
    <xf numFmtId="14" fontId="0" fillId="2" borderId="1" xfId="0" applyNumberFormat="1" applyFont="1" applyFill="1" applyBorder="1" applyAlignment="1">
      <alignment horizontal="center" vertical="center"/>
    </xf>
    <xf numFmtId="14" fontId="0" fillId="0" borderId="1" xfId="0" applyNumberFormat="1" applyFont="1" applyFill="1" applyBorder="1" applyAlignment="1">
      <alignment horizontal="center" vertical="center"/>
    </xf>
    <xf numFmtId="14" fontId="0" fillId="0" borderId="0" xfId="0" applyNumberFormat="1" applyFont="1"/>
    <xf numFmtId="167" fontId="0" fillId="0" borderId="40" xfId="0" applyNumberFormat="1" applyBorder="1" applyAlignment="1">
      <alignment horizontal="center" vertical="center"/>
    </xf>
    <xf numFmtId="167" fontId="39" fillId="0" borderId="40" xfId="0" applyNumberFormat="1" applyFont="1" applyBorder="1" applyAlignment="1">
      <alignment horizontal="center" vertical="center"/>
    </xf>
    <xf numFmtId="167" fontId="39" fillId="0" borderId="8" xfId="0" quotePrefix="1" applyNumberFormat="1" applyFont="1" applyBorder="1" applyAlignment="1">
      <alignment horizontal="center" vertical="center"/>
    </xf>
    <xf numFmtId="167" fontId="39" fillId="0" borderId="8" xfId="0" applyNumberFormat="1" applyFont="1" applyBorder="1" applyAlignment="1">
      <alignment horizontal="center" vertical="center"/>
    </xf>
    <xf numFmtId="167" fontId="7" fillId="0" borderId="8" xfId="0" applyNumberFormat="1" applyFont="1" applyBorder="1" applyAlignment="1">
      <alignment horizontal="center" vertical="center" wrapText="1"/>
    </xf>
    <xf numFmtId="167" fontId="39" fillId="0" borderId="3" xfId="0" quotePrefix="1" applyNumberFormat="1" applyFont="1" applyBorder="1" applyAlignment="1">
      <alignment horizontal="center" vertical="center"/>
    </xf>
    <xf numFmtId="167" fontId="0" fillId="0" borderId="3" xfId="0" applyNumberFormat="1" applyFont="1" applyBorder="1" applyAlignment="1">
      <alignment horizontal="center" vertical="center" wrapText="1"/>
    </xf>
    <xf numFmtId="167" fontId="39" fillId="0" borderId="3" xfId="0" applyNumberFormat="1" applyFont="1" applyBorder="1" applyAlignment="1">
      <alignment horizontal="center" vertical="center" wrapText="1"/>
    </xf>
    <xf numFmtId="167" fontId="39" fillId="0" borderId="45" xfId="0" applyNumberFormat="1" applyFont="1" applyBorder="1" applyAlignment="1">
      <alignment horizontal="center" wrapText="1"/>
    </xf>
    <xf numFmtId="167" fontId="39" fillId="0" borderId="0" xfId="0" applyNumberFormat="1" applyFont="1" applyBorder="1" applyAlignment="1">
      <alignment vertical="center" wrapText="1"/>
    </xf>
    <xf numFmtId="0" fontId="0" fillId="0" borderId="29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6" fillId="23" borderId="1" xfId="0" applyFont="1" applyFill="1" applyBorder="1" applyAlignment="1">
      <alignment horizontal="center" vertical="center" wrapText="1"/>
    </xf>
    <xf numFmtId="2" fontId="36" fillId="23" borderId="1" xfId="0" applyNumberFormat="1" applyFont="1" applyFill="1" applyBorder="1" applyAlignment="1">
      <alignment horizontal="center" vertical="center"/>
    </xf>
    <xf numFmtId="167" fontId="21" fillId="0" borderId="8" xfId="0" quotePrefix="1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0" fontId="0" fillId="0" borderId="0" xfId="0" applyNumberFormat="1"/>
    <xf numFmtId="167" fontId="21" fillId="0" borderId="3" xfId="0" quotePrefix="1" applyNumberFormat="1" applyFont="1" applyBorder="1" applyAlignment="1">
      <alignment horizontal="center" vertical="center"/>
    </xf>
    <xf numFmtId="0" fontId="41" fillId="24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16" borderId="7" xfId="0" applyFont="1" applyFill="1" applyBorder="1" applyAlignment="1">
      <alignment horizontal="center"/>
    </xf>
    <xf numFmtId="0" fontId="1" fillId="16" borderId="8" xfId="0" applyFont="1" applyFill="1" applyBorder="1" applyAlignment="1">
      <alignment horizontal="center"/>
    </xf>
    <xf numFmtId="0" fontId="1" fillId="16" borderId="9" xfId="0" applyFont="1" applyFill="1" applyBorder="1" applyAlignment="1">
      <alignment horizontal="center"/>
    </xf>
    <xf numFmtId="0" fontId="1" fillId="10" borderId="7" xfId="0" applyFont="1" applyFill="1" applyBorder="1" applyAlignment="1">
      <alignment horizontal="center"/>
    </xf>
    <xf numFmtId="0" fontId="1" fillId="10" borderId="8" xfId="0" applyFont="1" applyFill="1" applyBorder="1" applyAlignment="1">
      <alignment horizontal="center"/>
    </xf>
    <xf numFmtId="0" fontId="1" fillId="10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/>
    </xf>
    <xf numFmtId="0" fontId="1" fillId="15" borderId="8" xfId="0" applyFont="1" applyFill="1" applyBorder="1" applyAlignment="1">
      <alignment horizontal="center"/>
    </xf>
    <xf numFmtId="0" fontId="1" fillId="15" borderId="9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15" borderId="7" xfId="0" applyFont="1" applyFill="1" applyBorder="1" applyAlignment="1">
      <alignment horizontal="center" vertical="center"/>
    </xf>
    <xf numFmtId="0" fontId="1" fillId="15" borderId="8" xfId="0" applyFont="1" applyFill="1" applyBorder="1" applyAlignment="1">
      <alignment horizontal="center" vertical="center"/>
    </xf>
    <xf numFmtId="0" fontId="1" fillId="16" borderId="7" xfId="0" applyFont="1" applyFill="1" applyBorder="1" applyAlignment="1">
      <alignment horizontal="center" vertical="center"/>
    </xf>
    <xf numFmtId="0" fontId="1" fillId="16" borderId="8" xfId="0" applyFont="1" applyFill="1" applyBorder="1" applyAlignment="1">
      <alignment horizontal="center" vertical="center"/>
    </xf>
    <xf numFmtId="0" fontId="1" fillId="16" borderId="9" xfId="0" applyFont="1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15" borderId="9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7" fillId="5" borderId="2" xfId="0" quotePrefix="1" applyFont="1" applyFill="1" applyBorder="1" applyAlignment="1">
      <alignment horizontal="center" vertical="center"/>
    </xf>
    <xf numFmtId="0" fontId="7" fillId="5" borderId="4" xfId="0" quotePrefix="1" applyFont="1" applyFill="1" applyBorder="1" applyAlignment="1">
      <alignment horizontal="center" vertical="center"/>
    </xf>
    <xf numFmtId="0" fontId="7" fillId="2" borderId="10" xfId="0" quotePrefix="1" applyFont="1" applyFill="1" applyBorder="1" applyAlignment="1">
      <alignment horizontal="center" vertical="center"/>
    </xf>
    <xf numFmtId="0" fontId="7" fillId="5" borderId="25" xfId="0" quotePrefix="1" applyFont="1" applyFill="1" applyBorder="1" applyAlignment="1">
      <alignment horizontal="center" vertical="center"/>
    </xf>
    <xf numFmtId="0" fontId="23" fillId="2" borderId="48" xfId="0" applyFont="1" applyFill="1" applyBorder="1" applyAlignment="1">
      <alignment horizontal="center" vertical="center"/>
    </xf>
    <xf numFmtId="0" fontId="23" fillId="2" borderId="49" xfId="0" applyFont="1" applyFill="1" applyBorder="1" applyAlignment="1">
      <alignment horizontal="center" vertical="center"/>
    </xf>
    <xf numFmtId="0" fontId="23" fillId="2" borderId="50" xfId="0" applyFont="1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7" fillId="2" borderId="2" xfId="0" quotePrefix="1" applyFont="1" applyFill="1" applyBorder="1" applyAlignment="1">
      <alignment horizontal="center" vertical="center"/>
    </xf>
    <xf numFmtId="0" fontId="7" fillId="2" borderId="4" xfId="0" quotePrefix="1" applyFont="1" applyFill="1" applyBorder="1" applyAlignment="1">
      <alignment horizontal="center" vertical="center"/>
    </xf>
    <xf numFmtId="0" fontId="7" fillId="5" borderId="3" xfId="0" quotePrefix="1" applyFont="1" applyFill="1" applyBorder="1" applyAlignment="1">
      <alignment horizontal="center" vertical="center"/>
    </xf>
    <xf numFmtId="0" fontId="6" fillId="2" borderId="10" xfId="0" quotePrefix="1" applyFont="1" applyFill="1" applyBorder="1" applyAlignment="1">
      <alignment horizontal="center" vertical="center"/>
    </xf>
    <xf numFmtId="0" fontId="7" fillId="5" borderId="10" xfId="0" quotePrefix="1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23" fillId="2" borderId="37" xfId="0" applyFont="1" applyFill="1" applyBorder="1" applyAlignment="1">
      <alignment horizontal="center" vertical="center"/>
    </xf>
    <xf numFmtId="0" fontId="23" fillId="2" borderId="38" xfId="0" applyFont="1" applyFill="1" applyBorder="1" applyAlignment="1">
      <alignment horizontal="center" vertical="center"/>
    </xf>
    <xf numFmtId="0" fontId="23" fillId="2" borderId="39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7" fillId="0" borderId="35" xfId="0" quotePrefix="1" applyFont="1" applyBorder="1" applyAlignment="1">
      <alignment horizontal="center" vertical="center"/>
    </xf>
    <xf numFmtId="0" fontId="7" fillId="0" borderId="9" xfId="0" quotePrefix="1" applyFont="1" applyBorder="1" applyAlignment="1">
      <alignment horizontal="center" vertical="center"/>
    </xf>
    <xf numFmtId="0" fontId="7" fillId="5" borderId="7" xfId="0" quotePrefix="1" applyFont="1" applyFill="1" applyBorder="1" applyAlignment="1">
      <alignment horizontal="center" vertical="center"/>
    </xf>
    <xf numFmtId="0" fontId="7" fillId="5" borderId="24" xfId="0" quotePrefix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7" fillId="5" borderId="1" xfId="0" quotePrefix="1" applyFont="1" applyFill="1" applyBorder="1" applyAlignment="1">
      <alignment horizontal="center" vertical="center"/>
    </xf>
    <xf numFmtId="0" fontId="6" fillId="2" borderId="1" xfId="0" quotePrefix="1" applyFont="1" applyFill="1" applyBorder="1" applyAlignment="1">
      <alignment horizontal="center" vertical="center"/>
    </xf>
    <xf numFmtId="0" fontId="23" fillId="2" borderId="51" xfId="0" applyFont="1" applyFill="1" applyBorder="1" applyAlignment="1">
      <alignment horizontal="center" vertical="center"/>
    </xf>
    <xf numFmtId="0" fontId="23" fillId="2" borderId="52" xfId="0" applyFont="1" applyFill="1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 vertical="center"/>
    </xf>
    <xf numFmtId="0" fontId="2" fillId="2" borderId="45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7" fillId="2" borderId="9" xfId="0" quotePrefix="1" applyFont="1" applyFill="1" applyBorder="1" applyAlignment="1">
      <alignment horizontal="center" vertical="center"/>
    </xf>
    <xf numFmtId="0" fontId="7" fillId="2" borderId="1" xfId="0" quotePrefix="1" applyFont="1" applyFill="1" applyBorder="1" applyAlignment="1">
      <alignment horizontal="center" vertical="center"/>
    </xf>
    <xf numFmtId="0" fontId="7" fillId="5" borderId="9" xfId="0" quotePrefix="1" applyFont="1" applyFill="1" applyBorder="1" applyAlignment="1">
      <alignment horizontal="center" vertical="center"/>
    </xf>
    <xf numFmtId="0" fontId="7" fillId="2" borderId="7" xfId="0" quotePrefix="1" applyFont="1" applyFill="1" applyBorder="1" applyAlignment="1">
      <alignment horizontal="center" vertical="center"/>
    </xf>
    <xf numFmtId="0" fontId="7" fillId="5" borderId="8" xfId="0" quotePrefix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43" xfId="0" applyFill="1" applyBorder="1" applyAlignment="1">
      <alignment horizontal="center"/>
    </xf>
    <xf numFmtId="0" fontId="0" fillId="2" borderId="44" xfId="0" applyFill="1" applyBorder="1" applyAlignment="1">
      <alignment horizontal="center"/>
    </xf>
    <xf numFmtId="0" fontId="0" fillId="2" borderId="45" xfId="0" applyFill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16" fontId="2" fillId="0" borderId="1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center"/>
    </xf>
    <xf numFmtId="0" fontId="21" fillId="2" borderId="26" xfId="0" applyFont="1" applyFill="1" applyBorder="1" applyAlignment="1">
      <alignment horizontal="center"/>
    </xf>
    <xf numFmtId="0" fontId="21" fillId="2" borderId="27" xfId="0" applyFont="1" applyFill="1" applyBorder="1" applyAlignment="1">
      <alignment horizontal="center"/>
    </xf>
    <xf numFmtId="0" fontId="21" fillId="2" borderId="46" xfId="0" applyFont="1" applyFill="1" applyBorder="1" applyAlignment="1">
      <alignment horizontal="center"/>
    </xf>
    <xf numFmtId="0" fontId="21" fillId="2" borderId="42" xfId="0" applyFont="1" applyFill="1" applyBorder="1" applyAlignment="1">
      <alignment horizontal="center"/>
    </xf>
    <xf numFmtId="0" fontId="21" fillId="2" borderId="53" xfId="0" applyFont="1" applyFill="1" applyBorder="1" applyAlignment="1">
      <alignment horizontal="center"/>
    </xf>
    <xf numFmtId="0" fontId="21" fillId="2" borderId="54" xfId="0" applyFont="1" applyFill="1" applyBorder="1" applyAlignment="1">
      <alignment horizontal="center"/>
    </xf>
    <xf numFmtId="0" fontId="2" fillId="2" borderId="41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center"/>
    </xf>
    <xf numFmtId="0" fontId="6" fillId="2" borderId="22" xfId="0" quotePrefix="1" applyFont="1" applyFill="1" applyBorder="1" applyAlignment="1">
      <alignment horizontal="center" vertical="center"/>
    </xf>
    <xf numFmtId="0" fontId="6" fillId="2" borderId="20" xfId="0" quotePrefix="1" applyFont="1" applyFill="1" applyBorder="1" applyAlignment="1">
      <alignment horizontal="center" vertical="center"/>
    </xf>
    <xf numFmtId="0" fontId="6" fillId="2" borderId="23" xfId="0" quotePrefix="1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13" fillId="7" borderId="0" xfId="0" applyFont="1" applyFill="1" applyAlignment="1">
      <alignment horizontal="center" vertical="center"/>
    </xf>
    <xf numFmtId="0" fontId="7" fillId="2" borderId="14" xfId="0" quotePrefix="1" applyFont="1" applyFill="1" applyBorder="1" applyAlignment="1">
      <alignment horizontal="center" vertical="center"/>
    </xf>
    <xf numFmtId="0" fontId="6" fillId="2" borderId="19" xfId="0" quotePrefix="1" applyFont="1" applyFill="1" applyBorder="1" applyAlignment="1">
      <alignment horizontal="center" vertical="center"/>
    </xf>
    <xf numFmtId="0" fontId="6" fillId="2" borderId="21" xfId="0" quotePrefix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0" fillId="2" borderId="32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0" fillId="2" borderId="35" xfId="0" applyFill="1" applyBorder="1" applyAlignment="1">
      <alignment horizontal="center" vertical="center"/>
    </xf>
    <xf numFmtId="0" fontId="12" fillId="8" borderId="0" xfId="0" applyFont="1" applyFill="1" applyAlignment="1">
      <alignment horizontal="center" vertical="center"/>
    </xf>
    <xf numFmtId="0" fontId="12" fillId="9" borderId="0" xfId="0" applyFont="1" applyFill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/>
    </xf>
    <xf numFmtId="0" fontId="0" fillId="0" borderId="0" xfId="0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0" fillId="2" borderId="37" xfId="0" applyFill="1" applyBorder="1" applyAlignment="1">
      <alignment horizontal="center"/>
    </xf>
    <xf numFmtId="0" fontId="0" fillId="2" borderId="38" xfId="0" applyFill="1" applyBorder="1" applyAlignment="1">
      <alignment horizontal="center"/>
    </xf>
    <xf numFmtId="0" fontId="0" fillId="2" borderId="39" xfId="0" applyFill="1" applyBorder="1" applyAlignment="1">
      <alignment horizontal="center"/>
    </xf>
    <xf numFmtId="0" fontId="2" fillId="2" borderId="41" xfId="0" quotePrefix="1" applyFont="1" applyFill="1" applyBorder="1" applyAlignment="1">
      <alignment horizontal="center" vertical="center"/>
    </xf>
    <xf numFmtId="0" fontId="2" fillId="2" borderId="27" xfId="0" quotePrefix="1" applyFont="1" applyFill="1" applyBorder="1" applyAlignment="1">
      <alignment horizontal="center" vertical="center"/>
    </xf>
    <xf numFmtId="0" fontId="2" fillId="2" borderId="42" xfId="0" quotePrefix="1" applyFont="1" applyFill="1" applyBorder="1" applyAlignment="1">
      <alignment horizontal="center" vertical="center"/>
    </xf>
    <xf numFmtId="0" fontId="23" fillId="2" borderId="48" xfId="0" quotePrefix="1" applyFont="1" applyFill="1" applyBorder="1" applyAlignment="1">
      <alignment horizontal="center" vertical="center"/>
    </xf>
    <xf numFmtId="0" fontId="23" fillId="2" borderId="49" xfId="0" quotePrefix="1" applyFont="1" applyFill="1" applyBorder="1" applyAlignment="1">
      <alignment horizontal="center" vertical="center"/>
    </xf>
    <xf numFmtId="0" fontId="23" fillId="2" borderId="50" xfId="0" quotePrefix="1" applyFont="1" applyFill="1" applyBorder="1" applyAlignment="1">
      <alignment horizontal="center" vertical="center"/>
    </xf>
    <xf numFmtId="0" fontId="24" fillId="10" borderId="41" xfId="0" applyFont="1" applyFill="1" applyBorder="1" applyAlignment="1">
      <alignment horizontal="center" vertical="center"/>
    </xf>
    <xf numFmtId="0" fontId="24" fillId="10" borderId="27" xfId="0" applyFont="1" applyFill="1" applyBorder="1" applyAlignment="1">
      <alignment horizontal="center" vertical="center"/>
    </xf>
    <xf numFmtId="0" fontId="24" fillId="10" borderId="28" xfId="0" applyFont="1" applyFill="1" applyBorder="1" applyAlignment="1">
      <alignment horizontal="center" vertical="center"/>
    </xf>
    <xf numFmtId="0" fontId="25" fillId="10" borderId="48" xfId="0" applyFont="1" applyFill="1" applyBorder="1" applyAlignment="1">
      <alignment horizontal="center" vertical="center"/>
    </xf>
    <xf numFmtId="0" fontId="25" fillId="10" borderId="49" xfId="0" applyFont="1" applyFill="1" applyBorder="1" applyAlignment="1">
      <alignment horizontal="center" vertical="center"/>
    </xf>
    <xf numFmtId="0" fontId="25" fillId="10" borderId="52" xfId="0" applyFont="1" applyFill="1" applyBorder="1" applyAlignment="1">
      <alignment horizontal="center" vertical="center"/>
    </xf>
    <xf numFmtId="0" fontId="2" fillId="2" borderId="43" xfId="0" quotePrefix="1" applyFont="1" applyFill="1" applyBorder="1" applyAlignment="1">
      <alignment horizontal="center" vertical="center"/>
    </xf>
    <xf numFmtId="0" fontId="2" fillId="2" borderId="44" xfId="0" quotePrefix="1" applyFont="1" applyFill="1" applyBorder="1" applyAlignment="1">
      <alignment horizontal="center" vertical="center"/>
    </xf>
    <xf numFmtId="0" fontId="2" fillId="2" borderId="45" xfId="0" quotePrefix="1" applyFont="1" applyFill="1" applyBorder="1" applyAlignment="1">
      <alignment horizontal="center" vertical="center"/>
    </xf>
    <xf numFmtId="0" fontId="23" fillId="2" borderId="43" xfId="0" quotePrefix="1" applyFont="1" applyFill="1" applyBorder="1" applyAlignment="1">
      <alignment horizontal="center" vertical="center"/>
    </xf>
    <xf numFmtId="0" fontId="23" fillId="2" borderId="44" xfId="0" quotePrefix="1" applyFont="1" applyFill="1" applyBorder="1" applyAlignment="1">
      <alignment horizontal="center" vertical="center"/>
    </xf>
    <xf numFmtId="0" fontId="23" fillId="2" borderId="45" xfId="0" quotePrefix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0" fillId="0" borderId="0" xfId="0" applyAlignment="1">
      <alignment horizontal="left" vertical="center"/>
    </xf>
    <xf numFmtId="0" fontId="0" fillId="12" borderId="1" xfId="0" applyFill="1" applyBorder="1" applyAlignment="1">
      <alignment horizontal="center" vertical="center"/>
    </xf>
    <xf numFmtId="0" fontId="12" fillId="2" borderId="4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2" borderId="29" xfId="0" applyFill="1" applyBorder="1" applyAlignment="1">
      <alignment horizontal="left"/>
    </xf>
    <xf numFmtId="0" fontId="1" fillId="0" borderId="0" xfId="0" applyFont="1" applyAlignment="1">
      <alignment horizontal="center" vertical="center"/>
    </xf>
    <xf numFmtId="16" fontId="2" fillId="0" borderId="0" xfId="0" quotePrefix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6" fontId="33" fillId="2" borderId="3" xfId="0" quotePrefix="1" applyNumberFormat="1" applyFont="1" applyFill="1" applyBorder="1" applyAlignment="1">
      <alignment horizontal="left" vertical="top" wrapText="1"/>
    </xf>
    <xf numFmtId="0" fontId="5" fillId="2" borderId="62" xfId="0" applyFont="1" applyFill="1" applyBorder="1" applyAlignment="1">
      <alignment horizontal="center" vertical="center" wrapText="1"/>
    </xf>
    <xf numFmtId="0" fontId="5" fillId="2" borderId="64" xfId="0" applyFont="1" applyFill="1" applyBorder="1" applyAlignment="1">
      <alignment horizontal="center" vertical="center" wrapText="1"/>
    </xf>
    <xf numFmtId="0" fontId="5" fillId="2" borderId="63" xfId="0" applyFont="1" applyFill="1" applyBorder="1" applyAlignment="1">
      <alignment horizontal="center" vertical="center" wrapText="1"/>
    </xf>
    <xf numFmtId="167" fontId="39" fillId="0" borderId="43" xfId="0" quotePrefix="1" applyNumberFormat="1" applyFont="1" applyBorder="1" applyAlignment="1">
      <alignment horizontal="center" vertical="center"/>
    </xf>
    <xf numFmtId="167" fontId="39" fillId="0" borderId="44" xfId="0" quotePrefix="1" applyNumberFormat="1" applyFont="1" applyBorder="1" applyAlignment="1">
      <alignment horizontal="center" vertical="center"/>
    </xf>
    <xf numFmtId="167" fontId="40" fillId="0" borderId="0" xfId="0" applyNumberFormat="1" applyFont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2" fontId="1" fillId="5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29" fillId="0" borderId="7" xfId="0" applyFont="1" applyBorder="1" applyAlignment="1">
      <alignment horizontal="center" vertical="center"/>
    </xf>
    <xf numFmtId="0" fontId="29" fillId="0" borderId="8" xfId="0" applyFont="1" applyBorder="1" applyAlignment="1">
      <alignment horizontal="center" vertical="center"/>
    </xf>
    <xf numFmtId="0" fontId="29" fillId="0" borderId="9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2" fontId="1" fillId="5" borderId="7" xfId="0" applyNumberFormat="1" applyFont="1" applyFill="1" applyBorder="1" applyAlignment="1">
      <alignment horizontal="center" vertical="center"/>
    </xf>
    <xf numFmtId="2" fontId="1" fillId="5" borderId="9" xfId="0" applyNumberFormat="1" applyFont="1" applyFill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164" fontId="1" fillId="19" borderId="10" xfId="0" applyNumberFormat="1" applyFont="1" applyFill="1" applyBorder="1" applyAlignment="1">
      <alignment horizontal="center" vertical="center"/>
    </xf>
    <xf numFmtId="164" fontId="1" fillId="19" borderId="34" xfId="0" applyNumberFormat="1" applyFont="1" applyFill="1" applyBorder="1" applyAlignment="1">
      <alignment horizontal="center" vertical="center"/>
    </xf>
    <xf numFmtId="164" fontId="1" fillId="19" borderId="2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5" fillId="13" borderId="36" xfId="0" applyFont="1" applyFill="1" applyBorder="1" applyAlignment="1">
      <alignment horizontal="center" vertical="center"/>
    </xf>
    <xf numFmtId="0" fontId="5" fillId="13" borderId="0" xfId="0" applyFont="1" applyFill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34" xfId="0" applyNumberFormat="1" applyBorder="1" applyAlignment="1">
      <alignment horizontal="center" vertical="center"/>
    </xf>
    <xf numFmtId="164" fontId="0" fillId="0" borderId="29" xfId="0" applyNumberFormat="1" applyBorder="1" applyAlignment="1">
      <alignment horizontal="center" vertical="center"/>
    </xf>
    <xf numFmtId="165" fontId="0" fillId="0" borderId="10" xfId="0" applyNumberFormat="1" applyFill="1" applyBorder="1" applyAlignment="1">
      <alignment horizontal="center" vertical="center"/>
    </xf>
    <xf numFmtId="165" fontId="0" fillId="0" borderId="34" xfId="0" applyNumberFormat="1" applyFill="1" applyBorder="1" applyAlignment="1">
      <alignment horizontal="center" vertical="center"/>
    </xf>
    <xf numFmtId="165" fontId="0" fillId="0" borderId="29" xfId="0" applyNumberFormat="1" applyFill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29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34" xfId="0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2" fontId="0" fillId="0" borderId="10" xfId="0" applyNumberFormat="1" applyFill="1" applyBorder="1" applyAlignment="1">
      <alignment horizontal="center" vertical="center"/>
    </xf>
    <xf numFmtId="2" fontId="0" fillId="0" borderId="34" xfId="0" applyNumberFormat="1" applyFill="1" applyBorder="1" applyAlignment="1">
      <alignment horizontal="center" vertical="center"/>
    </xf>
    <xf numFmtId="2" fontId="0" fillId="0" borderId="29" xfId="0" applyNumberFormat="1" applyFill="1" applyBorder="1" applyAlignment="1">
      <alignment horizontal="center" vertical="center"/>
    </xf>
    <xf numFmtId="0" fontId="0" fillId="0" borderId="10" xfId="0" applyFont="1" applyFill="1" applyBorder="1" applyAlignment="1">
      <alignment horizontal="center" vertical="center"/>
    </xf>
    <xf numFmtId="0" fontId="0" fillId="0" borderId="29" xfId="0" applyFont="1" applyFill="1" applyBorder="1" applyAlignment="1">
      <alignment horizontal="center" vertical="center"/>
    </xf>
    <xf numFmtId="0" fontId="0" fillId="2" borderId="10" xfId="0" applyFont="1" applyFill="1" applyBorder="1" applyAlignment="1">
      <alignment horizontal="center" vertical="center" wrapText="1"/>
    </xf>
    <xf numFmtId="0" fontId="0" fillId="2" borderId="34" xfId="0" applyFont="1" applyFill="1" applyBorder="1" applyAlignment="1">
      <alignment horizontal="center" vertical="center" wrapText="1"/>
    </xf>
    <xf numFmtId="0" fontId="0" fillId="2" borderId="2" xfId="0" applyFont="1" applyFill="1" applyBorder="1" applyAlignment="1">
      <alignment horizontal="center" vertical="center"/>
    </xf>
    <xf numFmtId="0" fontId="0" fillId="2" borderId="36" xfId="0" applyFont="1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2" fontId="0" fillId="2" borderId="10" xfId="0" applyNumberFormat="1" applyFill="1" applyBorder="1" applyAlignment="1">
      <alignment horizontal="center" vertical="center"/>
    </xf>
    <xf numFmtId="2" fontId="0" fillId="2" borderId="34" xfId="0" applyNumberForma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/>
    </xf>
    <xf numFmtId="0" fontId="1" fillId="17" borderId="56" xfId="0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1" fillId="17" borderId="7" xfId="0" applyFont="1" applyFill="1" applyBorder="1" applyAlignment="1">
      <alignment horizontal="center" vertical="center"/>
    </xf>
    <xf numFmtId="0" fontId="1" fillId="17" borderId="8" xfId="0" applyFont="1" applyFill="1" applyBorder="1" applyAlignment="1">
      <alignment horizontal="center" vertical="center"/>
    </xf>
    <xf numFmtId="0" fontId="1" fillId="17" borderId="9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10" xfId="0" applyFont="1" applyFill="1" applyBorder="1" applyAlignment="1">
      <alignment horizontal="center" vertical="center" wrapText="1"/>
    </xf>
    <xf numFmtId="0" fontId="0" fillId="0" borderId="34" xfId="0" applyFont="1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34" xfId="0" applyFont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1" fillId="17" borderId="10" xfId="0" applyFont="1" applyFill="1" applyBorder="1" applyAlignment="1">
      <alignment horizontal="center" vertical="center"/>
    </xf>
    <xf numFmtId="0" fontId="1" fillId="17" borderId="29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34" xfId="0" applyFont="1" applyFill="1" applyBorder="1" applyAlignment="1">
      <alignment horizontal="center" vertical="center"/>
    </xf>
    <xf numFmtId="0" fontId="1" fillId="0" borderId="29" xfId="0" applyFont="1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 wrapText="1"/>
    </xf>
    <xf numFmtId="0" fontId="0" fillId="0" borderId="34" xfId="0" applyFill="1" applyBorder="1" applyAlignment="1">
      <alignment horizontal="center" vertical="center" wrapText="1"/>
    </xf>
    <xf numFmtId="0" fontId="0" fillId="0" borderId="29" xfId="0" applyFill="1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1" fillId="0" borderId="34" xfId="0" applyFont="1" applyBorder="1" applyAlignment="1">
      <alignment horizontal="center" vertical="center"/>
    </xf>
    <xf numFmtId="0" fontId="0" fillId="2" borderId="10" xfId="0" applyFill="1" applyBorder="1" applyAlignment="1">
      <alignment horizontal="center" vertical="center" wrapText="1"/>
    </xf>
    <xf numFmtId="0" fontId="0" fillId="2" borderId="34" xfId="0" applyFill="1" applyBorder="1" applyAlignment="1">
      <alignment horizontal="center" vertical="center" wrapText="1"/>
    </xf>
    <xf numFmtId="2" fontId="1" fillId="2" borderId="1" xfId="0" applyNumberFormat="1" applyFont="1" applyFill="1" applyBorder="1" applyAlignment="1">
      <alignment horizontal="center" vertical="center"/>
    </xf>
    <xf numFmtId="2" fontId="1" fillId="2" borderId="10" xfId="0" applyNumberFormat="1" applyFont="1" applyFill="1" applyBorder="1" applyAlignment="1">
      <alignment horizontal="center" vertical="center"/>
    </xf>
    <xf numFmtId="2" fontId="1" fillId="2" borderId="34" xfId="0" applyNumberFormat="1" applyFont="1" applyFill="1" applyBorder="1" applyAlignment="1">
      <alignment horizontal="center" vertical="center"/>
    </xf>
    <xf numFmtId="2" fontId="1" fillId="0" borderId="10" xfId="0" applyNumberFormat="1" applyFont="1" applyFill="1" applyBorder="1" applyAlignment="1">
      <alignment horizontal="center" vertical="center"/>
    </xf>
    <xf numFmtId="2" fontId="1" fillId="0" borderId="34" xfId="0" applyNumberFormat="1" applyFont="1" applyFill="1" applyBorder="1" applyAlignment="1">
      <alignment horizontal="center" vertical="center"/>
    </xf>
    <xf numFmtId="2" fontId="1" fillId="0" borderId="29" xfId="0" applyNumberFormat="1" applyFont="1" applyFill="1" applyBorder="1" applyAlignment="1">
      <alignment horizontal="center" vertical="center"/>
    </xf>
    <xf numFmtId="16" fontId="0" fillId="0" borderId="1" xfId="0" applyNumberFormat="1" applyFill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14" fontId="0" fillId="0" borderId="7" xfId="0" applyNumberFormat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14" fontId="0" fillId="0" borderId="9" xfId="0" applyNumberFormat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14" fontId="0" fillId="18" borderId="1" xfId="0" applyNumberFormat="1" applyFill="1" applyBorder="1" applyAlignment="1">
      <alignment horizontal="center"/>
    </xf>
    <xf numFmtId="0" fontId="0" fillId="17" borderId="1" xfId="0" applyFill="1" applyBorder="1" applyAlignment="1">
      <alignment horizontal="center"/>
    </xf>
    <xf numFmtId="0" fontId="0" fillId="17" borderId="1" xfId="0" applyFill="1" applyBorder="1" applyAlignment="1">
      <alignment horizontal="center" vertical="center"/>
    </xf>
    <xf numFmtId="14" fontId="0" fillId="17" borderId="1" xfId="0" applyNumberForma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94">
    <dxf>
      <font>
        <b/>
        <i val="0"/>
        <color rgb="FFC00000"/>
      </font>
      <fill>
        <patternFill>
          <bgColor rgb="FFFFFF00"/>
        </patternFill>
      </fill>
    </dxf>
    <dxf>
      <font>
        <b/>
        <i val="0"/>
      </font>
      <fill>
        <patternFill>
          <bgColor theme="9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F4EE70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J257"/>
  <sheetViews>
    <sheetView topLeftCell="J1" zoomScaleNormal="100" workbookViewId="0">
      <pane ySplit="4" topLeftCell="A5" activePane="bottomLeft" state="frozen"/>
      <selection activeCell="AE129" sqref="AE129"/>
      <selection pane="bottomLeft" activeCell="P6" sqref="P6"/>
    </sheetView>
  </sheetViews>
  <sheetFormatPr baseColWidth="10" defaultRowHeight="15" x14ac:dyDescent="0.25"/>
  <cols>
    <col min="2" max="2" width="11.140625" customWidth="1"/>
    <col min="3" max="3" width="35.42578125" customWidth="1"/>
    <col min="4" max="4" width="12.140625" customWidth="1"/>
    <col min="5" max="5" width="32.5703125" customWidth="1"/>
    <col min="6" max="6" width="11.42578125" customWidth="1"/>
    <col min="7" max="7" width="13.28515625" customWidth="1"/>
    <col min="8" max="8" width="11.7109375" customWidth="1"/>
    <col min="9" max="9" width="7.42578125" hidden="1" customWidth="1"/>
    <col min="11" max="11" width="13.140625" customWidth="1"/>
    <col min="13" max="13" width="35.140625" customWidth="1"/>
    <col min="14" max="20" width="14.28515625" customWidth="1"/>
    <col min="25" max="25" width="8.7109375" customWidth="1"/>
    <col min="26" max="26" width="9.5703125" customWidth="1"/>
    <col min="31" max="31" width="13.28515625" customWidth="1"/>
  </cols>
  <sheetData>
    <row r="1" spans="1:36" ht="14.45" customHeight="1" x14ac:dyDescent="0.25">
      <c r="A1" s="628" t="s">
        <v>0</v>
      </c>
      <c r="B1" s="628"/>
      <c r="C1" s="628"/>
      <c r="D1" s="628"/>
      <c r="E1" s="628"/>
      <c r="F1" s="628"/>
      <c r="G1" s="628"/>
      <c r="H1" s="628"/>
      <c r="I1" s="628"/>
      <c r="J1" s="628"/>
      <c r="K1" s="628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</row>
    <row r="2" spans="1:36" ht="14.45" customHeight="1" x14ac:dyDescent="0.25">
      <c r="A2" s="628"/>
      <c r="B2" s="628"/>
      <c r="C2" s="628"/>
      <c r="D2" s="628"/>
      <c r="E2" s="628"/>
      <c r="F2" s="628"/>
      <c r="G2" s="628"/>
      <c r="H2" s="628"/>
      <c r="I2" s="628"/>
      <c r="J2" s="628"/>
      <c r="K2" s="628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</row>
    <row r="3" spans="1:36" ht="14.45" customHeight="1" x14ac:dyDescent="0.25">
      <c r="A3" s="628"/>
      <c r="B3" s="628"/>
      <c r="C3" s="628"/>
      <c r="D3" s="628"/>
      <c r="E3" s="628"/>
      <c r="F3" s="628"/>
      <c r="G3" s="628"/>
      <c r="H3" s="628"/>
      <c r="I3" s="628"/>
      <c r="J3" s="628"/>
      <c r="K3" s="628"/>
      <c r="M3" t="s">
        <v>695</v>
      </c>
      <c r="U3" s="7"/>
      <c r="V3" s="7"/>
      <c r="W3" s="7"/>
      <c r="X3" s="7"/>
      <c r="Y3" s="7"/>
      <c r="Z3" s="7"/>
      <c r="AA3" s="7"/>
      <c r="AB3" s="7"/>
      <c r="AC3" s="7"/>
      <c r="AD3" s="7"/>
      <c r="AE3" s="7"/>
    </row>
    <row r="4" spans="1:36" ht="30" x14ac:dyDescent="0.25">
      <c r="A4" s="86" t="s">
        <v>95</v>
      </c>
      <c r="B4" s="86" t="s">
        <v>88</v>
      </c>
      <c r="C4" s="87" t="s">
        <v>97</v>
      </c>
      <c r="D4" s="629" t="s">
        <v>2</v>
      </c>
      <c r="E4" s="629"/>
      <c r="F4" s="629"/>
      <c r="G4" s="629"/>
      <c r="H4" s="629"/>
      <c r="I4" s="629"/>
      <c r="J4" s="86" t="s">
        <v>3</v>
      </c>
      <c r="K4" s="283" t="str">
        <f>CONCATENATE(C98,"%")</f>
        <v>10%</v>
      </c>
      <c r="L4" s="6"/>
      <c r="M4" s="6"/>
      <c r="N4" s="467"/>
      <c r="O4" s="467"/>
      <c r="P4" s="467"/>
      <c r="Q4" s="638" t="s">
        <v>584</v>
      </c>
      <c r="R4" s="639"/>
      <c r="S4" s="640"/>
      <c r="T4" s="493"/>
      <c r="U4" s="10"/>
      <c r="X4" s="189"/>
      <c r="Y4" s="189"/>
      <c r="Z4" s="10"/>
      <c r="AA4" s="227"/>
      <c r="AB4" s="10"/>
      <c r="AC4" s="10"/>
      <c r="AD4" s="10"/>
      <c r="AE4" s="10"/>
    </row>
    <row r="5" spans="1:36" ht="38.25" x14ac:dyDescent="0.25">
      <c r="A5" s="72"/>
      <c r="B5" s="72">
        <v>1</v>
      </c>
      <c r="C5" s="72">
        <f>'DETALLE DE VENTAS'!AC281-A5-B5</f>
        <v>0</v>
      </c>
      <c r="D5" s="613" t="s">
        <v>40</v>
      </c>
      <c r="E5" s="614"/>
      <c r="F5" s="614"/>
      <c r="G5" s="614"/>
      <c r="H5" s="615"/>
      <c r="I5" s="241"/>
      <c r="J5" s="236">
        <f>K5/$C$97</f>
        <v>100</v>
      </c>
      <c r="K5" s="236">
        <v>90</v>
      </c>
      <c r="M5" s="453" t="s">
        <v>2</v>
      </c>
      <c r="N5" s="453" t="s">
        <v>87</v>
      </c>
      <c r="O5" s="468" t="s">
        <v>788</v>
      </c>
      <c r="P5" s="602" t="s">
        <v>789</v>
      </c>
      <c r="Q5" s="468" t="s">
        <v>582</v>
      </c>
      <c r="R5" s="468" t="s">
        <v>527</v>
      </c>
      <c r="S5" s="468"/>
      <c r="T5" s="468" t="s">
        <v>581</v>
      </c>
      <c r="U5" s="468"/>
      <c r="V5" s="453"/>
      <c r="W5" s="454" t="s">
        <v>526</v>
      </c>
      <c r="X5" s="455" t="s">
        <v>583</v>
      </c>
      <c r="Y5" s="308"/>
      <c r="Z5" s="308"/>
      <c r="AA5" s="426"/>
      <c r="AB5" s="427"/>
      <c r="AC5" s="449"/>
      <c r="AD5" s="441"/>
      <c r="AE5" s="441"/>
      <c r="AF5" s="441"/>
      <c r="AG5" s="308"/>
      <c r="AH5" s="308"/>
      <c r="AJ5" s="103"/>
    </row>
    <row r="6" spans="1:36" x14ac:dyDescent="0.25">
      <c r="A6" s="242"/>
      <c r="B6" s="242">
        <v>6</v>
      </c>
      <c r="C6" s="242">
        <f>'DETALLE DE VENTAS'!Q306-B6-A6</f>
        <v>0</v>
      </c>
      <c r="D6" s="632" t="s">
        <v>253</v>
      </c>
      <c r="E6" s="633"/>
      <c r="F6" s="633"/>
      <c r="G6" s="633"/>
      <c r="H6" s="634"/>
      <c r="I6" s="243"/>
      <c r="J6" s="271">
        <f t="shared" ref="J6:J36" si="0">K6/$C$97</f>
        <v>17.777777777777779</v>
      </c>
      <c r="K6" s="271">
        <v>16</v>
      </c>
      <c r="M6" s="456" t="s">
        <v>528</v>
      </c>
      <c r="N6" s="453">
        <v>30.53</v>
      </c>
      <c r="O6" s="469">
        <f>N6</f>
        <v>30.53</v>
      </c>
      <c r="P6" s="603">
        <f>O6/0.8</f>
        <v>38.162500000000001</v>
      </c>
      <c r="Q6" s="469">
        <v>30</v>
      </c>
      <c r="R6" s="469">
        <v>28</v>
      </c>
      <c r="S6" s="469">
        <f>Q6/0.92</f>
        <v>32.608695652173914</v>
      </c>
      <c r="T6" s="469">
        <f>Q6*0.9</f>
        <v>27</v>
      </c>
      <c r="U6" s="469"/>
      <c r="V6" s="457"/>
      <c r="W6" s="458">
        <v>6</v>
      </c>
      <c r="X6" s="458">
        <v>20</v>
      </c>
      <c r="Y6" s="308"/>
      <c r="Z6" s="308"/>
      <c r="AA6" s="426"/>
      <c r="AB6" s="427"/>
      <c r="AC6" s="449"/>
      <c r="AD6" s="441"/>
      <c r="AE6" s="441"/>
      <c r="AF6" s="441"/>
      <c r="AG6" s="308"/>
      <c r="AH6" s="308"/>
    </row>
    <row r="7" spans="1:36" x14ac:dyDescent="0.25">
      <c r="A7" s="242"/>
      <c r="B7" s="242">
        <v>8</v>
      </c>
      <c r="C7" s="242">
        <f>'DETALLE DE VENTAS'!Q307-B7-A7</f>
        <v>0</v>
      </c>
      <c r="D7" s="632" t="s">
        <v>248</v>
      </c>
      <c r="E7" s="633"/>
      <c r="F7" s="633"/>
      <c r="G7" s="633"/>
      <c r="H7" s="634"/>
      <c r="I7" s="243"/>
      <c r="J7" s="271">
        <f t="shared" si="0"/>
        <v>18.888888888888889</v>
      </c>
      <c r="K7" s="271">
        <v>17</v>
      </c>
      <c r="M7" s="456" t="s">
        <v>529</v>
      </c>
      <c r="N7" s="453">
        <v>11.63</v>
      </c>
      <c r="O7" s="469">
        <f t="shared" ref="O7:O28" si="1">N7</f>
        <v>11.63</v>
      </c>
      <c r="P7" s="603">
        <f t="shared" ref="P7:P28" si="2">O7/0.8</f>
        <v>14.5375</v>
      </c>
      <c r="Q7" s="469">
        <v>14</v>
      </c>
      <c r="R7" s="469">
        <v>12.5</v>
      </c>
      <c r="S7" s="469">
        <f t="shared" ref="S7:S28" si="3">Q7/0.92</f>
        <v>15.217391304347826</v>
      </c>
      <c r="T7" s="469">
        <f t="shared" ref="T7:T28" si="4">Q7*0.9</f>
        <v>12.6</v>
      </c>
      <c r="U7" s="469"/>
      <c r="V7" s="457"/>
      <c r="W7" s="458">
        <v>12</v>
      </c>
      <c r="X7" s="458">
        <v>40</v>
      </c>
      <c r="Y7" s="308"/>
      <c r="Z7" s="308"/>
      <c r="AA7" s="426"/>
      <c r="AB7" s="427"/>
      <c r="AC7" s="449"/>
      <c r="AD7" s="441"/>
      <c r="AE7" s="441"/>
      <c r="AF7" s="441"/>
      <c r="AG7" s="308"/>
      <c r="AH7" s="308"/>
    </row>
    <row r="8" spans="1:36" x14ac:dyDescent="0.25">
      <c r="A8" s="242"/>
      <c r="B8" s="242">
        <v>6</v>
      </c>
      <c r="C8" s="242">
        <f>'DETALLE DE VENTAS'!Q308-B8-A8</f>
        <v>0</v>
      </c>
      <c r="D8" s="632" t="s">
        <v>254</v>
      </c>
      <c r="E8" s="633"/>
      <c r="F8" s="633"/>
      <c r="G8" s="633"/>
      <c r="H8" s="633"/>
      <c r="I8" s="244"/>
      <c r="J8" s="271">
        <f t="shared" si="0"/>
        <v>37.777777777777779</v>
      </c>
      <c r="K8" s="271">
        <v>34</v>
      </c>
      <c r="M8" s="456" t="s">
        <v>530</v>
      </c>
      <c r="N8" s="453">
        <v>6.42</v>
      </c>
      <c r="O8" s="469">
        <f t="shared" si="1"/>
        <v>6.42</v>
      </c>
      <c r="P8" s="603">
        <f t="shared" si="2"/>
        <v>8.0249999999999986</v>
      </c>
      <c r="Q8" s="469">
        <v>8</v>
      </c>
      <c r="R8" s="469">
        <v>7</v>
      </c>
      <c r="S8" s="469">
        <f t="shared" si="3"/>
        <v>8.695652173913043</v>
      </c>
      <c r="T8" s="469">
        <f t="shared" si="4"/>
        <v>7.2</v>
      </c>
      <c r="U8" s="469"/>
      <c r="V8" s="457"/>
      <c r="W8" s="458">
        <v>12</v>
      </c>
      <c r="X8" s="458">
        <v>40</v>
      </c>
      <c r="Y8" s="308"/>
      <c r="Z8" s="308"/>
      <c r="AA8" s="426"/>
      <c r="AB8" s="427"/>
      <c r="AC8" s="449"/>
      <c r="AD8" s="441"/>
      <c r="AE8" s="441"/>
      <c r="AF8" s="441"/>
      <c r="AG8" s="308"/>
      <c r="AH8" s="308"/>
      <c r="AI8" s="8"/>
      <c r="AJ8" s="8"/>
    </row>
    <row r="9" spans="1:36" x14ac:dyDescent="0.25">
      <c r="A9" s="72"/>
      <c r="B9" s="72">
        <v>0</v>
      </c>
      <c r="C9" s="72">
        <f>'DETALLE DE VENTAS'!AC266-A9-B9</f>
        <v>0</v>
      </c>
      <c r="D9" s="613" t="s">
        <v>27</v>
      </c>
      <c r="E9" s="614"/>
      <c r="F9" s="614"/>
      <c r="G9" s="614"/>
      <c r="H9" s="614"/>
      <c r="I9" s="235"/>
      <c r="J9" s="236">
        <f t="shared" si="0"/>
        <v>144.44444444444443</v>
      </c>
      <c r="K9" s="236">
        <v>130</v>
      </c>
      <c r="M9" s="456" t="s">
        <v>306</v>
      </c>
      <c r="N9" s="453">
        <v>32.86</v>
      </c>
      <c r="O9" s="469">
        <f t="shared" si="1"/>
        <v>32.86</v>
      </c>
      <c r="P9" s="603">
        <f t="shared" si="2"/>
        <v>41.074999999999996</v>
      </c>
      <c r="Q9" s="469">
        <v>34</v>
      </c>
      <c r="R9" s="469">
        <v>32</v>
      </c>
      <c r="S9" s="469">
        <f t="shared" si="3"/>
        <v>36.95652173913043</v>
      </c>
      <c r="T9" s="469">
        <f t="shared" si="4"/>
        <v>30.6</v>
      </c>
      <c r="U9" s="469"/>
      <c r="V9" s="457"/>
      <c r="W9" s="458">
        <v>6</v>
      </c>
      <c r="X9" s="458">
        <v>20</v>
      </c>
      <c r="Y9" s="308"/>
      <c r="Z9" s="308"/>
      <c r="AA9" s="426"/>
      <c r="AB9" s="427"/>
      <c r="AC9" s="449"/>
      <c r="AD9" s="441"/>
      <c r="AE9" s="441"/>
      <c r="AF9" s="441"/>
      <c r="AG9" s="308"/>
      <c r="AH9" s="308"/>
      <c r="AI9" s="8"/>
      <c r="AJ9" s="8"/>
    </row>
    <row r="10" spans="1:36" x14ac:dyDescent="0.25">
      <c r="A10" s="72"/>
      <c r="B10" s="72">
        <v>5</v>
      </c>
      <c r="C10" s="72">
        <f>'DETALLE DE VENTAS'!AC268-A10-B10</f>
        <v>0</v>
      </c>
      <c r="D10" s="613" t="s">
        <v>29</v>
      </c>
      <c r="E10" s="614"/>
      <c r="F10" s="614"/>
      <c r="G10" s="614"/>
      <c r="H10" s="614"/>
      <c r="I10" s="235"/>
      <c r="J10" s="236">
        <f t="shared" si="0"/>
        <v>144.44444444444443</v>
      </c>
      <c r="K10" s="236">
        <v>130</v>
      </c>
      <c r="M10" s="456" t="s">
        <v>315</v>
      </c>
      <c r="N10" s="453">
        <v>10.130000000000001</v>
      </c>
      <c r="O10" s="469">
        <f t="shared" si="1"/>
        <v>10.130000000000001</v>
      </c>
      <c r="P10" s="603">
        <f t="shared" si="2"/>
        <v>12.6625</v>
      </c>
      <c r="Q10" s="469">
        <v>12</v>
      </c>
      <c r="R10" s="469">
        <v>11</v>
      </c>
      <c r="S10" s="469">
        <f t="shared" si="3"/>
        <v>13.043478260869565</v>
      </c>
      <c r="T10" s="469">
        <f t="shared" si="4"/>
        <v>10.8</v>
      </c>
      <c r="U10" s="469"/>
      <c r="V10" s="457"/>
      <c r="W10" s="458">
        <v>12</v>
      </c>
      <c r="X10" s="458">
        <v>40</v>
      </c>
      <c r="Y10" s="308"/>
      <c r="Z10" s="308"/>
      <c r="AA10" s="308"/>
      <c r="AB10" s="427"/>
      <c r="AC10" s="425"/>
      <c r="AD10" s="425"/>
      <c r="AE10" s="425"/>
      <c r="AF10" s="425"/>
      <c r="AG10" s="425"/>
      <c r="AH10" s="425"/>
      <c r="AI10" s="434">
        <v>100</v>
      </c>
      <c r="AJ10" s="8"/>
    </row>
    <row r="11" spans="1:36" x14ac:dyDescent="0.25">
      <c r="A11" s="72"/>
      <c r="B11" s="72">
        <v>6</v>
      </c>
      <c r="C11" s="72">
        <f>'DETALLE DE VENTAS'!AC270-A11-B11</f>
        <v>0</v>
      </c>
      <c r="D11" s="613" t="s">
        <v>30</v>
      </c>
      <c r="E11" s="614"/>
      <c r="F11" s="614"/>
      <c r="G11" s="614"/>
      <c r="H11" s="615"/>
      <c r="I11" s="237"/>
      <c r="J11" s="236">
        <f t="shared" si="0"/>
        <v>144.44444444444443</v>
      </c>
      <c r="K11" s="236">
        <v>130</v>
      </c>
      <c r="M11" s="456" t="s">
        <v>531</v>
      </c>
      <c r="N11" s="453">
        <v>41.01</v>
      </c>
      <c r="O11" s="469">
        <f t="shared" si="1"/>
        <v>41.01</v>
      </c>
      <c r="P11" s="603">
        <f t="shared" si="2"/>
        <v>51.262499999999996</v>
      </c>
      <c r="Q11" s="469">
        <v>42</v>
      </c>
      <c r="R11" s="469">
        <v>40</v>
      </c>
      <c r="S11" s="469">
        <f t="shared" si="3"/>
        <v>45.652173913043477</v>
      </c>
      <c r="T11" s="469">
        <f t="shared" si="4"/>
        <v>37.800000000000004</v>
      </c>
      <c r="U11" s="469"/>
      <c r="V11" s="457"/>
      <c r="W11" s="458">
        <v>6</v>
      </c>
      <c r="X11" s="458">
        <v>20</v>
      </c>
      <c r="Y11" s="308"/>
      <c r="Z11" s="308"/>
      <c r="AA11" s="308"/>
      <c r="AB11" s="427"/>
      <c r="AC11" s="425"/>
      <c r="AD11" s="425"/>
      <c r="AE11" s="425"/>
      <c r="AF11" s="425"/>
      <c r="AG11" s="425"/>
      <c r="AH11" s="425"/>
      <c r="AI11" s="434">
        <v>300</v>
      </c>
      <c r="AJ11" s="8"/>
    </row>
    <row r="12" spans="1:36" x14ac:dyDescent="0.25">
      <c r="A12" s="72"/>
      <c r="B12" s="72">
        <v>8</v>
      </c>
      <c r="C12" s="72">
        <f>'DETALLE DE VENTAS'!AC267-A12-B12</f>
        <v>0</v>
      </c>
      <c r="D12" s="613" t="s">
        <v>28</v>
      </c>
      <c r="E12" s="614"/>
      <c r="F12" s="614"/>
      <c r="G12" s="614"/>
      <c r="H12" s="615"/>
      <c r="I12" s="237"/>
      <c r="J12" s="236">
        <f t="shared" si="0"/>
        <v>33.333333333333336</v>
      </c>
      <c r="K12" s="236">
        <v>30</v>
      </c>
      <c r="M12" s="456" t="s">
        <v>53</v>
      </c>
      <c r="N12" s="453">
        <v>23.19</v>
      </c>
      <c r="O12" s="469">
        <f t="shared" si="1"/>
        <v>23.19</v>
      </c>
      <c r="P12" s="603">
        <f t="shared" si="2"/>
        <v>28.987500000000001</v>
      </c>
      <c r="Q12" s="469">
        <v>28</v>
      </c>
      <c r="R12" s="469">
        <v>26</v>
      </c>
      <c r="S12" s="469">
        <f t="shared" si="3"/>
        <v>30.434782608695652</v>
      </c>
      <c r="T12" s="469">
        <f t="shared" si="4"/>
        <v>25.2</v>
      </c>
      <c r="U12" s="469"/>
      <c r="V12" s="457"/>
      <c r="W12" s="458" t="s">
        <v>336</v>
      </c>
      <c r="X12" s="458"/>
      <c r="Y12" s="308"/>
      <c r="Z12" s="308"/>
      <c r="AA12" s="308"/>
      <c r="AB12" s="427"/>
      <c r="AC12" s="425"/>
      <c r="AD12" s="425"/>
      <c r="AE12" s="425"/>
      <c r="AF12" s="425"/>
      <c r="AG12" s="425"/>
      <c r="AH12" s="425"/>
      <c r="AI12" s="434">
        <v>100</v>
      </c>
      <c r="AJ12" s="8"/>
    </row>
    <row r="13" spans="1:36" x14ac:dyDescent="0.25">
      <c r="A13" s="72"/>
      <c r="B13" s="72">
        <v>9</v>
      </c>
      <c r="C13" s="72">
        <f>'DETALLE DE VENTAS'!AC269-A13-B13</f>
        <v>0</v>
      </c>
      <c r="D13" s="613" t="s">
        <v>113</v>
      </c>
      <c r="E13" s="614"/>
      <c r="F13" s="614"/>
      <c r="G13" s="614"/>
      <c r="H13" s="615"/>
      <c r="I13" s="237"/>
      <c r="J13" s="236">
        <f t="shared" si="0"/>
        <v>33.333333333333336</v>
      </c>
      <c r="K13" s="236">
        <v>30</v>
      </c>
      <c r="M13" s="456" t="s">
        <v>532</v>
      </c>
      <c r="N13" s="453">
        <v>6.78</v>
      </c>
      <c r="O13" s="469">
        <f t="shared" si="1"/>
        <v>6.78</v>
      </c>
      <c r="P13" s="603">
        <f t="shared" si="2"/>
        <v>8.4749999999999996</v>
      </c>
      <c r="Q13" s="469">
        <v>8</v>
      </c>
      <c r="R13" s="469">
        <v>7.5</v>
      </c>
      <c r="S13" s="469">
        <f t="shared" si="3"/>
        <v>8.695652173913043</v>
      </c>
      <c r="T13" s="469">
        <f t="shared" si="4"/>
        <v>7.2</v>
      </c>
      <c r="U13" s="469"/>
      <c r="V13" s="457"/>
      <c r="W13" s="458">
        <v>12</v>
      </c>
      <c r="X13" s="458">
        <v>40</v>
      </c>
      <c r="Y13" s="308"/>
      <c r="Z13" s="308"/>
      <c r="AA13" s="308"/>
      <c r="AB13" s="427"/>
      <c r="AC13" s="425"/>
      <c r="AD13" s="425"/>
      <c r="AE13" s="425"/>
      <c r="AF13" s="425"/>
      <c r="AG13" s="425"/>
      <c r="AH13" s="425"/>
      <c r="AI13" s="434">
        <v>60</v>
      </c>
      <c r="AJ13" s="8"/>
    </row>
    <row r="14" spans="1:36" x14ac:dyDescent="0.25">
      <c r="A14" s="72"/>
      <c r="B14" s="72">
        <v>0</v>
      </c>
      <c r="C14" s="72">
        <f>'DETALLE DE VENTAS'!AC271-A14-B14</f>
        <v>0</v>
      </c>
      <c r="D14" s="613" t="s">
        <v>31</v>
      </c>
      <c r="E14" s="614"/>
      <c r="F14" s="614"/>
      <c r="G14" s="614"/>
      <c r="H14" s="615"/>
      <c r="I14" s="237"/>
      <c r="J14" s="236">
        <f t="shared" si="0"/>
        <v>33.333333333333336</v>
      </c>
      <c r="K14" s="236">
        <v>30</v>
      </c>
      <c r="M14" s="456" t="s">
        <v>307</v>
      </c>
      <c r="N14" s="453">
        <v>37.64</v>
      </c>
      <c r="O14" s="469">
        <f t="shared" si="1"/>
        <v>37.64</v>
      </c>
      <c r="P14" s="603">
        <f t="shared" si="2"/>
        <v>47.05</v>
      </c>
      <c r="Q14" s="469">
        <v>42</v>
      </c>
      <c r="R14" s="469">
        <v>39</v>
      </c>
      <c r="S14" s="469">
        <f t="shared" si="3"/>
        <v>45.652173913043477</v>
      </c>
      <c r="T14" s="469">
        <f t="shared" si="4"/>
        <v>37.800000000000004</v>
      </c>
      <c r="U14" s="469"/>
      <c r="V14" s="470"/>
      <c r="W14" s="458">
        <v>6</v>
      </c>
      <c r="X14" s="458">
        <v>20</v>
      </c>
      <c r="Y14" s="431"/>
      <c r="Z14" s="308"/>
      <c r="AA14" s="441"/>
      <c r="AB14" s="441"/>
      <c r="AC14" s="425"/>
      <c r="AD14" s="425"/>
      <c r="AE14" s="425"/>
      <c r="AF14" s="425"/>
      <c r="AG14" s="425"/>
      <c r="AH14" s="425"/>
      <c r="AI14" s="434">
        <v>80</v>
      </c>
      <c r="AJ14" s="8"/>
    </row>
    <row r="15" spans="1:36" x14ac:dyDescent="0.25">
      <c r="A15" s="229"/>
      <c r="B15" s="229">
        <f>-3</f>
        <v>-3</v>
      </c>
      <c r="C15" s="230">
        <f>'DETALLE DE VENTAS'!AN216 -B15-A15</f>
        <v>0</v>
      </c>
      <c r="D15" s="625" t="s">
        <v>49</v>
      </c>
      <c r="E15" s="626"/>
      <c r="F15" s="626"/>
      <c r="G15" s="626"/>
      <c r="H15" s="627"/>
      <c r="I15" s="231"/>
      <c r="J15" s="269">
        <f t="shared" si="0"/>
        <v>31.111111111111111</v>
      </c>
      <c r="K15" s="269">
        <v>28</v>
      </c>
      <c r="M15" s="456" t="s">
        <v>302</v>
      </c>
      <c r="N15" s="453">
        <v>13.58</v>
      </c>
      <c r="O15" s="469">
        <f t="shared" si="1"/>
        <v>13.58</v>
      </c>
      <c r="P15" s="603">
        <f t="shared" si="2"/>
        <v>16.974999999999998</v>
      </c>
      <c r="Q15" s="469">
        <v>15</v>
      </c>
      <c r="R15" s="469">
        <v>14.5</v>
      </c>
      <c r="S15" s="469">
        <f t="shared" si="3"/>
        <v>16.304347826086957</v>
      </c>
      <c r="T15" s="469">
        <v>14</v>
      </c>
      <c r="U15" s="469"/>
      <c r="V15" s="470"/>
      <c r="W15" s="458">
        <v>12</v>
      </c>
      <c r="X15" s="458">
        <v>40</v>
      </c>
      <c r="Y15" s="431"/>
      <c r="Z15" s="308"/>
      <c r="AA15" s="441"/>
      <c r="AB15" s="441"/>
      <c r="AC15" s="425"/>
      <c r="AD15" s="425"/>
      <c r="AE15" s="425"/>
      <c r="AF15" s="425"/>
      <c r="AG15" s="425"/>
      <c r="AH15" s="425"/>
      <c r="AI15" s="434">
        <v>20</v>
      </c>
      <c r="AJ15" s="8"/>
    </row>
    <row r="16" spans="1:36" x14ac:dyDescent="0.25">
      <c r="A16" s="229"/>
      <c r="B16" s="229">
        <v>46</v>
      </c>
      <c r="C16" s="230">
        <f>'DETALLE DE VENTAS'!AN215 -B16-A16</f>
        <v>0</v>
      </c>
      <c r="D16" s="625" t="s">
        <v>56</v>
      </c>
      <c r="E16" s="626"/>
      <c r="F16" s="626"/>
      <c r="G16" s="626"/>
      <c r="H16" s="627"/>
      <c r="I16" s="231"/>
      <c r="J16" s="269">
        <f t="shared" si="0"/>
        <v>13.888888888888889</v>
      </c>
      <c r="K16" s="269">
        <v>12.5</v>
      </c>
      <c r="M16" s="456" t="s">
        <v>533</v>
      </c>
      <c r="N16" s="453">
        <v>7.4690000000000003</v>
      </c>
      <c r="O16" s="469">
        <f t="shared" si="1"/>
        <v>7.4690000000000003</v>
      </c>
      <c r="P16" s="603">
        <f t="shared" si="2"/>
        <v>9.3362499999999997</v>
      </c>
      <c r="Q16" s="469">
        <v>10</v>
      </c>
      <c r="R16" s="469">
        <v>12</v>
      </c>
      <c r="S16" s="469">
        <f t="shared" si="3"/>
        <v>10.869565217391305</v>
      </c>
      <c r="T16" s="469">
        <v>12</v>
      </c>
      <c r="U16" s="469"/>
      <c r="V16" s="470"/>
      <c r="W16" s="458" t="s">
        <v>336</v>
      </c>
      <c r="X16" s="458"/>
      <c r="Y16" s="431"/>
      <c r="Z16" s="426"/>
      <c r="AA16" s="441"/>
      <c r="AB16" s="441"/>
      <c r="AC16" s="425"/>
      <c r="AD16" s="425"/>
      <c r="AE16" s="425"/>
      <c r="AF16" s="425"/>
      <c r="AG16" s="425"/>
      <c r="AH16" s="425"/>
      <c r="AI16" s="434">
        <v>100</v>
      </c>
      <c r="AJ16" s="8"/>
    </row>
    <row r="17" spans="1:36" x14ac:dyDescent="0.25">
      <c r="A17" s="229"/>
      <c r="B17" s="229">
        <v>27</v>
      </c>
      <c r="C17" s="230">
        <f>'DETALLE DE VENTAS'!AN217 -B17-A17</f>
        <v>0</v>
      </c>
      <c r="D17" s="625" t="s">
        <v>50</v>
      </c>
      <c r="E17" s="626"/>
      <c r="F17" s="626"/>
      <c r="G17" s="626"/>
      <c r="H17" s="626"/>
      <c r="I17" s="232"/>
      <c r="J17" s="269">
        <f t="shared" si="0"/>
        <v>7.7777777777777777</v>
      </c>
      <c r="K17" s="269">
        <v>7</v>
      </c>
      <c r="M17" s="456" t="s">
        <v>12</v>
      </c>
      <c r="N17" s="453">
        <v>33.04</v>
      </c>
      <c r="O17" s="469">
        <f t="shared" si="1"/>
        <v>33.04</v>
      </c>
      <c r="P17" s="603">
        <f t="shared" si="2"/>
        <v>41.3</v>
      </c>
      <c r="Q17" s="469">
        <v>34</v>
      </c>
      <c r="R17" s="469">
        <v>33</v>
      </c>
      <c r="S17" s="469">
        <f t="shared" si="3"/>
        <v>36.95652173913043</v>
      </c>
      <c r="T17" s="469">
        <f t="shared" si="4"/>
        <v>30.6</v>
      </c>
      <c r="U17" s="469"/>
      <c r="V17" s="470"/>
      <c r="W17" s="458">
        <v>10</v>
      </c>
      <c r="X17" s="458">
        <v>40</v>
      </c>
      <c r="Y17" s="431"/>
      <c r="Z17" s="425"/>
      <c r="AA17" s="441"/>
      <c r="AB17" s="441"/>
      <c r="AC17" s="425"/>
      <c r="AD17" s="425"/>
      <c r="AE17" s="425"/>
      <c r="AF17" s="425"/>
      <c r="AG17" s="425"/>
      <c r="AH17" s="425"/>
      <c r="AI17" s="436">
        <v>60</v>
      </c>
      <c r="AJ17" s="3"/>
    </row>
    <row r="18" spans="1:36" x14ac:dyDescent="0.25">
      <c r="A18" s="229"/>
      <c r="B18" s="229">
        <v>11</v>
      </c>
      <c r="C18" s="230">
        <f>'DETALLE DE VENTAS'!AN219 -B18-A18</f>
        <v>0</v>
      </c>
      <c r="D18" s="625" t="s">
        <v>7</v>
      </c>
      <c r="E18" s="626"/>
      <c r="F18" s="626"/>
      <c r="G18" s="626"/>
      <c r="H18" s="626"/>
      <c r="I18" s="233"/>
      <c r="J18" s="269">
        <f t="shared" si="0"/>
        <v>35.555555555555557</v>
      </c>
      <c r="K18" s="269">
        <v>32</v>
      </c>
      <c r="M18" s="456" t="s">
        <v>204</v>
      </c>
      <c r="N18" s="453">
        <v>35.32</v>
      </c>
      <c r="O18" s="469">
        <f t="shared" si="1"/>
        <v>35.32</v>
      </c>
      <c r="P18" s="603">
        <f t="shared" si="2"/>
        <v>44.15</v>
      </c>
      <c r="Q18" s="469">
        <v>36</v>
      </c>
      <c r="R18" s="469">
        <v>35</v>
      </c>
      <c r="S18" s="469">
        <f t="shared" si="3"/>
        <v>39.130434782608695</v>
      </c>
      <c r="T18" s="469">
        <f t="shared" si="4"/>
        <v>32.4</v>
      </c>
      <c r="U18" s="469"/>
      <c r="V18" s="470"/>
      <c r="W18" s="458">
        <v>10</v>
      </c>
      <c r="X18" s="458">
        <v>40</v>
      </c>
      <c r="Y18" s="431"/>
      <c r="Z18" s="426"/>
      <c r="AA18" s="441"/>
      <c r="AB18" s="441"/>
      <c r="AC18" s="425"/>
      <c r="AD18" s="425"/>
      <c r="AE18" s="425"/>
      <c r="AF18" s="425"/>
      <c r="AG18" s="425"/>
      <c r="AH18" s="425"/>
      <c r="AI18" s="436">
        <v>60</v>
      </c>
      <c r="AJ18" s="8"/>
    </row>
    <row r="19" spans="1:36" x14ac:dyDescent="0.25">
      <c r="A19" s="229"/>
      <c r="B19" s="229">
        <v>19</v>
      </c>
      <c r="C19" s="230">
        <f>'DETALLE DE VENTAS'!AN218 -B19-A19</f>
        <v>0</v>
      </c>
      <c r="D19" s="625" t="s">
        <v>6</v>
      </c>
      <c r="E19" s="626"/>
      <c r="F19" s="626"/>
      <c r="G19" s="626"/>
      <c r="H19" s="626"/>
      <c r="I19" s="233"/>
      <c r="J19" s="269">
        <f t="shared" si="0"/>
        <v>12.222222222222221</v>
      </c>
      <c r="K19" s="269">
        <v>11</v>
      </c>
      <c r="M19" s="456" t="s">
        <v>534</v>
      </c>
      <c r="N19" s="453">
        <v>3.532</v>
      </c>
      <c r="O19" s="469">
        <f t="shared" si="1"/>
        <v>3.532</v>
      </c>
      <c r="P19" s="603">
        <f t="shared" si="2"/>
        <v>4.415</v>
      </c>
      <c r="Q19" s="469">
        <v>5</v>
      </c>
      <c r="R19" s="469">
        <v>5</v>
      </c>
      <c r="S19" s="469">
        <f t="shared" si="3"/>
        <v>5.4347826086956523</v>
      </c>
      <c r="T19" s="469">
        <v>5</v>
      </c>
      <c r="U19" s="469"/>
      <c r="V19" s="470"/>
      <c r="W19" s="458" t="s">
        <v>336</v>
      </c>
      <c r="X19" s="458"/>
      <c r="Y19" s="431"/>
      <c r="Z19" s="426"/>
      <c r="AA19" s="441"/>
      <c r="AB19" s="441"/>
      <c r="AC19" s="425"/>
      <c r="AD19" s="425"/>
      <c r="AE19" s="425"/>
      <c r="AF19" s="425"/>
      <c r="AG19" s="425"/>
      <c r="AH19" s="425"/>
      <c r="AI19" s="436">
        <v>10</v>
      </c>
      <c r="AJ19" s="8"/>
    </row>
    <row r="20" spans="1:36" x14ac:dyDescent="0.25">
      <c r="A20" s="229"/>
      <c r="B20" s="229">
        <f>-1</f>
        <v>-1</v>
      </c>
      <c r="C20" s="229">
        <f>'DETALLE DE VENTAS'!AN234-INVENTARIO!A20-INVENTARIO!B20</f>
        <v>0</v>
      </c>
      <c r="D20" s="625" t="s">
        <v>232</v>
      </c>
      <c r="E20" s="626"/>
      <c r="F20" s="626"/>
      <c r="G20" s="626"/>
      <c r="H20" s="627"/>
      <c r="I20" s="231"/>
      <c r="J20" s="269">
        <f t="shared" si="0"/>
        <v>44.444444444444443</v>
      </c>
      <c r="K20" s="269">
        <v>40</v>
      </c>
      <c r="M20" s="456" t="s">
        <v>535</v>
      </c>
      <c r="N20" s="453">
        <v>74.69</v>
      </c>
      <c r="O20" s="469">
        <f t="shared" si="1"/>
        <v>74.69</v>
      </c>
      <c r="P20" s="603">
        <f t="shared" si="2"/>
        <v>93.362499999999997</v>
      </c>
      <c r="Q20" s="469">
        <v>95</v>
      </c>
      <c r="R20" s="469">
        <v>88</v>
      </c>
      <c r="S20" s="469">
        <f t="shared" si="3"/>
        <v>103.26086956521739</v>
      </c>
      <c r="T20" s="469">
        <f t="shared" si="4"/>
        <v>85.5</v>
      </c>
      <c r="U20" s="469"/>
      <c r="V20" s="470"/>
      <c r="W20" s="458">
        <v>10</v>
      </c>
      <c r="X20" s="458">
        <v>40</v>
      </c>
      <c r="Y20" s="308"/>
      <c r="Z20" s="308"/>
      <c r="AA20" s="426"/>
      <c r="AB20" s="427"/>
      <c r="AC20" s="425"/>
      <c r="AD20" s="425"/>
      <c r="AE20" s="425"/>
      <c r="AF20" s="425"/>
      <c r="AG20" s="425"/>
      <c r="AH20" s="425"/>
      <c r="AI20" s="436">
        <v>40</v>
      </c>
      <c r="AJ20" s="8"/>
    </row>
    <row r="21" spans="1:36" x14ac:dyDescent="0.25">
      <c r="A21" s="229"/>
      <c r="B21" s="229">
        <v>1</v>
      </c>
      <c r="C21" s="230">
        <f>'DETALLE DE VENTAS'!AN233 -B21-A21</f>
        <v>0</v>
      </c>
      <c r="D21" s="625" t="s">
        <v>53</v>
      </c>
      <c r="E21" s="626"/>
      <c r="F21" s="626"/>
      <c r="G21" s="626"/>
      <c r="H21" s="627"/>
      <c r="I21" s="231"/>
      <c r="J21" s="269">
        <f t="shared" si="0"/>
        <v>28.888888888888889</v>
      </c>
      <c r="K21" s="269">
        <v>26</v>
      </c>
      <c r="M21" s="456" t="s">
        <v>536</v>
      </c>
      <c r="N21" s="453">
        <v>50.83</v>
      </c>
      <c r="O21" s="469">
        <f t="shared" si="1"/>
        <v>50.83</v>
      </c>
      <c r="P21" s="603">
        <f t="shared" si="2"/>
        <v>63.537499999999994</v>
      </c>
      <c r="Q21" s="469">
        <v>65</v>
      </c>
      <c r="R21" s="469">
        <v>60</v>
      </c>
      <c r="S21" s="469">
        <f t="shared" si="3"/>
        <v>70.65217391304347</v>
      </c>
      <c r="T21" s="469">
        <f t="shared" si="4"/>
        <v>58.5</v>
      </c>
      <c r="U21" s="469"/>
      <c r="V21" s="457"/>
      <c r="W21" s="458">
        <v>10</v>
      </c>
      <c r="X21" s="458">
        <v>40</v>
      </c>
      <c r="Y21" s="331"/>
      <c r="Z21" s="331"/>
      <c r="AA21" s="426"/>
      <c r="AB21" s="427"/>
      <c r="AC21" s="425"/>
      <c r="AD21" s="425"/>
      <c r="AE21" s="425"/>
      <c r="AF21" s="425"/>
      <c r="AG21" s="425"/>
      <c r="AH21" s="425"/>
      <c r="AI21" s="436">
        <v>15</v>
      </c>
      <c r="AJ21" s="8"/>
    </row>
    <row r="22" spans="1:36" x14ac:dyDescent="0.25">
      <c r="A22" s="229"/>
      <c r="B22" s="229">
        <v>1</v>
      </c>
      <c r="C22" s="230">
        <f>'DETALLE DE VENTAS'!AN212 -B22-A22</f>
        <v>0</v>
      </c>
      <c r="D22" s="625" t="s">
        <v>55</v>
      </c>
      <c r="E22" s="626"/>
      <c r="F22" s="626"/>
      <c r="G22" s="626"/>
      <c r="H22" s="627"/>
      <c r="I22" s="232"/>
      <c r="J22" s="269">
        <f t="shared" si="0"/>
        <v>8.3333333333333339</v>
      </c>
      <c r="K22" s="269">
        <v>7.5</v>
      </c>
      <c r="M22" s="456" t="s">
        <v>301</v>
      </c>
      <c r="N22" s="453">
        <v>108.25</v>
      </c>
      <c r="O22" s="469">
        <f t="shared" si="1"/>
        <v>108.25</v>
      </c>
      <c r="P22" s="603">
        <f t="shared" si="2"/>
        <v>135.3125</v>
      </c>
      <c r="Q22" s="469">
        <v>120</v>
      </c>
      <c r="R22" s="469">
        <v>115</v>
      </c>
      <c r="S22" s="469">
        <f t="shared" si="3"/>
        <v>130.43478260869566</v>
      </c>
      <c r="T22" s="469">
        <f t="shared" si="4"/>
        <v>108</v>
      </c>
      <c r="U22" s="469"/>
      <c r="V22" s="457"/>
      <c r="W22" s="458">
        <v>6</v>
      </c>
      <c r="X22" s="458">
        <v>20</v>
      </c>
      <c r="Y22" s="331"/>
      <c r="Z22" s="331"/>
      <c r="AA22" s="426"/>
      <c r="AB22" s="427"/>
      <c r="AC22" s="425"/>
      <c r="AD22" s="425"/>
      <c r="AE22" s="425"/>
      <c r="AF22" s="425"/>
      <c r="AG22" s="425"/>
      <c r="AH22" s="425"/>
      <c r="AI22" s="436">
        <v>5</v>
      </c>
      <c r="AJ22" s="3"/>
    </row>
    <row r="23" spans="1:36" x14ac:dyDescent="0.25">
      <c r="A23" s="229"/>
      <c r="B23" s="229">
        <v>14</v>
      </c>
      <c r="C23" s="230">
        <f>'DETALLE DE VENTAS'!AN214 -B23-A23</f>
        <v>0</v>
      </c>
      <c r="D23" s="625" t="s">
        <v>5</v>
      </c>
      <c r="E23" s="626"/>
      <c r="F23" s="626"/>
      <c r="G23" s="626"/>
      <c r="H23" s="627"/>
      <c r="I23" s="232"/>
      <c r="J23" s="269">
        <f t="shared" si="0"/>
        <v>43.333333333333336</v>
      </c>
      <c r="K23" s="269">
        <v>39</v>
      </c>
      <c r="M23" s="456" t="s">
        <v>313</v>
      </c>
      <c r="N23" s="453">
        <v>29.75</v>
      </c>
      <c r="O23" s="469">
        <f t="shared" si="1"/>
        <v>29.75</v>
      </c>
      <c r="P23" s="603">
        <f t="shared" si="2"/>
        <v>37.1875</v>
      </c>
      <c r="Q23" s="469">
        <v>35</v>
      </c>
      <c r="R23" s="469">
        <v>32</v>
      </c>
      <c r="S23" s="469">
        <f t="shared" si="3"/>
        <v>38.043478260869563</v>
      </c>
      <c r="T23" s="469">
        <f t="shared" si="4"/>
        <v>31.5</v>
      </c>
      <c r="U23" s="469"/>
      <c r="V23" s="457"/>
      <c r="W23" s="458">
        <v>12</v>
      </c>
      <c r="X23" s="458">
        <v>40</v>
      </c>
      <c r="Y23" s="331"/>
      <c r="Z23" s="331"/>
      <c r="AA23" s="426"/>
      <c r="AB23" s="427"/>
      <c r="AC23" s="425"/>
      <c r="AD23" s="425"/>
      <c r="AE23" s="425"/>
      <c r="AF23" s="425"/>
      <c r="AG23" s="425"/>
      <c r="AH23" s="425"/>
      <c r="AI23" s="436">
        <v>40</v>
      </c>
      <c r="AJ23" s="3"/>
    </row>
    <row r="24" spans="1:36" x14ac:dyDescent="0.25">
      <c r="A24" s="229"/>
      <c r="B24" s="229">
        <f>-2</f>
        <v>-2</v>
      </c>
      <c r="C24" s="230">
        <f>'DETALLE DE VENTAS'!AN213 -B24-A24</f>
        <v>0</v>
      </c>
      <c r="D24" s="625" t="s">
        <v>4</v>
      </c>
      <c r="E24" s="626"/>
      <c r="F24" s="626"/>
      <c r="G24" s="626"/>
      <c r="H24" s="627"/>
      <c r="I24" s="232"/>
      <c r="J24" s="269">
        <f t="shared" si="0"/>
        <v>16.666666666666668</v>
      </c>
      <c r="K24" s="269">
        <v>15</v>
      </c>
      <c r="M24" s="456" t="s">
        <v>537</v>
      </c>
      <c r="N24" s="453">
        <v>0</v>
      </c>
      <c r="O24" s="469">
        <f t="shared" si="1"/>
        <v>0</v>
      </c>
      <c r="P24" s="603">
        <f t="shared" si="2"/>
        <v>0</v>
      </c>
      <c r="Q24" s="469">
        <v>0</v>
      </c>
      <c r="R24" s="469"/>
      <c r="S24" s="469">
        <f t="shared" si="3"/>
        <v>0</v>
      </c>
      <c r="T24" s="469">
        <f t="shared" si="4"/>
        <v>0</v>
      </c>
      <c r="U24" s="469"/>
      <c r="V24" s="457"/>
      <c r="W24" s="458" t="s">
        <v>336</v>
      </c>
      <c r="X24" s="458"/>
      <c r="Y24" s="331"/>
      <c r="Z24" s="331"/>
      <c r="AA24" s="426"/>
      <c r="AB24" s="427"/>
      <c r="AC24" s="425"/>
      <c r="AD24" s="425"/>
      <c r="AE24" s="425"/>
      <c r="AF24" s="425"/>
      <c r="AG24" s="425"/>
      <c r="AH24" s="425"/>
      <c r="AI24" s="436">
        <v>20</v>
      </c>
      <c r="AJ24" s="3"/>
    </row>
    <row r="25" spans="1:36" x14ac:dyDescent="0.25">
      <c r="A25" s="234"/>
      <c r="B25" s="234">
        <v>1</v>
      </c>
      <c r="C25" s="229">
        <f>'DETALLE DE VENTAS'!N324-B25-A25</f>
        <v>0</v>
      </c>
      <c r="D25" s="630" t="s">
        <v>274</v>
      </c>
      <c r="E25" s="631"/>
      <c r="F25" s="631"/>
      <c r="G25" s="631"/>
      <c r="H25" s="641"/>
      <c r="I25" s="232"/>
      <c r="J25" s="269">
        <f t="shared" si="0"/>
        <v>5.5555555555555554</v>
      </c>
      <c r="K25" s="269">
        <v>5</v>
      </c>
      <c r="M25" s="456" t="s">
        <v>524</v>
      </c>
      <c r="N25" s="453">
        <v>29.16</v>
      </c>
      <c r="O25" s="469">
        <f t="shared" si="1"/>
        <v>29.16</v>
      </c>
      <c r="P25" s="603">
        <f t="shared" si="2"/>
        <v>36.449999999999996</v>
      </c>
      <c r="Q25" s="469">
        <v>32</v>
      </c>
      <c r="R25" s="469">
        <v>32</v>
      </c>
      <c r="S25" s="469">
        <f t="shared" si="3"/>
        <v>34.782608695652172</v>
      </c>
      <c r="T25" s="469">
        <f t="shared" si="4"/>
        <v>28.8</v>
      </c>
      <c r="U25" s="469"/>
      <c r="V25" s="457"/>
      <c r="W25" s="458">
        <v>6</v>
      </c>
      <c r="X25" s="458">
        <v>20</v>
      </c>
      <c r="Y25" s="331"/>
      <c r="Z25" s="331"/>
      <c r="AA25" s="426"/>
      <c r="AB25" s="427"/>
      <c r="AC25" s="425"/>
      <c r="AD25" s="425"/>
      <c r="AE25" s="425"/>
      <c r="AF25" s="425"/>
      <c r="AG25" s="425"/>
      <c r="AH25" s="425"/>
      <c r="AI25" s="436">
        <v>40</v>
      </c>
      <c r="AJ25" s="3"/>
    </row>
    <row r="26" spans="1:36" x14ac:dyDescent="0.25">
      <c r="A26" s="234"/>
      <c r="B26" s="234">
        <v>0</v>
      </c>
      <c r="C26" s="229">
        <f>'DETALLE DE VENTAS'!N325-B26-A26</f>
        <v>0</v>
      </c>
      <c r="D26" s="630" t="s">
        <v>275</v>
      </c>
      <c r="E26" s="631"/>
      <c r="F26" s="631"/>
      <c r="G26" s="631"/>
      <c r="H26" s="631"/>
      <c r="I26" s="233"/>
      <c r="J26" s="269">
        <f t="shared" si="0"/>
        <v>5.5555555555555554</v>
      </c>
      <c r="K26" s="269">
        <v>5</v>
      </c>
      <c r="M26" s="456" t="s">
        <v>312</v>
      </c>
      <c r="N26" s="453">
        <v>12.77</v>
      </c>
      <c r="O26" s="469">
        <f t="shared" si="1"/>
        <v>12.77</v>
      </c>
      <c r="P26" s="603">
        <f t="shared" si="2"/>
        <v>15.962499999999999</v>
      </c>
      <c r="Q26" s="469">
        <v>15</v>
      </c>
      <c r="R26" s="469">
        <v>14</v>
      </c>
      <c r="S26" s="469">
        <f t="shared" si="3"/>
        <v>16.304347826086957</v>
      </c>
      <c r="T26" s="469">
        <f t="shared" si="4"/>
        <v>13.5</v>
      </c>
      <c r="U26" s="469"/>
      <c r="V26" s="457"/>
      <c r="W26" s="458">
        <v>12</v>
      </c>
      <c r="X26" s="458">
        <v>40</v>
      </c>
      <c r="Y26" s="331"/>
      <c r="Z26" s="331"/>
      <c r="AA26" s="426"/>
      <c r="AB26" s="427"/>
      <c r="AC26" s="425"/>
      <c r="AD26" s="425"/>
      <c r="AE26" s="425"/>
      <c r="AF26" s="425"/>
      <c r="AG26" s="425"/>
      <c r="AH26" s="425"/>
      <c r="AI26" s="436">
        <v>20</v>
      </c>
      <c r="AJ26" s="8"/>
    </row>
    <row r="27" spans="1:36" x14ac:dyDescent="0.25">
      <c r="A27" s="72"/>
      <c r="B27" s="72">
        <v>1</v>
      </c>
      <c r="C27" s="72">
        <f>'DETALLE DE VENTAS'!AC280-A27-B27</f>
        <v>0</v>
      </c>
      <c r="D27" s="613" t="s">
        <v>48</v>
      </c>
      <c r="E27" s="614"/>
      <c r="F27" s="614"/>
      <c r="G27" s="614"/>
      <c r="H27" s="615"/>
      <c r="I27" s="237"/>
      <c r="J27" s="236">
        <f t="shared" si="0"/>
        <v>111.11111111111111</v>
      </c>
      <c r="K27" s="236">
        <v>100</v>
      </c>
      <c r="M27" s="456" t="s">
        <v>538</v>
      </c>
      <c r="N27" s="453">
        <v>53.73</v>
      </c>
      <c r="O27" s="469">
        <f t="shared" si="1"/>
        <v>53.73</v>
      </c>
      <c r="P27" s="603">
        <f t="shared" si="2"/>
        <v>67.162499999999994</v>
      </c>
      <c r="Q27" s="469">
        <v>55</v>
      </c>
      <c r="R27" s="469">
        <v>52</v>
      </c>
      <c r="S27" s="469">
        <f t="shared" si="3"/>
        <v>59.782608695652172</v>
      </c>
      <c r="T27" s="469">
        <f t="shared" si="4"/>
        <v>49.5</v>
      </c>
      <c r="U27" s="469"/>
      <c r="V27" s="457"/>
      <c r="W27" s="458">
        <v>6</v>
      </c>
      <c r="X27" s="458">
        <v>20</v>
      </c>
      <c r="Y27" s="331"/>
      <c r="Z27" s="331"/>
      <c r="AA27" s="426"/>
      <c r="AB27" s="427"/>
      <c r="AC27" s="425"/>
      <c r="AD27" s="425"/>
      <c r="AE27" s="425"/>
      <c r="AF27" s="425"/>
      <c r="AG27" s="425"/>
      <c r="AH27" s="425"/>
      <c r="AI27" s="436"/>
    </row>
    <row r="28" spans="1:36" x14ac:dyDescent="0.25">
      <c r="A28" s="72"/>
      <c r="B28" s="72">
        <v>29</v>
      </c>
      <c r="C28" s="72">
        <f>'DETALLE DE VENTAS'!AC282-A28-B28</f>
        <v>0</v>
      </c>
      <c r="D28" s="613" t="s">
        <v>41</v>
      </c>
      <c r="E28" s="614"/>
      <c r="F28" s="614"/>
      <c r="G28" s="614"/>
      <c r="H28" s="615"/>
      <c r="I28" s="237"/>
      <c r="J28" s="236">
        <f t="shared" si="0"/>
        <v>10</v>
      </c>
      <c r="K28" s="236">
        <v>9</v>
      </c>
      <c r="M28" s="456" t="s">
        <v>539</v>
      </c>
      <c r="N28" s="453">
        <v>45.91</v>
      </c>
      <c r="O28" s="469">
        <f t="shared" si="1"/>
        <v>45.91</v>
      </c>
      <c r="P28" s="603">
        <f t="shared" si="2"/>
        <v>57.387499999999996</v>
      </c>
      <c r="Q28" s="469">
        <v>52</v>
      </c>
      <c r="R28" s="469">
        <v>50</v>
      </c>
      <c r="S28" s="469">
        <f t="shared" si="3"/>
        <v>56.521739130434781</v>
      </c>
      <c r="T28" s="469">
        <f t="shared" si="4"/>
        <v>46.800000000000004</v>
      </c>
      <c r="U28" s="469"/>
      <c r="V28" s="457"/>
      <c r="W28" s="458">
        <v>6</v>
      </c>
      <c r="X28" s="458">
        <v>20</v>
      </c>
      <c r="Y28" s="331"/>
      <c r="Z28" s="331"/>
      <c r="AA28" s="426"/>
      <c r="AB28" s="427"/>
      <c r="AC28" s="425"/>
      <c r="AD28" s="425"/>
      <c r="AE28" s="425"/>
      <c r="AF28" s="425"/>
      <c r="AG28" s="425"/>
      <c r="AH28" s="425"/>
      <c r="AI28" s="436"/>
    </row>
    <row r="29" spans="1:36" x14ac:dyDescent="0.25">
      <c r="A29" s="72"/>
      <c r="B29" s="72">
        <v>10</v>
      </c>
      <c r="C29" s="72">
        <f>'DETALLE DE VENTAS'!AC285-A29-B29</f>
        <v>0</v>
      </c>
      <c r="D29" s="613" t="s">
        <v>115</v>
      </c>
      <c r="E29" s="614"/>
      <c r="F29" s="614"/>
      <c r="G29" s="614"/>
      <c r="H29" s="615"/>
      <c r="I29" s="237"/>
      <c r="J29" s="236">
        <f t="shared" si="0"/>
        <v>10</v>
      </c>
      <c r="K29" s="236">
        <v>9</v>
      </c>
      <c r="M29" s="459"/>
      <c r="N29" s="459"/>
      <c r="O29" s="459"/>
      <c r="P29" s="459"/>
      <c r="Q29" s="459"/>
      <c r="R29" s="459"/>
      <c r="S29" s="459"/>
      <c r="T29" s="459"/>
      <c r="U29" s="460"/>
      <c r="V29" s="437"/>
      <c r="W29" s="437"/>
      <c r="X29" s="431"/>
      <c r="Y29" s="331"/>
      <c r="Z29" s="331"/>
      <c r="AA29" s="427"/>
      <c r="AB29" s="427"/>
      <c r="AC29" s="308"/>
      <c r="AD29" s="308"/>
      <c r="AE29" s="308"/>
      <c r="AF29" s="308"/>
      <c r="AG29" s="308"/>
      <c r="AH29" s="308"/>
    </row>
    <row r="30" spans="1:36" ht="26.25" x14ac:dyDescent="0.25">
      <c r="A30" s="72"/>
      <c r="B30" s="72">
        <v>1</v>
      </c>
      <c r="C30" s="72">
        <f>'DETALLE DE VENTAS'!AC284-A30-B30</f>
        <v>0</v>
      </c>
      <c r="D30" s="613" t="s">
        <v>45</v>
      </c>
      <c r="E30" s="614"/>
      <c r="F30" s="614"/>
      <c r="G30" s="614"/>
      <c r="H30" s="615"/>
      <c r="I30" s="237"/>
      <c r="J30" s="236">
        <f t="shared" si="0"/>
        <v>18.888888888888889</v>
      </c>
      <c r="K30" s="236">
        <v>17</v>
      </c>
      <c r="M30" s="453" t="s">
        <v>2</v>
      </c>
      <c r="N30" s="453"/>
      <c r="O30" s="453"/>
      <c r="P30" s="453"/>
      <c r="Q30" s="453"/>
      <c r="R30" s="453"/>
      <c r="S30" s="453"/>
      <c r="T30" s="453"/>
      <c r="U30" s="453" t="s">
        <v>299</v>
      </c>
      <c r="V30" s="454" t="s">
        <v>526</v>
      </c>
      <c r="W30" s="455" t="s">
        <v>527</v>
      </c>
      <c r="X30" s="331"/>
      <c r="Y30" s="431"/>
      <c r="Z30" s="427"/>
      <c r="AA30" s="427"/>
      <c r="AB30" s="308"/>
      <c r="AC30" s="308"/>
      <c r="AD30" s="308"/>
      <c r="AE30" s="308"/>
      <c r="AF30" s="308"/>
      <c r="AG30" s="308"/>
    </row>
    <row r="31" spans="1:36" x14ac:dyDescent="0.25">
      <c r="A31" s="72"/>
      <c r="B31" s="72">
        <v>4</v>
      </c>
      <c r="C31" s="72">
        <f>'DETALLE DE VENTAS'!AC283-A31-B31</f>
        <v>0</v>
      </c>
      <c r="D31" s="613" t="s">
        <v>42</v>
      </c>
      <c r="E31" s="614"/>
      <c r="F31" s="614"/>
      <c r="G31" s="614"/>
      <c r="H31" s="615"/>
      <c r="I31" s="237"/>
      <c r="J31" s="236">
        <f t="shared" si="0"/>
        <v>10</v>
      </c>
      <c r="K31" s="236">
        <v>9</v>
      </c>
      <c r="M31" s="456" t="s">
        <v>540</v>
      </c>
      <c r="N31" s="456"/>
      <c r="O31" s="456"/>
      <c r="P31" s="456"/>
      <c r="Q31" s="456"/>
      <c r="R31" s="456"/>
      <c r="S31" s="456"/>
      <c r="T31" s="456"/>
      <c r="U31" s="457">
        <v>7</v>
      </c>
      <c r="V31" s="461" t="s">
        <v>336</v>
      </c>
      <c r="W31" s="461" t="s">
        <v>336</v>
      </c>
      <c r="X31" s="331"/>
      <c r="Y31" s="331"/>
      <c r="Z31" s="427"/>
      <c r="AA31" s="427"/>
      <c r="AB31" s="308"/>
      <c r="AC31" s="308"/>
      <c r="AD31" s="308"/>
      <c r="AE31" s="308"/>
      <c r="AF31" s="308"/>
      <c r="AG31" s="308"/>
    </row>
    <row r="32" spans="1:36" x14ac:dyDescent="0.25">
      <c r="A32" s="72"/>
      <c r="B32" s="72">
        <v>15</v>
      </c>
      <c r="C32" s="72">
        <f>'DETALLE DE VENTAS'!AC291-B32-A32</f>
        <v>0</v>
      </c>
      <c r="D32" s="613" t="s">
        <v>245</v>
      </c>
      <c r="E32" s="614"/>
      <c r="F32" s="614"/>
      <c r="G32" s="614"/>
      <c r="H32" s="615"/>
      <c r="I32" s="237"/>
      <c r="J32" s="236">
        <f t="shared" si="0"/>
        <v>10</v>
      </c>
      <c r="K32" s="236">
        <v>9</v>
      </c>
      <c r="M32" s="456" t="s">
        <v>490</v>
      </c>
      <c r="N32" s="456"/>
      <c r="O32" s="456"/>
      <c r="P32" s="456"/>
      <c r="Q32" s="456"/>
      <c r="R32" s="456"/>
      <c r="S32" s="456"/>
      <c r="T32" s="456"/>
      <c r="U32" s="457">
        <v>1</v>
      </c>
      <c r="V32" s="461" t="s">
        <v>336</v>
      </c>
      <c r="W32" s="461" t="s">
        <v>336</v>
      </c>
      <c r="X32" s="431"/>
      <c r="Y32" s="331"/>
      <c r="Z32" s="427"/>
      <c r="AA32" s="427"/>
      <c r="AB32" s="308"/>
      <c r="AC32" s="308"/>
      <c r="AD32" s="308"/>
      <c r="AE32" s="308"/>
      <c r="AF32" s="308"/>
      <c r="AG32" s="308"/>
    </row>
    <row r="33" spans="1:33" x14ac:dyDescent="0.25">
      <c r="A33" s="72"/>
      <c r="B33" s="72">
        <v>2</v>
      </c>
      <c r="C33" s="72">
        <f>'DETALLE DE VENTAS'!AC289-A33-B33</f>
        <v>0</v>
      </c>
      <c r="D33" s="613" t="s">
        <v>114</v>
      </c>
      <c r="E33" s="614"/>
      <c r="F33" s="614"/>
      <c r="G33" s="614"/>
      <c r="H33" s="615"/>
      <c r="I33" s="235"/>
      <c r="J33" s="236">
        <f t="shared" si="0"/>
        <v>10</v>
      </c>
      <c r="K33" s="236">
        <v>9</v>
      </c>
      <c r="M33" s="456" t="s">
        <v>491</v>
      </c>
      <c r="N33" s="456"/>
      <c r="O33" s="456"/>
      <c r="P33" s="456"/>
      <c r="Q33" s="456"/>
      <c r="R33" s="456"/>
      <c r="S33" s="456"/>
      <c r="T33" s="456"/>
      <c r="U33" s="457">
        <v>3</v>
      </c>
      <c r="V33" s="461" t="s">
        <v>336</v>
      </c>
      <c r="W33" s="461" t="s">
        <v>336</v>
      </c>
      <c r="X33" s="331"/>
      <c r="Y33" s="431"/>
      <c r="Z33" s="427"/>
      <c r="AA33" s="427"/>
      <c r="AB33" s="308"/>
      <c r="AC33" s="308"/>
      <c r="AD33" s="308"/>
      <c r="AE33" s="308"/>
      <c r="AF33" s="308"/>
      <c r="AG33" s="308"/>
    </row>
    <row r="34" spans="1:33" x14ac:dyDescent="0.25">
      <c r="A34" s="72"/>
      <c r="B34" s="72">
        <v>1</v>
      </c>
      <c r="C34" s="72">
        <f>'DETALLE DE VENTAS'!AC290-A34-B34</f>
        <v>0</v>
      </c>
      <c r="D34" s="613" t="s">
        <v>47</v>
      </c>
      <c r="E34" s="614"/>
      <c r="F34" s="614"/>
      <c r="G34" s="614"/>
      <c r="H34" s="615"/>
      <c r="I34" s="237"/>
      <c r="J34" s="236">
        <f t="shared" si="0"/>
        <v>18.888888888888889</v>
      </c>
      <c r="K34" s="236">
        <v>17</v>
      </c>
      <c r="M34" s="456" t="s">
        <v>454</v>
      </c>
      <c r="N34" s="456"/>
      <c r="O34" s="456"/>
      <c r="P34" s="456"/>
      <c r="Q34" s="456"/>
      <c r="R34" s="456"/>
      <c r="S34" s="456"/>
      <c r="T34" s="456"/>
      <c r="U34" s="457">
        <v>5</v>
      </c>
      <c r="V34" s="461" t="s">
        <v>336</v>
      </c>
      <c r="W34" s="461" t="s">
        <v>336</v>
      </c>
      <c r="X34" s="331"/>
      <c r="Y34" s="331"/>
      <c r="Z34" s="427"/>
      <c r="AA34" s="427"/>
      <c r="AB34" s="427"/>
      <c r="AC34" s="308"/>
      <c r="AD34" s="308"/>
      <c r="AE34" s="308"/>
      <c r="AF34" s="308"/>
      <c r="AG34" s="308"/>
    </row>
    <row r="35" spans="1:33" x14ac:dyDescent="0.25">
      <c r="A35" s="72"/>
      <c r="B35" s="72">
        <v>3</v>
      </c>
      <c r="C35" s="72">
        <f>'DETALLE DE VENTAS'!AC286-A35-B35</f>
        <v>0</v>
      </c>
      <c r="D35" s="613" t="s">
        <v>43</v>
      </c>
      <c r="E35" s="614"/>
      <c r="F35" s="614"/>
      <c r="G35" s="614"/>
      <c r="H35" s="615"/>
      <c r="I35" s="237"/>
      <c r="J35" s="236">
        <f t="shared" si="0"/>
        <v>10</v>
      </c>
      <c r="K35" s="236">
        <v>9</v>
      </c>
      <c r="M35" s="456" t="s">
        <v>541</v>
      </c>
      <c r="N35" s="456"/>
      <c r="O35" s="456"/>
      <c r="P35" s="456"/>
      <c r="Q35" s="456"/>
      <c r="R35" s="456"/>
      <c r="S35" s="456"/>
      <c r="T35" s="456"/>
      <c r="U35" s="457">
        <v>3</v>
      </c>
      <c r="V35" s="461" t="s">
        <v>336</v>
      </c>
      <c r="W35" s="461" t="s">
        <v>336</v>
      </c>
      <c r="X35" s="331"/>
      <c r="Y35" s="331"/>
      <c r="Z35" s="427"/>
      <c r="AA35" s="427"/>
      <c r="AB35" s="427"/>
      <c r="AC35" s="308"/>
      <c r="AD35" s="308"/>
      <c r="AE35" s="308"/>
      <c r="AF35" s="308"/>
      <c r="AG35" s="308"/>
    </row>
    <row r="36" spans="1:33" x14ac:dyDescent="0.25">
      <c r="A36" s="72"/>
      <c r="B36" s="72">
        <v>1</v>
      </c>
      <c r="C36" s="72">
        <f>'DETALLE DE VENTAS'!AC287-A36-B36</f>
        <v>0</v>
      </c>
      <c r="D36" s="613" t="s">
        <v>46</v>
      </c>
      <c r="E36" s="614"/>
      <c r="F36" s="614"/>
      <c r="G36" s="614"/>
      <c r="H36" s="615"/>
      <c r="I36" s="237"/>
      <c r="J36" s="236">
        <f t="shared" si="0"/>
        <v>18.888888888888889</v>
      </c>
      <c r="K36" s="236">
        <v>17</v>
      </c>
      <c r="M36" s="456" t="s">
        <v>455</v>
      </c>
      <c r="N36" s="456"/>
      <c r="O36" s="456"/>
      <c r="P36" s="456"/>
      <c r="Q36" s="456"/>
      <c r="R36" s="456"/>
      <c r="S36" s="456"/>
      <c r="T36" s="456"/>
      <c r="U36" s="457">
        <v>6</v>
      </c>
      <c r="V36" s="461" t="s">
        <v>336</v>
      </c>
      <c r="W36" s="461" t="s">
        <v>336</v>
      </c>
      <c r="X36" s="331"/>
      <c r="Y36" s="331"/>
      <c r="Z36" s="427"/>
      <c r="AA36" s="427"/>
      <c r="AB36" s="427"/>
      <c r="AC36" s="308"/>
      <c r="AD36" s="308"/>
      <c r="AE36" s="308"/>
      <c r="AF36" s="308"/>
      <c r="AG36" s="308"/>
    </row>
    <row r="37" spans="1:33" x14ac:dyDescent="0.25">
      <c r="A37" s="72"/>
      <c r="B37" s="72">
        <v>2</v>
      </c>
      <c r="C37" s="72">
        <f>'DETALLE DE VENTAS'!AC288-A37-B37</f>
        <v>0</v>
      </c>
      <c r="D37" s="613" t="s">
        <v>219</v>
      </c>
      <c r="E37" s="614"/>
      <c r="F37" s="614"/>
      <c r="G37" s="614"/>
      <c r="H37" s="615"/>
      <c r="I37" s="237"/>
      <c r="J37" s="236">
        <f t="shared" ref="J37:J68" si="5">K37/$C$97</f>
        <v>10</v>
      </c>
      <c r="K37" s="236">
        <v>9</v>
      </c>
      <c r="M37" s="456" t="s">
        <v>456</v>
      </c>
      <c r="N37" s="456"/>
      <c r="O37" s="456"/>
      <c r="P37" s="456"/>
      <c r="Q37" s="456"/>
      <c r="R37" s="456"/>
      <c r="S37" s="456"/>
      <c r="T37" s="456"/>
      <c r="U37" s="457">
        <v>13</v>
      </c>
      <c r="V37" s="461" t="s">
        <v>336</v>
      </c>
      <c r="W37" s="461" t="s">
        <v>336</v>
      </c>
      <c r="X37" s="331"/>
      <c r="Y37" s="331"/>
      <c r="Z37" s="426"/>
      <c r="AA37" s="427"/>
      <c r="AB37" s="427"/>
      <c r="AC37" s="308"/>
      <c r="AD37" s="308"/>
      <c r="AE37" s="308"/>
      <c r="AF37" s="308"/>
      <c r="AG37" s="308"/>
    </row>
    <row r="38" spans="1:33" x14ac:dyDescent="0.25">
      <c r="A38" s="243"/>
      <c r="B38" s="242">
        <v>52</v>
      </c>
      <c r="C38" s="242">
        <f>'DETALLE DE VENTAS'!Q297-A38-B38</f>
        <v>0</v>
      </c>
      <c r="D38" s="619" t="s">
        <v>83</v>
      </c>
      <c r="E38" s="620"/>
      <c r="F38" s="620"/>
      <c r="G38" s="620"/>
      <c r="H38" s="621"/>
      <c r="I38" s="243"/>
      <c r="J38" s="271">
        <f t="shared" si="5"/>
        <v>31.111111111111111</v>
      </c>
      <c r="K38" s="271">
        <v>28</v>
      </c>
      <c r="M38" s="456" t="s">
        <v>542</v>
      </c>
      <c r="N38" s="456"/>
      <c r="O38" s="456"/>
      <c r="P38" s="456"/>
      <c r="Q38" s="456"/>
      <c r="R38" s="456"/>
      <c r="S38" s="456"/>
      <c r="T38" s="456"/>
      <c r="U38" s="457">
        <v>7</v>
      </c>
      <c r="V38" s="461" t="s">
        <v>336</v>
      </c>
      <c r="W38" s="461" t="s">
        <v>336</v>
      </c>
      <c r="X38" s="431"/>
      <c r="Y38" s="331"/>
      <c r="Z38" s="427"/>
      <c r="AA38" s="427"/>
      <c r="AB38" s="427"/>
      <c r="AC38" s="308"/>
      <c r="AD38" s="308"/>
      <c r="AE38" s="308"/>
      <c r="AF38" s="308"/>
      <c r="AG38" s="308"/>
    </row>
    <row r="39" spans="1:33" x14ac:dyDescent="0.25">
      <c r="A39" s="242"/>
      <c r="B39" s="242">
        <v>16</v>
      </c>
      <c r="C39" s="242">
        <f>'DETALLE DE VENTAS'!Q299-INVENTARIO!A39-INVENTARIO!B39</f>
        <v>0</v>
      </c>
      <c r="D39" s="619" t="s">
        <v>321</v>
      </c>
      <c r="E39" s="620"/>
      <c r="F39" s="620"/>
      <c r="G39" s="620"/>
      <c r="H39" s="621"/>
      <c r="I39" s="243"/>
      <c r="J39" s="271">
        <f t="shared" si="5"/>
        <v>16.666666666666668</v>
      </c>
      <c r="K39" s="271">
        <v>15</v>
      </c>
      <c r="M39" s="456" t="s">
        <v>457</v>
      </c>
      <c r="N39" s="456"/>
      <c r="O39" s="456"/>
      <c r="P39" s="456"/>
      <c r="Q39" s="456"/>
      <c r="R39" s="456"/>
      <c r="S39" s="456"/>
      <c r="T39" s="456"/>
      <c r="U39" s="457">
        <v>5</v>
      </c>
      <c r="V39" s="461" t="s">
        <v>336</v>
      </c>
      <c r="W39" s="461" t="s">
        <v>336</v>
      </c>
      <c r="X39" s="331"/>
      <c r="Y39" s="427"/>
      <c r="Z39" s="308"/>
      <c r="AA39" s="427"/>
      <c r="AB39" s="427"/>
      <c r="AC39" s="308"/>
      <c r="AD39" s="308"/>
      <c r="AE39" s="308"/>
      <c r="AF39" s="308"/>
      <c r="AG39" s="308"/>
    </row>
    <row r="40" spans="1:33" x14ac:dyDescent="0.25">
      <c r="A40" s="242"/>
      <c r="B40" s="242">
        <v>12</v>
      </c>
      <c r="C40" s="242">
        <f>'DETALLE DE VENTAS'!Q301-B40-A40</f>
        <v>0</v>
      </c>
      <c r="D40" s="619" t="s">
        <v>322</v>
      </c>
      <c r="E40" s="620"/>
      <c r="F40" s="620"/>
      <c r="G40" s="620"/>
      <c r="H40" s="621"/>
      <c r="I40" s="243"/>
      <c r="J40" s="271">
        <f t="shared" si="5"/>
        <v>11.111111111111111</v>
      </c>
      <c r="K40" s="271">
        <v>10</v>
      </c>
      <c r="M40" s="456" t="s">
        <v>492</v>
      </c>
      <c r="N40" s="456"/>
      <c r="O40" s="456"/>
      <c r="P40" s="456"/>
      <c r="Q40" s="456"/>
      <c r="R40" s="456"/>
      <c r="S40" s="456"/>
      <c r="T40" s="456"/>
      <c r="U40" s="457">
        <v>1</v>
      </c>
      <c r="V40" s="461" t="s">
        <v>336</v>
      </c>
      <c r="W40" s="461" t="s">
        <v>336</v>
      </c>
      <c r="X40" s="331"/>
      <c r="Y40" s="427"/>
      <c r="Z40" s="308"/>
      <c r="AA40" s="427"/>
      <c r="AB40" s="427"/>
      <c r="AC40" s="308"/>
      <c r="AD40" s="308"/>
      <c r="AE40" s="308"/>
      <c r="AF40" s="308"/>
      <c r="AG40" s="308"/>
    </row>
    <row r="41" spans="1:33" x14ac:dyDescent="0.25">
      <c r="A41" s="242"/>
      <c r="B41" s="242">
        <v>15</v>
      </c>
      <c r="C41" s="242">
        <f>'DETALLE DE VENTAS'!Q300-B41-A41</f>
        <v>0</v>
      </c>
      <c r="D41" s="619" t="s">
        <v>323</v>
      </c>
      <c r="E41" s="620"/>
      <c r="F41" s="620"/>
      <c r="G41" s="620"/>
      <c r="H41" s="621"/>
      <c r="I41" s="243"/>
      <c r="J41" s="271">
        <f t="shared" si="5"/>
        <v>14.444444444444445</v>
      </c>
      <c r="K41" s="271">
        <v>13</v>
      </c>
      <c r="M41" s="456" t="s">
        <v>486</v>
      </c>
      <c r="N41" s="456"/>
      <c r="O41" s="456"/>
      <c r="P41" s="456"/>
      <c r="Q41" s="456"/>
      <c r="R41" s="456"/>
      <c r="S41" s="456"/>
      <c r="T41" s="456"/>
      <c r="U41" s="457">
        <v>2</v>
      </c>
      <c r="V41" s="461" t="s">
        <v>336</v>
      </c>
      <c r="W41" s="461" t="s">
        <v>336</v>
      </c>
      <c r="X41" s="431"/>
      <c r="Y41" s="427"/>
      <c r="Z41" s="308"/>
      <c r="AA41" s="427"/>
      <c r="AB41" s="427"/>
      <c r="AC41" s="308"/>
      <c r="AD41" s="308"/>
      <c r="AE41" s="308"/>
      <c r="AF41" s="308"/>
      <c r="AG41" s="308"/>
    </row>
    <row r="42" spans="1:33" x14ac:dyDescent="0.25">
      <c r="A42" s="229"/>
      <c r="B42" s="229">
        <v>0</v>
      </c>
      <c r="C42" s="230">
        <f>'DETALLE DE VENTAS'!AN227 -B42-A42</f>
        <v>0</v>
      </c>
      <c r="D42" s="625" t="s">
        <v>12</v>
      </c>
      <c r="E42" s="626"/>
      <c r="F42" s="626"/>
      <c r="G42" s="626"/>
      <c r="H42" s="627"/>
      <c r="I42" s="231"/>
      <c r="J42" s="269">
        <f t="shared" si="5"/>
        <v>36.666666666666664</v>
      </c>
      <c r="K42" s="269">
        <v>33</v>
      </c>
      <c r="M42" s="456" t="s">
        <v>543</v>
      </c>
      <c r="N42" s="456"/>
      <c r="O42" s="456"/>
      <c r="P42" s="456"/>
      <c r="Q42" s="456"/>
      <c r="R42" s="456"/>
      <c r="S42" s="456"/>
      <c r="T42" s="456"/>
      <c r="U42" s="457">
        <v>2</v>
      </c>
      <c r="V42" s="461" t="s">
        <v>336</v>
      </c>
      <c r="W42" s="461" t="s">
        <v>336</v>
      </c>
      <c r="X42" s="431"/>
      <c r="Y42" s="427"/>
      <c r="Z42" s="308"/>
      <c r="AA42" s="427"/>
      <c r="AB42" s="427"/>
      <c r="AC42" s="308"/>
      <c r="AD42" s="308"/>
      <c r="AE42" s="308"/>
      <c r="AF42" s="308"/>
      <c r="AG42" s="308"/>
    </row>
    <row r="43" spans="1:33" x14ac:dyDescent="0.25">
      <c r="A43" s="231"/>
      <c r="B43" s="229">
        <v>0</v>
      </c>
      <c r="C43" s="229">
        <f>'DETALLE DE VENTAS'!N318-A43-B43</f>
        <v>0</v>
      </c>
      <c r="D43" s="625" t="s">
        <v>580</v>
      </c>
      <c r="E43" s="626"/>
      <c r="F43" s="626"/>
      <c r="G43" s="626"/>
      <c r="H43" s="627"/>
      <c r="I43" s="231"/>
      <c r="J43" s="269">
        <f t="shared" si="5"/>
        <v>94.444444444444443</v>
      </c>
      <c r="K43" s="269">
        <v>85</v>
      </c>
      <c r="M43" s="456" t="s">
        <v>544</v>
      </c>
      <c r="N43" s="456"/>
      <c r="O43" s="456"/>
      <c r="P43" s="456"/>
      <c r="Q43" s="456"/>
      <c r="R43" s="456"/>
      <c r="S43" s="456"/>
      <c r="T43" s="456"/>
      <c r="U43" s="457">
        <v>40</v>
      </c>
      <c r="V43" s="461" t="s">
        <v>336</v>
      </c>
      <c r="W43" s="461" t="s">
        <v>336</v>
      </c>
      <c r="X43" s="431"/>
      <c r="Y43" s="427"/>
      <c r="Z43" s="308"/>
      <c r="AA43" s="427"/>
      <c r="AB43" s="427"/>
      <c r="AC43" s="308"/>
      <c r="AD43" s="308"/>
      <c r="AE43" s="308"/>
      <c r="AF43" s="308"/>
      <c r="AG43" s="308"/>
    </row>
    <row r="44" spans="1:33" x14ac:dyDescent="0.25">
      <c r="A44" s="229"/>
      <c r="B44" s="229">
        <f>-7</f>
        <v>-7</v>
      </c>
      <c r="C44" s="230">
        <f>'DETALLE DE VENTAS'!AN228 -B44-A44</f>
        <v>0</v>
      </c>
      <c r="D44" s="625" t="s">
        <v>204</v>
      </c>
      <c r="E44" s="626"/>
      <c r="F44" s="626"/>
      <c r="G44" s="626"/>
      <c r="H44" s="627"/>
      <c r="I44" s="231"/>
      <c r="J44" s="269">
        <f t="shared" si="5"/>
        <v>38.888888888888886</v>
      </c>
      <c r="K44" s="269">
        <v>35</v>
      </c>
      <c r="M44" s="459"/>
      <c r="N44" s="459"/>
      <c r="O44" s="459"/>
      <c r="P44" s="459"/>
      <c r="Q44" s="459"/>
      <c r="R44" s="459"/>
      <c r="S44" s="459"/>
      <c r="T44" s="459"/>
      <c r="U44" s="460"/>
      <c r="V44" s="437"/>
      <c r="W44" s="437"/>
      <c r="X44" s="431"/>
      <c r="Y44" s="427"/>
      <c r="Z44" s="308"/>
      <c r="AA44" s="427"/>
      <c r="AB44" s="427"/>
      <c r="AC44" s="308"/>
      <c r="AD44" s="308"/>
      <c r="AE44" s="308"/>
      <c r="AF44" s="308"/>
      <c r="AG44" s="308"/>
    </row>
    <row r="45" spans="1:33" x14ac:dyDescent="0.25">
      <c r="A45" s="229"/>
      <c r="B45" s="229">
        <v>15</v>
      </c>
      <c r="C45" s="230">
        <f>'DETALLE DE VENTAS'!AN226 -B45-A45</f>
        <v>0</v>
      </c>
      <c r="D45" s="625" t="s">
        <v>52</v>
      </c>
      <c r="E45" s="626"/>
      <c r="F45" s="626"/>
      <c r="G45" s="626"/>
      <c r="H45" s="627"/>
      <c r="I45" s="231"/>
      <c r="J45" s="269">
        <f t="shared" si="5"/>
        <v>66.666666666666671</v>
      </c>
      <c r="K45" s="269">
        <v>60</v>
      </c>
      <c r="M45" s="459"/>
      <c r="N45" s="459"/>
      <c r="O45" s="459"/>
      <c r="P45" s="459"/>
      <c r="Q45" s="459"/>
      <c r="R45" s="459"/>
      <c r="S45" s="459"/>
      <c r="T45" s="459"/>
      <c r="U45" s="460"/>
      <c r="V45" s="437"/>
      <c r="W45" s="437"/>
      <c r="X45" s="431"/>
      <c r="Y45" s="427"/>
      <c r="Z45" s="308"/>
      <c r="AA45" s="427"/>
      <c r="AB45" s="427"/>
      <c r="AC45" s="308"/>
      <c r="AD45" s="308"/>
      <c r="AE45" s="308"/>
      <c r="AF45" s="308"/>
      <c r="AG45" s="308"/>
    </row>
    <row r="46" spans="1:33" ht="26.25" x14ac:dyDescent="0.25">
      <c r="A46" s="229"/>
      <c r="B46" s="229">
        <v>3</v>
      </c>
      <c r="C46" s="230">
        <f>'DETALLE DE VENTAS'!AN230 -B46-A46</f>
        <v>0</v>
      </c>
      <c r="D46" s="625" t="s">
        <v>99</v>
      </c>
      <c r="E46" s="626"/>
      <c r="F46" s="626"/>
      <c r="G46" s="626"/>
      <c r="H46" s="627"/>
      <c r="I46" s="231"/>
      <c r="J46" s="269">
        <f t="shared" si="5"/>
        <v>138.88888888888889</v>
      </c>
      <c r="K46" s="269">
        <v>125</v>
      </c>
      <c r="M46" s="453" t="s">
        <v>2</v>
      </c>
      <c r="N46" s="453"/>
      <c r="O46" s="453"/>
      <c r="P46" s="453"/>
      <c r="Q46" s="453"/>
      <c r="R46" s="453"/>
      <c r="S46" s="453"/>
      <c r="T46" s="453"/>
      <c r="U46" s="453" t="s">
        <v>299</v>
      </c>
      <c r="V46" s="454" t="s">
        <v>526</v>
      </c>
      <c r="W46" s="455" t="s">
        <v>527</v>
      </c>
      <c r="X46" s="431"/>
      <c r="Y46" s="427"/>
      <c r="Z46" s="308"/>
      <c r="AA46" s="427"/>
      <c r="AB46" s="427"/>
      <c r="AC46" s="308"/>
      <c r="AD46" s="308"/>
      <c r="AE46" s="308"/>
      <c r="AF46" s="308"/>
      <c r="AG46" s="308"/>
    </row>
    <row r="47" spans="1:33" x14ac:dyDescent="0.25">
      <c r="A47" s="229"/>
      <c r="B47" s="229">
        <v>0</v>
      </c>
      <c r="C47" s="230">
        <f>'DETALLE DE VENTAS'!AN231 -B47-A47</f>
        <v>0</v>
      </c>
      <c r="D47" s="625" t="s">
        <v>100</v>
      </c>
      <c r="E47" s="626"/>
      <c r="F47" s="626"/>
      <c r="G47" s="626"/>
      <c r="H47" s="627"/>
      <c r="I47" s="231"/>
      <c r="J47" s="269">
        <f t="shared" si="5"/>
        <v>133.33333333333334</v>
      </c>
      <c r="K47" s="269">
        <v>120</v>
      </c>
      <c r="M47" s="456" t="s">
        <v>545</v>
      </c>
      <c r="N47" s="456"/>
      <c r="O47" s="456"/>
      <c r="P47" s="456"/>
      <c r="Q47" s="456"/>
      <c r="R47" s="456"/>
      <c r="S47" s="456"/>
      <c r="T47" s="456"/>
      <c r="U47" s="457">
        <v>13</v>
      </c>
      <c r="V47" s="462">
        <v>5</v>
      </c>
      <c r="W47" s="462">
        <v>12</v>
      </c>
      <c r="X47" s="431"/>
      <c r="Y47" s="427"/>
      <c r="Z47" s="308"/>
      <c r="AA47" s="427"/>
      <c r="AB47" s="427"/>
      <c r="AC47" s="308"/>
      <c r="AD47" s="308"/>
      <c r="AE47" s="308"/>
      <c r="AF47" s="308"/>
      <c r="AG47" s="308"/>
    </row>
    <row r="48" spans="1:33" x14ac:dyDescent="0.25">
      <c r="A48" s="229"/>
      <c r="B48" s="229">
        <v>5</v>
      </c>
      <c r="C48" s="230">
        <f>'DETALLE DE VENTAS'!AN229 -B48-A48</f>
        <v>0</v>
      </c>
      <c r="D48" s="625" t="s">
        <v>98</v>
      </c>
      <c r="E48" s="626"/>
      <c r="F48" s="626"/>
      <c r="G48" s="626"/>
      <c r="H48" s="627"/>
      <c r="I48" s="231"/>
      <c r="J48" s="269">
        <f t="shared" si="5"/>
        <v>127.77777777777777</v>
      </c>
      <c r="K48" s="269">
        <v>115</v>
      </c>
      <c r="M48" s="456" t="s">
        <v>546</v>
      </c>
      <c r="N48" s="456"/>
      <c r="O48" s="456"/>
      <c r="P48" s="456"/>
      <c r="Q48" s="456"/>
      <c r="R48" s="456"/>
      <c r="S48" s="456"/>
      <c r="T48" s="456"/>
      <c r="U48" s="457">
        <v>34</v>
      </c>
      <c r="V48" s="462">
        <v>5</v>
      </c>
      <c r="W48" s="462">
        <v>32</v>
      </c>
      <c r="X48" s="431"/>
      <c r="Y48" s="427"/>
      <c r="Z48" s="308"/>
      <c r="AA48" s="427"/>
      <c r="AB48" s="427"/>
      <c r="AC48" s="308"/>
      <c r="AD48" s="308"/>
      <c r="AE48" s="308"/>
      <c r="AF48" s="308"/>
      <c r="AG48" s="308"/>
    </row>
    <row r="49" spans="1:33" x14ac:dyDescent="0.25">
      <c r="A49" s="229"/>
      <c r="B49" s="229">
        <v>3</v>
      </c>
      <c r="C49" s="230">
        <f>'DETALLE DE VENTAS'!AN232 -B49-A49</f>
        <v>0</v>
      </c>
      <c r="D49" s="625" t="s">
        <v>101</v>
      </c>
      <c r="E49" s="626"/>
      <c r="F49" s="626"/>
      <c r="G49" s="626"/>
      <c r="H49" s="627"/>
      <c r="I49" s="231"/>
      <c r="J49" s="269">
        <f t="shared" si="5"/>
        <v>127.77777777777777</v>
      </c>
      <c r="K49" s="269">
        <v>115</v>
      </c>
      <c r="M49" s="456" t="s">
        <v>547</v>
      </c>
      <c r="N49" s="456"/>
      <c r="O49" s="456"/>
      <c r="P49" s="456"/>
      <c r="Q49" s="456"/>
      <c r="R49" s="456"/>
      <c r="S49" s="456"/>
      <c r="T49" s="456"/>
      <c r="U49" s="457">
        <v>19</v>
      </c>
      <c r="V49" s="462">
        <v>5</v>
      </c>
      <c r="W49" s="462">
        <v>18</v>
      </c>
      <c r="X49" s="431"/>
      <c r="Y49" s="427"/>
      <c r="Z49" s="308"/>
      <c r="AA49" s="427"/>
      <c r="AB49" s="427"/>
      <c r="AC49" s="308"/>
      <c r="AD49" s="308"/>
      <c r="AE49" s="308"/>
      <c r="AF49" s="308"/>
      <c r="AG49" s="308"/>
    </row>
    <row r="50" spans="1:33" x14ac:dyDescent="0.25">
      <c r="A50" s="72"/>
      <c r="B50" s="72">
        <v>0</v>
      </c>
      <c r="C50" s="72">
        <f>'DETALLE DE VENTAS'!AC265-A50-B50</f>
        <v>0</v>
      </c>
      <c r="D50" s="613" t="s">
        <v>26</v>
      </c>
      <c r="E50" s="614"/>
      <c r="F50" s="614"/>
      <c r="G50" s="614"/>
      <c r="H50" s="615"/>
      <c r="I50" s="237"/>
      <c r="J50" s="236">
        <f t="shared" si="5"/>
        <v>44.444444444444443</v>
      </c>
      <c r="K50" s="236">
        <v>40</v>
      </c>
      <c r="M50" s="456" t="s">
        <v>424</v>
      </c>
      <c r="N50" s="456"/>
      <c r="O50" s="456"/>
      <c r="P50" s="456"/>
      <c r="Q50" s="456"/>
      <c r="R50" s="456"/>
      <c r="S50" s="456"/>
      <c r="T50" s="456"/>
      <c r="U50" s="457">
        <v>18</v>
      </c>
      <c r="V50" s="462">
        <v>5</v>
      </c>
      <c r="W50" s="462">
        <v>17</v>
      </c>
      <c r="X50" s="431"/>
      <c r="Y50" s="427"/>
      <c r="Z50" s="308"/>
      <c r="AA50" s="427"/>
      <c r="AB50" s="427"/>
      <c r="AC50" s="308"/>
      <c r="AD50" s="308"/>
      <c r="AE50" s="308"/>
      <c r="AF50" s="308"/>
      <c r="AG50" s="308"/>
    </row>
    <row r="51" spans="1:33" x14ac:dyDescent="0.25">
      <c r="A51" s="72"/>
      <c r="B51" s="72">
        <v>9</v>
      </c>
      <c r="C51" s="72">
        <f>'DETALLE DE VENTAS'!AC275-A51-B51</f>
        <v>0</v>
      </c>
      <c r="D51" s="613" t="s">
        <v>35</v>
      </c>
      <c r="E51" s="614"/>
      <c r="F51" s="614"/>
      <c r="G51" s="614"/>
      <c r="H51" s="615"/>
      <c r="I51" s="237"/>
      <c r="J51" s="236">
        <f t="shared" si="5"/>
        <v>7.7777777777777777</v>
      </c>
      <c r="K51" s="236">
        <v>7</v>
      </c>
      <c r="M51" s="456" t="s">
        <v>425</v>
      </c>
      <c r="N51" s="456"/>
      <c r="O51" s="456"/>
      <c r="P51" s="456"/>
      <c r="Q51" s="456"/>
      <c r="R51" s="456"/>
      <c r="S51" s="456"/>
      <c r="T51" s="456"/>
      <c r="U51" s="457">
        <v>20</v>
      </c>
      <c r="V51" s="461" t="s">
        <v>336</v>
      </c>
      <c r="W51" s="461" t="s">
        <v>336</v>
      </c>
      <c r="X51" s="431"/>
      <c r="Y51" s="427"/>
      <c r="Z51" s="308"/>
      <c r="AA51" s="427"/>
      <c r="AB51" s="427"/>
      <c r="AC51" s="308"/>
      <c r="AD51" s="308"/>
      <c r="AE51" s="308"/>
      <c r="AF51" s="308"/>
      <c r="AG51" s="308"/>
    </row>
    <row r="52" spans="1:33" x14ac:dyDescent="0.25">
      <c r="A52" s="72"/>
      <c r="B52" s="72">
        <v>2</v>
      </c>
      <c r="C52" s="72">
        <f>'DETALLE DE VENTAS'!AC273-A52-B52</f>
        <v>0</v>
      </c>
      <c r="D52" s="613" t="s">
        <v>33</v>
      </c>
      <c r="E52" s="614"/>
      <c r="F52" s="614"/>
      <c r="G52" s="614"/>
      <c r="H52" s="615"/>
      <c r="I52" s="237"/>
      <c r="J52" s="236">
        <f t="shared" si="5"/>
        <v>16.666666666666668</v>
      </c>
      <c r="K52" s="236">
        <v>15</v>
      </c>
      <c r="M52" s="456" t="s">
        <v>426</v>
      </c>
      <c r="N52" s="456"/>
      <c r="O52" s="456"/>
      <c r="P52" s="456"/>
      <c r="Q52" s="456"/>
      <c r="R52" s="456"/>
      <c r="S52" s="456"/>
      <c r="T52" s="456"/>
      <c r="U52" s="457">
        <v>21</v>
      </c>
      <c r="V52" s="461" t="s">
        <v>336</v>
      </c>
      <c r="W52" s="461" t="s">
        <v>336</v>
      </c>
      <c r="X52" s="431"/>
      <c r="Y52" s="427"/>
      <c r="Z52" s="308"/>
      <c r="AA52" s="427"/>
      <c r="AB52" s="427"/>
      <c r="AC52" s="308"/>
      <c r="AD52" s="308"/>
      <c r="AE52" s="308"/>
      <c r="AF52" s="308"/>
      <c r="AG52" s="308"/>
    </row>
    <row r="53" spans="1:33" x14ac:dyDescent="0.25">
      <c r="A53" s="72"/>
      <c r="B53" s="72">
        <v>2</v>
      </c>
      <c r="C53" s="72">
        <f>'DETALLE DE VENTAS'!AC274-A53-B53</f>
        <v>0</v>
      </c>
      <c r="D53" s="613" t="s">
        <v>34</v>
      </c>
      <c r="E53" s="614"/>
      <c r="F53" s="614"/>
      <c r="G53" s="614"/>
      <c r="H53" s="615"/>
      <c r="I53" s="237"/>
      <c r="J53" s="236">
        <f t="shared" si="5"/>
        <v>16.666666666666668</v>
      </c>
      <c r="K53" s="236">
        <v>15</v>
      </c>
      <c r="M53" s="456" t="s">
        <v>427</v>
      </c>
      <c r="N53" s="456"/>
      <c r="O53" s="456"/>
      <c r="P53" s="456"/>
      <c r="Q53" s="456"/>
      <c r="R53" s="456"/>
      <c r="S53" s="456"/>
      <c r="T53" s="456"/>
      <c r="U53" s="457">
        <v>23</v>
      </c>
      <c r="V53" s="461" t="s">
        <v>336</v>
      </c>
      <c r="W53" s="461" t="s">
        <v>336</v>
      </c>
      <c r="X53" s="431"/>
      <c r="Y53" s="427"/>
      <c r="Z53" s="308"/>
      <c r="AA53" s="427"/>
      <c r="AB53" s="427"/>
      <c r="AC53" s="308"/>
      <c r="AD53" s="308"/>
      <c r="AE53" s="308"/>
      <c r="AF53" s="308"/>
      <c r="AG53" s="308"/>
    </row>
    <row r="54" spans="1:33" x14ac:dyDescent="0.25">
      <c r="A54" s="72"/>
      <c r="B54" s="72">
        <v>4</v>
      </c>
      <c r="C54" s="72">
        <f>'DETALLE DE VENTAS'!AC272-A54-B54</f>
        <v>0</v>
      </c>
      <c r="D54" s="613" t="s">
        <v>32</v>
      </c>
      <c r="E54" s="614"/>
      <c r="F54" s="614"/>
      <c r="G54" s="614"/>
      <c r="H54" s="615"/>
      <c r="I54" s="237"/>
      <c r="J54" s="236">
        <f t="shared" si="5"/>
        <v>16.666666666666668</v>
      </c>
      <c r="K54" s="236">
        <v>15</v>
      </c>
      <c r="M54" s="456" t="s">
        <v>428</v>
      </c>
      <c r="N54" s="456"/>
      <c r="O54" s="456"/>
      <c r="P54" s="456"/>
      <c r="Q54" s="456"/>
      <c r="R54" s="456"/>
      <c r="S54" s="456"/>
      <c r="T54" s="456"/>
      <c r="U54" s="457">
        <v>15</v>
      </c>
      <c r="V54" s="461" t="s">
        <v>336</v>
      </c>
      <c r="W54" s="461" t="s">
        <v>336</v>
      </c>
      <c r="X54" s="431"/>
      <c r="Y54" s="427"/>
      <c r="Z54" s="308"/>
      <c r="AA54" s="427"/>
      <c r="AB54" s="427"/>
      <c r="AC54" s="308"/>
      <c r="AD54" s="308"/>
      <c r="AE54" s="308"/>
      <c r="AF54" s="308"/>
      <c r="AG54" s="308"/>
    </row>
    <row r="55" spans="1:33" x14ac:dyDescent="0.25">
      <c r="A55" s="72"/>
      <c r="B55" s="72">
        <v>39</v>
      </c>
      <c r="C55" s="72">
        <f>'DETALLE DE VENTAS'!AC259-A55-B55</f>
        <v>0</v>
      </c>
      <c r="D55" s="613" t="s">
        <v>20</v>
      </c>
      <c r="E55" s="614"/>
      <c r="F55" s="614"/>
      <c r="G55" s="614"/>
      <c r="H55" s="615"/>
      <c r="I55" s="237"/>
      <c r="J55" s="236">
        <f t="shared" si="5"/>
        <v>5.5555555555555554</v>
      </c>
      <c r="K55" s="236">
        <v>5</v>
      </c>
      <c r="M55" s="456" t="s">
        <v>429</v>
      </c>
      <c r="N55" s="456"/>
      <c r="O55" s="456"/>
      <c r="P55" s="456"/>
      <c r="Q55" s="456"/>
      <c r="R55" s="456"/>
      <c r="S55" s="456"/>
      <c r="T55" s="456"/>
      <c r="U55" s="457">
        <v>28</v>
      </c>
      <c r="V55" s="461" t="s">
        <v>336</v>
      </c>
      <c r="W55" s="461" t="s">
        <v>336</v>
      </c>
      <c r="X55" s="425"/>
      <c r="Y55" s="427"/>
      <c r="Z55" s="308"/>
      <c r="AA55" s="427"/>
      <c r="AB55" s="427"/>
      <c r="AC55" s="308"/>
      <c r="AD55" s="308"/>
      <c r="AE55" s="308"/>
      <c r="AF55" s="308"/>
      <c r="AG55" s="308"/>
    </row>
    <row r="56" spans="1:33" x14ac:dyDescent="0.25">
      <c r="A56" s="72"/>
      <c r="B56" s="72">
        <v>8</v>
      </c>
      <c r="C56" s="72">
        <f>'DETALLE DE VENTAS'!AC260-A56-B56</f>
        <v>0</v>
      </c>
      <c r="D56" s="613" t="s">
        <v>21</v>
      </c>
      <c r="E56" s="614"/>
      <c r="F56" s="614"/>
      <c r="G56" s="614"/>
      <c r="H56" s="615"/>
      <c r="I56" s="237"/>
      <c r="J56" s="236">
        <f t="shared" si="5"/>
        <v>12.222222222222221</v>
      </c>
      <c r="K56" s="236">
        <v>11</v>
      </c>
      <c r="M56" s="456" t="s">
        <v>430</v>
      </c>
      <c r="N56" s="456"/>
      <c r="O56" s="456"/>
      <c r="P56" s="456"/>
      <c r="Q56" s="456"/>
      <c r="R56" s="456"/>
      <c r="S56" s="456"/>
      <c r="T56" s="456"/>
      <c r="U56" s="457">
        <v>10</v>
      </c>
      <c r="V56" s="461" t="s">
        <v>336</v>
      </c>
      <c r="W56" s="461" t="s">
        <v>336</v>
      </c>
      <c r="X56" s="431"/>
      <c r="Y56" s="425"/>
      <c r="Z56" s="450"/>
      <c r="AA56" s="427"/>
      <c r="AB56" s="425"/>
      <c r="AC56" s="425"/>
      <c r="AD56" s="425"/>
      <c r="AE56" s="425"/>
      <c r="AF56" s="425"/>
      <c r="AG56" s="308"/>
    </row>
    <row r="57" spans="1:33" x14ac:dyDescent="0.25">
      <c r="A57" s="72"/>
      <c r="B57" s="72">
        <v>10</v>
      </c>
      <c r="C57" s="72">
        <f>'DETALLE DE VENTAS'!AC261-A57-B57</f>
        <v>0</v>
      </c>
      <c r="D57" s="613" t="s">
        <v>22</v>
      </c>
      <c r="E57" s="614"/>
      <c r="F57" s="614"/>
      <c r="G57" s="614"/>
      <c r="H57" s="615"/>
      <c r="I57" s="237"/>
      <c r="J57" s="236">
        <f t="shared" si="5"/>
        <v>12.222222222222221</v>
      </c>
      <c r="K57" s="236">
        <v>11</v>
      </c>
      <c r="M57" s="456" t="s">
        <v>548</v>
      </c>
      <c r="N57" s="456"/>
      <c r="O57" s="456"/>
      <c r="P57" s="456"/>
      <c r="Q57" s="456"/>
      <c r="R57" s="456"/>
      <c r="S57" s="456"/>
      <c r="T57" s="456"/>
      <c r="U57" s="457">
        <v>15</v>
      </c>
      <c r="V57" s="461" t="s">
        <v>336</v>
      </c>
      <c r="W57" s="461" t="s">
        <v>336</v>
      </c>
      <c r="X57" s="431"/>
      <c r="Y57" s="427"/>
      <c r="Z57" s="450"/>
      <c r="AA57" s="427"/>
      <c r="AB57" s="427"/>
      <c r="AC57" s="440"/>
      <c r="AD57" s="440"/>
      <c r="AE57" s="440"/>
      <c r="AF57" s="440"/>
      <c r="AG57" s="308"/>
    </row>
    <row r="58" spans="1:33" x14ac:dyDescent="0.25">
      <c r="A58" s="72"/>
      <c r="B58" s="72">
        <v>7</v>
      </c>
      <c r="C58" s="72">
        <f>'DETALLE DE VENTAS'!AC262-A58-B58</f>
        <v>0</v>
      </c>
      <c r="D58" s="613" t="s">
        <v>23</v>
      </c>
      <c r="E58" s="614"/>
      <c r="F58" s="614"/>
      <c r="G58" s="614"/>
      <c r="H58" s="615"/>
      <c r="I58" s="237"/>
      <c r="J58" s="236">
        <f t="shared" si="5"/>
        <v>4.4444444444444446</v>
      </c>
      <c r="K58" s="236">
        <v>4</v>
      </c>
      <c r="M58" s="456" t="s">
        <v>431</v>
      </c>
      <c r="N58" s="456"/>
      <c r="O58" s="456"/>
      <c r="P58" s="456"/>
      <c r="Q58" s="456"/>
      <c r="R58" s="456"/>
      <c r="S58" s="456"/>
      <c r="T58" s="456"/>
      <c r="U58" s="457">
        <v>12</v>
      </c>
      <c r="V58" s="461" t="s">
        <v>336</v>
      </c>
      <c r="W58" s="461" t="s">
        <v>336</v>
      </c>
      <c r="X58" s="431"/>
      <c r="Y58" s="427"/>
      <c r="Z58" s="450"/>
      <c r="AA58" s="427"/>
      <c r="AB58" s="427"/>
      <c r="AC58" s="440"/>
      <c r="AD58" s="440"/>
      <c r="AE58" s="440"/>
      <c r="AF58" s="440"/>
      <c r="AG58" s="308"/>
    </row>
    <row r="59" spans="1:33" x14ac:dyDescent="0.25">
      <c r="A59" s="72"/>
      <c r="B59" s="72">
        <v>10</v>
      </c>
      <c r="C59" s="72">
        <f>'DETALLE DE VENTAS'!AC263-A59-B59</f>
        <v>0</v>
      </c>
      <c r="D59" s="613" t="s">
        <v>24</v>
      </c>
      <c r="E59" s="614"/>
      <c r="F59" s="614"/>
      <c r="G59" s="614"/>
      <c r="H59" s="615"/>
      <c r="I59" s="237"/>
      <c r="J59" s="236">
        <f t="shared" si="5"/>
        <v>8.8888888888888893</v>
      </c>
      <c r="K59" s="236">
        <v>8</v>
      </c>
      <c r="M59" s="456" t="s">
        <v>432</v>
      </c>
      <c r="N59" s="456"/>
      <c r="O59" s="456"/>
      <c r="P59" s="456"/>
      <c r="Q59" s="456"/>
      <c r="R59" s="456"/>
      <c r="S59" s="456"/>
      <c r="T59" s="456"/>
      <c r="U59" s="457">
        <v>9</v>
      </c>
      <c r="V59" s="461" t="s">
        <v>336</v>
      </c>
      <c r="W59" s="461" t="s">
        <v>336</v>
      </c>
      <c r="X59" s="431"/>
      <c r="Y59" s="427"/>
      <c r="Z59" s="450"/>
      <c r="AA59" s="427"/>
      <c r="AB59" s="427"/>
      <c r="AC59" s="440"/>
      <c r="AD59" s="440"/>
      <c r="AE59" s="440"/>
      <c r="AF59" s="440"/>
      <c r="AG59" s="308"/>
    </row>
    <row r="60" spans="1:33" x14ac:dyDescent="0.25">
      <c r="A60" s="72"/>
      <c r="B60" s="72">
        <v>0</v>
      </c>
      <c r="C60" s="72">
        <f>'DETALLE DE VENTAS'!AC264-A60-B60</f>
        <v>0</v>
      </c>
      <c r="D60" s="613" t="s">
        <v>25</v>
      </c>
      <c r="E60" s="614"/>
      <c r="F60" s="614"/>
      <c r="G60" s="614"/>
      <c r="H60" s="615"/>
      <c r="I60" s="237"/>
      <c r="J60" s="236">
        <f t="shared" si="5"/>
        <v>28.888888888888889</v>
      </c>
      <c r="K60" s="236">
        <v>26</v>
      </c>
      <c r="M60" s="456" t="s">
        <v>549</v>
      </c>
      <c r="N60" s="456"/>
      <c r="O60" s="456"/>
      <c r="P60" s="456"/>
      <c r="Q60" s="456"/>
      <c r="R60" s="456"/>
      <c r="S60" s="456"/>
      <c r="T60" s="456"/>
      <c r="U60" s="457">
        <v>85</v>
      </c>
      <c r="V60" s="461" t="s">
        <v>336</v>
      </c>
      <c r="W60" s="461" t="s">
        <v>336</v>
      </c>
      <c r="X60" s="431"/>
      <c r="Y60" s="427"/>
      <c r="Z60" s="450"/>
      <c r="AA60" s="427"/>
      <c r="AB60" s="427"/>
      <c r="AC60" s="440"/>
      <c r="AD60" s="440"/>
      <c r="AE60" s="440"/>
      <c r="AF60" s="440"/>
      <c r="AG60" s="308"/>
    </row>
    <row r="61" spans="1:33" x14ac:dyDescent="0.25">
      <c r="A61" s="72"/>
      <c r="B61" s="72">
        <f>-4</f>
        <v>-4</v>
      </c>
      <c r="C61" s="72">
        <f>'DETALLE DE VENTAS'!AC276-A61-B61</f>
        <v>0</v>
      </c>
      <c r="D61" s="613" t="s">
        <v>36</v>
      </c>
      <c r="E61" s="614"/>
      <c r="F61" s="614"/>
      <c r="G61" s="614"/>
      <c r="H61" s="615"/>
      <c r="I61" s="237"/>
      <c r="J61" s="236">
        <f t="shared" si="5"/>
        <v>7.7777777777777777</v>
      </c>
      <c r="K61" s="236">
        <v>7</v>
      </c>
      <c r="M61" s="456" t="s">
        <v>550</v>
      </c>
      <c r="N61" s="456"/>
      <c r="O61" s="456"/>
      <c r="P61" s="456"/>
      <c r="Q61" s="456"/>
      <c r="R61" s="456"/>
      <c r="S61" s="456"/>
      <c r="T61" s="456"/>
      <c r="U61" s="457">
        <v>20</v>
      </c>
      <c r="V61" s="461" t="s">
        <v>336</v>
      </c>
      <c r="W61" s="461" t="s">
        <v>336</v>
      </c>
      <c r="X61" s="431"/>
      <c r="Y61" s="427"/>
      <c r="Z61" s="450"/>
      <c r="AA61" s="427"/>
      <c r="AB61" s="427"/>
      <c r="AC61" s="440"/>
      <c r="AD61" s="440"/>
      <c r="AE61" s="440"/>
      <c r="AF61" s="440"/>
      <c r="AG61" s="308"/>
    </row>
    <row r="62" spans="1:33" x14ac:dyDescent="0.25">
      <c r="A62" s="72"/>
      <c r="B62" s="72">
        <v>2</v>
      </c>
      <c r="C62" s="72">
        <f>'DETALLE DE VENTAS'!AC278-A62-B62</f>
        <v>0</v>
      </c>
      <c r="D62" s="613" t="s">
        <v>38</v>
      </c>
      <c r="E62" s="614"/>
      <c r="F62" s="614"/>
      <c r="G62" s="614"/>
      <c r="H62" s="615"/>
      <c r="I62" s="237"/>
      <c r="J62" s="236">
        <f t="shared" si="5"/>
        <v>14.444444444444445</v>
      </c>
      <c r="K62" s="236">
        <v>13</v>
      </c>
      <c r="M62" s="456" t="s">
        <v>436</v>
      </c>
      <c r="N62" s="456"/>
      <c r="O62" s="456"/>
      <c r="P62" s="456"/>
      <c r="Q62" s="456"/>
      <c r="R62" s="456"/>
      <c r="S62" s="456"/>
      <c r="T62" s="456"/>
      <c r="U62" s="457">
        <v>17</v>
      </c>
      <c r="V62" s="461" t="s">
        <v>336</v>
      </c>
      <c r="W62" s="461" t="s">
        <v>336</v>
      </c>
      <c r="X62" s="431"/>
      <c r="Y62" s="427"/>
      <c r="Z62" s="450"/>
      <c r="AA62" s="427"/>
      <c r="AB62" s="427"/>
      <c r="AC62" s="440"/>
      <c r="AD62" s="440"/>
      <c r="AE62" s="440"/>
      <c r="AF62" s="440"/>
      <c r="AG62" s="308"/>
    </row>
    <row r="63" spans="1:33" x14ac:dyDescent="0.25">
      <c r="A63" s="72"/>
      <c r="B63" s="72">
        <v>2</v>
      </c>
      <c r="C63" s="72">
        <f>'DETALLE DE VENTAS'!AC279-A63-B63</f>
        <v>0</v>
      </c>
      <c r="D63" s="613" t="s">
        <v>39</v>
      </c>
      <c r="E63" s="614"/>
      <c r="F63" s="614"/>
      <c r="G63" s="614"/>
      <c r="H63" s="615"/>
      <c r="I63" s="237"/>
      <c r="J63" s="236">
        <f t="shared" si="5"/>
        <v>20</v>
      </c>
      <c r="K63" s="236">
        <v>18</v>
      </c>
      <c r="M63" s="456" t="s">
        <v>437</v>
      </c>
      <c r="N63" s="456"/>
      <c r="O63" s="456"/>
      <c r="P63" s="456"/>
      <c r="Q63" s="456"/>
      <c r="R63" s="456"/>
      <c r="S63" s="456"/>
      <c r="T63" s="456"/>
      <c r="U63" s="457">
        <v>14</v>
      </c>
      <c r="V63" s="461" t="s">
        <v>336</v>
      </c>
      <c r="W63" s="461" t="s">
        <v>336</v>
      </c>
      <c r="X63" s="431"/>
      <c r="Y63" s="427"/>
      <c r="Z63" s="450"/>
      <c r="AA63" s="427"/>
      <c r="AB63" s="427"/>
      <c r="AC63" s="440"/>
      <c r="AD63" s="440"/>
      <c r="AE63" s="440"/>
      <c r="AF63" s="440"/>
      <c r="AG63" s="308"/>
    </row>
    <row r="64" spans="1:33" x14ac:dyDescent="0.25">
      <c r="A64" s="229"/>
      <c r="B64" s="229">
        <v>0</v>
      </c>
      <c r="C64" s="230">
        <f>'DETALLE DE VENTAS'!AN223 -B64-A64</f>
        <v>0</v>
      </c>
      <c r="D64" s="622" t="s">
        <v>11</v>
      </c>
      <c r="E64" s="623"/>
      <c r="F64" s="623"/>
      <c r="G64" s="623"/>
      <c r="H64" s="624"/>
      <c r="I64" s="78"/>
      <c r="J64" s="269">
        <f t="shared" si="5"/>
        <v>115.55555555555556</v>
      </c>
      <c r="K64" s="269">
        <v>104</v>
      </c>
      <c r="M64" s="456" t="s">
        <v>438</v>
      </c>
      <c r="N64" s="456"/>
      <c r="O64" s="456"/>
      <c r="P64" s="456"/>
      <c r="Q64" s="456"/>
      <c r="R64" s="456"/>
      <c r="S64" s="456"/>
      <c r="T64" s="456"/>
      <c r="U64" s="457">
        <v>11</v>
      </c>
      <c r="V64" s="461" t="s">
        <v>336</v>
      </c>
      <c r="W64" s="461" t="s">
        <v>336</v>
      </c>
      <c r="X64" s="431"/>
      <c r="Y64" s="427"/>
      <c r="Z64" s="450"/>
      <c r="AA64" s="427"/>
      <c r="AB64" s="427"/>
      <c r="AC64" s="440"/>
      <c r="AD64" s="440"/>
      <c r="AE64" s="440"/>
      <c r="AF64" s="440"/>
      <c r="AG64" s="308"/>
    </row>
    <row r="65" spans="1:33" x14ac:dyDescent="0.25">
      <c r="A65" s="229"/>
      <c r="B65" s="229">
        <f>-3</f>
        <v>-3</v>
      </c>
      <c r="C65" s="230">
        <f>'DETALLE DE VENTAS'!AN222 -B65-A65</f>
        <v>0</v>
      </c>
      <c r="D65" s="622" t="s">
        <v>10</v>
      </c>
      <c r="E65" s="623"/>
      <c r="F65" s="623"/>
      <c r="G65" s="623"/>
      <c r="H65" s="624"/>
      <c r="I65" s="78"/>
      <c r="J65" s="269">
        <f t="shared" si="5"/>
        <v>33.333333333333336</v>
      </c>
      <c r="K65" s="269">
        <v>30</v>
      </c>
      <c r="M65" s="456" t="s">
        <v>551</v>
      </c>
      <c r="N65" s="456"/>
      <c r="O65" s="456"/>
      <c r="P65" s="456"/>
      <c r="Q65" s="456"/>
      <c r="R65" s="456"/>
      <c r="S65" s="456"/>
      <c r="T65" s="456"/>
      <c r="U65" s="457">
        <v>16</v>
      </c>
      <c r="V65" s="461" t="s">
        <v>336</v>
      </c>
      <c r="W65" s="461" t="s">
        <v>336</v>
      </c>
      <c r="X65" s="431"/>
      <c r="Y65" s="427"/>
      <c r="Z65" s="450"/>
      <c r="AA65" s="427"/>
      <c r="AB65" s="427"/>
      <c r="AC65" s="440"/>
      <c r="AD65" s="440"/>
      <c r="AE65" s="440"/>
      <c r="AF65" s="440"/>
      <c r="AG65" s="308"/>
    </row>
    <row r="66" spans="1:33" x14ac:dyDescent="0.25">
      <c r="A66" s="242"/>
      <c r="B66" s="242">
        <v>10</v>
      </c>
      <c r="C66" s="242">
        <f>'DETALLE DE VENTAS'!Q311-B66-A66</f>
        <v>0</v>
      </c>
      <c r="D66" s="619" t="s">
        <v>257</v>
      </c>
      <c r="E66" s="620"/>
      <c r="F66" s="620"/>
      <c r="G66" s="620"/>
      <c r="H66" s="621"/>
      <c r="I66" s="243"/>
      <c r="J66" s="271">
        <f t="shared" si="5"/>
        <v>16.666666666666668</v>
      </c>
      <c r="K66" s="271">
        <v>15</v>
      </c>
      <c r="M66" s="456" t="s">
        <v>552</v>
      </c>
      <c r="N66" s="456"/>
      <c r="O66" s="456"/>
      <c r="P66" s="456"/>
      <c r="Q66" s="456"/>
      <c r="R66" s="456"/>
      <c r="S66" s="456"/>
      <c r="T66" s="456"/>
      <c r="U66" s="457">
        <v>13</v>
      </c>
      <c r="V66" s="461" t="s">
        <v>336</v>
      </c>
      <c r="W66" s="461" t="s">
        <v>336</v>
      </c>
      <c r="X66" s="431"/>
      <c r="Y66" s="427"/>
      <c r="Z66" s="450"/>
      <c r="AA66" s="427"/>
      <c r="AB66" s="427"/>
      <c r="AC66" s="440"/>
      <c r="AD66" s="440"/>
      <c r="AE66" s="440"/>
      <c r="AF66" s="440"/>
      <c r="AG66" s="308"/>
    </row>
    <row r="67" spans="1:33" x14ac:dyDescent="0.25">
      <c r="A67" s="245"/>
      <c r="B67" s="245">
        <v>10</v>
      </c>
      <c r="C67" s="242">
        <f>'DETALLE DE VENTAS'!Q313-B67-A67</f>
        <v>0</v>
      </c>
      <c r="D67" s="619" t="s">
        <v>259</v>
      </c>
      <c r="E67" s="620"/>
      <c r="F67" s="620"/>
      <c r="G67" s="620"/>
      <c r="H67" s="621"/>
      <c r="I67" s="243"/>
      <c r="J67" s="271">
        <f t="shared" si="5"/>
        <v>18.888888888888889</v>
      </c>
      <c r="K67" s="271">
        <v>17</v>
      </c>
      <c r="M67" s="456" t="s">
        <v>553</v>
      </c>
      <c r="N67" s="456"/>
      <c r="O67" s="456"/>
      <c r="P67" s="456"/>
      <c r="Q67" s="456"/>
      <c r="R67" s="456"/>
      <c r="S67" s="456"/>
      <c r="T67" s="456"/>
      <c r="U67" s="457">
        <v>13</v>
      </c>
      <c r="V67" s="461" t="s">
        <v>336</v>
      </c>
      <c r="W67" s="461" t="s">
        <v>336</v>
      </c>
      <c r="X67" s="431"/>
      <c r="Y67" s="427"/>
      <c r="Z67" s="450"/>
      <c r="AA67" s="427"/>
      <c r="AB67" s="427"/>
      <c r="AC67" s="440"/>
      <c r="AD67" s="440"/>
      <c r="AE67" s="440"/>
      <c r="AF67" s="440"/>
      <c r="AG67" s="308"/>
    </row>
    <row r="68" spans="1:33" x14ac:dyDescent="0.25">
      <c r="A68" s="242"/>
      <c r="B68" s="242">
        <v>10</v>
      </c>
      <c r="C68" s="242">
        <f>'DETALLE DE VENTAS'!Q310-B68-A68</f>
        <v>0</v>
      </c>
      <c r="D68" s="619" t="s">
        <v>256</v>
      </c>
      <c r="E68" s="620"/>
      <c r="F68" s="620"/>
      <c r="G68" s="620"/>
      <c r="H68" s="621"/>
      <c r="I68" s="243"/>
      <c r="J68" s="271">
        <f t="shared" si="5"/>
        <v>15.555555555555555</v>
      </c>
      <c r="K68" s="271">
        <v>14</v>
      </c>
      <c r="M68" s="456" t="s">
        <v>554</v>
      </c>
      <c r="N68" s="456"/>
      <c r="O68" s="456"/>
      <c r="P68" s="456"/>
      <c r="Q68" s="456"/>
      <c r="R68" s="456"/>
      <c r="S68" s="456"/>
      <c r="T68" s="456"/>
      <c r="U68" s="457">
        <v>32</v>
      </c>
      <c r="V68" s="461" t="s">
        <v>336</v>
      </c>
      <c r="W68" s="461" t="s">
        <v>336</v>
      </c>
      <c r="X68" s="431"/>
      <c r="Y68" s="427"/>
      <c r="Z68" s="450"/>
      <c r="AA68" s="427"/>
      <c r="AB68" s="427"/>
      <c r="AC68" s="440"/>
      <c r="AD68" s="440"/>
      <c r="AE68" s="440"/>
      <c r="AF68" s="440"/>
      <c r="AG68" s="308"/>
    </row>
    <row r="69" spans="1:33" x14ac:dyDescent="0.25">
      <c r="A69" s="242"/>
      <c r="B69" s="242">
        <v>10</v>
      </c>
      <c r="C69" s="242">
        <f>'DETALLE DE VENTAS'!Q309-B69-A69</f>
        <v>0</v>
      </c>
      <c r="D69" s="619" t="s">
        <v>255</v>
      </c>
      <c r="E69" s="620"/>
      <c r="F69" s="620"/>
      <c r="G69" s="620"/>
      <c r="H69" s="621"/>
      <c r="I69" s="242"/>
      <c r="J69" s="271">
        <f t="shared" ref="J69:J90" si="6">K69/$C$97</f>
        <v>12.222222222222221</v>
      </c>
      <c r="K69" s="271">
        <v>11</v>
      </c>
      <c r="M69" s="456" t="s">
        <v>555</v>
      </c>
      <c r="N69" s="456"/>
      <c r="O69" s="456"/>
      <c r="P69" s="456"/>
      <c r="Q69" s="456"/>
      <c r="R69" s="456"/>
      <c r="S69" s="456"/>
      <c r="T69" s="456"/>
      <c r="U69" s="457">
        <v>10</v>
      </c>
      <c r="V69" s="461" t="s">
        <v>336</v>
      </c>
      <c r="W69" s="461" t="s">
        <v>336</v>
      </c>
      <c r="X69" s="431"/>
      <c r="Y69" s="427"/>
      <c r="Z69" s="450"/>
      <c r="AA69" s="427"/>
      <c r="AB69" s="427"/>
      <c r="AC69" s="440"/>
      <c r="AD69" s="440"/>
      <c r="AE69" s="440"/>
      <c r="AF69" s="440"/>
      <c r="AG69" s="308"/>
    </row>
    <row r="70" spans="1:33" x14ac:dyDescent="0.25">
      <c r="A70" s="229"/>
      <c r="B70" s="229">
        <v>70</v>
      </c>
      <c r="C70" s="230">
        <f>'DETALLE DE VENTAS'!AN221 -B70-A70</f>
        <v>0</v>
      </c>
      <c r="D70" s="622" t="s">
        <v>9</v>
      </c>
      <c r="E70" s="623"/>
      <c r="F70" s="623"/>
      <c r="G70" s="623"/>
      <c r="H70" s="624"/>
      <c r="I70" s="75"/>
      <c r="J70" s="269">
        <f t="shared" si="6"/>
        <v>33.333333333333336</v>
      </c>
      <c r="K70" s="269">
        <v>30</v>
      </c>
      <c r="M70" s="456" t="s">
        <v>556</v>
      </c>
      <c r="N70" s="456"/>
      <c r="O70" s="456"/>
      <c r="P70" s="456"/>
      <c r="Q70" s="456"/>
      <c r="R70" s="456"/>
      <c r="S70" s="456"/>
      <c r="T70" s="456"/>
      <c r="U70" s="457">
        <v>33</v>
      </c>
      <c r="V70" s="461" t="s">
        <v>336</v>
      </c>
      <c r="W70" s="461" t="s">
        <v>336</v>
      </c>
      <c r="X70" s="431"/>
      <c r="Y70" s="427"/>
      <c r="Z70" s="450"/>
      <c r="AA70" s="427"/>
      <c r="AB70" s="427"/>
      <c r="AC70" s="440"/>
      <c r="AD70" s="440"/>
      <c r="AE70" s="440"/>
      <c r="AF70" s="440"/>
      <c r="AG70" s="308"/>
    </row>
    <row r="71" spans="1:33" x14ac:dyDescent="0.25">
      <c r="A71" s="229"/>
      <c r="B71" s="229">
        <v>38</v>
      </c>
      <c r="C71" s="230">
        <f>'DETALLE DE VENTAS'!AN220 -B71-A71</f>
        <v>0</v>
      </c>
      <c r="D71" s="622" t="s">
        <v>8</v>
      </c>
      <c r="E71" s="623"/>
      <c r="F71" s="623"/>
      <c r="G71" s="623"/>
      <c r="H71" s="624"/>
      <c r="I71" s="270"/>
      <c r="J71" s="269">
        <f t="shared" si="6"/>
        <v>15.555555555555555</v>
      </c>
      <c r="K71" s="269">
        <v>14</v>
      </c>
      <c r="M71" s="456" t="s">
        <v>557</v>
      </c>
      <c r="N71" s="456"/>
      <c r="O71" s="456"/>
      <c r="P71" s="456"/>
      <c r="Q71" s="456"/>
      <c r="R71" s="456"/>
      <c r="S71" s="456"/>
      <c r="T71" s="456"/>
      <c r="U71" s="457">
        <v>33</v>
      </c>
      <c r="V71" s="461" t="s">
        <v>336</v>
      </c>
      <c r="W71" s="461" t="s">
        <v>336</v>
      </c>
      <c r="X71" s="431"/>
      <c r="Y71" s="427"/>
      <c r="Z71" s="450"/>
      <c r="AA71" s="427"/>
      <c r="AB71" s="427"/>
      <c r="AC71" s="440"/>
      <c r="AD71" s="440"/>
      <c r="AE71" s="440"/>
      <c r="AF71" s="440"/>
      <c r="AG71" s="308"/>
    </row>
    <row r="72" spans="1:33" x14ac:dyDescent="0.25">
      <c r="A72" s="229"/>
      <c r="B72" s="229">
        <v>0</v>
      </c>
      <c r="C72" s="230">
        <f>'DETALLE DE VENTAS'!AN224 -B72-A72</f>
        <v>0</v>
      </c>
      <c r="D72" s="622" t="s">
        <v>57</v>
      </c>
      <c r="E72" s="623"/>
      <c r="F72" s="623"/>
      <c r="G72" s="623"/>
      <c r="H72" s="624"/>
      <c r="I72" s="268"/>
      <c r="J72" s="269">
        <f t="shared" si="6"/>
        <v>53.333333333333329</v>
      </c>
      <c r="K72" s="269">
        <v>48</v>
      </c>
      <c r="M72" s="456" t="s">
        <v>558</v>
      </c>
      <c r="N72" s="456"/>
      <c r="O72" s="456"/>
      <c r="P72" s="456"/>
      <c r="Q72" s="456"/>
      <c r="R72" s="456"/>
      <c r="S72" s="456"/>
      <c r="T72" s="456"/>
      <c r="U72" s="457">
        <v>16</v>
      </c>
      <c r="V72" s="462">
        <v>10</v>
      </c>
      <c r="W72" s="462">
        <v>15</v>
      </c>
      <c r="X72" s="431"/>
      <c r="Y72" s="427"/>
      <c r="Z72" s="450"/>
      <c r="AA72" s="427"/>
      <c r="AB72" s="427"/>
      <c r="AC72" s="440"/>
      <c r="AD72" s="440"/>
      <c r="AE72" s="440"/>
      <c r="AF72" s="440"/>
      <c r="AG72" s="308"/>
    </row>
    <row r="73" spans="1:33" x14ac:dyDescent="0.25">
      <c r="A73" s="238"/>
      <c r="B73" s="238">
        <v>31</v>
      </c>
      <c r="C73" s="72">
        <f>'DETALLE DE VENTAS'!AC292-B73-A73</f>
        <v>0</v>
      </c>
      <c r="D73" s="613" t="s">
        <v>276</v>
      </c>
      <c r="E73" s="614"/>
      <c r="F73" s="614"/>
      <c r="G73" s="614"/>
      <c r="H73" s="615"/>
      <c r="I73" s="239"/>
      <c r="J73" s="236">
        <f t="shared" si="6"/>
        <v>10</v>
      </c>
      <c r="K73" s="236">
        <v>9</v>
      </c>
      <c r="M73" s="459"/>
      <c r="N73" s="459"/>
      <c r="O73" s="459"/>
      <c r="P73" s="459"/>
      <c r="Q73" s="459"/>
      <c r="R73" s="459"/>
      <c r="S73" s="459"/>
      <c r="T73" s="459"/>
      <c r="U73" s="460"/>
      <c r="V73" s="437"/>
      <c r="W73" s="437"/>
      <c r="X73" s="431"/>
      <c r="Y73" s="427"/>
      <c r="Z73" s="450"/>
      <c r="AA73" s="427"/>
      <c r="AB73" s="427"/>
      <c r="AC73" s="440"/>
      <c r="AD73" s="440"/>
      <c r="AE73" s="440"/>
      <c r="AF73" s="440"/>
      <c r="AG73" s="308"/>
    </row>
    <row r="74" spans="1:33" ht="26.25" x14ac:dyDescent="0.25">
      <c r="A74" s="229"/>
      <c r="B74" s="229">
        <v>11</v>
      </c>
      <c r="C74" s="230">
        <f>'DETALLE DE VENTAS'!AN225 -B74-A74</f>
        <v>0</v>
      </c>
      <c r="D74" s="622" t="s">
        <v>51</v>
      </c>
      <c r="E74" s="623"/>
      <c r="F74" s="623"/>
      <c r="G74" s="623"/>
      <c r="H74" s="624"/>
      <c r="I74" s="268"/>
      <c r="J74" s="269">
        <f t="shared" si="6"/>
        <v>50</v>
      </c>
      <c r="K74" s="269">
        <v>45</v>
      </c>
      <c r="M74" s="453" t="s">
        <v>2</v>
      </c>
      <c r="N74" s="453"/>
      <c r="O74" s="453"/>
      <c r="P74" s="453"/>
      <c r="Q74" s="453"/>
      <c r="R74" s="453"/>
      <c r="S74" s="453"/>
      <c r="T74" s="453"/>
      <c r="U74" s="453" t="s">
        <v>299</v>
      </c>
      <c r="V74" s="454" t="s">
        <v>526</v>
      </c>
      <c r="W74" s="455" t="s">
        <v>527</v>
      </c>
      <c r="X74" s="431"/>
      <c r="Y74" s="427"/>
      <c r="Z74" s="450"/>
      <c r="AA74" s="427"/>
      <c r="AB74" s="427"/>
      <c r="AC74" s="440"/>
      <c r="AD74" s="440"/>
      <c r="AE74" s="440"/>
      <c r="AF74" s="440"/>
      <c r="AG74" s="308"/>
    </row>
    <row r="75" spans="1:33" ht="17.25" customHeight="1" x14ac:dyDescent="0.25">
      <c r="A75" s="248"/>
      <c r="B75" s="248">
        <v>2</v>
      </c>
      <c r="C75" s="248">
        <f>'DETALLE DE VENTAS'!N241-A75-B75</f>
        <v>0</v>
      </c>
      <c r="D75" s="616" t="s">
        <v>279</v>
      </c>
      <c r="E75" s="617"/>
      <c r="F75" s="617"/>
      <c r="G75" s="617"/>
      <c r="H75" s="618"/>
      <c r="I75" s="249"/>
      <c r="J75" s="267">
        <f t="shared" si="6"/>
        <v>133.33333333333334</v>
      </c>
      <c r="K75" s="267">
        <v>120</v>
      </c>
      <c r="M75" s="456" t="s">
        <v>385</v>
      </c>
      <c r="N75" s="456"/>
      <c r="O75" s="456"/>
      <c r="P75" s="456"/>
      <c r="Q75" s="456"/>
      <c r="R75" s="456"/>
      <c r="S75" s="456"/>
      <c r="T75" s="456"/>
      <c r="U75" s="457">
        <v>80</v>
      </c>
      <c r="V75" s="461" t="s">
        <v>336</v>
      </c>
      <c r="W75" s="461" t="s">
        <v>336</v>
      </c>
      <c r="X75" s="431"/>
      <c r="Y75" s="427"/>
      <c r="Z75" s="450"/>
      <c r="AA75" s="427"/>
      <c r="AB75" s="427"/>
      <c r="AC75" s="440"/>
      <c r="AD75" s="440"/>
      <c r="AE75" s="440"/>
      <c r="AF75" s="440"/>
      <c r="AG75" s="308"/>
    </row>
    <row r="76" spans="1:33" x14ac:dyDescent="0.25">
      <c r="A76" s="248"/>
      <c r="B76" s="248">
        <v>3</v>
      </c>
      <c r="C76" s="248">
        <f>'DETALLE DE VENTAS'!Q251-A76-B76</f>
        <v>0</v>
      </c>
      <c r="D76" s="616" t="s">
        <v>237</v>
      </c>
      <c r="E76" s="617"/>
      <c r="F76" s="617"/>
      <c r="G76" s="617"/>
      <c r="H76" s="618"/>
      <c r="I76" s="249"/>
      <c r="J76" s="267">
        <f t="shared" si="6"/>
        <v>111.11111111111111</v>
      </c>
      <c r="K76" s="267">
        <v>100</v>
      </c>
      <c r="M76" s="456" t="s">
        <v>308</v>
      </c>
      <c r="N76" s="456"/>
      <c r="O76" s="456"/>
      <c r="P76" s="456"/>
      <c r="Q76" s="456"/>
      <c r="R76" s="456"/>
      <c r="S76" s="456"/>
      <c r="T76" s="456"/>
      <c r="U76" s="457">
        <v>100</v>
      </c>
      <c r="V76" s="462" t="s">
        <v>336</v>
      </c>
      <c r="W76" s="462" t="s">
        <v>336</v>
      </c>
      <c r="X76" s="431"/>
      <c r="Y76" s="427"/>
      <c r="Z76" s="450"/>
      <c r="AA76" s="427"/>
      <c r="AB76" s="427"/>
      <c r="AC76" s="440"/>
      <c r="AD76" s="440"/>
      <c r="AE76" s="440"/>
      <c r="AF76" s="440"/>
      <c r="AG76" s="308"/>
    </row>
    <row r="77" spans="1:33" ht="14.25" customHeight="1" x14ac:dyDescent="0.25">
      <c r="A77" s="248"/>
      <c r="B77" s="248">
        <v>1</v>
      </c>
      <c r="C77" s="248">
        <f>'DETALLE DE VENTAS'!N239-A77-B77</f>
        <v>0</v>
      </c>
      <c r="D77" s="616" t="s">
        <v>280</v>
      </c>
      <c r="E77" s="617"/>
      <c r="F77" s="617"/>
      <c r="G77" s="617"/>
      <c r="H77" s="618"/>
      <c r="I77" s="249"/>
      <c r="J77" s="267">
        <f t="shared" si="6"/>
        <v>83.333333333333329</v>
      </c>
      <c r="K77" s="267">
        <v>75</v>
      </c>
      <c r="M77" s="456" t="s">
        <v>386</v>
      </c>
      <c r="N77" s="456"/>
      <c r="O77" s="456"/>
      <c r="P77" s="456"/>
      <c r="Q77" s="456"/>
      <c r="R77" s="456"/>
      <c r="S77" s="456"/>
      <c r="T77" s="456"/>
      <c r="U77" s="457">
        <v>25</v>
      </c>
      <c r="V77" s="461" t="s">
        <v>336</v>
      </c>
      <c r="W77" s="461" t="s">
        <v>336</v>
      </c>
      <c r="X77" s="431"/>
      <c r="Y77" s="427"/>
      <c r="Z77" s="450"/>
      <c r="AA77" s="427"/>
      <c r="AB77" s="427"/>
      <c r="AC77" s="440"/>
      <c r="AD77" s="440"/>
      <c r="AE77" s="440"/>
      <c r="AF77" s="440"/>
      <c r="AG77" s="308"/>
    </row>
    <row r="78" spans="1:33" x14ac:dyDescent="0.25">
      <c r="A78" s="248"/>
      <c r="B78" s="248">
        <v>2</v>
      </c>
      <c r="C78" s="248">
        <f>'DETALLE DE VENTAS'!N240-A78-B78</f>
        <v>0</v>
      </c>
      <c r="D78" s="616" t="s">
        <v>281</v>
      </c>
      <c r="E78" s="617"/>
      <c r="F78" s="617"/>
      <c r="G78" s="617"/>
      <c r="H78" s="618"/>
      <c r="I78" s="249"/>
      <c r="J78" s="267">
        <f t="shared" si="6"/>
        <v>88.888888888888886</v>
      </c>
      <c r="K78" s="267">
        <v>80</v>
      </c>
      <c r="M78" s="456" t="s">
        <v>387</v>
      </c>
      <c r="N78" s="456"/>
      <c r="O78" s="456"/>
      <c r="P78" s="456"/>
      <c r="Q78" s="456"/>
      <c r="R78" s="456"/>
      <c r="S78" s="456"/>
      <c r="T78" s="456"/>
      <c r="U78" s="457">
        <v>100</v>
      </c>
      <c r="V78" s="462" t="s">
        <v>336</v>
      </c>
      <c r="W78" s="462" t="s">
        <v>336</v>
      </c>
      <c r="X78" s="431"/>
      <c r="Y78" s="427"/>
      <c r="Z78" s="450"/>
      <c r="AA78" s="427"/>
      <c r="AB78" s="427"/>
      <c r="AC78" s="440"/>
      <c r="AD78" s="440"/>
      <c r="AE78" s="440"/>
      <c r="AF78" s="440"/>
      <c r="AG78" s="308"/>
    </row>
    <row r="79" spans="1:33" x14ac:dyDescent="0.25">
      <c r="A79" s="248"/>
      <c r="B79" s="248">
        <v>3</v>
      </c>
      <c r="C79" s="248">
        <f>'DETALLE DE VENTAS'!N242-A79-B79</f>
        <v>0</v>
      </c>
      <c r="D79" s="616" t="s">
        <v>282</v>
      </c>
      <c r="E79" s="617"/>
      <c r="F79" s="617"/>
      <c r="G79" s="617"/>
      <c r="H79" s="618"/>
      <c r="I79" s="249"/>
      <c r="J79" s="267">
        <f t="shared" si="6"/>
        <v>133.33333333333334</v>
      </c>
      <c r="K79" s="267">
        <v>120</v>
      </c>
      <c r="M79" s="456" t="s">
        <v>388</v>
      </c>
      <c r="N79" s="456"/>
      <c r="O79" s="456"/>
      <c r="P79" s="456"/>
      <c r="Q79" s="456"/>
      <c r="R79" s="456"/>
      <c r="S79" s="456"/>
      <c r="T79" s="456"/>
      <c r="U79" s="457">
        <v>25</v>
      </c>
      <c r="V79" s="461" t="s">
        <v>336</v>
      </c>
      <c r="W79" s="461" t="s">
        <v>336</v>
      </c>
      <c r="X79" s="431"/>
      <c r="Y79" s="427"/>
      <c r="Z79" s="450"/>
      <c r="AA79" s="427"/>
      <c r="AB79" s="427"/>
      <c r="AC79" s="440"/>
      <c r="AD79" s="440"/>
      <c r="AE79" s="440"/>
      <c r="AF79" s="440"/>
      <c r="AG79" s="308"/>
    </row>
    <row r="80" spans="1:33" ht="15" customHeight="1" x14ac:dyDescent="0.25">
      <c r="A80" s="248"/>
      <c r="B80" s="248">
        <v>13</v>
      </c>
      <c r="C80" s="248">
        <f>'DETALLE DE VENTAS'!Q252-A80-B80</f>
        <v>0</v>
      </c>
      <c r="D80" s="616" t="s">
        <v>59</v>
      </c>
      <c r="E80" s="617"/>
      <c r="F80" s="617"/>
      <c r="G80" s="617"/>
      <c r="H80" s="618"/>
      <c r="I80" s="249"/>
      <c r="J80" s="267">
        <f t="shared" si="6"/>
        <v>111.11111111111111</v>
      </c>
      <c r="K80" s="267">
        <v>100</v>
      </c>
      <c r="M80" s="456" t="s">
        <v>389</v>
      </c>
      <c r="N80" s="456"/>
      <c r="O80" s="456"/>
      <c r="P80" s="456"/>
      <c r="Q80" s="456"/>
      <c r="R80" s="456"/>
      <c r="S80" s="456"/>
      <c r="T80" s="456"/>
      <c r="U80" s="457">
        <v>100</v>
      </c>
      <c r="V80" s="462" t="s">
        <v>336</v>
      </c>
      <c r="W80" s="462" t="s">
        <v>336</v>
      </c>
      <c r="X80" s="431"/>
      <c r="Y80" s="427"/>
      <c r="Z80" s="450"/>
      <c r="AA80" s="427"/>
      <c r="AB80" s="427"/>
      <c r="AC80" s="440"/>
      <c r="AD80" s="440"/>
      <c r="AE80" s="440"/>
      <c r="AF80" s="440"/>
      <c r="AG80" s="308"/>
    </row>
    <row r="81" spans="1:33" ht="15" customHeight="1" x14ac:dyDescent="0.25">
      <c r="A81" s="248"/>
      <c r="B81" s="248">
        <v>1</v>
      </c>
      <c r="C81" s="248">
        <f>'DETALLE DE VENTAS'!N243-A81-B81</f>
        <v>0</v>
      </c>
      <c r="D81" s="616" t="s">
        <v>283</v>
      </c>
      <c r="E81" s="617"/>
      <c r="F81" s="617"/>
      <c r="G81" s="617"/>
      <c r="H81" s="618"/>
      <c r="I81" s="249"/>
      <c r="J81" s="267">
        <f t="shared" si="6"/>
        <v>244.44444444444443</v>
      </c>
      <c r="K81" s="267">
        <v>220</v>
      </c>
      <c r="M81" s="456" t="s">
        <v>390</v>
      </c>
      <c r="N81" s="456"/>
      <c r="O81" s="456"/>
      <c r="P81" s="456"/>
      <c r="Q81" s="456"/>
      <c r="R81" s="456"/>
      <c r="S81" s="456"/>
      <c r="T81" s="456"/>
      <c r="U81" s="457">
        <v>25</v>
      </c>
      <c r="V81" s="461" t="s">
        <v>336</v>
      </c>
      <c r="W81" s="461" t="s">
        <v>336</v>
      </c>
      <c r="X81" s="431"/>
      <c r="Y81" s="427"/>
      <c r="Z81" s="450"/>
      <c r="AA81" s="427"/>
      <c r="AB81" s="427"/>
      <c r="AC81" s="440"/>
      <c r="AD81" s="440"/>
      <c r="AE81" s="440"/>
      <c r="AF81" s="440"/>
      <c r="AG81" s="308"/>
    </row>
    <row r="82" spans="1:33" ht="15" customHeight="1" x14ac:dyDescent="0.25">
      <c r="A82" s="248"/>
      <c r="B82" s="248">
        <v>1</v>
      </c>
      <c r="C82" s="248">
        <f>'DETALLE DE VENTAS'!N244-A82-B82</f>
        <v>0</v>
      </c>
      <c r="D82" s="616" t="s">
        <v>284</v>
      </c>
      <c r="E82" s="617"/>
      <c r="F82" s="617"/>
      <c r="G82" s="617"/>
      <c r="H82" s="618"/>
      <c r="I82" s="249"/>
      <c r="J82" s="267">
        <f t="shared" si="6"/>
        <v>277.77777777777777</v>
      </c>
      <c r="K82" s="267">
        <v>250</v>
      </c>
      <c r="M82" s="456" t="s">
        <v>391</v>
      </c>
      <c r="N82" s="456"/>
      <c r="O82" s="456"/>
      <c r="P82" s="456"/>
      <c r="Q82" s="456"/>
      <c r="R82" s="456"/>
      <c r="S82" s="456"/>
      <c r="T82" s="456"/>
      <c r="U82" s="457">
        <v>9</v>
      </c>
      <c r="V82" s="461" t="s">
        <v>336</v>
      </c>
      <c r="W82" s="461" t="s">
        <v>336</v>
      </c>
      <c r="X82" s="425"/>
      <c r="Y82" s="427"/>
      <c r="Z82" s="450"/>
      <c r="AA82" s="427"/>
      <c r="AB82" s="427"/>
      <c r="AC82" s="440"/>
      <c r="AD82" s="440"/>
      <c r="AE82" s="440"/>
      <c r="AF82" s="440"/>
      <c r="AG82" s="308"/>
    </row>
    <row r="83" spans="1:33" x14ac:dyDescent="0.25">
      <c r="A83" s="242"/>
      <c r="B83" s="242">
        <v>10</v>
      </c>
      <c r="C83" s="242">
        <f>'DETALLE DE VENTAS'!Q303-B83-A83</f>
        <v>0</v>
      </c>
      <c r="D83" s="619" t="s">
        <v>250</v>
      </c>
      <c r="E83" s="620"/>
      <c r="F83" s="620"/>
      <c r="G83" s="620"/>
      <c r="H83" s="621"/>
      <c r="I83" s="246"/>
      <c r="J83" s="271">
        <f t="shared" si="6"/>
        <v>14.444444444444445</v>
      </c>
      <c r="K83" s="271">
        <v>13</v>
      </c>
      <c r="M83" s="456" t="s">
        <v>559</v>
      </c>
      <c r="N83" s="456"/>
      <c r="O83" s="456"/>
      <c r="P83" s="456"/>
      <c r="Q83" s="456"/>
      <c r="R83" s="456"/>
      <c r="S83" s="456"/>
      <c r="T83" s="456"/>
      <c r="U83" s="457">
        <v>0</v>
      </c>
      <c r="V83" s="461" t="s">
        <v>336</v>
      </c>
      <c r="W83" s="461" t="s">
        <v>336</v>
      </c>
      <c r="X83" s="425"/>
      <c r="Y83" s="425"/>
      <c r="Z83" s="450"/>
      <c r="AA83" s="427"/>
      <c r="AB83" s="427"/>
      <c r="AC83" s="308"/>
      <c r="AD83" s="308"/>
      <c r="AE83" s="308"/>
      <c r="AF83" s="308"/>
      <c r="AG83" s="308"/>
    </row>
    <row r="84" spans="1:33" x14ac:dyDescent="0.25">
      <c r="A84" s="242"/>
      <c r="B84" s="242">
        <v>3</v>
      </c>
      <c r="C84" s="242">
        <f>'DETALLE DE VENTAS'!Q304-B84-A84</f>
        <v>0</v>
      </c>
      <c r="D84" s="619" t="s">
        <v>251</v>
      </c>
      <c r="E84" s="620"/>
      <c r="F84" s="620"/>
      <c r="G84" s="620"/>
      <c r="H84" s="621"/>
      <c r="I84" s="246"/>
      <c r="J84" s="271">
        <f t="shared" si="6"/>
        <v>10</v>
      </c>
      <c r="K84" s="271">
        <v>9</v>
      </c>
      <c r="M84" s="456" t="s">
        <v>392</v>
      </c>
      <c r="N84" s="456"/>
      <c r="O84" s="456"/>
      <c r="P84" s="456"/>
      <c r="Q84" s="456"/>
      <c r="R84" s="456"/>
      <c r="S84" s="456"/>
      <c r="T84" s="456"/>
      <c r="U84" s="457">
        <v>90</v>
      </c>
      <c r="V84" s="461" t="s">
        <v>336</v>
      </c>
      <c r="W84" s="461" t="s">
        <v>336</v>
      </c>
      <c r="X84" s="425"/>
      <c r="Y84" s="425"/>
      <c r="Z84" s="450"/>
      <c r="AA84" s="427"/>
      <c r="AB84" s="427"/>
      <c r="AC84" s="308"/>
      <c r="AD84" s="308"/>
      <c r="AE84" s="308"/>
      <c r="AF84" s="308"/>
      <c r="AG84" s="308"/>
    </row>
    <row r="85" spans="1:33" x14ac:dyDescent="0.25">
      <c r="A85" s="242"/>
      <c r="B85" s="242">
        <v>10</v>
      </c>
      <c r="C85" s="242">
        <f>'DETALLE DE VENTAS'!Q302-B85-A85</f>
        <v>0</v>
      </c>
      <c r="D85" s="619" t="s">
        <v>249</v>
      </c>
      <c r="E85" s="620"/>
      <c r="F85" s="620"/>
      <c r="G85" s="620"/>
      <c r="H85" s="621"/>
      <c r="I85" s="247"/>
      <c r="J85" s="271">
        <f t="shared" si="6"/>
        <v>36.666666666666664</v>
      </c>
      <c r="K85" s="271">
        <v>33</v>
      </c>
      <c r="M85" s="456" t="s">
        <v>393</v>
      </c>
      <c r="N85" s="456"/>
      <c r="O85" s="456"/>
      <c r="P85" s="456"/>
      <c r="Q85" s="456"/>
      <c r="R85" s="456"/>
      <c r="S85" s="456"/>
      <c r="T85" s="456"/>
      <c r="U85" s="457">
        <v>9</v>
      </c>
      <c r="V85" s="462">
        <v>6</v>
      </c>
      <c r="W85" s="462">
        <v>8.5</v>
      </c>
      <c r="X85" s="431"/>
      <c r="Y85" s="425"/>
      <c r="Z85" s="450"/>
      <c r="AA85" s="427"/>
      <c r="AB85" s="427"/>
      <c r="AC85" s="308"/>
      <c r="AD85" s="308"/>
      <c r="AE85" s="308"/>
      <c r="AF85" s="308"/>
      <c r="AG85" s="308"/>
    </row>
    <row r="86" spans="1:33" x14ac:dyDescent="0.25">
      <c r="A86" s="243"/>
      <c r="B86" s="242">
        <v>16</v>
      </c>
      <c r="C86" s="242">
        <f>'DETALLE DE VENTAS'!Q298-A86-B86</f>
        <v>0</v>
      </c>
      <c r="D86" s="619" t="s">
        <v>117</v>
      </c>
      <c r="E86" s="620"/>
      <c r="F86" s="620"/>
      <c r="G86" s="620"/>
      <c r="H86" s="621"/>
      <c r="I86" s="247"/>
      <c r="J86" s="271">
        <f t="shared" si="6"/>
        <v>20</v>
      </c>
      <c r="K86" s="271">
        <v>18</v>
      </c>
      <c r="M86" s="456" t="s">
        <v>480</v>
      </c>
      <c r="N86" s="456"/>
      <c r="O86" s="456"/>
      <c r="P86" s="456"/>
      <c r="Q86" s="456"/>
      <c r="R86" s="456"/>
      <c r="S86" s="456"/>
      <c r="T86" s="456"/>
      <c r="U86" s="457">
        <v>17</v>
      </c>
      <c r="V86" s="461" t="s">
        <v>336</v>
      </c>
      <c r="W86" s="461" t="s">
        <v>336</v>
      </c>
      <c r="X86" s="431"/>
      <c r="Y86" s="431"/>
      <c r="Z86" s="450"/>
      <c r="AA86" s="427"/>
      <c r="AB86" s="427"/>
      <c r="AC86" s="308"/>
      <c r="AD86" s="308"/>
      <c r="AE86" s="308"/>
      <c r="AF86" s="308"/>
      <c r="AG86" s="308"/>
    </row>
    <row r="87" spans="1:33" x14ac:dyDescent="0.25">
      <c r="A87" s="242"/>
      <c r="B87" s="242">
        <v>5</v>
      </c>
      <c r="C87" s="242">
        <f>'DETALLE DE VENTAS'!Q305-B87-A87</f>
        <v>0</v>
      </c>
      <c r="D87" s="619" t="s">
        <v>252</v>
      </c>
      <c r="E87" s="620"/>
      <c r="F87" s="620"/>
      <c r="G87" s="620"/>
      <c r="H87" s="621"/>
      <c r="I87" s="247"/>
      <c r="J87" s="271">
        <f t="shared" si="6"/>
        <v>36.666666666666664</v>
      </c>
      <c r="K87" s="271">
        <v>33</v>
      </c>
      <c r="M87" s="456" t="s">
        <v>394</v>
      </c>
      <c r="N87" s="456"/>
      <c r="O87" s="456"/>
      <c r="P87" s="456"/>
      <c r="Q87" s="456"/>
      <c r="R87" s="456"/>
      <c r="S87" s="456"/>
      <c r="T87" s="456"/>
      <c r="U87" s="457">
        <v>9</v>
      </c>
      <c r="V87" s="462">
        <v>6</v>
      </c>
      <c r="W87" s="462">
        <v>8.5</v>
      </c>
      <c r="X87" s="431"/>
      <c r="Y87" s="431"/>
      <c r="Z87" s="450"/>
      <c r="AA87" s="427"/>
      <c r="AB87" s="427"/>
      <c r="AC87" s="308"/>
      <c r="AD87" s="308"/>
      <c r="AE87" s="308"/>
      <c r="AF87" s="308"/>
      <c r="AG87" s="308"/>
    </row>
    <row r="88" spans="1:33" x14ac:dyDescent="0.25">
      <c r="A88" s="72"/>
      <c r="B88" s="72">
        <v>2</v>
      </c>
      <c r="C88" s="72">
        <f>'DETALLE DE VENTAS'!AC277-A88-B88</f>
        <v>0</v>
      </c>
      <c r="D88" s="613" t="s">
        <v>37</v>
      </c>
      <c r="E88" s="614"/>
      <c r="F88" s="614"/>
      <c r="G88" s="614"/>
      <c r="H88" s="615"/>
      <c r="I88" s="240"/>
      <c r="J88" s="236">
        <f t="shared" si="6"/>
        <v>10</v>
      </c>
      <c r="K88" s="236">
        <v>9</v>
      </c>
      <c r="M88" s="456" t="s">
        <v>395</v>
      </c>
      <c r="N88" s="456"/>
      <c r="O88" s="456"/>
      <c r="P88" s="456"/>
      <c r="Q88" s="456"/>
      <c r="R88" s="456"/>
      <c r="S88" s="456"/>
      <c r="T88" s="456"/>
      <c r="U88" s="457">
        <v>17</v>
      </c>
      <c r="V88" s="461" t="s">
        <v>336</v>
      </c>
      <c r="W88" s="461" t="s">
        <v>336</v>
      </c>
      <c r="X88" s="431"/>
      <c r="Y88" s="431"/>
      <c r="Z88" s="450"/>
      <c r="AA88" s="427"/>
      <c r="AB88" s="427"/>
      <c r="AC88" s="308"/>
      <c r="AD88" s="308"/>
      <c r="AE88" s="308"/>
      <c r="AF88" s="308"/>
      <c r="AG88" s="308"/>
    </row>
    <row r="89" spans="1:33" x14ac:dyDescent="0.25">
      <c r="A89" s="31"/>
      <c r="B89" s="31"/>
      <c r="C89" s="31"/>
      <c r="D89" s="635" t="s">
        <v>319</v>
      </c>
      <c r="E89" s="636"/>
      <c r="F89" s="636"/>
      <c r="G89" s="636"/>
      <c r="H89" s="637"/>
      <c r="I89" s="299"/>
      <c r="J89" s="298">
        <f t="shared" si="6"/>
        <v>6.6666666666666661</v>
      </c>
      <c r="K89" s="298">
        <v>6</v>
      </c>
      <c r="M89" s="456" t="s">
        <v>396</v>
      </c>
      <c r="N89" s="456"/>
      <c r="O89" s="456"/>
      <c r="P89" s="456"/>
      <c r="Q89" s="456"/>
      <c r="R89" s="456"/>
      <c r="S89" s="456"/>
      <c r="T89" s="456"/>
      <c r="U89" s="457">
        <v>9</v>
      </c>
      <c r="V89" s="462">
        <v>6</v>
      </c>
      <c r="W89" s="462">
        <v>8.5</v>
      </c>
      <c r="X89" s="331"/>
      <c r="Y89" s="431"/>
      <c r="Z89" s="450"/>
      <c r="AA89" s="427"/>
      <c r="AB89" s="427"/>
      <c r="AC89" s="308"/>
      <c r="AD89" s="308"/>
      <c r="AE89" s="308"/>
      <c r="AF89" s="308"/>
      <c r="AG89" s="308"/>
    </row>
    <row r="90" spans="1:33" ht="17.45" customHeight="1" x14ac:dyDescent="0.25">
      <c r="A90" s="31"/>
      <c r="B90" s="31"/>
      <c r="C90" s="31"/>
      <c r="D90" s="635" t="s">
        <v>320</v>
      </c>
      <c r="E90" s="636"/>
      <c r="F90" s="636"/>
      <c r="G90" s="636"/>
      <c r="H90" s="637"/>
      <c r="I90" s="299"/>
      <c r="J90" s="298">
        <f t="shared" si="6"/>
        <v>133.33333333333334</v>
      </c>
      <c r="K90" s="298">
        <v>120</v>
      </c>
      <c r="M90" s="456" t="s">
        <v>397</v>
      </c>
      <c r="N90" s="456"/>
      <c r="O90" s="456"/>
      <c r="P90" s="456"/>
      <c r="Q90" s="456"/>
      <c r="R90" s="456"/>
      <c r="S90" s="456"/>
      <c r="T90" s="456"/>
      <c r="U90" s="457">
        <v>9</v>
      </c>
      <c r="V90" s="462">
        <v>6</v>
      </c>
      <c r="W90" s="462">
        <v>8.5</v>
      </c>
      <c r="X90" s="331"/>
      <c r="Y90" s="331"/>
      <c r="Z90" s="450"/>
      <c r="AA90" s="427"/>
      <c r="AB90" s="427"/>
      <c r="AC90" s="308"/>
      <c r="AD90" s="308"/>
      <c r="AE90" s="308"/>
      <c r="AF90" s="308"/>
      <c r="AG90" s="308"/>
    </row>
    <row r="91" spans="1:33" ht="19.899999999999999" customHeight="1" x14ac:dyDescent="0.25">
      <c r="A91" s="31"/>
      <c r="B91" s="31"/>
      <c r="C91" s="31"/>
      <c r="D91" s="635" t="s">
        <v>345</v>
      </c>
      <c r="E91" s="636"/>
      <c r="F91" s="636"/>
      <c r="G91" s="636"/>
      <c r="H91" s="637"/>
      <c r="I91" s="228"/>
      <c r="J91" s="317">
        <f>K91/$C$97</f>
        <v>134.44444444444443</v>
      </c>
      <c r="K91" s="317">
        <v>121</v>
      </c>
      <c r="M91" s="456" t="s">
        <v>398</v>
      </c>
      <c r="N91" s="456"/>
      <c r="O91" s="456"/>
      <c r="P91" s="456"/>
      <c r="Q91" s="456"/>
      <c r="R91" s="456"/>
      <c r="S91" s="456"/>
      <c r="T91" s="456"/>
      <c r="U91" s="457">
        <v>9</v>
      </c>
      <c r="V91" s="462">
        <v>6</v>
      </c>
      <c r="W91" s="462">
        <v>8.5</v>
      </c>
      <c r="X91" s="331"/>
      <c r="Y91" s="331"/>
      <c r="Z91" s="450"/>
      <c r="AA91" s="427"/>
      <c r="AB91" s="427"/>
      <c r="AC91" s="308"/>
      <c r="AD91" s="308"/>
      <c r="AE91" s="308"/>
      <c r="AF91" s="308"/>
      <c r="AG91" s="308"/>
    </row>
    <row r="92" spans="1:33" x14ac:dyDescent="0.25">
      <c r="A92" s="31"/>
      <c r="B92" s="31"/>
      <c r="C92" s="31"/>
      <c r="D92" s="635"/>
      <c r="E92" s="636"/>
      <c r="F92" s="636"/>
      <c r="G92" s="636"/>
      <c r="H92" s="637"/>
      <c r="I92" s="228"/>
      <c r="J92" s="317">
        <f>K92/$C$97</f>
        <v>100</v>
      </c>
      <c r="K92" s="317">
        <v>90</v>
      </c>
      <c r="M92" s="456" t="s">
        <v>399</v>
      </c>
      <c r="N92" s="456"/>
      <c r="O92" s="456"/>
      <c r="P92" s="456"/>
      <c r="Q92" s="456"/>
      <c r="R92" s="456"/>
      <c r="S92" s="456"/>
      <c r="T92" s="456"/>
      <c r="U92" s="457">
        <v>9</v>
      </c>
      <c r="V92" s="462">
        <v>6</v>
      </c>
      <c r="W92" s="462">
        <v>8.5</v>
      </c>
      <c r="X92" s="431"/>
      <c r="Y92" s="331"/>
      <c r="Z92" s="450"/>
      <c r="AA92" s="427"/>
      <c r="AB92" s="427"/>
      <c r="AC92" s="308"/>
      <c r="AD92" s="308"/>
      <c r="AE92" s="308"/>
      <c r="AF92" s="308"/>
      <c r="AG92" s="308"/>
    </row>
    <row r="93" spans="1:33" x14ac:dyDescent="0.25">
      <c r="A93" s="12"/>
      <c r="J93" s="12"/>
      <c r="K93" s="12"/>
      <c r="L93" s="6"/>
      <c r="M93" s="456" t="s">
        <v>400</v>
      </c>
      <c r="N93" s="456"/>
      <c r="O93" s="456"/>
      <c r="P93" s="456"/>
      <c r="Q93" s="456"/>
      <c r="R93" s="456"/>
      <c r="S93" s="456"/>
      <c r="T93" s="456"/>
      <c r="U93" s="457">
        <v>9</v>
      </c>
      <c r="V93" s="462">
        <v>6</v>
      </c>
      <c r="W93" s="462">
        <v>8.5</v>
      </c>
      <c r="X93" s="431"/>
      <c r="Y93" s="431"/>
      <c r="Z93" s="450"/>
      <c r="AA93" s="427"/>
      <c r="AB93" s="427"/>
      <c r="AC93" s="308"/>
      <c r="AD93" s="308"/>
      <c r="AE93" s="308"/>
      <c r="AF93" s="308"/>
      <c r="AG93" s="308"/>
    </row>
    <row r="94" spans="1:33" x14ac:dyDescent="0.25">
      <c r="A94" s="12"/>
      <c r="B94" s="281" t="s">
        <v>199</v>
      </c>
      <c r="C94" s="281">
        <v>27.83</v>
      </c>
      <c r="J94" s="12"/>
      <c r="K94" s="12"/>
      <c r="L94" s="6"/>
      <c r="M94" s="456" t="s">
        <v>401</v>
      </c>
      <c r="N94" s="456"/>
      <c r="O94" s="456"/>
      <c r="P94" s="456"/>
      <c r="Q94" s="456"/>
      <c r="R94" s="456"/>
      <c r="S94" s="456"/>
      <c r="T94" s="456"/>
      <c r="U94" s="457">
        <v>17</v>
      </c>
      <c r="V94" s="461" t="s">
        <v>336</v>
      </c>
      <c r="W94" s="461" t="s">
        <v>336</v>
      </c>
      <c r="X94" s="431"/>
      <c r="Y94" s="431"/>
      <c r="Z94" s="450"/>
      <c r="AA94" s="427"/>
      <c r="AB94" s="427"/>
      <c r="AC94" s="308"/>
      <c r="AD94" s="308"/>
      <c r="AE94" s="308"/>
      <c r="AF94" s="308"/>
      <c r="AG94" s="308"/>
    </row>
    <row r="95" spans="1:33" x14ac:dyDescent="0.25">
      <c r="A95" s="12"/>
      <c r="B95" s="74" t="s">
        <v>200</v>
      </c>
      <c r="C95" s="75">
        <v>29.3</v>
      </c>
      <c r="J95" s="12"/>
      <c r="K95" s="12"/>
      <c r="L95" s="6"/>
      <c r="M95" s="456" t="s">
        <v>402</v>
      </c>
      <c r="N95" s="456"/>
      <c r="O95" s="456"/>
      <c r="P95" s="456"/>
      <c r="Q95" s="456"/>
      <c r="R95" s="456"/>
      <c r="S95" s="456"/>
      <c r="T95" s="456"/>
      <c r="U95" s="457">
        <v>9</v>
      </c>
      <c r="V95" s="462">
        <v>6</v>
      </c>
      <c r="W95" s="462">
        <v>8.5</v>
      </c>
      <c r="X95" s="431"/>
      <c r="Y95" s="431"/>
      <c r="Z95" s="450"/>
      <c r="AA95" s="427"/>
      <c r="AB95" s="427"/>
      <c r="AC95" s="308"/>
      <c r="AD95" s="308"/>
      <c r="AE95" s="308"/>
      <c r="AF95" s="308"/>
      <c r="AG95" s="308"/>
    </row>
    <row r="96" spans="1:33" x14ac:dyDescent="0.25">
      <c r="A96" s="12"/>
      <c r="B96" s="186" t="s">
        <v>201</v>
      </c>
      <c r="C96" s="187">
        <f>(C95-C94)/C95</f>
        <v>5.0170648464163907E-2</v>
      </c>
      <c r="J96" s="12"/>
      <c r="K96" s="12"/>
      <c r="L96" s="6"/>
      <c r="M96" s="456" t="s">
        <v>403</v>
      </c>
      <c r="N96" s="456"/>
      <c r="O96" s="456"/>
      <c r="P96" s="456"/>
      <c r="Q96" s="456"/>
      <c r="R96" s="456"/>
      <c r="S96" s="456"/>
      <c r="T96" s="456"/>
      <c r="U96" s="457">
        <v>17</v>
      </c>
      <c r="V96" s="461" t="s">
        <v>336</v>
      </c>
      <c r="W96" s="461" t="s">
        <v>336</v>
      </c>
      <c r="X96" s="431"/>
      <c r="Y96" s="431"/>
      <c r="Z96" s="450"/>
      <c r="AA96" s="427"/>
      <c r="AB96" s="427"/>
      <c r="AC96" s="308"/>
      <c r="AD96" s="308"/>
      <c r="AE96" s="308"/>
      <c r="AF96" s="308"/>
      <c r="AG96" s="308"/>
    </row>
    <row r="97" spans="1:33" x14ac:dyDescent="0.25">
      <c r="A97" s="12"/>
      <c r="B97" s="186" t="s">
        <v>221</v>
      </c>
      <c r="C97" s="187">
        <f>1-CEILING(C96,0.05)</f>
        <v>0.9</v>
      </c>
      <c r="J97" s="9"/>
      <c r="K97" s="9"/>
      <c r="L97" s="6"/>
      <c r="M97" s="456" t="s">
        <v>404</v>
      </c>
      <c r="N97" s="456"/>
      <c r="O97" s="456"/>
      <c r="P97" s="456"/>
      <c r="Q97" s="456"/>
      <c r="R97" s="456"/>
      <c r="S97" s="456"/>
      <c r="T97" s="456"/>
      <c r="U97" s="457">
        <v>7</v>
      </c>
      <c r="V97" s="461" t="s">
        <v>336</v>
      </c>
      <c r="W97" s="461" t="s">
        <v>336</v>
      </c>
      <c r="X97" s="431"/>
      <c r="Y97" s="431"/>
      <c r="Z97" s="450"/>
      <c r="AA97" s="427"/>
      <c r="AB97" s="427"/>
      <c r="AC97" s="308"/>
      <c r="AD97" s="308"/>
      <c r="AE97" s="308"/>
      <c r="AF97" s="308"/>
      <c r="AG97" s="308"/>
    </row>
    <row r="98" spans="1:33" x14ac:dyDescent="0.25">
      <c r="B98" s="186" t="s">
        <v>202</v>
      </c>
      <c r="C98" s="188">
        <f>(1-C97)*100</f>
        <v>9.9999999999999982</v>
      </c>
      <c r="J98" s="9"/>
      <c r="L98" s="6"/>
      <c r="M98" s="456" t="s">
        <v>405</v>
      </c>
      <c r="N98" s="456"/>
      <c r="O98" s="456"/>
      <c r="P98" s="456"/>
      <c r="Q98" s="456"/>
      <c r="R98" s="456"/>
      <c r="S98" s="456"/>
      <c r="T98" s="456"/>
      <c r="U98" s="457">
        <v>10</v>
      </c>
      <c r="V98" s="461" t="s">
        <v>336</v>
      </c>
      <c r="W98" s="461" t="s">
        <v>336</v>
      </c>
      <c r="X98" s="431"/>
      <c r="Y98" s="431"/>
      <c r="Z98" s="450"/>
      <c r="AA98" s="427"/>
      <c r="AB98" s="427"/>
      <c r="AC98" s="425"/>
      <c r="AD98" s="425"/>
      <c r="AE98" s="308"/>
      <c r="AF98" s="308"/>
      <c r="AG98" s="308"/>
    </row>
    <row r="99" spans="1:33" x14ac:dyDescent="0.25">
      <c r="B99" s="189"/>
      <c r="C99" s="189"/>
      <c r="D99" s="189"/>
      <c r="E99" s="189"/>
      <c r="F99" s="189"/>
      <c r="I99" s="10"/>
      <c r="J99" s="9"/>
      <c r="K99" s="10"/>
      <c r="L99" s="6"/>
      <c r="M99" s="456" t="s">
        <v>406</v>
      </c>
      <c r="N99" s="456"/>
      <c r="O99" s="456"/>
      <c r="P99" s="456"/>
      <c r="Q99" s="456"/>
      <c r="R99" s="456"/>
      <c r="S99" s="456"/>
      <c r="T99" s="456"/>
      <c r="U99" s="457">
        <v>40</v>
      </c>
      <c r="V99" s="461" t="s">
        <v>336</v>
      </c>
      <c r="W99" s="461" t="s">
        <v>336</v>
      </c>
      <c r="X99" s="431"/>
      <c r="Y99" s="431"/>
      <c r="Z99" s="450"/>
      <c r="AA99" s="427"/>
      <c r="AB99" s="427"/>
      <c r="AC99" s="425"/>
      <c r="AD99" s="425"/>
      <c r="AE99" s="308"/>
      <c r="AF99" s="308"/>
      <c r="AG99" s="308"/>
    </row>
    <row r="100" spans="1:33" x14ac:dyDescent="0.25">
      <c r="H100" s="144"/>
      <c r="I100" s="6"/>
      <c r="J100" s="6"/>
      <c r="K100" s="6"/>
      <c r="M100" s="456" t="s">
        <v>409</v>
      </c>
      <c r="N100" s="456"/>
      <c r="O100" s="456"/>
      <c r="P100" s="456"/>
      <c r="Q100" s="456"/>
      <c r="R100" s="456"/>
      <c r="S100" s="456"/>
      <c r="T100" s="456"/>
      <c r="U100" s="457">
        <v>15</v>
      </c>
      <c r="V100" s="461">
        <v>12</v>
      </c>
      <c r="W100" s="462">
        <v>12</v>
      </c>
      <c r="X100" s="431"/>
      <c r="Y100" s="431"/>
      <c r="Z100" s="450"/>
      <c r="AA100" s="427"/>
      <c r="AB100" s="427"/>
      <c r="AC100" s="425"/>
      <c r="AD100" s="425"/>
      <c r="AE100" s="308"/>
      <c r="AF100" s="308"/>
      <c r="AG100" s="308"/>
    </row>
    <row r="101" spans="1:33" x14ac:dyDescent="0.25">
      <c r="B101" s="6"/>
      <c r="C101" s="439"/>
      <c r="D101" s="439"/>
      <c r="E101" s="439"/>
      <c r="F101" s="439"/>
      <c r="G101" s="439"/>
      <c r="H101" s="439"/>
      <c r="I101" s="144"/>
      <c r="J101" s="12"/>
      <c r="K101" s="12"/>
      <c r="L101" s="94"/>
      <c r="M101" s="456" t="s">
        <v>410</v>
      </c>
      <c r="N101" s="456"/>
      <c r="O101" s="456"/>
      <c r="P101" s="456"/>
      <c r="Q101" s="456"/>
      <c r="R101" s="456"/>
      <c r="S101" s="456"/>
      <c r="T101" s="456"/>
      <c r="U101" s="457">
        <v>15</v>
      </c>
      <c r="V101" s="461">
        <v>12</v>
      </c>
      <c r="W101" s="462">
        <v>12</v>
      </c>
      <c r="X101" s="425"/>
      <c r="Y101" s="431"/>
      <c r="Z101" s="450"/>
      <c r="AA101" s="427"/>
      <c r="AB101" s="427"/>
      <c r="AC101" s="425"/>
      <c r="AD101" s="425"/>
      <c r="AE101" s="308"/>
      <c r="AF101" s="308"/>
      <c r="AG101" s="308"/>
    </row>
    <row r="102" spans="1:33" ht="30" x14ac:dyDescent="0.25">
      <c r="B102" s="599" t="s">
        <v>1</v>
      </c>
      <c r="C102" s="599" t="s">
        <v>2</v>
      </c>
      <c r="D102" s="599" t="s">
        <v>630</v>
      </c>
      <c r="E102" s="599" t="s">
        <v>631</v>
      </c>
      <c r="F102" s="282"/>
      <c r="G102" s="439"/>
      <c r="H102" s="439"/>
      <c r="I102" s="144"/>
      <c r="J102" s="12"/>
      <c r="K102" s="12"/>
      <c r="L102" s="12"/>
      <c r="M102" s="456" t="s">
        <v>411</v>
      </c>
      <c r="N102" s="456"/>
      <c r="O102" s="456"/>
      <c r="P102" s="456"/>
      <c r="Q102" s="456"/>
      <c r="R102" s="456"/>
      <c r="S102" s="456"/>
      <c r="T102" s="456"/>
      <c r="U102" s="457">
        <v>15</v>
      </c>
      <c r="V102" s="461">
        <v>12</v>
      </c>
      <c r="W102" s="462">
        <v>12</v>
      </c>
      <c r="X102" s="425"/>
      <c r="Y102" s="425"/>
      <c r="Z102" s="450"/>
      <c r="AA102" s="427"/>
      <c r="AB102" s="427"/>
      <c r="AC102" s="425"/>
      <c r="AD102" s="425"/>
      <c r="AE102" s="308"/>
      <c r="AF102" s="308"/>
      <c r="AG102" s="308"/>
    </row>
    <row r="103" spans="1:33" x14ac:dyDescent="0.25">
      <c r="B103" s="601">
        <v>5</v>
      </c>
      <c r="C103" s="601" t="s">
        <v>766</v>
      </c>
      <c r="D103" s="601">
        <v>36</v>
      </c>
      <c r="E103" s="601">
        <f>B103*D103</f>
        <v>180</v>
      </c>
      <c r="F103" s="282"/>
      <c r="G103" s="439"/>
      <c r="H103" s="439"/>
      <c r="I103" s="144"/>
      <c r="J103" s="600"/>
      <c r="K103" s="600"/>
      <c r="L103" s="600"/>
      <c r="M103" s="456"/>
      <c r="N103" s="456"/>
      <c r="O103" s="456"/>
      <c r="P103" s="456"/>
      <c r="Q103" s="456"/>
      <c r="R103" s="456"/>
      <c r="S103" s="456"/>
      <c r="T103" s="456"/>
      <c r="U103" s="457"/>
      <c r="V103" s="461"/>
      <c r="W103" s="462"/>
      <c r="X103" s="425"/>
      <c r="Y103" s="425"/>
      <c r="Z103" s="450"/>
      <c r="AA103" s="427"/>
      <c r="AB103" s="427"/>
      <c r="AC103" s="425"/>
      <c r="AD103" s="425"/>
      <c r="AE103" s="308"/>
      <c r="AF103" s="308"/>
      <c r="AG103" s="308"/>
    </row>
    <row r="104" spans="1:33" x14ac:dyDescent="0.25">
      <c r="B104" s="601">
        <v>2</v>
      </c>
      <c r="C104" s="601" t="s">
        <v>803</v>
      </c>
      <c r="D104" s="601">
        <v>42</v>
      </c>
      <c r="E104" s="601">
        <v>84</v>
      </c>
      <c r="F104" s="282"/>
      <c r="G104" s="439"/>
      <c r="H104" s="439"/>
      <c r="I104" s="144"/>
      <c r="J104" s="600"/>
      <c r="K104" s="600"/>
      <c r="L104" s="600"/>
      <c r="M104" s="456"/>
      <c r="N104" s="456"/>
      <c r="O104" s="456"/>
      <c r="P104" s="456"/>
      <c r="Q104" s="456"/>
      <c r="R104" s="456"/>
      <c r="S104" s="456"/>
      <c r="T104" s="456"/>
      <c r="U104" s="457"/>
      <c r="V104" s="461"/>
      <c r="W104" s="462"/>
      <c r="X104" s="425"/>
      <c r="Y104" s="425"/>
      <c r="Z104" s="450"/>
      <c r="AA104" s="427"/>
      <c r="AB104" s="427"/>
      <c r="AC104" s="425"/>
      <c r="AD104" s="425"/>
      <c r="AE104" s="308"/>
      <c r="AF104" s="308"/>
      <c r="AG104" s="308"/>
    </row>
    <row r="105" spans="1:33" ht="30" x14ac:dyDescent="0.25">
      <c r="B105" s="599">
        <v>1</v>
      </c>
      <c r="C105" s="599" t="s">
        <v>802</v>
      </c>
      <c r="D105" s="599">
        <v>95</v>
      </c>
      <c r="E105" s="599">
        <v>95</v>
      </c>
      <c r="F105" s="439"/>
      <c r="G105" s="439"/>
      <c r="H105" s="439"/>
      <c r="I105" s="144"/>
      <c r="J105" s="12"/>
      <c r="K105" s="12"/>
      <c r="L105" s="12"/>
      <c r="M105" s="456" t="s">
        <v>412</v>
      </c>
      <c r="N105" s="456"/>
      <c r="O105" s="456"/>
      <c r="P105" s="456"/>
      <c r="Q105" s="456"/>
      <c r="R105" s="456"/>
      <c r="S105" s="456"/>
      <c r="T105" s="456"/>
      <c r="U105" s="457">
        <v>4</v>
      </c>
      <c r="V105" s="461" t="s">
        <v>336</v>
      </c>
      <c r="W105" s="461" t="s">
        <v>336</v>
      </c>
      <c r="X105" s="431"/>
      <c r="Y105" s="425"/>
      <c r="Z105" s="450"/>
      <c r="AA105" s="427"/>
      <c r="AB105" s="427"/>
      <c r="AC105" s="425"/>
      <c r="AD105" s="425"/>
      <c r="AE105" s="308"/>
      <c r="AF105" s="308"/>
      <c r="AG105" s="308"/>
    </row>
    <row r="106" spans="1:33" x14ac:dyDescent="0.25">
      <c r="B106" s="599"/>
      <c r="C106" s="599"/>
      <c r="D106" s="599" t="s">
        <v>738</v>
      </c>
      <c r="E106" s="599">
        <v>350</v>
      </c>
      <c r="F106" s="435"/>
      <c r="G106" s="282"/>
      <c r="H106" s="282"/>
      <c r="I106" s="144"/>
      <c r="J106" s="12"/>
      <c r="K106" s="12"/>
      <c r="L106" s="12"/>
      <c r="M106" s="456" t="s">
        <v>413</v>
      </c>
      <c r="N106" s="456"/>
      <c r="O106" s="456"/>
      <c r="P106" s="456"/>
      <c r="Q106" s="456"/>
      <c r="R106" s="456"/>
      <c r="S106" s="456"/>
      <c r="T106" s="456"/>
      <c r="U106" s="457">
        <v>8</v>
      </c>
      <c r="V106" s="461" t="s">
        <v>336</v>
      </c>
      <c r="W106" s="461" t="s">
        <v>336</v>
      </c>
      <c r="X106" s="431"/>
      <c r="Y106" s="427"/>
      <c r="Z106" s="450"/>
      <c r="AA106" s="427"/>
      <c r="AB106" s="427"/>
      <c r="AC106" s="308"/>
      <c r="AD106" s="308"/>
      <c r="AE106" s="308"/>
      <c r="AF106" s="308"/>
      <c r="AG106" s="308"/>
    </row>
    <row r="107" spans="1:33" x14ac:dyDescent="0.25">
      <c r="A107" s="308"/>
      <c r="B107" s="464"/>
      <c r="C107" s="464"/>
      <c r="D107" s="464"/>
      <c r="E107" s="464"/>
      <c r="F107" s="426"/>
      <c r="G107" s="426"/>
      <c r="H107" s="426"/>
      <c r="I107" s="441"/>
      <c r="J107" s="427"/>
      <c r="K107" s="427"/>
      <c r="L107" s="427"/>
      <c r="M107" s="456" t="s">
        <v>414</v>
      </c>
      <c r="N107" s="456"/>
      <c r="O107" s="456"/>
      <c r="P107" s="456"/>
      <c r="Q107" s="456"/>
      <c r="R107" s="456"/>
      <c r="S107" s="456"/>
      <c r="T107" s="456"/>
      <c r="U107" s="457">
        <v>26</v>
      </c>
      <c r="V107" s="461" t="s">
        <v>336</v>
      </c>
      <c r="W107" s="461" t="s">
        <v>336</v>
      </c>
      <c r="X107" s="431"/>
      <c r="Y107" s="427"/>
      <c r="Z107" s="450"/>
      <c r="AA107" s="427"/>
      <c r="AB107" s="427"/>
      <c r="AC107" s="308"/>
      <c r="AD107" s="308"/>
      <c r="AE107" s="308"/>
      <c r="AF107" s="308"/>
      <c r="AG107" s="308"/>
    </row>
    <row r="108" spans="1:33" x14ac:dyDescent="0.25">
      <c r="A108" s="308"/>
      <c r="B108" s="426"/>
      <c r="C108" s="440"/>
      <c r="D108" s="554" t="s">
        <v>1</v>
      </c>
      <c r="E108" s="554" t="s">
        <v>2</v>
      </c>
      <c r="F108" s="554" t="s">
        <v>768</v>
      </c>
      <c r="G108" s="554" t="s">
        <v>299</v>
      </c>
      <c r="H108" s="426"/>
      <c r="I108" s="441"/>
      <c r="J108" s="427"/>
      <c r="K108" s="427"/>
      <c r="L108" s="427"/>
      <c r="M108" s="456" t="s">
        <v>415</v>
      </c>
      <c r="N108" s="456"/>
      <c r="O108" s="456"/>
      <c r="P108" s="456"/>
      <c r="Q108" s="456"/>
      <c r="R108" s="456"/>
      <c r="S108" s="456"/>
      <c r="T108" s="456"/>
      <c r="U108" s="457">
        <v>50</v>
      </c>
      <c r="V108" s="461" t="s">
        <v>336</v>
      </c>
      <c r="W108" s="461" t="s">
        <v>336</v>
      </c>
      <c r="X108" s="425"/>
      <c r="Y108" s="427"/>
      <c r="Z108" s="450"/>
      <c r="AA108" s="427"/>
      <c r="AB108" s="427"/>
      <c r="AC108" s="308"/>
      <c r="AD108" s="308"/>
      <c r="AE108" s="308"/>
      <c r="AF108" s="308"/>
      <c r="AG108" s="308"/>
    </row>
    <row r="109" spans="1:33" x14ac:dyDescent="0.25">
      <c r="A109" s="308"/>
      <c r="B109" s="426"/>
      <c r="C109" s="440"/>
      <c r="D109" s="554">
        <v>20</v>
      </c>
      <c r="E109" s="554" t="s">
        <v>758</v>
      </c>
      <c r="F109" s="554" t="s">
        <v>759</v>
      </c>
      <c r="G109" s="554">
        <v>25</v>
      </c>
      <c r="H109" s="426"/>
      <c r="I109" s="441"/>
      <c r="J109" s="427"/>
      <c r="K109" s="427"/>
      <c r="L109" s="427"/>
      <c r="M109" s="456" t="s">
        <v>416</v>
      </c>
      <c r="N109" s="456"/>
      <c r="O109" s="456"/>
      <c r="P109" s="456"/>
      <c r="Q109" s="456"/>
      <c r="R109" s="456"/>
      <c r="S109" s="456"/>
      <c r="T109" s="456"/>
      <c r="U109" s="457">
        <v>5</v>
      </c>
      <c r="V109" s="461" t="s">
        <v>336</v>
      </c>
      <c r="W109" s="461" t="s">
        <v>336</v>
      </c>
      <c r="X109" s="425"/>
      <c r="Y109" s="450"/>
      <c r="Z109" s="427"/>
      <c r="AA109" s="427"/>
      <c r="AB109" s="427"/>
      <c r="AC109" s="425"/>
      <c r="AD109" s="425"/>
      <c r="AE109" s="308"/>
      <c r="AF109" s="308"/>
      <c r="AG109" s="308"/>
    </row>
    <row r="110" spans="1:33" ht="15" hidden="1" customHeight="1" x14ac:dyDescent="0.25">
      <c r="A110" s="308"/>
      <c r="B110" s="426"/>
      <c r="C110" s="440"/>
      <c r="D110" s="554"/>
      <c r="E110" s="554"/>
      <c r="F110" s="554"/>
      <c r="G110" s="554"/>
      <c r="H110" s="426"/>
      <c r="I110" s="441"/>
      <c r="J110" s="427"/>
      <c r="K110" s="427"/>
      <c r="L110" s="427"/>
      <c r="M110" s="456" t="s">
        <v>417</v>
      </c>
      <c r="N110" s="456"/>
      <c r="O110" s="456"/>
      <c r="P110" s="456"/>
      <c r="Q110" s="456"/>
      <c r="R110" s="456"/>
      <c r="S110" s="456"/>
      <c r="T110" s="456"/>
      <c r="U110" s="457">
        <v>10</v>
      </c>
      <c r="V110" s="461" t="s">
        <v>336</v>
      </c>
      <c r="W110" s="461" t="s">
        <v>336</v>
      </c>
      <c r="X110" s="425"/>
      <c r="Y110" s="450"/>
      <c r="Z110" s="427"/>
      <c r="AA110" s="427"/>
      <c r="AB110" s="427"/>
      <c r="AC110" s="425"/>
      <c r="AD110" s="425"/>
      <c r="AE110" s="308"/>
      <c r="AF110" s="308"/>
      <c r="AG110" s="308"/>
    </row>
    <row r="111" spans="1:33" x14ac:dyDescent="0.25">
      <c r="A111" s="308"/>
      <c r="B111" s="426"/>
      <c r="C111" s="440"/>
      <c r="D111" s="554">
        <v>20</v>
      </c>
      <c r="E111" s="554" t="s">
        <v>760</v>
      </c>
      <c r="F111" s="554" t="s">
        <v>761</v>
      </c>
      <c r="G111" s="554">
        <v>6.8</v>
      </c>
      <c r="H111" s="426"/>
      <c r="I111" s="441"/>
      <c r="J111" s="427"/>
      <c r="K111" s="427"/>
      <c r="L111" s="427"/>
      <c r="M111" s="456" t="s">
        <v>345</v>
      </c>
      <c r="N111" s="456"/>
      <c r="O111" s="456"/>
      <c r="P111" s="456"/>
      <c r="Q111" s="456"/>
      <c r="R111" s="456"/>
      <c r="S111" s="456"/>
      <c r="T111" s="456"/>
      <c r="U111" s="457">
        <v>19</v>
      </c>
      <c r="V111" s="461" t="s">
        <v>336</v>
      </c>
      <c r="W111" s="461" t="s">
        <v>336</v>
      </c>
      <c r="X111" s="425"/>
      <c r="Y111" s="450"/>
      <c r="Z111" s="427"/>
      <c r="AA111" s="427"/>
      <c r="AB111" s="427"/>
      <c r="AC111" s="425"/>
      <c r="AD111" s="425"/>
      <c r="AE111" s="308"/>
      <c r="AF111" s="308"/>
      <c r="AG111" s="308"/>
    </row>
    <row r="112" spans="1:33" x14ac:dyDescent="0.25">
      <c r="A112" s="308"/>
      <c r="B112" s="426"/>
      <c r="C112" s="440"/>
      <c r="D112" s="554">
        <v>25</v>
      </c>
      <c r="E112" s="554" t="s">
        <v>762</v>
      </c>
      <c r="F112" s="554" t="s">
        <v>765</v>
      </c>
      <c r="G112" s="554">
        <v>35</v>
      </c>
      <c r="H112" s="426"/>
      <c r="I112" s="441"/>
      <c r="J112" s="427"/>
      <c r="K112" s="427"/>
      <c r="L112" s="308"/>
      <c r="M112" s="456" t="s">
        <v>560</v>
      </c>
      <c r="N112" s="456"/>
      <c r="O112" s="456"/>
      <c r="P112" s="456"/>
      <c r="Q112" s="456"/>
      <c r="R112" s="456"/>
      <c r="S112" s="456"/>
      <c r="T112" s="456"/>
      <c r="U112" s="457">
        <v>0</v>
      </c>
      <c r="V112" s="461" t="s">
        <v>336</v>
      </c>
      <c r="W112" s="461" t="s">
        <v>336</v>
      </c>
      <c r="X112" s="450"/>
      <c r="Y112" s="450"/>
      <c r="Z112" s="427"/>
      <c r="AA112" s="427"/>
      <c r="AB112" s="427"/>
      <c r="AC112" s="425"/>
      <c r="AD112" s="425"/>
      <c r="AE112" s="308"/>
      <c r="AF112" s="308"/>
      <c r="AG112" s="308"/>
    </row>
    <row r="113" spans="1:33" ht="15" hidden="1" customHeight="1" x14ac:dyDescent="0.25">
      <c r="A113" s="308"/>
      <c r="B113" s="426"/>
      <c r="C113" s="440"/>
      <c r="D113" s="554"/>
      <c r="E113" s="554"/>
      <c r="F113" s="554"/>
      <c r="G113" s="554"/>
      <c r="H113" s="426"/>
      <c r="I113" s="426"/>
      <c r="J113" s="427"/>
      <c r="K113" s="308"/>
      <c r="L113" s="308"/>
      <c r="M113" s="456" t="s">
        <v>561</v>
      </c>
      <c r="N113" s="456"/>
      <c r="O113" s="456"/>
      <c r="P113" s="456"/>
      <c r="Q113" s="456"/>
      <c r="R113" s="456"/>
      <c r="S113" s="456"/>
      <c r="T113" s="456"/>
      <c r="U113" s="457">
        <v>0</v>
      </c>
      <c r="V113" s="461" t="s">
        <v>336</v>
      </c>
      <c r="W113" s="461" t="s">
        <v>336</v>
      </c>
      <c r="X113" s="450"/>
      <c r="Y113" s="450"/>
      <c r="Z113" s="427"/>
      <c r="AA113" s="427"/>
      <c r="AB113" s="427"/>
      <c r="AC113" s="425"/>
      <c r="AD113" s="425"/>
      <c r="AE113" s="308"/>
      <c r="AF113" s="308"/>
      <c r="AG113" s="308"/>
    </row>
    <row r="114" spans="1:33" x14ac:dyDescent="0.25">
      <c r="A114" s="426"/>
      <c r="B114" s="425"/>
      <c r="C114" s="440"/>
      <c r="D114" s="554">
        <v>4</v>
      </c>
      <c r="E114" s="554" t="s">
        <v>763</v>
      </c>
      <c r="F114" s="284" t="s">
        <v>764</v>
      </c>
      <c r="G114" s="284">
        <v>32.200000000000003</v>
      </c>
      <c r="H114" s="442"/>
      <c r="I114" s="427"/>
      <c r="J114" s="427"/>
      <c r="K114" s="442"/>
      <c r="L114" s="308"/>
      <c r="M114" s="456" t="s">
        <v>562</v>
      </c>
      <c r="N114" s="456"/>
      <c r="O114" s="456"/>
      <c r="P114" s="456"/>
      <c r="Q114" s="456"/>
      <c r="R114" s="456"/>
      <c r="S114" s="456"/>
      <c r="T114" s="456"/>
      <c r="U114" s="457">
        <v>0</v>
      </c>
      <c r="V114" s="461" t="s">
        <v>336</v>
      </c>
      <c r="W114" s="461" t="s">
        <v>336</v>
      </c>
      <c r="X114" s="425"/>
      <c r="Y114" s="450"/>
      <c r="Z114" s="427"/>
      <c r="AA114" s="427"/>
      <c r="AB114" s="427"/>
      <c r="AC114" s="425"/>
      <c r="AD114" s="425"/>
      <c r="AE114" s="308"/>
      <c r="AF114" s="308"/>
      <c r="AG114" s="308"/>
    </row>
    <row r="115" spans="1:33" ht="15" hidden="1" customHeight="1" x14ac:dyDescent="0.25">
      <c r="A115" s="426"/>
      <c r="B115" s="440"/>
      <c r="C115" s="440"/>
      <c r="D115" s="554"/>
      <c r="E115" s="554"/>
      <c r="F115" s="554"/>
      <c r="G115" s="554"/>
      <c r="H115" s="441"/>
      <c r="I115" s="451"/>
      <c r="J115" s="427"/>
      <c r="K115" s="442"/>
      <c r="L115" s="308"/>
      <c r="M115" s="456" t="s">
        <v>419</v>
      </c>
      <c r="N115" s="456"/>
      <c r="O115" s="456"/>
      <c r="P115" s="456"/>
      <c r="Q115" s="456"/>
      <c r="R115" s="456"/>
      <c r="S115" s="456"/>
      <c r="T115" s="456"/>
      <c r="U115" s="457">
        <v>9</v>
      </c>
      <c r="V115" s="461" t="s">
        <v>336</v>
      </c>
      <c r="W115" s="461" t="s">
        <v>336</v>
      </c>
      <c r="X115" s="450"/>
      <c r="Y115" s="450"/>
      <c r="Z115" s="427"/>
      <c r="AA115" s="427"/>
      <c r="AB115" s="427"/>
      <c r="AC115" s="425"/>
      <c r="AD115" s="425"/>
      <c r="AE115" s="308"/>
      <c r="AF115" s="308"/>
      <c r="AG115" s="308"/>
    </row>
    <row r="116" spans="1:33" ht="15.75" hidden="1" customHeight="1" x14ac:dyDescent="0.25">
      <c r="A116" s="426"/>
      <c r="B116" s="443"/>
      <c r="C116" s="440"/>
      <c r="D116" s="554"/>
      <c r="E116" s="554"/>
      <c r="F116" s="555"/>
      <c r="G116" s="555"/>
      <c r="H116" s="451"/>
      <c r="I116" s="451"/>
      <c r="J116" s="427"/>
      <c r="K116" s="441"/>
      <c r="L116" s="308"/>
      <c r="M116" s="459"/>
      <c r="N116" s="459"/>
      <c r="O116" s="459"/>
      <c r="P116" s="459"/>
      <c r="Q116" s="459"/>
      <c r="R116" s="459"/>
      <c r="S116" s="459"/>
      <c r="T116" s="459"/>
      <c r="U116" s="460"/>
      <c r="V116" s="437"/>
      <c r="W116" s="437"/>
      <c r="X116" s="425"/>
      <c r="Y116" s="450"/>
      <c r="Z116" s="427"/>
      <c r="AA116" s="427"/>
      <c r="AB116" s="427"/>
      <c r="AC116" s="425"/>
      <c r="AD116" s="425"/>
      <c r="AE116" s="308"/>
      <c r="AF116" s="308"/>
      <c r="AG116" s="308"/>
    </row>
    <row r="117" spans="1:33" ht="15" hidden="1" customHeight="1" x14ac:dyDescent="0.25">
      <c r="A117" s="308"/>
      <c r="B117" s="425"/>
      <c r="C117" s="440"/>
      <c r="D117" s="554"/>
      <c r="E117" s="554"/>
      <c r="F117" s="284"/>
      <c r="G117" s="284"/>
      <c r="H117" s="451"/>
      <c r="I117" s="451"/>
      <c r="J117" s="427"/>
      <c r="K117" s="444"/>
      <c r="L117" s="308"/>
      <c r="M117" s="453" t="s">
        <v>2</v>
      </c>
      <c r="N117" s="453"/>
      <c r="O117" s="453"/>
      <c r="P117" s="453"/>
      <c r="Q117" s="453"/>
      <c r="R117" s="453"/>
      <c r="S117" s="453"/>
      <c r="T117" s="453"/>
      <c r="U117" s="453" t="s">
        <v>299</v>
      </c>
      <c r="V117" s="454" t="s">
        <v>526</v>
      </c>
      <c r="W117" s="455" t="s">
        <v>527</v>
      </c>
      <c r="X117" s="425"/>
      <c r="Y117" s="450"/>
      <c r="Z117" s="427"/>
      <c r="AA117" s="427"/>
      <c r="AB117" s="427"/>
      <c r="AC117" s="425"/>
      <c r="AD117" s="425"/>
      <c r="AE117" s="308"/>
      <c r="AF117" s="308"/>
      <c r="AG117" s="308"/>
    </row>
    <row r="118" spans="1:33" x14ac:dyDescent="0.25">
      <c r="A118" s="426"/>
      <c r="B118" s="425"/>
      <c r="C118" s="440"/>
      <c r="D118" s="554">
        <v>5</v>
      </c>
      <c r="E118" s="554" t="s">
        <v>766</v>
      </c>
      <c r="F118" s="284" t="s">
        <v>764</v>
      </c>
      <c r="G118" s="284">
        <v>30.36</v>
      </c>
      <c r="H118" s="442"/>
      <c r="I118" s="427"/>
      <c r="J118" s="427"/>
      <c r="K118" s="308"/>
      <c r="L118" s="308"/>
      <c r="M118" s="456" t="s">
        <v>474</v>
      </c>
      <c r="N118" s="456"/>
      <c r="O118" s="456"/>
      <c r="P118" s="456"/>
      <c r="Q118" s="456"/>
      <c r="R118" s="456"/>
      <c r="S118" s="456"/>
      <c r="T118" s="456"/>
      <c r="U118" s="457">
        <v>30</v>
      </c>
      <c r="V118" s="461" t="s">
        <v>336</v>
      </c>
      <c r="W118" s="461" t="s">
        <v>336</v>
      </c>
      <c r="X118" s="425"/>
      <c r="Y118" s="450"/>
      <c r="Z118" s="427"/>
      <c r="AA118" s="427"/>
      <c r="AB118" s="427"/>
      <c r="AC118" s="308"/>
      <c r="AD118" s="308"/>
      <c r="AE118" s="308"/>
      <c r="AF118" s="308"/>
      <c r="AG118" s="308"/>
    </row>
    <row r="119" spans="1:33" x14ac:dyDescent="0.25">
      <c r="A119" s="426"/>
      <c r="B119" s="440"/>
      <c r="C119" s="440"/>
      <c r="D119" s="554">
        <v>5</v>
      </c>
      <c r="E119" s="554" t="s">
        <v>767</v>
      </c>
      <c r="F119" s="284" t="s">
        <v>764</v>
      </c>
      <c r="G119" s="554">
        <v>110.4</v>
      </c>
      <c r="H119" s="441"/>
      <c r="I119" s="451"/>
      <c r="J119" s="427"/>
      <c r="K119" s="308"/>
      <c r="L119" s="308"/>
      <c r="M119" s="456" t="s">
        <v>445</v>
      </c>
      <c r="N119" s="456"/>
      <c r="O119" s="456"/>
      <c r="P119" s="456"/>
      <c r="Q119" s="456"/>
      <c r="R119" s="456"/>
      <c r="S119" s="456"/>
      <c r="T119" s="456"/>
      <c r="U119" s="457">
        <v>120</v>
      </c>
      <c r="V119" s="461" t="s">
        <v>336</v>
      </c>
      <c r="W119" s="461" t="s">
        <v>336</v>
      </c>
      <c r="X119" s="425"/>
      <c r="Y119" s="450"/>
      <c r="Z119" s="427"/>
      <c r="AA119" s="427"/>
      <c r="AB119" s="427"/>
      <c r="AC119" s="308"/>
      <c r="AD119" s="308"/>
      <c r="AE119" s="308"/>
      <c r="AF119" s="308"/>
      <c r="AG119" s="308"/>
    </row>
    <row r="120" spans="1:33" x14ac:dyDescent="0.25">
      <c r="A120" s="426"/>
      <c r="B120" s="443"/>
      <c r="C120" s="440"/>
      <c r="D120" s="440"/>
      <c r="E120" s="440"/>
      <c r="F120" s="452" t="s">
        <v>72</v>
      </c>
      <c r="G120" s="452">
        <f>G109*D109+G111*D111+G112*D112+G114*D114+G118*D118+G119*D119</f>
        <v>2343.6</v>
      </c>
      <c r="H120" s="451"/>
      <c r="I120" s="451"/>
      <c r="J120" s="427"/>
      <c r="K120" s="308"/>
      <c r="L120" s="308"/>
      <c r="M120" s="456" t="s">
        <v>446</v>
      </c>
      <c r="N120" s="456"/>
      <c r="O120" s="456"/>
      <c r="P120" s="456"/>
      <c r="Q120" s="456"/>
      <c r="R120" s="456"/>
      <c r="S120" s="456"/>
      <c r="T120" s="456"/>
      <c r="U120" s="457">
        <v>75</v>
      </c>
      <c r="V120" s="461" t="s">
        <v>336</v>
      </c>
      <c r="W120" s="461" t="s">
        <v>336</v>
      </c>
      <c r="X120" s="427"/>
      <c r="Y120" s="427"/>
      <c r="Z120" s="427"/>
      <c r="AA120" s="427"/>
      <c r="AB120" s="427"/>
      <c r="AC120" s="308"/>
      <c r="AD120" s="308"/>
      <c r="AE120" s="308"/>
      <c r="AF120" s="308"/>
      <c r="AG120" s="308"/>
    </row>
    <row r="121" spans="1:33" x14ac:dyDescent="0.25">
      <c r="A121" s="308"/>
      <c r="B121" s="308"/>
      <c r="C121" s="440"/>
      <c r="D121" s="440"/>
      <c r="E121" s="440"/>
      <c r="F121" s="427"/>
      <c r="G121" s="451"/>
      <c r="H121" s="451"/>
      <c r="I121" s="451"/>
      <c r="J121" s="427"/>
      <c r="K121" s="441"/>
      <c r="L121" s="308"/>
      <c r="M121" s="456" t="s">
        <v>447</v>
      </c>
      <c r="N121" s="456"/>
      <c r="O121" s="456"/>
      <c r="P121" s="456"/>
      <c r="Q121" s="456"/>
      <c r="R121" s="456"/>
      <c r="S121" s="456"/>
      <c r="T121" s="456"/>
      <c r="U121" s="457">
        <v>80</v>
      </c>
      <c r="V121" s="461" t="s">
        <v>336</v>
      </c>
      <c r="W121" s="461" t="s">
        <v>336</v>
      </c>
      <c r="X121" s="427"/>
      <c r="Y121" s="427"/>
      <c r="Z121" s="308"/>
      <c r="AA121" s="427"/>
      <c r="AB121" s="427"/>
      <c r="AC121" s="425"/>
      <c r="AD121" s="425"/>
      <c r="AE121" s="308"/>
      <c r="AF121" s="308"/>
      <c r="AG121" s="308"/>
    </row>
    <row r="122" spans="1:33" x14ac:dyDescent="0.25">
      <c r="A122" s="426"/>
      <c r="B122" s="425"/>
      <c r="C122" s="440"/>
      <c r="D122" s="440"/>
      <c r="E122" s="440"/>
      <c r="F122" s="427"/>
      <c r="G122" s="427"/>
      <c r="H122" s="442"/>
      <c r="I122" s="427"/>
      <c r="J122" s="427"/>
      <c r="K122" s="441"/>
      <c r="L122" s="308"/>
      <c r="M122" s="456" t="s">
        <v>448</v>
      </c>
      <c r="N122" s="456"/>
      <c r="O122" s="456"/>
      <c r="P122" s="456"/>
      <c r="Q122" s="456"/>
      <c r="R122" s="456"/>
      <c r="S122" s="456"/>
      <c r="T122" s="456"/>
      <c r="U122" s="457">
        <v>100</v>
      </c>
      <c r="V122" s="462">
        <v>3</v>
      </c>
      <c r="W122" s="462">
        <v>95</v>
      </c>
      <c r="X122" s="427"/>
      <c r="Y122" s="427"/>
      <c r="Z122" s="308"/>
      <c r="AA122" s="427"/>
      <c r="AB122" s="427"/>
      <c r="AC122" s="425"/>
      <c r="AD122" s="425"/>
      <c r="AE122" s="308"/>
      <c r="AF122" s="308"/>
      <c r="AG122" s="308"/>
    </row>
    <row r="123" spans="1:33" x14ac:dyDescent="0.25">
      <c r="A123" s="426"/>
      <c r="B123" s="415"/>
      <c r="C123" s="415"/>
      <c r="D123" s="415"/>
      <c r="E123" s="415"/>
      <c r="F123" s="463"/>
      <c r="G123" s="415"/>
      <c r="H123" s="444"/>
      <c r="I123" s="415"/>
      <c r="J123" s="463"/>
      <c r="K123" s="308"/>
      <c r="L123" s="308"/>
      <c r="M123" s="456" t="s">
        <v>563</v>
      </c>
      <c r="N123" s="456"/>
      <c r="O123" s="456"/>
      <c r="P123" s="456"/>
      <c r="Q123" s="456"/>
      <c r="R123" s="456"/>
      <c r="S123" s="456"/>
      <c r="T123" s="456"/>
      <c r="U123" s="457">
        <v>110</v>
      </c>
      <c r="V123" s="461" t="s">
        <v>336</v>
      </c>
      <c r="W123" s="461" t="s">
        <v>336</v>
      </c>
      <c r="X123" s="427"/>
      <c r="Y123" s="427"/>
      <c r="Z123" s="308"/>
      <c r="AA123" s="427"/>
      <c r="AB123" s="427"/>
      <c r="AC123" s="425"/>
      <c r="AD123" s="425"/>
      <c r="AE123" s="308"/>
      <c r="AF123" s="308"/>
      <c r="AG123" s="308"/>
    </row>
    <row r="124" spans="1:33" ht="15" hidden="1" customHeight="1" x14ac:dyDescent="0.25">
      <c r="A124" s="426"/>
      <c r="B124" s="443"/>
      <c r="C124" s="443"/>
      <c r="D124" s="443"/>
      <c r="E124" s="443"/>
      <c r="F124" s="443"/>
      <c r="G124" s="443"/>
      <c r="H124" s="451"/>
      <c r="I124" s="451"/>
      <c r="J124" s="444"/>
      <c r="K124" s="441"/>
      <c r="L124" s="308"/>
      <c r="M124" s="456" t="s">
        <v>564</v>
      </c>
      <c r="N124" s="456"/>
      <c r="O124" s="456"/>
      <c r="P124" s="456"/>
      <c r="Q124" s="456"/>
      <c r="R124" s="456"/>
      <c r="S124" s="456"/>
      <c r="T124" s="456"/>
      <c r="U124" s="457">
        <v>120</v>
      </c>
      <c r="V124" s="461" t="s">
        <v>336</v>
      </c>
      <c r="W124" s="461" t="s">
        <v>336</v>
      </c>
      <c r="X124" s="427"/>
      <c r="Y124" s="427"/>
      <c r="Z124" s="308"/>
      <c r="AA124" s="427"/>
      <c r="AB124" s="427"/>
      <c r="AC124" s="425"/>
      <c r="AD124" s="425"/>
      <c r="AE124" s="308"/>
      <c r="AF124" s="308"/>
      <c r="AG124" s="308"/>
    </row>
    <row r="125" spans="1:33" x14ac:dyDescent="0.25">
      <c r="A125" s="308"/>
      <c r="B125" s="451"/>
      <c r="C125" s="427"/>
      <c r="D125" s="451"/>
      <c r="E125" s="451"/>
      <c r="F125" s="451"/>
      <c r="G125" s="451"/>
      <c r="H125" s="451"/>
      <c r="I125" s="451"/>
      <c r="J125" s="427"/>
      <c r="K125" s="427"/>
      <c r="L125" s="308"/>
      <c r="M125" s="456" t="s">
        <v>565</v>
      </c>
      <c r="N125" s="456"/>
      <c r="O125" s="456"/>
      <c r="P125" s="456"/>
      <c r="Q125" s="456"/>
      <c r="R125" s="456"/>
      <c r="S125" s="456"/>
      <c r="T125" s="456"/>
      <c r="U125" s="457">
        <v>80</v>
      </c>
      <c r="V125" s="461" t="s">
        <v>336</v>
      </c>
      <c r="W125" s="461" t="s">
        <v>336</v>
      </c>
      <c r="X125" s="427"/>
      <c r="Y125" s="427"/>
      <c r="Z125" s="308"/>
      <c r="AA125" s="427"/>
      <c r="AB125" s="427"/>
      <c r="AC125" s="425"/>
      <c r="AD125" s="425"/>
      <c r="AE125" s="308"/>
      <c r="AF125" s="308"/>
      <c r="AG125" s="308"/>
    </row>
    <row r="126" spans="1:33" x14ac:dyDescent="0.25">
      <c r="A126" s="426"/>
      <c r="B126" s="427"/>
      <c r="C126" s="427"/>
      <c r="D126" s="427"/>
      <c r="E126" s="451"/>
      <c r="F126" s="427"/>
      <c r="G126" s="427"/>
      <c r="H126" s="442"/>
      <c r="I126" s="427"/>
      <c r="J126" s="427"/>
      <c r="K126" s="427"/>
      <c r="L126" s="308"/>
      <c r="M126" s="456" t="s">
        <v>449</v>
      </c>
      <c r="N126" s="456"/>
      <c r="O126" s="456"/>
      <c r="P126" s="456"/>
      <c r="Q126" s="456"/>
      <c r="R126" s="456"/>
      <c r="S126" s="456"/>
      <c r="T126" s="456"/>
      <c r="U126" s="457">
        <v>120</v>
      </c>
      <c r="V126" s="461" t="s">
        <v>336</v>
      </c>
      <c r="W126" s="461" t="s">
        <v>336</v>
      </c>
      <c r="X126" s="427"/>
      <c r="Y126" s="427"/>
      <c r="Z126" s="308"/>
      <c r="AA126" s="427"/>
      <c r="AB126" s="427"/>
      <c r="AC126" s="425"/>
      <c r="AD126" s="425"/>
      <c r="AE126" s="308"/>
      <c r="AF126" s="308"/>
      <c r="AG126" s="308"/>
    </row>
    <row r="127" spans="1:33" x14ac:dyDescent="0.25">
      <c r="A127" s="426"/>
      <c r="B127" s="451"/>
      <c r="C127" s="451"/>
      <c r="D127" s="451"/>
      <c r="E127" s="451"/>
      <c r="F127" s="451"/>
      <c r="G127" s="451"/>
      <c r="H127" s="441"/>
      <c r="I127" s="451"/>
      <c r="J127" s="427"/>
      <c r="K127" s="427"/>
      <c r="L127" s="308"/>
      <c r="M127" s="456" t="s">
        <v>450</v>
      </c>
      <c r="N127" s="456"/>
      <c r="O127" s="456"/>
      <c r="P127" s="456"/>
      <c r="Q127" s="456"/>
      <c r="R127" s="456"/>
      <c r="S127" s="456"/>
      <c r="T127" s="456"/>
      <c r="U127" s="457">
        <v>220</v>
      </c>
      <c r="V127" s="461" t="s">
        <v>336</v>
      </c>
      <c r="W127" s="461" t="s">
        <v>336</v>
      </c>
      <c r="X127" s="427"/>
      <c r="Y127" s="427"/>
      <c r="Z127" s="308"/>
      <c r="AA127" s="427"/>
      <c r="AB127" s="427"/>
      <c r="AC127" s="425"/>
      <c r="AD127" s="425"/>
      <c r="AE127" s="308"/>
      <c r="AF127" s="308"/>
      <c r="AG127" s="308"/>
    </row>
    <row r="128" spans="1:33" x14ac:dyDescent="0.25">
      <c r="A128" s="426"/>
      <c r="B128" s="452"/>
      <c r="C128" s="452"/>
      <c r="D128" s="452"/>
      <c r="E128" s="451"/>
      <c r="F128" s="452"/>
      <c r="G128" s="452"/>
      <c r="H128" s="451"/>
      <c r="I128" s="451"/>
      <c r="J128" s="427"/>
      <c r="K128" s="427"/>
      <c r="L128" s="308"/>
      <c r="M128" s="456" t="s">
        <v>495</v>
      </c>
      <c r="N128" s="456"/>
      <c r="O128" s="456"/>
      <c r="P128" s="456"/>
      <c r="Q128" s="456"/>
      <c r="R128" s="456"/>
      <c r="S128" s="456"/>
      <c r="T128" s="456"/>
      <c r="U128" s="457">
        <v>475</v>
      </c>
      <c r="V128" s="461" t="s">
        <v>336</v>
      </c>
      <c r="W128" s="461" t="s">
        <v>336</v>
      </c>
      <c r="X128" s="427"/>
      <c r="Y128" s="308"/>
      <c r="Z128" s="308"/>
      <c r="AA128" s="427"/>
      <c r="AB128" s="427"/>
      <c r="AC128" s="425"/>
      <c r="AD128" s="425"/>
      <c r="AE128" s="308"/>
      <c r="AF128" s="308"/>
      <c r="AG128" s="308"/>
    </row>
    <row r="129" spans="1:36" x14ac:dyDescent="0.25">
      <c r="A129" s="308"/>
      <c r="B129" s="451"/>
      <c r="C129" s="451"/>
      <c r="D129" s="451"/>
      <c r="E129" s="451"/>
      <c r="F129" s="451"/>
      <c r="G129" s="451"/>
      <c r="H129" s="451"/>
      <c r="I129" s="451"/>
      <c r="J129" s="427"/>
      <c r="K129" s="427"/>
      <c r="L129" s="308"/>
      <c r="M129" s="456" t="s">
        <v>451</v>
      </c>
      <c r="N129" s="456"/>
      <c r="O129" s="456"/>
      <c r="P129" s="456"/>
      <c r="Q129" s="456"/>
      <c r="R129" s="456"/>
      <c r="S129" s="456"/>
      <c r="T129" s="456"/>
      <c r="U129" s="457">
        <v>100</v>
      </c>
      <c r="V129" s="462">
        <v>3</v>
      </c>
      <c r="W129" s="462">
        <v>95</v>
      </c>
      <c r="X129" s="427"/>
      <c r="Y129" s="308"/>
      <c r="Z129" s="308"/>
      <c r="AA129" s="427"/>
      <c r="AB129" s="427"/>
      <c r="AC129" s="425"/>
      <c r="AD129" s="425"/>
      <c r="AE129" s="308"/>
      <c r="AF129" s="308"/>
      <c r="AG129" s="308"/>
    </row>
    <row r="130" spans="1:36" x14ac:dyDescent="0.25">
      <c r="A130" s="308"/>
      <c r="B130" s="451"/>
      <c r="C130" s="451"/>
      <c r="D130" s="451"/>
      <c r="E130" s="451"/>
      <c r="F130" s="451"/>
      <c r="G130" s="451"/>
      <c r="H130" s="451"/>
      <c r="I130" s="451"/>
      <c r="J130" s="427"/>
      <c r="K130" s="427"/>
      <c r="L130" s="308"/>
      <c r="M130" s="456" t="s">
        <v>452</v>
      </c>
      <c r="N130" s="456"/>
      <c r="O130" s="456"/>
      <c r="P130" s="456"/>
      <c r="Q130" s="456"/>
      <c r="R130" s="456"/>
      <c r="S130" s="456"/>
      <c r="T130" s="456"/>
      <c r="U130" s="457">
        <v>250</v>
      </c>
      <c r="V130" s="461" t="s">
        <v>336</v>
      </c>
      <c r="W130" s="461" t="s">
        <v>336</v>
      </c>
      <c r="X130" s="427"/>
      <c r="Y130" s="425"/>
      <c r="Z130" s="308"/>
      <c r="AA130" s="427"/>
      <c r="AB130" s="427"/>
      <c r="AC130" s="425"/>
      <c r="AD130" s="425"/>
      <c r="AE130" s="308"/>
      <c r="AF130" s="308"/>
      <c r="AG130" s="308"/>
    </row>
    <row r="131" spans="1:36" x14ac:dyDescent="0.25">
      <c r="A131" s="308"/>
      <c r="B131" s="451"/>
      <c r="C131" s="451"/>
      <c r="D131" s="451"/>
      <c r="E131" s="451"/>
      <c r="F131" s="451"/>
      <c r="G131" s="451"/>
      <c r="H131" s="451"/>
      <c r="I131" s="451"/>
      <c r="J131" s="427"/>
      <c r="K131" s="427"/>
      <c r="L131" s="445"/>
      <c r="M131" s="425"/>
      <c r="N131" s="425"/>
      <c r="O131" s="425"/>
      <c r="P131" s="425"/>
      <c r="Q131" s="425"/>
      <c r="R131" s="425"/>
      <c r="S131" s="425"/>
      <c r="T131" s="425"/>
      <c r="U131" s="425"/>
      <c r="V131" s="425"/>
      <c r="W131" s="425"/>
      <c r="X131" s="427"/>
      <c r="Y131" s="425"/>
      <c r="Z131" s="425"/>
      <c r="AA131" s="427"/>
      <c r="AB131" s="427"/>
      <c r="AC131" s="425"/>
      <c r="AD131" s="425"/>
      <c r="AE131" s="308"/>
      <c r="AF131" s="308"/>
      <c r="AG131" s="308"/>
    </row>
    <row r="132" spans="1:36" x14ac:dyDescent="0.25">
      <c r="A132" s="308"/>
      <c r="B132" s="427"/>
      <c r="C132" s="427"/>
      <c r="D132" s="427"/>
      <c r="E132" s="451"/>
      <c r="F132" s="427"/>
      <c r="G132" s="427"/>
      <c r="H132" s="427"/>
      <c r="I132" s="427"/>
      <c r="J132" s="427"/>
      <c r="K132" s="427"/>
      <c r="L132" s="308"/>
      <c r="M132" s="425"/>
      <c r="N132" s="425"/>
      <c r="O132" s="425"/>
      <c r="P132" s="425"/>
      <c r="Q132" s="425"/>
      <c r="R132" s="425"/>
      <c r="S132" s="425"/>
      <c r="T132" s="425"/>
      <c r="U132" s="425"/>
      <c r="V132" s="425"/>
      <c r="W132" s="425"/>
      <c r="X132" s="427"/>
      <c r="Y132" s="425"/>
      <c r="Z132" s="425"/>
      <c r="AA132" s="427"/>
      <c r="AB132" s="427"/>
      <c r="AC132" s="308"/>
      <c r="AD132" s="308"/>
      <c r="AE132" s="308"/>
      <c r="AF132" s="308"/>
      <c r="AG132" s="308"/>
    </row>
    <row r="133" spans="1:36" x14ac:dyDescent="0.25">
      <c r="A133" s="426"/>
      <c r="B133" s="451"/>
      <c r="C133" s="451"/>
      <c r="D133" s="451"/>
      <c r="E133" s="451"/>
      <c r="F133" s="451"/>
      <c r="G133" s="451"/>
      <c r="H133" s="441"/>
      <c r="I133" s="451"/>
      <c r="J133" s="427"/>
      <c r="K133" s="427"/>
      <c r="L133" s="308"/>
      <c r="M133" s="425"/>
      <c r="N133" s="425"/>
      <c r="O133" s="425"/>
      <c r="P133" s="425"/>
      <c r="Q133" s="425"/>
      <c r="R133" s="425"/>
      <c r="S133" s="425"/>
      <c r="T133" s="425"/>
      <c r="U133" s="425"/>
      <c r="V133" s="425"/>
      <c r="W133" s="425"/>
      <c r="X133" s="427"/>
      <c r="Y133" s="425"/>
      <c r="Z133" s="425"/>
      <c r="AA133" s="427"/>
      <c r="AB133" s="427"/>
      <c r="AC133" s="425"/>
      <c r="AD133" s="425"/>
      <c r="AE133" s="308"/>
      <c r="AF133" s="308"/>
      <c r="AG133" s="308"/>
    </row>
    <row r="134" spans="1:36" x14ac:dyDescent="0.25">
      <c r="A134" s="426"/>
      <c r="B134" s="464"/>
      <c r="C134" s="464"/>
      <c r="D134" s="464"/>
      <c r="E134" s="451"/>
      <c r="F134" s="464"/>
      <c r="G134" s="464"/>
      <c r="H134" s="441"/>
      <c r="I134" s="451"/>
      <c r="J134" s="427"/>
      <c r="K134" s="427"/>
      <c r="L134" s="308"/>
      <c r="M134" s="308"/>
      <c r="N134" s="308"/>
      <c r="O134" s="308"/>
      <c r="P134" s="308"/>
      <c r="Q134" s="308"/>
      <c r="R134" s="308"/>
      <c r="S134" s="308"/>
      <c r="T134" s="308"/>
      <c r="U134" s="308"/>
      <c r="V134" s="425"/>
      <c r="W134" s="425"/>
      <c r="X134" s="425"/>
      <c r="Y134" s="425"/>
      <c r="Z134" s="425"/>
      <c r="AA134" s="427"/>
      <c r="AB134" s="427"/>
      <c r="AC134" s="425"/>
      <c r="AD134" s="425"/>
      <c r="AE134" s="308"/>
      <c r="AF134" s="308"/>
      <c r="AG134" s="308"/>
    </row>
    <row r="135" spans="1:36" x14ac:dyDescent="0.25">
      <c r="A135" s="426"/>
      <c r="B135" s="440"/>
      <c r="C135" s="440"/>
      <c r="D135" s="440"/>
      <c r="E135" s="440"/>
      <c r="F135" s="440"/>
      <c r="G135" s="440"/>
      <c r="H135" s="441"/>
      <c r="I135" s="308"/>
      <c r="J135" s="441"/>
      <c r="K135" s="441"/>
      <c r="L135" s="308"/>
      <c r="M135" s="308"/>
      <c r="N135" s="308"/>
      <c r="O135" s="308"/>
      <c r="P135" s="308"/>
      <c r="Q135" s="308"/>
      <c r="R135" s="308"/>
      <c r="S135" s="308"/>
      <c r="T135" s="308"/>
      <c r="U135" s="308"/>
      <c r="V135" s="425"/>
      <c r="W135" s="425"/>
      <c r="X135" s="425"/>
      <c r="Y135" s="427"/>
      <c r="Z135" s="425"/>
      <c r="AA135" s="427"/>
      <c r="AB135" s="427"/>
      <c r="AC135" s="425"/>
      <c r="AD135" s="425"/>
      <c r="AE135" s="308"/>
      <c r="AF135" s="308"/>
      <c r="AG135" s="308"/>
    </row>
    <row r="136" spans="1:36" ht="32.25" customHeight="1" x14ac:dyDescent="0.25">
      <c r="A136" s="426"/>
      <c r="B136" s="443"/>
      <c r="C136" s="443"/>
      <c r="D136" s="443"/>
      <c r="E136" s="443"/>
      <c r="F136" s="443"/>
      <c r="G136" s="443"/>
      <c r="H136" s="451"/>
      <c r="I136" s="451"/>
      <c r="J136" s="444"/>
      <c r="K136" s="441"/>
      <c r="L136" s="308"/>
      <c r="M136" s="425"/>
      <c r="N136" s="425"/>
      <c r="O136" s="425"/>
      <c r="P136" s="425"/>
      <c r="Q136" s="425"/>
      <c r="R136" s="425"/>
      <c r="S136" s="425"/>
      <c r="T136" s="425"/>
      <c r="U136" s="425"/>
      <c r="V136" s="427"/>
      <c r="W136" s="427"/>
      <c r="X136" s="427"/>
      <c r="Y136" s="427"/>
      <c r="Z136" s="308"/>
      <c r="AA136" s="427"/>
      <c r="AB136" s="427"/>
      <c r="AC136" s="425"/>
      <c r="AD136" s="425"/>
      <c r="AE136" s="308"/>
      <c r="AF136" s="308"/>
      <c r="AG136" s="308"/>
    </row>
    <row r="137" spans="1:36" x14ac:dyDescent="0.25">
      <c r="A137" s="308"/>
      <c r="B137" s="308"/>
      <c r="C137" s="308"/>
      <c r="D137" s="308"/>
      <c r="E137" s="308"/>
      <c r="F137" s="308"/>
      <c r="G137" s="308"/>
      <c r="H137" s="308"/>
      <c r="I137" s="308"/>
      <c r="J137" s="308"/>
      <c r="K137" s="441"/>
      <c r="L137" s="308"/>
      <c r="M137" s="425"/>
      <c r="N137" s="425"/>
      <c r="O137" s="425"/>
      <c r="P137" s="425"/>
      <c r="Q137" s="425"/>
      <c r="R137" s="425"/>
      <c r="S137" s="425"/>
      <c r="T137" s="425"/>
      <c r="U137" s="425"/>
      <c r="V137" s="427"/>
      <c r="W137" s="427"/>
      <c r="X137" s="427"/>
      <c r="Y137" s="427"/>
      <c r="Z137" s="308"/>
      <c r="AA137" s="427"/>
      <c r="AB137" s="427"/>
      <c r="AC137" s="425"/>
      <c r="AD137" s="425"/>
      <c r="AE137" s="308"/>
      <c r="AF137" s="308"/>
      <c r="AG137" s="308"/>
    </row>
    <row r="138" spans="1:36" ht="15.75" x14ac:dyDescent="0.25">
      <c r="A138" s="426"/>
      <c r="B138" s="440"/>
      <c r="C138" s="440"/>
      <c r="D138" s="440"/>
      <c r="E138" s="440"/>
      <c r="F138" s="440"/>
      <c r="G138" s="440"/>
      <c r="H138" s="451"/>
      <c r="I138" s="427"/>
      <c r="J138" s="427"/>
      <c r="K138" s="447"/>
      <c r="L138" s="308"/>
      <c r="M138" s="425"/>
      <c r="N138" s="425"/>
      <c r="O138" s="425"/>
      <c r="P138" s="425"/>
      <c r="Q138" s="425"/>
      <c r="R138" s="425"/>
      <c r="S138" s="425"/>
      <c r="T138" s="425"/>
      <c r="U138" s="425"/>
      <c r="V138" s="427"/>
      <c r="W138" s="427"/>
      <c r="X138" s="427"/>
      <c r="Y138" s="427"/>
      <c r="Z138" s="425"/>
      <c r="AA138" s="427"/>
      <c r="AB138" s="427"/>
      <c r="AC138" s="425"/>
      <c r="AD138" s="425"/>
      <c r="AE138" s="308"/>
      <c r="AF138" s="308"/>
      <c r="AG138" s="308"/>
    </row>
    <row r="139" spans="1:36" ht="15.75" x14ac:dyDescent="0.25">
      <c r="A139" s="427"/>
      <c r="B139" s="446"/>
      <c r="C139" s="446"/>
      <c r="D139" s="446"/>
      <c r="E139" s="446"/>
      <c r="F139" s="446"/>
      <c r="G139" s="446"/>
      <c r="H139" s="427"/>
      <c r="I139" s="427"/>
      <c r="J139" s="427"/>
      <c r="K139" s="448"/>
      <c r="L139" s="308"/>
      <c r="M139" s="425"/>
      <c r="N139" s="425"/>
      <c r="O139" s="425"/>
      <c r="P139" s="425"/>
      <c r="Q139" s="425"/>
      <c r="R139" s="425"/>
      <c r="S139" s="425"/>
      <c r="T139" s="425"/>
      <c r="U139" s="425"/>
      <c r="V139" s="427"/>
      <c r="W139" s="427"/>
      <c r="X139" s="427"/>
      <c r="Y139" s="427"/>
      <c r="Z139" s="425"/>
      <c r="AA139" s="427"/>
      <c r="AB139" s="427"/>
      <c r="AC139" s="425"/>
      <c r="AD139" s="425"/>
      <c r="AE139" s="308"/>
      <c r="AF139" s="308"/>
      <c r="AG139" s="308"/>
    </row>
    <row r="140" spans="1:36" ht="16.5" thickBot="1" x14ac:dyDescent="0.3">
      <c r="A140" s="427"/>
      <c r="B140" s="446"/>
      <c r="C140" s="446"/>
      <c r="D140" s="446"/>
      <c r="E140" s="446"/>
      <c r="F140" s="446"/>
      <c r="G140" s="446"/>
      <c r="H140" s="427"/>
      <c r="I140" s="427"/>
      <c r="J140" s="427"/>
      <c r="K140" s="448"/>
      <c r="L140" s="308"/>
      <c r="M140" s="425"/>
      <c r="N140" s="425"/>
      <c r="O140" s="425"/>
      <c r="P140" s="425"/>
      <c r="Q140" s="425"/>
      <c r="R140" s="425"/>
      <c r="S140" s="425"/>
      <c r="T140" s="425"/>
      <c r="U140" s="425"/>
      <c r="V140" s="425"/>
      <c r="W140" s="425"/>
      <c r="X140" s="425"/>
      <c r="Y140" s="427"/>
      <c r="Z140" s="425"/>
      <c r="AA140" s="427"/>
      <c r="AB140" s="427"/>
      <c r="AC140" s="425"/>
      <c r="AD140" s="425"/>
      <c r="AE140" s="308"/>
      <c r="AF140" s="308"/>
      <c r="AG140" s="308"/>
    </row>
    <row r="141" spans="1:36" ht="45" x14ac:dyDescent="0.25">
      <c r="A141" s="427"/>
      <c r="B141" s="446"/>
      <c r="C141" s="446"/>
      <c r="D141" s="446"/>
      <c r="E141" s="446"/>
      <c r="F141" s="446"/>
      <c r="G141" s="446"/>
      <c r="H141" s="427"/>
      <c r="I141" s="427"/>
      <c r="J141" s="427"/>
      <c r="K141" s="448"/>
      <c r="L141" s="308"/>
      <c r="M141" s="425"/>
      <c r="N141" s="425"/>
      <c r="O141" s="425"/>
      <c r="P141" s="427" t="s">
        <v>87</v>
      </c>
      <c r="Q141" s="427" t="s">
        <v>609</v>
      </c>
      <c r="R141" s="427" t="s">
        <v>614</v>
      </c>
      <c r="S141" s="427" t="s">
        <v>610</v>
      </c>
      <c r="T141" s="442" t="s">
        <v>613</v>
      </c>
      <c r="U141" s="494" t="s">
        <v>611</v>
      </c>
      <c r="V141" s="495" t="s">
        <v>612</v>
      </c>
      <c r="W141" s="425"/>
      <c r="X141" s="425"/>
      <c r="Y141" s="425"/>
      <c r="Z141" s="425"/>
      <c r="AA141" s="427"/>
      <c r="AB141" s="427"/>
      <c r="AC141" s="425"/>
      <c r="AD141" s="425"/>
      <c r="AE141" s="308"/>
      <c r="AF141" s="308"/>
      <c r="AG141" s="308"/>
    </row>
    <row r="142" spans="1:36" x14ac:dyDescent="0.25">
      <c r="A142" s="308"/>
      <c r="B142" s="425"/>
      <c r="C142" s="425"/>
      <c r="D142" s="308"/>
      <c r="E142" s="308"/>
      <c r="F142" s="308"/>
      <c r="G142" s="308"/>
      <c r="H142" s="427"/>
      <c r="I142" s="427"/>
      <c r="J142" s="427"/>
      <c r="K142" s="427"/>
      <c r="L142" s="308"/>
      <c r="M142" s="456" t="s">
        <v>528</v>
      </c>
      <c r="N142" s="425"/>
      <c r="O142" s="425"/>
      <c r="P142" s="449">
        <v>30.35</v>
      </c>
      <c r="Q142" s="449">
        <f>P142*0.9</f>
        <v>27.315000000000001</v>
      </c>
      <c r="R142" s="449">
        <f>P142*0.85</f>
        <v>25.797499999999999</v>
      </c>
      <c r="S142" s="449">
        <v>31</v>
      </c>
      <c r="T142" s="449">
        <v>30</v>
      </c>
      <c r="U142" s="496">
        <f>100*(T142-R142)/R142</f>
        <v>16.290338211066967</v>
      </c>
      <c r="V142" s="497">
        <f>100*(T142-Q142)/Q142</f>
        <v>9.8297638660076831</v>
      </c>
      <c r="W142" s="425"/>
      <c r="X142" s="425"/>
      <c r="Y142" s="425"/>
      <c r="Z142" s="425"/>
      <c r="AA142" s="427"/>
      <c r="AB142" s="427"/>
      <c r="AC142" s="425"/>
      <c r="AD142" s="425"/>
      <c r="AE142" s="308"/>
      <c r="AF142" s="308"/>
      <c r="AG142" s="308"/>
    </row>
    <row r="143" spans="1:36" x14ac:dyDescent="0.25">
      <c r="A143" s="308"/>
      <c r="B143" s="425"/>
      <c r="C143" s="425"/>
      <c r="D143" s="425"/>
      <c r="E143" s="425"/>
      <c r="F143" s="425"/>
      <c r="G143" s="425"/>
      <c r="H143" s="427"/>
      <c r="I143" s="427"/>
      <c r="J143" s="427"/>
      <c r="K143" s="427"/>
      <c r="L143" s="308"/>
      <c r="M143" s="456" t="s">
        <v>529</v>
      </c>
      <c r="N143" s="425"/>
      <c r="O143" s="425"/>
      <c r="P143" s="449">
        <v>12.53</v>
      </c>
      <c r="Q143" s="449">
        <f t="shared" ref="Q143:Q160" si="7">P143*0.9</f>
        <v>11.276999999999999</v>
      </c>
      <c r="R143" s="449">
        <f t="shared" ref="R143:R160" si="8">P143*0.85</f>
        <v>10.650499999999999</v>
      </c>
      <c r="S143" s="449">
        <v>13</v>
      </c>
      <c r="T143" s="449">
        <v>13</v>
      </c>
      <c r="U143" s="496">
        <f t="shared" ref="U143:U159" si="9">100*(T143-R143)/R143</f>
        <v>22.059997183230841</v>
      </c>
      <c r="V143" s="497">
        <f t="shared" ref="V143:V160" si="10">100*(T143-Q143)/Q143</f>
        <v>15.278886228606906</v>
      </c>
      <c r="W143" s="425"/>
      <c r="X143" s="425"/>
      <c r="Y143" s="425"/>
      <c r="Z143" s="425"/>
      <c r="AA143" s="427"/>
      <c r="AB143" s="427"/>
      <c r="AC143" s="425"/>
      <c r="AD143" s="427"/>
      <c r="AE143" s="427"/>
      <c r="AF143" s="425"/>
      <c r="AG143" s="425"/>
      <c r="AH143" s="9"/>
      <c r="AI143" s="12"/>
      <c r="AJ143" s="9"/>
    </row>
    <row r="144" spans="1:36" x14ac:dyDescent="0.25">
      <c r="A144" s="426"/>
      <c r="B144" s="425"/>
      <c r="C144" s="425"/>
      <c r="D144" s="425"/>
      <c r="E144" s="425"/>
      <c r="F144" s="425"/>
      <c r="G144" s="425"/>
      <c r="H144" s="442"/>
      <c r="I144" s="427"/>
      <c r="J144" s="442"/>
      <c r="K144" s="427"/>
      <c r="L144" s="308"/>
      <c r="M144" s="456" t="s">
        <v>530</v>
      </c>
      <c r="N144" s="425"/>
      <c r="O144" s="425"/>
      <c r="P144" s="449">
        <v>7.04</v>
      </c>
      <c r="Q144" s="449">
        <f t="shared" si="7"/>
        <v>6.3360000000000003</v>
      </c>
      <c r="R144" s="449">
        <f t="shared" si="8"/>
        <v>5.984</v>
      </c>
      <c r="S144" s="449">
        <v>7</v>
      </c>
      <c r="T144" s="449">
        <v>7</v>
      </c>
      <c r="U144" s="496">
        <f t="shared" si="9"/>
        <v>16.978609625668447</v>
      </c>
      <c r="V144" s="497">
        <f t="shared" si="10"/>
        <v>10.479797979797976</v>
      </c>
      <c r="W144" s="425"/>
      <c r="X144" s="425"/>
      <c r="Y144" s="425"/>
      <c r="Z144" s="425"/>
      <c r="AA144" s="427"/>
      <c r="AB144" s="427"/>
      <c r="AC144" s="425"/>
      <c r="AD144" s="427"/>
      <c r="AE144" s="427"/>
      <c r="AF144" s="425"/>
      <c r="AG144" s="425"/>
      <c r="AH144" s="9"/>
      <c r="AI144" s="12"/>
      <c r="AJ144" s="9"/>
    </row>
    <row r="145" spans="1:35" x14ac:dyDescent="0.25">
      <c r="A145" s="426"/>
      <c r="B145" s="440"/>
      <c r="C145" s="440"/>
      <c r="D145" s="440"/>
      <c r="E145" s="440"/>
      <c r="F145" s="440"/>
      <c r="G145" s="440"/>
      <c r="H145" s="441"/>
      <c r="I145" s="308"/>
      <c r="J145" s="441"/>
      <c r="K145" s="427"/>
      <c r="L145" s="308"/>
      <c r="M145" s="456" t="s">
        <v>306</v>
      </c>
      <c r="N145" s="425"/>
      <c r="O145" s="425"/>
      <c r="P145" s="449">
        <v>32.549999999999997</v>
      </c>
      <c r="Q145" s="449">
        <f t="shared" si="7"/>
        <v>29.294999999999998</v>
      </c>
      <c r="R145" s="449">
        <f t="shared" si="8"/>
        <v>27.667499999999997</v>
      </c>
      <c r="S145" s="449">
        <v>34</v>
      </c>
      <c r="T145" s="449">
        <v>34</v>
      </c>
      <c r="U145" s="496">
        <f t="shared" si="9"/>
        <v>22.887864823348711</v>
      </c>
      <c r="V145" s="497">
        <f t="shared" si="10"/>
        <v>16.06076122205155</v>
      </c>
      <c r="W145" s="425"/>
      <c r="X145" s="425"/>
      <c r="Y145" s="425"/>
      <c r="Z145" s="425"/>
      <c r="AA145" s="427"/>
      <c r="AB145" s="425"/>
      <c r="AC145" s="427"/>
      <c r="AD145" s="427"/>
      <c r="AE145" s="425"/>
      <c r="AF145" s="425"/>
      <c r="AG145" s="425"/>
      <c r="AH145" s="12"/>
      <c r="AI145" s="9"/>
    </row>
    <row r="146" spans="1:35" x14ac:dyDescent="0.25">
      <c r="A146" s="426"/>
      <c r="B146" s="446"/>
      <c r="C146" s="446"/>
      <c r="D146" s="446"/>
      <c r="E146" s="446"/>
      <c r="F146" s="446"/>
      <c r="G146" s="446"/>
      <c r="H146" s="441"/>
      <c r="I146" s="308"/>
      <c r="J146" s="441"/>
      <c r="K146" s="427"/>
      <c r="L146" s="308"/>
      <c r="M146" s="456" t="s">
        <v>315</v>
      </c>
      <c r="N146" s="425"/>
      <c r="O146" s="425"/>
      <c r="P146" s="449">
        <v>10.91</v>
      </c>
      <c r="Q146" s="449">
        <f t="shared" si="7"/>
        <v>9.8190000000000008</v>
      </c>
      <c r="R146" s="449">
        <f t="shared" si="8"/>
        <v>9.2735000000000003</v>
      </c>
      <c r="S146" s="449">
        <v>11</v>
      </c>
      <c r="T146" s="449">
        <v>11</v>
      </c>
      <c r="U146" s="496">
        <f t="shared" si="9"/>
        <v>18.617566183210219</v>
      </c>
      <c r="V146" s="497">
        <f t="shared" si="10"/>
        <v>12.027701395254089</v>
      </c>
      <c r="W146" s="308"/>
      <c r="X146" s="308"/>
      <c r="Y146" s="425"/>
      <c r="Z146" s="425"/>
      <c r="AA146" s="427"/>
      <c r="AB146" s="425"/>
      <c r="AC146" s="427"/>
      <c r="AD146" s="427"/>
      <c r="AE146" s="425"/>
      <c r="AF146" s="425"/>
      <c r="AG146" s="425"/>
      <c r="AH146" s="12"/>
      <c r="AI146" s="9"/>
    </row>
    <row r="147" spans="1:35" x14ac:dyDescent="0.25">
      <c r="A147" s="426"/>
      <c r="B147" s="440"/>
      <c r="C147" s="440"/>
      <c r="D147" s="440"/>
      <c r="E147" s="440"/>
      <c r="F147" s="440"/>
      <c r="G147" s="440"/>
      <c r="H147" s="441"/>
      <c r="I147" s="308"/>
      <c r="J147" s="441"/>
      <c r="K147" s="427"/>
      <c r="L147" s="308"/>
      <c r="M147" s="456" t="s">
        <v>531</v>
      </c>
      <c r="N147" s="425"/>
      <c r="O147" s="425"/>
      <c r="P147" s="449">
        <v>39.99</v>
      </c>
      <c r="Q147" s="449">
        <f t="shared" si="7"/>
        <v>35.991</v>
      </c>
      <c r="R147" s="449">
        <f t="shared" si="8"/>
        <v>33.991500000000002</v>
      </c>
      <c r="S147" s="449">
        <v>42</v>
      </c>
      <c r="T147" s="449">
        <v>42</v>
      </c>
      <c r="U147" s="496">
        <f t="shared" si="9"/>
        <v>23.560301840165916</v>
      </c>
      <c r="V147" s="497">
        <f t="shared" si="10"/>
        <v>16.695840626823376</v>
      </c>
      <c r="W147" s="308"/>
      <c r="X147" s="308"/>
      <c r="Y147" s="308"/>
      <c r="Z147" s="425"/>
      <c r="AA147" s="427"/>
      <c r="AB147" s="425"/>
      <c r="AC147" s="427"/>
      <c r="AD147" s="427"/>
      <c r="AE147" s="425"/>
      <c r="AF147" s="425"/>
      <c r="AG147" s="425"/>
      <c r="AH147" s="12"/>
      <c r="AI147" s="9"/>
    </row>
    <row r="148" spans="1:35" ht="34.5" customHeight="1" x14ac:dyDescent="0.25">
      <c r="A148" s="426"/>
      <c r="B148" s="443"/>
      <c r="C148" s="443"/>
      <c r="D148" s="443"/>
      <c r="E148" s="443"/>
      <c r="F148" s="443"/>
      <c r="G148" s="443"/>
      <c r="H148" s="426"/>
      <c r="I148" s="426"/>
      <c r="J148" s="444"/>
      <c r="K148" s="427"/>
      <c r="L148" s="308"/>
      <c r="M148" s="456" t="s">
        <v>532</v>
      </c>
      <c r="N148" s="308"/>
      <c r="O148" s="308"/>
      <c r="P148" s="449">
        <v>7.43</v>
      </c>
      <c r="Q148" s="449">
        <f t="shared" si="7"/>
        <v>6.6870000000000003</v>
      </c>
      <c r="R148" s="449">
        <f t="shared" si="8"/>
        <v>6.3154999999999992</v>
      </c>
      <c r="S148" s="449">
        <v>8</v>
      </c>
      <c r="T148" s="449">
        <v>8</v>
      </c>
      <c r="U148" s="496">
        <f t="shared" si="9"/>
        <v>26.672472488322395</v>
      </c>
      <c r="V148" s="497">
        <f t="shared" si="10"/>
        <v>19.635112905637801</v>
      </c>
      <c r="W148" s="425"/>
      <c r="X148" s="425"/>
      <c r="Y148" s="308"/>
      <c r="Z148" s="425"/>
      <c r="AA148" s="427"/>
      <c r="AB148" s="425"/>
      <c r="AC148" s="427"/>
      <c r="AD148" s="427"/>
      <c r="AE148" s="425"/>
      <c r="AF148" s="425"/>
      <c r="AG148" s="425"/>
      <c r="AH148" s="12"/>
      <c r="AI148" s="9"/>
    </row>
    <row r="149" spans="1:35" x14ac:dyDescent="0.25">
      <c r="A149" s="308"/>
      <c r="B149" s="426"/>
      <c r="C149" s="426"/>
      <c r="D149" s="426"/>
      <c r="E149" s="426"/>
      <c r="F149" s="426"/>
      <c r="G149" s="426"/>
      <c r="H149" s="426"/>
      <c r="I149" s="427"/>
      <c r="J149" s="427"/>
      <c r="K149" s="427"/>
      <c r="L149" s="308"/>
      <c r="M149" s="456" t="s">
        <v>307</v>
      </c>
      <c r="N149" s="308"/>
      <c r="O149" s="308"/>
      <c r="P149" s="449">
        <v>41.25</v>
      </c>
      <c r="Q149" s="449">
        <f t="shared" si="7"/>
        <v>37.125</v>
      </c>
      <c r="R149" s="449">
        <f t="shared" si="8"/>
        <v>35.0625</v>
      </c>
      <c r="S149" s="449">
        <v>43</v>
      </c>
      <c r="T149" s="449">
        <v>43</v>
      </c>
      <c r="U149" s="496">
        <f t="shared" si="9"/>
        <v>22.638146167557931</v>
      </c>
      <c r="V149" s="497">
        <f t="shared" si="10"/>
        <v>15.824915824915825</v>
      </c>
      <c r="W149" s="425"/>
      <c r="X149" s="425"/>
      <c r="Y149" s="425"/>
      <c r="Z149" s="425"/>
      <c r="AA149" s="427"/>
      <c r="AB149" s="425"/>
      <c r="AC149" s="427"/>
      <c r="AD149" s="427"/>
      <c r="AE149" s="425"/>
      <c r="AF149" s="425"/>
      <c r="AG149" s="425"/>
      <c r="AH149" s="12"/>
      <c r="AI149" s="9"/>
    </row>
    <row r="150" spans="1:35" ht="15.75" x14ac:dyDescent="0.25">
      <c r="A150" s="426"/>
      <c r="B150" s="440"/>
      <c r="C150" s="440"/>
      <c r="D150" s="440"/>
      <c r="E150" s="440"/>
      <c r="F150" s="440"/>
      <c r="G150" s="440"/>
      <c r="H150" s="426"/>
      <c r="I150" s="427"/>
      <c r="J150" s="427"/>
      <c r="K150" s="447"/>
      <c r="L150" s="308"/>
      <c r="M150" s="456" t="s">
        <v>302</v>
      </c>
      <c r="N150" s="308"/>
      <c r="O150" s="308"/>
      <c r="P150" s="449">
        <v>14.75</v>
      </c>
      <c r="Q150" s="449">
        <f t="shared" si="7"/>
        <v>13.275</v>
      </c>
      <c r="R150" s="449">
        <f t="shared" si="8"/>
        <v>12.5375</v>
      </c>
      <c r="S150" s="449">
        <v>15</v>
      </c>
      <c r="T150" s="449">
        <v>15</v>
      </c>
      <c r="U150" s="496">
        <f t="shared" si="9"/>
        <v>19.64107676969093</v>
      </c>
      <c r="V150" s="497">
        <f t="shared" si="10"/>
        <v>12.994350282485874</v>
      </c>
      <c r="W150" s="425"/>
      <c r="X150" s="425"/>
      <c r="Y150" s="425"/>
      <c r="Z150" s="425"/>
      <c r="AA150" s="427"/>
      <c r="AB150" s="425"/>
      <c r="AC150" s="427"/>
      <c r="AD150" s="427"/>
      <c r="AE150" s="425"/>
      <c r="AF150" s="425"/>
      <c r="AG150" s="425"/>
      <c r="AH150" s="12"/>
      <c r="AI150" s="9"/>
    </row>
    <row r="151" spans="1:35" ht="33" customHeight="1" x14ac:dyDescent="0.25">
      <c r="A151" s="427"/>
      <c r="B151" s="446"/>
      <c r="C151" s="446"/>
      <c r="D151" s="446"/>
      <c r="E151" s="446"/>
      <c r="F151" s="446"/>
      <c r="G151" s="446"/>
      <c r="H151" s="427"/>
      <c r="I151" s="427"/>
      <c r="J151" s="427"/>
      <c r="K151" s="448"/>
      <c r="L151" s="308"/>
      <c r="M151" s="456" t="s">
        <v>12</v>
      </c>
      <c r="N151" s="425"/>
      <c r="O151" s="425"/>
      <c r="P151" s="449">
        <v>34.1</v>
      </c>
      <c r="Q151" s="449">
        <f t="shared" si="7"/>
        <v>30.69</v>
      </c>
      <c r="R151" s="449">
        <f t="shared" si="8"/>
        <v>28.984999999999999</v>
      </c>
      <c r="S151" s="449">
        <v>34</v>
      </c>
      <c r="T151" s="449">
        <v>33</v>
      </c>
      <c r="U151" s="496">
        <f t="shared" si="9"/>
        <v>13.851992409867174</v>
      </c>
      <c r="V151" s="497">
        <f t="shared" si="10"/>
        <v>7.5268817204301035</v>
      </c>
      <c r="W151" s="425"/>
      <c r="X151" s="425"/>
      <c r="Y151" s="425"/>
      <c r="Z151" s="308"/>
      <c r="AA151" s="427"/>
      <c r="AB151" s="308"/>
      <c r="AC151" s="427"/>
      <c r="AD151" s="427"/>
      <c r="AE151" s="308"/>
      <c r="AF151" s="308"/>
      <c r="AG151" s="308"/>
      <c r="AH151" s="12"/>
      <c r="AI151" s="9"/>
    </row>
    <row r="152" spans="1:35" ht="30" customHeight="1" x14ac:dyDescent="0.25">
      <c r="A152" s="427"/>
      <c r="B152" s="446"/>
      <c r="C152" s="446"/>
      <c r="D152" s="446"/>
      <c r="E152" s="446"/>
      <c r="F152" s="446"/>
      <c r="G152" s="446"/>
      <c r="H152" s="427"/>
      <c r="I152" s="427"/>
      <c r="J152" s="427"/>
      <c r="K152" s="448"/>
      <c r="L152" s="308"/>
      <c r="M152" s="456" t="s">
        <v>204</v>
      </c>
      <c r="N152" s="425"/>
      <c r="O152" s="425"/>
      <c r="P152" s="449">
        <v>36.450000000000003</v>
      </c>
      <c r="Q152" s="449">
        <f t="shared" si="7"/>
        <v>32.805000000000007</v>
      </c>
      <c r="R152" s="449">
        <f t="shared" si="8"/>
        <v>30.982500000000002</v>
      </c>
      <c r="S152" s="449">
        <v>36</v>
      </c>
      <c r="T152" s="449">
        <v>35</v>
      </c>
      <c r="U152" s="496">
        <f t="shared" si="9"/>
        <v>12.966997498587906</v>
      </c>
      <c r="V152" s="497">
        <f t="shared" si="10"/>
        <v>6.6910531931107844</v>
      </c>
      <c r="W152" s="425"/>
      <c r="X152" s="425"/>
      <c r="Y152" s="425"/>
      <c r="Z152" s="308"/>
      <c r="AA152" s="427"/>
      <c r="AB152" s="308"/>
      <c r="AC152" s="427"/>
      <c r="AD152" s="427"/>
      <c r="AE152" s="425"/>
      <c r="AF152" s="425"/>
      <c r="AG152" s="425"/>
      <c r="AH152" s="12"/>
      <c r="AI152" s="9"/>
    </row>
    <row r="153" spans="1:35" ht="29.25" customHeight="1" x14ac:dyDescent="0.25">
      <c r="A153" s="427"/>
      <c r="B153" s="446"/>
      <c r="C153" s="446"/>
      <c r="D153" s="446"/>
      <c r="E153" s="446"/>
      <c r="F153" s="446"/>
      <c r="G153" s="446"/>
      <c r="H153" s="427"/>
      <c r="I153" s="427"/>
      <c r="J153" s="427"/>
      <c r="K153" s="448"/>
      <c r="L153" s="308"/>
      <c r="M153" s="456" t="s">
        <v>535</v>
      </c>
      <c r="N153" s="425"/>
      <c r="O153" s="425"/>
      <c r="P153" s="449">
        <v>88.09</v>
      </c>
      <c r="Q153" s="449">
        <f t="shared" si="7"/>
        <v>79.281000000000006</v>
      </c>
      <c r="R153" s="449">
        <f t="shared" si="8"/>
        <v>74.876500000000007</v>
      </c>
      <c r="S153" s="449">
        <v>88</v>
      </c>
      <c r="T153" s="449">
        <v>90</v>
      </c>
      <c r="U153" s="496">
        <f t="shared" si="9"/>
        <v>20.197925918011649</v>
      </c>
      <c r="V153" s="497">
        <f t="shared" si="10"/>
        <v>13.520263367011003</v>
      </c>
      <c r="W153" s="425"/>
      <c r="X153" s="425"/>
      <c r="Y153" s="425"/>
      <c r="Z153" s="308"/>
      <c r="AA153" s="427"/>
      <c r="AB153" s="308"/>
      <c r="AC153" s="427"/>
      <c r="AD153" s="427"/>
      <c r="AE153" s="425"/>
      <c r="AF153" s="425"/>
      <c r="AG153" s="425"/>
      <c r="AH153" s="12"/>
      <c r="AI153" s="9"/>
    </row>
    <row r="154" spans="1:35" x14ac:dyDescent="0.25">
      <c r="A154" s="330"/>
      <c r="B154" s="425"/>
      <c r="C154" s="425"/>
      <c r="D154" s="425"/>
      <c r="E154" s="425"/>
      <c r="F154" s="425"/>
      <c r="G154" s="425"/>
      <c r="H154" s="427"/>
      <c r="I154" s="424"/>
      <c r="J154" s="424"/>
      <c r="K154" s="12"/>
      <c r="M154" s="456" t="s">
        <v>536</v>
      </c>
      <c r="N154" s="425"/>
      <c r="O154" s="425"/>
      <c r="P154" s="449">
        <v>59.95</v>
      </c>
      <c r="Q154" s="449">
        <f t="shared" si="7"/>
        <v>53.955000000000005</v>
      </c>
      <c r="R154" s="449">
        <f t="shared" si="8"/>
        <v>50.957500000000003</v>
      </c>
      <c r="S154" s="449">
        <v>60</v>
      </c>
      <c r="T154" s="449">
        <v>60</v>
      </c>
      <c r="U154" s="496">
        <f t="shared" si="9"/>
        <v>17.745179806701657</v>
      </c>
      <c r="V154" s="497">
        <f t="shared" si="10"/>
        <v>11.203780928551559</v>
      </c>
      <c r="W154" s="425"/>
      <c r="X154" s="425"/>
      <c r="Y154" s="425"/>
      <c r="Z154" s="308"/>
      <c r="AA154" s="427"/>
      <c r="AB154" s="308"/>
      <c r="AC154" s="427"/>
      <c r="AD154" s="427"/>
      <c r="AE154" s="427"/>
      <c r="AF154" s="427"/>
      <c r="AG154" s="427"/>
      <c r="AH154" s="12"/>
      <c r="AI154" s="9"/>
    </row>
    <row r="155" spans="1:35" x14ac:dyDescent="0.25">
      <c r="A155" s="330"/>
      <c r="B155" s="425"/>
      <c r="C155" s="425"/>
      <c r="D155" s="425"/>
      <c r="E155" s="425"/>
      <c r="F155" s="425"/>
      <c r="G155" s="425"/>
      <c r="H155" s="427"/>
      <c r="I155" s="424"/>
      <c r="J155" s="424"/>
      <c r="K155" s="12"/>
      <c r="M155" s="456" t="s">
        <v>301</v>
      </c>
      <c r="N155" s="308"/>
      <c r="O155" s="308"/>
      <c r="P155" s="449">
        <v>118.63</v>
      </c>
      <c r="Q155" s="449">
        <f t="shared" si="7"/>
        <v>106.767</v>
      </c>
      <c r="R155" s="449">
        <f t="shared" si="8"/>
        <v>100.8355</v>
      </c>
      <c r="S155" s="449">
        <v>132</v>
      </c>
      <c r="T155" s="449">
        <v>130</v>
      </c>
      <c r="U155" s="496">
        <f t="shared" si="9"/>
        <v>28.92284959166167</v>
      </c>
      <c r="V155" s="497">
        <f t="shared" si="10"/>
        <v>21.760469058791578</v>
      </c>
      <c r="W155" s="425"/>
      <c r="X155" s="425"/>
      <c r="Y155" s="425"/>
      <c r="Z155" s="425"/>
      <c r="AA155" s="427"/>
      <c r="AB155" s="308"/>
      <c r="AC155" s="427"/>
      <c r="AD155" s="427"/>
      <c r="AE155" s="427"/>
      <c r="AF155" s="427"/>
      <c r="AG155" s="427"/>
      <c r="AH155" s="12"/>
      <c r="AI155" s="9"/>
    </row>
    <row r="156" spans="1:35" x14ac:dyDescent="0.25">
      <c r="A156" s="330"/>
      <c r="B156" s="423"/>
      <c r="C156" s="423"/>
      <c r="D156" s="423"/>
      <c r="E156" s="423"/>
      <c r="F156" s="423"/>
      <c r="G156" s="423"/>
      <c r="H156" s="424"/>
      <c r="I156" s="424"/>
      <c r="J156" s="424"/>
      <c r="K156" s="12"/>
      <c r="M156" s="456" t="s">
        <v>313</v>
      </c>
      <c r="N156" s="308"/>
      <c r="O156" s="308"/>
      <c r="P156" s="449">
        <v>32.6</v>
      </c>
      <c r="Q156" s="449">
        <f t="shared" si="7"/>
        <v>29.340000000000003</v>
      </c>
      <c r="R156" s="449">
        <f t="shared" si="8"/>
        <v>27.71</v>
      </c>
      <c r="S156" s="449">
        <v>36</v>
      </c>
      <c r="T156" s="449">
        <v>35</v>
      </c>
      <c r="U156" s="496">
        <f t="shared" si="9"/>
        <v>26.308191988451817</v>
      </c>
      <c r="V156" s="497">
        <f t="shared" si="10"/>
        <v>19.291070211315596</v>
      </c>
      <c r="W156" s="425"/>
      <c r="X156" s="425"/>
      <c r="Y156" s="425"/>
      <c r="Z156" s="425"/>
      <c r="AA156" s="427"/>
      <c r="AB156" s="308"/>
      <c r="AC156" s="427"/>
      <c r="AD156" s="427"/>
      <c r="AE156" s="427"/>
      <c r="AF156" s="427"/>
      <c r="AG156" s="427"/>
      <c r="AH156" s="12"/>
      <c r="AI156" s="9"/>
    </row>
    <row r="157" spans="1:35" x14ac:dyDescent="0.25">
      <c r="B157" s="9"/>
      <c r="C157" s="9"/>
      <c r="D157" s="9"/>
      <c r="E157" s="9"/>
      <c r="F157" s="9"/>
      <c r="G157" s="9"/>
      <c r="H157" s="12"/>
      <c r="I157" s="12"/>
      <c r="J157" s="12"/>
      <c r="K157" s="12"/>
      <c r="M157" s="456" t="s">
        <v>524</v>
      </c>
      <c r="N157" s="308"/>
      <c r="O157" s="308"/>
      <c r="P157" s="449">
        <v>31.96</v>
      </c>
      <c r="Q157" s="449">
        <f t="shared" si="7"/>
        <v>28.764000000000003</v>
      </c>
      <c r="R157" s="449">
        <f t="shared" si="8"/>
        <v>27.166</v>
      </c>
      <c r="S157" s="449">
        <v>33</v>
      </c>
      <c r="T157" s="449">
        <v>31</v>
      </c>
      <c r="U157" s="496">
        <f t="shared" si="9"/>
        <v>14.113229772509754</v>
      </c>
      <c r="V157" s="497">
        <f t="shared" si="10"/>
        <v>7.7736058962592018</v>
      </c>
      <c r="W157" s="425"/>
      <c r="X157" s="425"/>
      <c r="Y157" s="425"/>
      <c r="Z157" s="425"/>
      <c r="AA157" s="427"/>
      <c r="AB157" s="308"/>
      <c r="AC157" s="427"/>
      <c r="AD157" s="427"/>
      <c r="AE157" s="427"/>
      <c r="AF157" s="427"/>
      <c r="AG157" s="427"/>
      <c r="AH157" s="12"/>
      <c r="AI157" s="9"/>
    </row>
    <row r="158" spans="1:35" x14ac:dyDescent="0.25">
      <c r="A158" s="330"/>
      <c r="B158" s="423"/>
      <c r="C158" s="423"/>
      <c r="D158" s="423"/>
      <c r="E158" s="423"/>
      <c r="F158" s="423"/>
      <c r="G158" s="423"/>
      <c r="H158" s="424"/>
      <c r="I158" s="424"/>
      <c r="J158" s="424"/>
      <c r="K158" s="12"/>
      <c r="M158" s="456" t="s">
        <v>312</v>
      </c>
      <c r="N158" s="308"/>
      <c r="O158" s="308"/>
      <c r="P158" s="449">
        <v>13.75</v>
      </c>
      <c r="Q158" s="449">
        <f t="shared" si="7"/>
        <v>12.375</v>
      </c>
      <c r="R158" s="449">
        <f t="shared" si="8"/>
        <v>11.6875</v>
      </c>
      <c r="S158" s="449">
        <v>15</v>
      </c>
      <c r="T158" s="449">
        <v>15</v>
      </c>
      <c r="U158" s="496">
        <f t="shared" si="9"/>
        <v>28.342245989304814</v>
      </c>
      <c r="V158" s="497">
        <f t="shared" si="10"/>
        <v>21.212121212121211</v>
      </c>
      <c r="W158" s="425"/>
      <c r="X158" s="425"/>
      <c r="Y158" s="425"/>
      <c r="Z158" s="425"/>
      <c r="AA158" s="427"/>
      <c r="AB158" s="308"/>
      <c r="AC158" s="427"/>
      <c r="AD158" s="427"/>
      <c r="AE158" s="425"/>
      <c r="AF158" s="425"/>
      <c r="AG158" s="425"/>
      <c r="AH158" s="12"/>
      <c r="AI158" s="9"/>
    </row>
    <row r="159" spans="1:35" x14ac:dyDescent="0.25">
      <c r="A159" s="330"/>
      <c r="B159" s="423"/>
      <c r="C159" s="423"/>
      <c r="D159" s="423"/>
      <c r="E159" s="423"/>
      <c r="F159" s="423"/>
      <c r="G159" s="423"/>
      <c r="H159" s="424"/>
      <c r="I159" s="424"/>
      <c r="J159" s="424"/>
      <c r="K159" s="12"/>
      <c r="M159" s="456" t="s">
        <v>538</v>
      </c>
      <c r="N159" s="308"/>
      <c r="O159" s="308"/>
      <c r="P159" s="449">
        <v>55.45</v>
      </c>
      <c r="Q159" s="449">
        <f t="shared" si="7"/>
        <v>49.905000000000001</v>
      </c>
      <c r="R159" s="449">
        <f t="shared" si="8"/>
        <v>47.1325</v>
      </c>
      <c r="S159" s="449">
        <v>58</v>
      </c>
      <c r="T159" s="449">
        <v>58</v>
      </c>
      <c r="U159" s="496">
        <f t="shared" si="9"/>
        <v>23.057338354638517</v>
      </c>
      <c r="V159" s="497">
        <f t="shared" si="10"/>
        <v>16.220819557158599</v>
      </c>
      <c r="W159" s="425"/>
      <c r="X159" s="425"/>
      <c r="Y159" s="425"/>
      <c r="Z159" s="425"/>
      <c r="AA159" s="427"/>
      <c r="AB159" s="308"/>
      <c r="AC159" s="308"/>
      <c r="AD159" s="308"/>
      <c r="AE159" s="308"/>
      <c r="AF159" s="308"/>
      <c r="AG159" s="308"/>
    </row>
    <row r="160" spans="1:35" x14ac:dyDescent="0.25">
      <c r="A160" s="330"/>
      <c r="B160" s="423"/>
      <c r="C160" s="423"/>
      <c r="D160" s="423"/>
      <c r="E160" s="423"/>
      <c r="F160" s="423"/>
      <c r="G160" s="423"/>
      <c r="H160" s="424"/>
      <c r="I160" s="424"/>
      <c r="J160" s="424"/>
      <c r="K160" s="12"/>
      <c r="M160" s="456" t="s">
        <v>539</v>
      </c>
      <c r="N160" s="308"/>
      <c r="O160" s="308"/>
      <c r="P160" s="449">
        <v>49.44</v>
      </c>
      <c r="Q160" s="449">
        <f t="shared" si="7"/>
        <v>44.496000000000002</v>
      </c>
      <c r="R160" s="449">
        <f t="shared" si="8"/>
        <v>42.023999999999994</v>
      </c>
      <c r="S160" s="449">
        <v>52</v>
      </c>
      <c r="T160" s="449">
        <v>50</v>
      </c>
      <c r="U160" s="496">
        <f>100*(T160-R160)/R160</f>
        <v>18.979630687226365</v>
      </c>
      <c r="V160" s="497">
        <f t="shared" si="10"/>
        <v>12.369651204602654</v>
      </c>
      <c r="W160" s="308"/>
      <c r="X160" s="308"/>
      <c r="Y160" s="425"/>
      <c r="Z160" s="425"/>
      <c r="AA160" s="308"/>
      <c r="AB160" s="308"/>
      <c r="AC160" s="308"/>
      <c r="AD160" s="308"/>
      <c r="AE160" s="308"/>
      <c r="AF160" s="308"/>
      <c r="AG160" s="308"/>
    </row>
    <row r="161" spans="1:33" x14ac:dyDescent="0.25">
      <c r="A161" s="330"/>
      <c r="B161" s="423"/>
      <c r="C161" s="423"/>
      <c r="D161" s="423"/>
      <c r="E161" s="423"/>
      <c r="F161" s="423"/>
      <c r="G161" s="423"/>
      <c r="H161" s="424"/>
      <c r="I161" s="424"/>
      <c r="J161" s="424"/>
      <c r="K161" s="12"/>
      <c r="M161" s="308"/>
      <c r="N161" s="308"/>
      <c r="O161" s="308"/>
      <c r="P161" s="308"/>
      <c r="Q161" s="308"/>
      <c r="R161" s="308"/>
      <c r="S161" s="308"/>
      <c r="T161" s="308"/>
      <c r="U161" s="425"/>
      <c r="V161" s="425"/>
      <c r="W161" s="308"/>
      <c r="X161" s="308"/>
      <c r="Y161" s="308"/>
      <c r="Z161" s="425"/>
      <c r="AA161" s="308"/>
      <c r="AB161" s="308"/>
      <c r="AC161" s="308"/>
      <c r="AD161" s="308"/>
      <c r="AE161" s="308"/>
      <c r="AF161" s="308"/>
      <c r="AG161" s="308"/>
    </row>
    <row r="162" spans="1:33" x14ac:dyDescent="0.25">
      <c r="A162" s="330"/>
      <c r="B162" s="423"/>
      <c r="C162" s="423"/>
      <c r="D162" s="423"/>
      <c r="E162" s="423"/>
      <c r="F162" s="423"/>
      <c r="G162" s="423"/>
      <c r="H162" s="318"/>
      <c r="I162" s="424"/>
      <c r="J162" s="424"/>
      <c r="K162" s="12"/>
      <c r="M162" s="308"/>
      <c r="N162" s="308"/>
      <c r="O162" s="308"/>
      <c r="P162" s="308"/>
      <c r="Q162" s="308"/>
      <c r="R162" s="308"/>
      <c r="S162" s="308"/>
      <c r="T162" s="308"/>
      <c r="U162" s="425"/>
      <c r="V162" s="425"/>
      <c r="W162" s="308"/>
      <c r="X162" s="308"/>
      <c r="Y162" s="308"/>
      <c r="Z162" s="308"/>
      <c r="AA162" s="308"/>
      <c r="AB162" s="308"/>
      <c r="AC162" s="308"/>
      <c r="AD162" s="308"/>
      <c r="AE162" s="308"/>
      <c r="AF162" s="308"/>
      <c r="AG162" s="308"/>
    </row>
    <row r="163" spans="1:33" x14ac:dyDescent="0.25">
      <c r="A163" s="330"/>
      <c r="B163" s="318"/>
      <c r="C163" s="318"/>
      <c r="D163" s="318"/>
      <c r="E163" s="318"/>
      <c r="F163" s="318"/>
      <c r="G163" s="318"/>
      <c r="H163" s="318"/>
      <c r="I163" s="424"/>
      <c r="J163" s="424"/>
      <c r="K163" s="12"/>
      <c r="M163" s="308"/>
      <c r="N163" s="308"/>
      <c r="O163" s="308"/>
      <c r="P163" s="308"/>
      <c r="Q163" s="308"/>
      <c r="R163" s="308"/>
      <c r="S163" s="308"/>
      <c r="T163" s="308"/>
      <c r="U163" s="425"/>
      <c r="V163" s="425"/>
      <c r="W163" s="308"/>
      <c r="X163" s="308"/>
      <c r="Y163" s="308"/>
      <c r="Z163" s="308"/>
      <c r="AA163" s="308"/>
      <c r="AB163" s="308"/>
      <c r="AC163" s="308"/>
      <c r="AD163" s="308"/>
      <c r="AE163" s="308"/>
      <c r="AF163" s="308"/>
      <c r="AG163" s="308"/>
    </row>
    <row r="164" spans="1:33" x14ac:dyDescent="0.25">
      <c r="A164" s="330"/>
      <c r="B164" s="318"/>
      <c r="C164" s="318"/>
      <c r="D164" s="318"/>
      <c r="E164" s="318"/>
      <c r="F164" s="318"/>
      <c r="G164" s="318"/>
      <c r="H164" s="318"/>
      <c r="I164" s="424"/>
      <c r="J164" s="424"/>
      <c r="K164" s="12"/>
      <c r="M164" s="308"/>
      <c r="N164" s="308"/>
      <c r="O164" s="308"/>
      <c r="P164" s="308"/>
      <c r="Q164" s="308"/>
      <c r="R164" s="308"/>
      <c r="S164" s="308"/>
      <c r="T164" s="308"/>
      <c r="U164" s="425"/>
      <c r="V164" s="425"/>
      <c r="W164" s="425"/>
      <c r="X164" s="425"/>
      <c r="Y164" s="308"/>
      <c r="Z164" s="308"/>
      <c r="AA164" s="308"/>
      <c r="AB164" s="308"/>
      <c r="AC164" s="308"/>
      <c r="AD164" s="308"/>
      <c r="AE164" s="308"/>
      <c r="AF164" s="308"/>
      <c r="AG164" s="308"/>
    </row>
    <row r="165" spans="1:33" x14ac:dyDescent="0.25">
      <c r="A165" s="330"/>
      <c r="B165" s="318"/>
      <c r="C165" s="318"/>
      <c r="D165" s="318"/>
      <c r="E165" s="318"/>
      <c r="F165" s="318"/>
      <c r="G165" s="318"/>
      <c r="H165" s="318"/>
      <c r="I165" s="424"/>
      <c r="J165" s="424"/>
      <c r="K165" s="12"/>
      <c r="M165" s="308"/>
      <c r="N165" s="308"/>
      <c r="O165" s="308"/>
      <c r="P165" s="308"/>
      <c r="Q165" s="308"/>
      <c r="R165" s="308"/>
      <c r="S165" s="308"/>
      <c r="T165" s="308"/>
      <c r="U165" s="425"/>
      <c r="V165" s="425"/>
      <c r="W165" s="425"/>
      <c r="X165" s="425"/>
      <c r="Y165" s="425"/>
      <c r="Z165" s="308"/>
      <c r="AA165" s="308"/>
      <c r="AB165" s="308"/>
      <c r="AC165" s="308"/>
      <c r="AD165" s="308"/>
      <c r="AE165" s="308"/>
      <c r="AF165" s="308"/>
      <c r="AG165" s="308"/>
    </row>
    <row r="166" spans="1:33" x14ac:dyDescent="0.25">
      <c r="A166" s="330"/>
      <c r="B166" s="318"/>
      <c r="C166" s="318"/>
      <c r="D166" s="318"/>
      <c r="E166" s="318"/>
      <c r="F166" s="318"/>
      <c r="G166" s="318"/>
      <c r="H166" s="318"/>
      <c r="I166" s="424"/>
      <c r="J166" s="424"/>
      <c r="K166" s="12"/>
      <c r="M166" s="308"/>
      <c r="N166" s="308"/>
      <c r="O166" s="308"/>
      <c r="P166" s="308"/>
      <c r="Q166" s="308"/>
      <c r="R166" s="308"/>
      <c r="S166" s="308"/>
      <c r="T166" s="308"/>
      <c r="U166" s="425"/>
      <c r="V166" s="425"/>
      <c r="W166" s="425"/>
      <c r="X166" s="425"/>
      <c r="Y166" s="425"/>
      <c r="Z166" s="425"/>
      <c r="AA166" s="308"/>
      <c r="AB166" s="308"/>
      <c r="AC166" s="308"/>
      <c r="AD166" s="308"/>
      <c r="AE166" s="308"/>
      <c r="AF166" s="308"/>
      <c r="AG166" s="308"/>
    </row>
    <row r="167" spans="1:33" x14ac:dyDescent="0.25">
      <c r="A167" s="330"/>
      <c r="B167" s="318"/>
      <c r="C167" s="318"/>
      <c r="D167" s="318"/>
      <c r="E167" s="318"/>
      <c r="F167" s="318"/>
      <c r="G167" s="318"/>
      <c r="H167" s="318"/>
      <c r="I167" s="424"/>
      <c r="J167" s="424"/>
      <c r="K167" s="12"/>
      <c r="M167" s="308"/>
      <c r="N167" s="308"/>
      <c r="O167" s="308"/>
      <c r="P167" s="308"/>
      <c r="Q167" s="308"/>
      <c r="R167" s="308"/>
      <c r="S167" s="308"/>
      <c r="T167" s="308"/>
      <c r="U167" s="425"/>
      <c r="V167" s="425"/>
      <c r="W167" s="425"/>
      <c r="X167" s="425"/>
      <c r="Y167" s="425"/>
      <c r="Z167" s="425"/>
      <c r="AA167" s="308"/>
      <c r="AB167" s="308"/>
      <c r="AC167" s="308"/>
      <c r="AD167" s="308"/>
      <c r="AE167" s="308"/>
      <c r="AF167" s="308"/>
      <c r="AG167" s="308"/>
    </row>
    <row r="168" spans="1:33" x14ac:dyDescent="0.25">
      <c r="A168" s="330"/>
      <c r="B168" s="318"/>
      <c r="C168" s="318"/>
      <c r="D168" s="318"/>
      <c r="E168" s="318"/>
      <c r="F168" s="318"/>
      <c r="G168" s="318"/>
      <c r="H168" s="318"/>
      <c r="I168" s="424"/>
      <c r="J168" s="424"/>
      <c r="K168" s="12"/>
      <c r="M168" s="308"/>
      <c r="N168" s="308"/>
      <c r="O168" s="308"/>
      <c r="P168" s="308"/>
      <c r="Q168" s="308"/>
      <c r="R168" s="308"/>
      <c r="S168" s="308"/>
      <c r="T168" s="308"/>
      <c r="U168" s="308"/>
      <c r="V168" s="308"/>
      <c r="W168" s="425"/>
      <c r="X168" s="425"/>
      <c r="Y168" s="425"/>
      <c r="Z168" s="425"/>
      <c r="AA168" s="308"/>
      <c r="AB168" s="308"/>
      <c r="AC168" s="308"/>
      <c r="AD168" s="308"/>
      <c r="AE168" s="308"/>
      <c r="AF168" s="308"/>
      <c r="AG168" s="308"/>
    </row>
    <row r="169" spans="1:33" x14ac:dyDescent="0.25">
      <c r="A169" s="330"/>
      <c r="B169" s="318"/>
      <c r="C169" s="318"/>
      <c r="D169" s="318"/>
      <c r="E169" s="318"/>
      <c r="F169" s="318"/>
      <c r="G169" s="318"/>
      <c r="H169" s="318"/>
      <c r="I169" s="424"/>
      <c r="J169" s="424"/>
      <c r="K169" s="12"/>
      <c r="M169" s="308"/>
      <c r="N169" s="308"/>
      <c r="O169" s="308"/>
      <c r="P169" s="308"/>
      <c r="Q169" s="308"/>
      <c r="R169" s="308"/>
      <c r="S169" s="308"/>
      <c r="T169" s="308"/>
      <c r="U169" s="308"/>
      <c r="V169" s="308"/>
      <c r="W169" s="425"/>
      <c r="X169" s="425"/>
      <c r="Y169" s="425"/>
      <c r="Z169" s="425"/>
      <c r="AA169" s="308"/>
      <c r="AB169" s="308"/>
      <c r="AC169" s="308"/>
      <c r="AD169" s="308"/>
      <c r="AE169" s="308"/>
      <c r="AF169" s="308"/>
      <c r="AG169" s="308"/>
    </row>
    <row r="170" spans="1:33" x14ac:dyDescent="0.25">
      <c r="A170" s="330"/>
      <c r="B170" s="318"/>
      <c r="C170" s="318"/>
      <c r="D170" s="318"/>
      <c r="E170" s="318"/>
      <c r="F170" s="318"/>
      <c r="G170" s="318"/>
      <c r="H170" s="318"/>
      <c r="I170" s="424"/>
      <c r="J170" s="424"/>
      <c r="K170" s="12"/>
      <c r="M170" s="308"/>
      <c r="N170" s="308"/>
      <c r="O170" s="308"/>
      <c r="P170" s="308"/>
      <c r="Q170" s="308"/>
      <c r="R170" s="308"/>
      <c r="S170" s="308"/>
      <c r="T170" s="308"/>
      <c r="U170" s="308"/>
      <c r="V170" s="308"/>
      <c r="W170" s="425"/>
      <c r="X170" s="425"/>
      <c r="Y170" s="425"/>
      <c r="Z170" s="425"/>
      <c r="AA170" s="308"/>
      <c r="AB170" s="308"/>
      <c r="AC170" s="308"/>
      <c r="AD170" s="308"/>
      <c r="AE170" s="308"/>
      <c r="AF170" s="308"/>
      <c r="AG170" s="308"/>
    </row>
    <row r="171" spans="1:33" x14ac:dyDescent="0.25">
      <c r="A171" s="330"/>
      <c r="B171" s="318"/>
      <c r="C171" s="318"/>
      <c r="D171" s="318"/>
      <c r="E171" s="318"/>
      <c r="F171" s="318"/>
      <c r="G171" s="318"/>
      <c r="H171" s="318"/>
      <c r="I171" s="424"/>
      <c r="J171" s="330"/>
      <c r="K171" s="12"/>
      <c r="M171" s="308"/>
      <c r="N171" s="308"/>
      <c r="O171" s="308"/>
      <c r="P171" s="308"/>
      <c r="Q171" s="308"/>
      <c r="R171" s="308"/>
      <c r="S171" s="308"/>
      <c r="T171" s="308"/>
      <c r="U171" s="308"/>
      <c r="V171" s="308"/>
      <c r="W171" s="308"/>
      <c r="X171" s="308"/>
      <c r="Y171" s="425"/>
      <c r="Z171" s="425"/>
      <c r="AA171" s="308"/>
      <c r="AB171" s="308"/>
      <c r="AC171" s="308"/>
      <c r="AD171" s="308"/>
      <c r="AE171" s="308"/>
      <c r="AF171" s="308"/>
      <c r="AG171" s="308"/>
    </row>
    <row r="172" spans="1:33" x14ac:dyDescent="0.25">
      <c r="A172" s="330"/>
      <c r="B172" s="318"/>
      <c r="C172" s="318"/>
      <c r="D172" s="318"/>
      <c r="E172" s="318"/>
      <c r="F172" s="318"/>
      <c r="G172" s="318"/>
      <c r="H172" s="318"/>
      <c r="I172" s="424"/>
      <c r="J172" s="330"/>
      <c r="L172" s="12"/>
      <c r="M172" s="308"/>
      <c r="N172" s="308"/>
      <c r="O172" s="308"/>
      <c r="P172" s="308"/>
      <c r="Q172" s="308"/>
      <c r="R172" s="308"/>
      <c r="S172" s="308"/>
      <c r="T172" s="308"/>
      <c r="U172" s="308"/>
      <c r="V172" s="308"/>
      <c r="W172" s="308"/>
      <c r="X172" s="308"/>
      <c r="Y172" s="308"/>
      <c r="Z172" s="425"/>
      <c r="AA172" s="308"/>
      <c r="AB172" s="308"/>
      <c r="AC172" s="308"/>
      <c r="AD172" s="308"/>
      <c r="AE172" s="308"/>
      <c r="AF172" s="308"/>
      <c r="AG172" s="308"/>
    </row>
    <row r="173" spans="1:33" x14ac:dyDescent="0.25">
      <c r="A173" s="330"/>
      <c r="B173" s="318"/>
      <c r="C173" s="318"/>
      <c r="D173" s="318"/>
      <c r="E173" s="318"/>
      <c r="F173" s="318"/>
      <c r="G173" s="318"/>
      <c r="H173" s="318"/>
      <c r="I173" s="424"/>
      <c r="J173" s="330"/>
      <c r="L173" s="12"/>
      <c r="M173" s="308"/>
      <c r="N173" s="308"/>
      <c r="O173" s="308"/>
      <c r="P173" s="308"/>
      <c r="Q173" s="308"/>
      <c r="R173" s="308"/>
      <c r="S173" s="308"/>
      <c r="T173" s="308"/>
      <c r="U173" s="308"/>
      <c r="V173" s="308"/>
      <c r="W173" s="425"/>
      <c r="X173" s="425"/>
      <c r="Y173" s="308"/>
      <c r="Z173" s="308"/>
      <c r="AA173" s="308"/>
      <c r="AB173" s="308"/>
      <c r="AC173" s="308"/>
      <c r="AD173" s="308"/>
      <c r="AE173" s="308"/>
      <c r="AF173" s="308"/>
      <c r="AG173" s="308"/>
    </row>
    <row r="174" spans="1:33" x14ac:dyDescent="0.25">
      <c r="A174" s="330"/>
      <c r="B174" s="318"/>
      <c r="C174" s="318"/>
      <c r="D174" s="318"/>
      <c r="E174" s="318"/>
      <c r="F174" s="318"/>
      <c r="G174" s="318"/>
      <c r="H174" s="330"/>
      <c r="I174" s="424"/>
      <c r="J174" s="330"/>
      <c r="L174" s="9"/>
      <c r="M174" s="308"/>
      <c r="N174" s="308"/>
      <c r="O174" s="308"/>
      <c r="P174" s="308"/>
      <c r="Q174" s="308"/>
      <c r="R174" s="308"/>
      <c r="S174" s="308"/>
      <c r="T174" s="308"/>
      <c r="U174" s="308"/>
      <c r="V174" s="308"/>
      <c r="W174" s="308"/>
      <c r="X174" s="308"/>
      <c r="Y174" s="425"/>
      <c r="Z174" s="308"/>
      <c r="AA174" s="308"/>
      <c r="AB174" s="308"/>
      <c r="AC174" s="308"/>
      <c r="AD174" s="308"/>
      <c r="AE174" s="308"/>
      <c r="AF174" s="308"/>
      <c r="AG174" s="308"/>
    </row>
    <row r="175" spans="1:33" x14ac:dyDescent="0.25">
      <c r="A175" s="330"/>
      <c r="B175" s="330"/>
      <c r="C175" s="330"/>
      <c r="D175" s="330"/>
      <c r="E175" s="330"/>
      <c r="F175" s="330"/>
      <c r="G175" s="330"/>
      <c r="H175" s="330"/>
      <c r="I175" s="424"/>
      <c r="J175" s="330"/>
      <c r="L175" s="9"/>
      <c r="M175" s="308"/>
      <c r="N175" s="308"/>
      <c r="O175" s="308"/>
      <c r="P175" s="308"/>
      <c r="Q175" s="308"/>
      <c r="R175" s="308"/>
      <c r="S175" s="308"/>
      <c r="T175" s="308"/>
      <c r="U175" s="308"/>
      <c r="V175" s="308"/>
      <c r="W175" s="308"/>
      <c r="X175" s="308"/>
      <c r="Y175" s="308"/>
      <c r="Z175" s="425"/>
      <c r="AA175" s="308"/>
      <c r="AB175" s="308"/>
      <c r="AC175" s="308"/>
      <c r="AD175" s="308"/>
      <c r="AE175" s="308"/>
      <c r="AF175" s="308"/>
      <c r="AG175" s="308"/>
    </row>
    <row r="176" spans="1:33" x14ac:dyDescent="0.25">
      <c r="A176" s="330"/>
      <c r="B176" s="330"/>
      <c r="C176" s="330"/>
      <c r="D176" s="330"/>
      <c r="E176" s="330"/>
      <c r="F176" s="330"/>
      <c r="G176" s="330"/>
      <c r="H176" s="330"/>
      <c r="I176" s="424"/>
      <c r="J176" s="330"/>
      <c r="L176" s="9"/>
      <c r="M176" s="308"/>
      <c r="N176" s="308"/>
      <c r="O176" s="308"/>
      <c r="P176" s="308"/>
      <c r="Q176" s="308"/>
      <c r="R176" s="308"/>
      <c r="S176" s="308"/>
      <c r="T176" s="308"/>
      <c r="U176" s="308"/>
      <c r="V176" s="308"/>
      <c r="W176" s="308"/>
      <c r="X176" s="308"/>
      <c r="Y176" s="308"/>
      <c r="Z176" s="308"/>
      <c r="AA176" s="308"/>
      <c r="AB176" s="308"/>
      <c r="AC176" s="308"/>
      <c r="AD176" s="308"/>
      <c r="AE176" s="308"/>
      <c r="AF176" s="308"/>
      <c r="AG176" s="308"/>
    </row>
    <row r="177" spans="1:33" x14ac:dyDescent="0.25">
      <c r="A177" s="330"/>
      <c r="B177" s="330"/>
      <c r="C177" s="330"/>
      <c r="D177" s="330"/>
      <c r="E177" s="330"/>
      <c r="F177" s="330"/>
      <c r="G177" s="330"/>
      <c r="H177" s="330"/>
      <c r="I177" s="424"/>
      <c r="J177" s="330"/>
      <c r="L177" s="9"/>
      <c r="M177" s="308"/>
      <c r="N177" s="308"/>
      <c r="O177" s="308"/>
      <c r="P177" s="308"/>
      <c r="Q177" s="308"/>
      <c r="R177" s="308"/>
      <c r="S177" s="308"/>
      <c r="T177" s="308"/>
      <c r="U177" s="308"/>
      <c r="V177" s="308"/>
      <c r="W177" s="308"/>
      <c r="X177" s="308"/>
      <c r="Y177" s="308"/>
      <c r="Z177" s="308"/>
      <c r="AA177" s="308"/>
      <c r="AB177" s="308"/>
      <c r="AC177" s="308"/>
      <c r="AD177" s="308"/>
      <c r="AE177" s="308"/>
      <c r="AF177" s="308"/>
      <c r="AG177" s="308"/>
    </row>
    <row r="178" spans="1:33" x14ac:dyDescent="0.25">
      <c r="A178" s="330"/>
      <c r="B178" s="330"/>
      <c r="C178" s="330"/>
      <c r="D178" s="330"/>
      <c r="E178" s="330"/>
      <c r="F178" s="330"/>
      <c r="G178" s="330"/>
      <c r="H178" s="330"/>
      <c r="I178" s="424"/>
      <c r="J178" s="330"/>
      <c r="L178" s="9"/>
      <c r="M178" s="308"/>
      <c r="N178" s="308"/>
      <c r="O178" s="308"/>
      <c r="P178" s="308"/>
      <c r="Q178" s="308"/>
      <c r="R178" s="308"/>
      <c r="S178" s="308"/>
      <c r="T178" s="308"/>
      <c r="U178" s="308"/>
      <c r="V178" s="308"/>
      <c r="W178" s="308"/>
      <c r="X178" s="308"/>
      <c r="Y178" s="308"/>
      <c r="Z178" s="308"/>
      <c r="AA178" s="308"/>
      <c r="AB178" s="308"/>
      <c r="AC178" s="308"/>
      <c r="AD178" s="308"/>
      <c r="AE178" s="308"/>
      <c r="AF178" s="308"/>
      <c r="AG178" s="308"/>
    </row>
    <row r="179" spans="1:33" x14ac:dyDescent="0.25">
      <c r="I179" s="12"/>
      <c r="J179" s="12"/>
      <c r="L179" s="9"/>
      <c r="M179" s="308"/>
      <c r="N179" s="308"/>
      <c r="O179" s="308"/>
      <c r="P179" s="308"/>
      <c r="Q179" s="308"/>
      <c r="R179" s="308"/>
      <c r="S179" s="308"/>
      <c r="T179" s="308"/>
      <c r="U179" s="308"/>
      <c r="V179" s="308"/>
      <c r="W179" s="308"/>
      <c r="X179" s="308"/>
      <c r="Y179" s="308"/>
      <c r="Z179" s="308"/>
      <c r="AA179" s="308"/>
      <c r="AB179" s="308"/>
      <c r="AC179" s="308"/>
      <c r="AD179" s="308"/>
      <c r="AE179" s="308"/>
      <c r="AF179" s="308"/>
      <c r="AG179" s="308"/>
    </row>
    <row r="180" spans="1:33" x14ac:dyDescent="0.25">
      <c r="I180" s="12"/>
      <c r="J180" s="12"/>
      <c r="K180" s="12"/>
      <c r="M180" s="308"/>
      <c r="N180" s="308"/>
      <c r="O180" s="308"/>
      <c r="P180" s="308"/>
      <c r="Q180" s="308"/>
      <c r="R180" s="308"/>
      <c r="S180" s="308"/>
      <c r="T180" s="308"/>
      <c r="U180" s="308"/>
      <c r="V180" s="308"/>
      <c r="W180" s="308"/>
      <c r="X180" s="308"/>
      <c r="Y180" s="308"/>
      <c r="Z180" s="308"/>
      <c r="AA180" s="308"/>
      <c r="AB180" s="308"/>
      <c r="AC180" s="308"/>
      <c r="AD180" s="308"/>
      <c r="AE180" s="308"/>
      <c r="AF180" s="308"/>
      <c r="AG180" s="308"/>
    </row>
    <row r="181" spans="1:33" x14ac:dyDescent="0.25">
      <c r="I181" s="12"/>
      <c r="J181" s="12"/>
      <c r="K181" s="12"/>
      <c r="M181" s="308"/>
      <c r="N181" s="308"/>
      <c r="O181" s="308"/>
      <c r="P181" s="308"/>
      <c r="Q181" s="308"/>
      <c r="R181" s="308"/>
      <c r="S181" s="308"/>
      <c r="T181" s="308"/>
      <c r="U181" s="427"/>
      <c r="V181" s="427"/>
      <c r="W181" s="308"/>
      <c r="X181" s="308"/>
      <c r="Y181" s="308"/>
      <c r="Z181" s="308"/>
      <c r="AA181" s="308"/>
      <c r="AB181" s="308"/>
      <c r="AC181" s="308"/>
      <c r="AD181" s="308"/>
      <c r="AE181" s="308"/>
      <c r="AF181" s="308"/>
      <c r="AG181" s="308"/>
    </row>
    <row r="182" spans="1:33" x14ac:dyDescent="0.25">
      <c r="I182" s="12"/>
      <c r="J182" s="12"/>
      <c r="K182" s="12"/>
      <c r="M182" s="308"/>
      <c r="N182" s="308"/>
      <c r="O182" s="308"/>
      <c r="P182" s="308"/>
      <c r="Q182" s="308"/>
      <c r="R182" s="308"/>
      <c r="S182" s="308"/>
      <c r="T182" s="308"/>
      <c r="U182" s="308"/>
      <c r="V182" s="308"/>
      <c r="W182" s="308"/>
      <c r="X182" s="308"/>
      <c r="Y182" s="308"/>
      <c r="Z182" s="308"/>
      <c r="AA182" s="425"/>
      <c r="AB182" s="308"/>
      <c r="AC182" s="308"/>
      <c r="AD182" s="308"/>
      <c r="AE182" s="308"/>
      <c r="AF182" s="308"/>
      <c r="AG182" s="308"/>
    </row>
    <row r="183" spans="1:33" x14ac:dyDescent="0.25">
      <c r="I183" s="12"/>
      <c r="J183" s="12"/>
      <c r="K183" s="12"/>
      <c r="M183" s="308"/>
      <c r="N183" s="308"/>
      <c r="O183" s="308"/>
      <c r="P183" s="308"/>
      <c r="Q183" s="308"/>
      <c r="R183" s="308"/>
      <c r="S183" s="308"/>
      <c r="T183" s="308"/>
      <c r="U183" s="308"/>
      <c r="V183" s="308"/>
      <c r="W183" s="308"/>
      <c r="X183" s="308"/>
      <c r="Y183" s="308"/>
      <c r="Z183" s="308"/>
      <c r="AA183" s="425"/>
      <c r="AB183" s="308"/>
      <c r="AC183" s="308"/>
      <c r="AD183" s="308"/>
      <c r="AE183" s="308"/>
      <c r="AF183" s="308"/>
      <c r="AG183" s="308"/>
    </row>
    <row r="184" spans="1:33" x14ac:dyDescent="0.25">
      <c r="I184" s="12"/>
      <c r="J184" s="12"/>
      <c r="K184" s="12"/>
      <c r="M184" s="308"/>
      <c r="N184" s="308"/>
      <c r="O184" s="308"/>
      <c r="P184" s="308"/>
      <c r="Q184" s="308"/>
      <c r="R184" s="308"/>
      <c r="S184" s="308"/>
      <c r="T184" s="308"/>
      <c r="U184" s="308"/>
      <c r="V184" s="308"/>
      <c r="W184" s="308"/>
      <c r="X184" s="308"/>
      <c r="Y184" s="308"/>
      <c r="Z184" s="308"/>
      <c r="AA184" s="425"/>
      <c r="AB184" s="308"/>
      <c r="AC184" s="308"/>
      <c r="AD184" s="308"/>
      <c r="AE184" s="308"/>
      <c r="AF184" s="308"/>
      <c r="AG184" s="308"/>
    </row>
    <row r="185" spans="1:33" x14ac:dyDescent="0.25">
      <c r="I185" s="12"/>
      <c r="J185" s="12"/>
      <c r="K185" s="12"/>
      <c r="M185" s="308"/>
      <c r="N185" s="308"/>
      <c r="O185" s="308"/>
      <c r="P185" s="308"/>
      <c r="Q185" s="308"/>
      <c r="R185" s="308"/>
      <c r="S185" s="308"/>
      <c r="T185" s="308"/>
      <c r="U185" s="308"/>
      <c r="V185" s="308"/>
      <c r="W185" s="308"/>
      <c r="X185" s="308"/>
      <c r="Y185" s="308"/>
      <c r="Z185" s="308"/>
      <c r="AA185" s="425"/>
      <c r="AB185" s="308"/>
      <c r="AC185" s="308"/>
      <c r="AD185" s="308"/>
      <c r="AE185" s="308"/>
      <c r="AF185" s="308"/>
      <c r="AG185" s="308"/>
    </row>
    <row r="186" spans="1:33" x14ac:dyDescent="0.25">
      <c r="I186" s="12"/>
      <c r="J186" s="12"/>
      <c r="K186" s="12"/>
      <c r="M186" s="308"/>
      <c r="N186" s="308"/>
      <c r="O186" s="308"/>
      <c r="P186" s="308"/>
      <c r="Q186" s="308"/>
      <c r="R186" s="308"/>
      <c r="S186" s="308"/>
      <c r="T186" s="308"/>
      <c r="U186" s="426"/>
      <c r="V186" s="426"/>
      <c r="W186" s="427"/>
      <c r="X186" s="427"/>
      <c r="Y186" s="308"/>
      <c r="Z186" s="308"/>
      <c r="AA186" s="425"/>
      <c r="AB186" s="308"/>
      <c r="AC186" s="308"/>
      <c r="AD186" s="308"/>
      <c r="AE186" s="308"/>
      <c r="AF186" s="308"/>
      <c r="AG186" s="308"/>
    </row>
    <row r="187" spans="1:33" x14ac:dyDescent="0.25">
      <c r="I187" s="12"/>
      <c r="J187" s="12"/>
      <c r="K187" s="12"/>
      <c r="M187" s="308"/>
      <c r="N187" s="308"/>
      <c r="O187" s="308"/>
      <c r="P187" s="308"/>
      <c r="Q187" s="308"/>
      <c r="R187" s="308"/>
      <c r="S187" s="308"/>
      <c r="T187" s="308"/>
      <c r="U187" s="425"/>
      <c r="V187" s="425"/>
      <c r="W187" s="308"/>
      <c r="X187" s="308"/>
      <c r="Y187" s="427"/>
      <c r="Z187" s="308"/>
      <c r="AA187" s="425"/>
      <c r="AB187" s="308"/>
      <c r="AC187" s="308"/>
      <c r="AD187" s="308"/>
      <c r="AE187" s="308"/>
      <c r="AF187" s="308"/>
      <c r="AG187" s="308"/>
    </row>
    <row r="188" spans="1:33" x14ac:dyDescent="0.25">
      <c r="I188" s="12"/>
      <c r="J188" s="12"/>
      <c r="K188" s="12"/>
      <c r="M188" s="308"/>
      <c r="N188" s="308"/>
      <c r="O188" s="308"/>
      <c r="P188" s="308"/>
      <c r="Q188" s="308"/>
      <c r="R188" s="308"/>
      <c r="S188" s="308"/>
      <c r="T188" s="308"/>
      <c r="U188" s="425"/>
      <c r="V188" s="425"/>
      <c r="W188" s="308"/>
      <c r="X188" s="308"/>
      <c r="Y188" s="308"/>
      <c r="Z188" s="427"/>
      <c r="AA188" s="425"/>
      <c r="AB188" s="308"/>
      <c r="AC188" s="308"/>
      <c r="AD188" s="308"/>
      <c r="AE188" s="308"/>
      <c r="AF188" s="308"/>
      <c r="AG188" s="308"/>
    </row>
    <row r="189" spans="1:33" x14ac:dyDescent="0.25">
      <c r="I189" s="12"/>
      <c r="J189" s="12"/>
      <c r="K189" s="12"/>
      <c r="M189" s="308"/>
      <c r="N189" s="308"/>
      <c r="O189" s="308"/>
      <c r="P189" s="308"/>
      <c r="Q189" s="308"/>
      <c r="R189" s="308"/>
      <c r="S189" s="308"/>
      <c r="T189" s="308"/>
      <c r="U189" s="425"/>
      <c r="V189" s="425"/>
      <c r="W189" s="308"/>
      <c r="X189" s="308"/>
      <c r="Y189" s="308"/>
      <c r="Z189" s="308"/>
      <c r="AA189" s="425"/>
      <c r="AB189" s="308"/>
      <c r="AC189" s="308"/>
      <c r="AD189" s="308"/>
      <c r="AE189" s="308"/>
      <c r="AF189" s="308"/>
      <c r="AG189" s="308"/>
    </row>
    <row r="190" spans="1:33" x14ac:dyDescent="0.25">
      <c r="I190" s="12"/>
      <c r="J190" s="12"/>
      <c r="K190" s="12"/>
      <c r="M190" s="308"/>
      <c r="N190" s="308"/>
      <c r="O190" s="308"/>
      <c r="P190" s="308"/>
      <c r="Q190" s="308"/>
      <c r="R190" s="308"/>
      <c r="S190" s="308"/>
      <c r="T190" s="308"/>
      <c r="U190" s="425"/>
      <c r="V190" s="425"/>
      <c r="W190" s="427"/>
      <c r="X190" s="427"/>
      <c r="Y190" s="308"/>
      <c r="Z190" s="308"/>
      <c r="AA190" s="425"/>
      <c r="AB190" s="308"/>
      <c r="AC190" s="308"/>
      <c r="AD190" s="308"/>
      <c r="AE190" s="308"/>
      <c r="AF190" s="308"/>
      <c r="AG190" s="308"/>
    </row>
    <row r="191" spans="1:33" x14ac:dyDescent="0.25">
      <c r="I191" s="12"/>
      <c r="J191" s="12"/>
      <c r="K191" s="12"/>
      <c r="M191" s="308"/>
      <c r="N191" s="308"/>
      <c r="O191" s="308"/>
      <c r="P191" s="308"/>
      <c r="Q191" s="308"/>
      <c r="R191" s="308"/>
      <c r="S191" s="308"/>
      <c r="T191" s="308"/>
      <c r="U191" s="425"/>
      <c r="V191" s="425"/>
      <c r="W191" s="427"/>
      <c r="X191" s="427"/>
      <c r="Y191" s="427"/>
      <c r="Z191" s="308"/>
      <c r="AA191" s="425"/>
      <c r="AB191" s="308"/>
      <c r="AC191" s="308"/>
      <c r="AD191" s="308"/>
      <c r="AE191" s="308"/>
      <c r="AF191" s="308"/>
      <c r="AG191" s="308"/>
    </row>
    <row r="192" spans="1:33" ht="15.75" thickBot="1" x14ac:dyDescent="0.3">
      <c r="I192" s="12"/>
      <c r="J192" s="12"/>
      <c r="K192" s="12"/>
      <c r="M192" s="308"/>
      <c r="N192" s="308"/>
      <c r="O192" s="308"/>
      <c r="P192" s="308"/>
      <c r="Q192" s="308"/>
      <c r="R192" s="308"/>
      <c r="S192" s="308"/>
      <c r="T192" s="308"/>
      <c r="U192" s="425"/>
      <c r="V192" s="425"/>
      <c r="W192" s="427"/>
      <c r="X192" s="427"/>
      <c r="Y192" s="427"/>
      <c r="Z192" s="427"/>
      <c r="AA192" s="425"/>
      <c r="AB192" s="308"/>
      <c r="AC192" s="308"/>
      <c r="AD192" s="308"/>
      <c r="AE192" s="308"/>
      <c r="AF192" s="308"/>
      <c r="AG192" s="308"/>
    </row>
    <row r="193" spans="2:33" ht="30.75" thickBot="1" x14ac:dyDescent="0.3">
      <c r="B193" s="501" t="s">
        <v>1</v>
      </c>
      <c r="C193" s="502" t="s">
        <v>2</v>
      </c>
      <c r="D193" s="503" t="s">
        <v>630</v>
      </c>
      <c r="E193" s="503" t="s">
        <v>631</v>
      </c>
      <c r="I193" s="12"/>
      <c r="J193" s="12"/>
      <c r="K193" s="12"/>
      <c r="M193" s="308"/>
      <c r="N193" s="308"/>
      <c r="O193" s="308"/>
      <c r="P193" s="308"/>
      <c r="Q193" s="308"/>
      <c r="R193" s="308"/>
      <c r="S193" s="308"/>
      <c r="T193" s="308"/>
      <c r="U193" s="425"/>
      <c r="V193" s="425"/>
      <c r="W193" s="427"/>
      <c r="X193" s="427"/>
      <c r="Y193" s="427"/>
      <c r="Z193" s="427"/>
      <c r="AA193" s="425"/>
      <c r="AB193" s="308"/>
      <c r="AC193" s="308"/>
      <c r="AD193" s="308"/>
      <c r="AE193" s="308"/>
      <c r="AF193" s="308"/>
      <c r="AG193" s="308"/>
    </row>
    <row r="194" spans="2:33" ht="15.75" thickBot="1" x14ac:dyDescent="0.3">
      <c r="B194" s="504">
        <v>1</v>
      </c>
      <c r="C194" s="506" t="s">
        <v>632</v>
      </c>
      <c r="D194" s="509">
        <v>48</v>
      </c>
      <c r="E194" s="509">
        <v>48</v>
      </c>
      <c r="I194" s="500"/>
      <c r="J194" s="500"/>
      <c r="K194" s="500"/>
      <c r="M194" s="308"/>
      <c r="N194" s="308"/>
      <c r="O194" s="308"/>
      <c r="P194" s="308"/>
      <c r="Q194" s="308"/>
      <c r="R194" s="308"/>
      <c r="S194" s="308"/>
      <c r="T194" s="308"/>
      <c r="U194" s="425"/>
      <c r="V194" s="425"/>
      <c r="W194" s="427"/>
      <c r="X194" s="427"/>
      <c r="Y194" s="427"/>
      <c r="Z194" s="427"/>
      <c r="AA194" s="425"/>
      <c r="AB194" s="308"/>
      <c r="AC194" s="308"/>
      <c r="AD194" s="308"/>
      <c r="AE194" s="308"/>
      <c r="AF194" s="308"/>
      <c r="AG194" s="308"/>
    </row>
    <row r="195" spans="2:33" ht="15.75" thickBot="1" x14ac:dyDescent="0.3">
      <c r="B195" s="504">
        <v>2</v>
      </c>
      <c r="C195" s="506" t="s">
        <v>633</v>
      </c>
      <c r="D195" s="509">
        <v>100</v>
      </c>
      <c r="E195" s="509">
        <v>200</v>
      </c>
      <c r="I195" s="500"/>
      <c r="J195" s="500"/>
      <c r="K195" s="500"/>
      <c r="M195" s="308"/>
      <c r="N195" s="308"/>
      <c r="O195" s="308"/>
      <c r="P195" s="308"/>
      <c r="Q195" s="308"/>
      <c r="R195" s="308"/>
      <c r="S195" s="308"/>
      <c r="T195" s="308"/>
      <c r="U195" s="425"/>
      <c r="V195" s="425"/>
      <c r="W195" s="427"/>
      <c r="X195" s="427"/>
      <c r="Y195" s="427"/>
      <c r="Z195" s="427"/>
      <c r="AA195" s="425"/>
      <c r="AB195" s="308"/>
      <c r="AC195" s="308"/>
      <c r="AD195" s="308"/>
      <c r="AE195" s="308"/>
      <c r="AF195" s="308"/>
      <c r="AG195" s="308"/>
    </row>
    <row r="196" spans="2:33" ht="15.75" thickBot="1" x14ac:dyDescent="0.3">
      <c r="B196" s="504">
        <v>2</v>
      </c>
      <c r="C196" s="506" t="s">
        <v>634</v>
      </c>
      <c r="D196" s="509">
        <v>15</v>
      </c>
      <c r="E196" s="509">
        <v>30</v>
      </c>
      <c r="I196" s="500"/>
      <c r="J196" s="500"/>
      <c r="K196" s="500"/>
      <c r="M196" s="308"/>
      <c r="N196" s="308"/>
      <c r="O196" s="308"/>
      <c r="P196" s="308"/>
      <c r="Q196" s="308"/>
      <c r="R196" s="308"/>
      <c r="S196" s="308"/>
      <c r="T196" s="308"/>
      <c r="U196" s="425"/>
      <c r="V196" s="425"/>
      <c r="W196" s="427"/>
      <c r="X196" s="427"/>
      <c r="Y196" s="427"/>
      <c r="Z196" s="427"/>
      <c r="AA196" s="425"/>
      <c r="AB196" s="308"/>
      <c r="AC196" s="308"/>
      <c r="AD196" s="308"/>
      <c r="AE196" s="308"/>
      <c r="AF196" s="308"/>
      <c r="AG196" s="308"/>
    </row>
    <row r="197" spans="2:33" ht="15.75" thickBot="1" x14ac:dyDescent="0.3">
      <c r="B197" s="504">
        <v>1</v>
      </c>
      <c r="C197" s="505" t="s">
        <v>635</v>
      </c>
      <c r="D197" s="506">
        <v>30</v>
      </c>
      <c r="E197" s="506">
        <v>290</v>
      </c>
      <c r="I197" s="12"/>
      <c r="J197" s="12"/>
      <c r="K197" s="12"/>
      <c r="M197" s="308"/>
      <c r="N197" s="308"/>
      <c r="O197" s="308"/>
      <c r="P197" s="308"/>
      <c r="Q197" s="308"/>
      <c r="R197" s="308"/>
      <c r="S197" s="308"/>
      <c r="T197" s="308"/>
      <c r="U197" s="425"/>
      <c r="V197" s="425"/>
      <c r="W197" s="427"/>
      <c r="X197" s="427"/>
      <c r="Y197" s="427"/>
      <c r="Z197" s="427"/>
      <c r="AA197" s="308"/>
      <c r="AB197" s="308"/>
      <c r="AC197" s="308"/>
      <c r="AD197" s="308"/>
      <c r="AE197" s="308"/>
      <c r="AF197" s="308"/>
      <c r="AG197" s="308"/>
    </row>
    <row r="198" spans="2:33" ht="45.75" thickBot="1" x14ac:dyDescent="0.3">
      <c r="C198" s="507" t="s">
        <v>636</v>
      </c>
      <c r="D198" s="506" t="s">
        <v>72</v>
      </c>
      <c r="E198" s="508">
        <v>290</v>
      </c>
      <c r="I198" s="12"/>
      <c r="J198" s="12"/>
      <c r="K198" s="12"/>
      <c r="M198" s="308"/>
      <c r="N198" s="308"/>
      <c r="O198" s="308"/>
      <c r="P198" s="308"/>
      <c r="Q198" s="308"/>
      <c r="R198" s="308"/>
      <c r="S198" s="308"/>
      <c r="T198" s="308"/>
      <c r="U198" s="425"/>
      <c r="V198" s="425"/>
      <c r="W198" s="427"/>
      <c r="X198" s="427"/>
      <c r="Y198" s="427"/>
      <c r="Z198" s="427"/>
      <c r="AA198" s="308"/>
      <c r="AB198" s="308"/>
      <c r="AC198" s="308"/>
      <c r="AD198" s="308"/>
      <c r="AE198" s="308"/>
      <c r="AF198" s="308"/>
      <c r="AG198" s="308"/>
    </row>
    <row r="199" spans="2:33" x14ac:dyDescent="0.25">
      <c r="I199" s="12"/>
      <c r="J199" s="12"/>
      <c r="K199" s="12"/>
      <c r="M199" s="308"/>
      <c r="N199" s="308"/>
      <c r="O199" s="308"/>
      <c r="P199" s="308"/>
      <c r="Q199" s="308"/>
      <c r="R199" s="308"/>
      <c r="S199" s="308"/>
      <c r="T199" s="308"/>
      <c r="U199" s="425"/>
      <c r="V199" s="425"/>
      <c r="W199" s="427"/>
      <c r="X199" s="427"/>
      <c r="Y199" s="427"/>
      <c r="Z199" s="427"/>
      <c r="AA199" s="308"/>
      <c r="AB199" s="308"/>
      <c r="AC199" s="308"/>
      <c r="AD199" s="308"/>
      <c r="AE199" s="308"/>
      <c r="AF199" s="308"/>
      <c r="AG199" s="308"/>
    </row>
    <row r="200" spans="2:33" x14ac:dyDescent="0.25">
      <c r="I200" s="12"/>
      <c r="J200" s="12"/>
      <c r="K200" s="12"/>
      <c r="M200" s="308"/>
      <c r="N200" s="308"/>
      <c r="O200" s="308"/>
      <c r="P200" s="308"/>
      <c r="Q200" s="308"/>
      <c r="R200" s="308"/>
      <c r="S200" s="308"/>
      <c r="T200" s="308"/>
      <c r="U200" s="425"/>
      <c r="V200" s="425"/>
      <c r="W200" s="427"/>
      <c r="X200" s="427"/>
      <c r="Y200" s="427"/>
      <c r="Z200" s="427"/>
      <c r="AA200" s="308"/>
      <c r="AB200" s="308"/>
      <c r="AC200" s="308"/>
      <c r="AD200" s="308"/>
      <c r="AE200" s="308"/>
      <c r="AF200" s="308"/>
      <c r="AG200" s="308"/>
    </row>
    <row r="201" spans="2:33" x14ac:dyDescent="0.25">
      <c r="I201" s="12"/>
      <c r="J201" s="12"/>
      <c r="K201" s="12"/>
      <c r="M201" s="308"/>
      <c r="N201" s="308"/>
      <c r="O201" s="308"/>
      <c r="P201" s="308"/>
      <c r="Q201" s="308"/>
      <c r="R201" s="308"/>
      <c r="S201" s="308"/>
      <c r="T201" s="308"/>
      <c r="U201" s="425"/>
      <c r="V201" s="425"/>
      <c r="W201" s="427"/>
      <c r="X201" s="427"/>
      <c r="Y201" s="427"/>
      <c r="Z201" s="427"/>
      <c r="AA201" s="425"/>
      <c r="AB201" s="308"/>
      <c r="AC201" s="308"/>
      <c r="AD201" s="308"/>
      <c r="AE201" s="308"/>
      <c r="AF201" s="308"/>
      <c r="AG201" s="308"/>
    </row>
    <row r="202" spans="2:33" x14ac:dyDescent="0.25">
      <c r="I202" s="12"/>
      <c r="J202" s="12"/>
      <c r="K202" s="12"/>
      <c r="M202" s="308"/>
      <c r="N202" s="308"/>
      <c r="O202" s="308"/>
      <c r="P202" s="308"/>
      <c r="Q202" s="308"/>
      <c r="R202" s="308"/>
      <c r="S202" s="308"/>
      <c r="T202" s="308"/>
      <c r="U202" s="425"/>
      <c r="V202" s="425"/>
      <c r="W202" s="427"/>
      <c r="X202" s="427"/>
      <c r="Y202" s="427"/>
      <c r="Z202" s="427"/>
      <c r="AA202" s="425"/>
      <c r="AB202" s="308"/>
      <c r="AC202" s="308"/>
      <c r="AD202" s="308"/>
      <c r="AE202" s="308"/>
      <c r="AF202" s="308"/>
      <c r="AG202" s="308"/>
    </row>
    <row r="203" spans="2:33" x14ac:dyDescent="0.25">
      <c r="I203" s="12"/>
      <c r="J203" s="12"/>
      <c r="K203" s="12"/>
      <c r="M203" s="308"/>
      <c r="N203" s="308"/>
      <c r="O203" s="308"/>
      <c r="P203" s="308"/>
      <c r="Q203" s="308"/>
      <c r="R203" s="308"/>
      <c r="S203" s="308"/>
      <c r="T203" s="308"/>
      <c r="U203" s="425"/>
      <c r="V203" s="425"/>
      <c r="W203" s="427"/>
      <c r="X203" s="427"/>
      <c r="Y203" s="427"/>
      <c r="Z203" s="427"/>
      <c r="AA203" s="425"/>
      <c r="AB203" s="308"/>
      <c r="AC203" s="308"/>
      <c r="AD203" s="308"/>
      <c r="AE203" s="308"/>
      <c r="AF203" s="308"/>
      <c r="AG203" s="308"/>
    </row>
    <row r="204" spans="2:33" x14ac:dyDescent="0.25">
      <c r="I204" s="12"/>
      <c r="J204" s="12"/>
      <c r="K204" s="12"/>
      <c r="M204" s="308"/>
      <c r="N204" s="308"/>
      <c r="O204" s="308"/>
      <c r="P204" s="308"/>
      <c r="Q204" s="308"/>
      <c r="R204" s="308"/>
      <c r="S204" s="308"/>
      <c r="T204" s="308"/>
      <c r="U204" s="425"/>
      <c r="V204" s="425"/>
      <c r="W204" s="308"/>
      <c r="X204" s="308"/>
      <c r="Y204" s="427"/>
      <c r="Z204" s="427"/>
      <c r="AA204" s="425"/>
      <c r="AB204" s="308"/>
      <c r="AC204" s="308"/>
      <c r="AD204" s="308"/>
      <c r="AE204" s="308"/>
      <c r="AF204" s="308"/>
      <c r="AG204" s="308"/>
    </row>
    <row r="205" spans="2:33" x14ac:dyDescent="0.25">
      <c r="I205" s="12"/>
      <c r="J205" s="12"/>
      <c r="K205" s="12"/>
      <c r="M205" s="308"/>
      <c r="N205" s="308"/>
      <c r="O205" s="308"/>
      <c r="P205" s="308"/>
      <c r="Q205" s="308"/>
      <c r="R205" s="308"/>
      <c r="S205" s="308"/>
      <c r="T205" s="308"/>
      <c r="U205" s="425"/>
      <c r="V205" s="425"/>
      <c r="W205" s="426"/>
      <c r="X205" s="426"/>
      <c r="Y205" s="308"/>
      <c r="Z205" s="427"/>
      <c r="AA205" s="425"/>
      <c r="AB205" s="308"/>
      <c r="AC205" s="308"/>
      <c r="AD205" s="308"/>
      <c r="AE205" s="308"/>
      <c r="AF205" s="308"/>
      <c r="AG205" s="308"/>
    </row>
    <row r="206" spans="2:33" x14ac:dyDescent="0.25">
      <c r="J206" s="12"/>
      <c r="K206" s="12"/>
      <c r="M206" s="308"/>
      <c r="N206" s="308"/>
      <c r="O206" s="308"/>
      <c r="P206" s="308"/>
      <c r="Q206" s="308"/>
      <c r="R206" s="308"/>
      <c r="S206" s="308"/>
      <c r="T206" s="308"/>
      <c r="U206" s="425"/>
      <c r="V206" s="425"/>
      <c r="W206" s="425"/>
      <c r="X206" s="425"/>
      <c r="Y206" s="426"/>
      <c r="Z206" s="308"/>
      <c r="AA206" s="425"/>
      <c r="AB206" s="308"/>
      <c r="AC206" s="308"/>
      <c r="AD206" s="308"/>
      <c r="AE206" s="308"/>
      <c r="AF206" s="308"/>
      <c r="AG206" s="308"/>
    </row>
    <row r="207" spans="2:33" x14ac:dyDescent="0.25">
      <c r="K207" s="12"/>
      <c r="M207" s="308"/>
      <c r="N207" s="308"/>
      <c r="O207" s="308"/>
      <c r="P207" s="308"/>
      <c r="Q207" s="308"/>
      <c r="R207" s="308"/>
      <c r="S207" s="308"/>
      <c r="T207" s="308"/>
      <c r="U207" s="427"/>
      <c r="V207" s="427"/>
      <c r="W207" s="425"/>
      <c r="X207" s="425"/>
      <c r="Y207" s="425"/>
      <c r="Z207" s="426"/>
      <c r="AA207" s="425"/>
      <c r="AB207" s="425"/>
      <c r="AC207" s="308"/>
      <c r="AD207" s="308"/>
      <c r="AE207" s="308"/>
      <c r="AF207" s="308"/>
      <c r="AG207" s="308"/>
    </row>
    <row r="208" spans="2:33" x14ac:dyDescent="0.25">
      <c r="M208" s="308"/>
      <c r="N208" s="308"/>
      <c r="O208" s="308"/>
      <c r="P208" s="308"/>
      <c r="Q208" s="308"/>
      <c r="R208" s="308"/>
      <c r="S208" s="308"/>
      <c r="T208" s="308"/>
      <c r="U208" s="308"/>
      <c r="V208" s="308"/>
      <c r="W208" s="425"/>
      <c r="X208" s="425"/>
      <c r="Y208" s="425"/>
      <c r="Z208" s="425"/>
      <c r="AA208" s="308"/>
      <c r="AB208" s="308"/>
      <c r="AC208" s="308"/>
      <c r="AD208" s="308"/>
      <c r="AE208" s="308"/>
      <c r="AF208" s="308"/>
      <c r="AG208" s="308"/>
    </row>
    <row r="209" spans="13:33" x14ac:dyDescent="0.25">
      <c r="M209" s="308"/>
      <c r="N209" s="308"/>
      <c r="O209" s="308"/>
      <c r="P209" s="308"/>
      <c r="Q209" s="308"/>
      <c r="R209" s="308"/>
      <c r="S209" s="308"/>
      <c r="T209" s="308"/>
      <c r="U209" s="308"/>
      <c r="V209" s="308"/>
      <c r="W209" s="425"/>
      <c r="X209" s="425"/>
      <c r="Y209" s="425"/>
      <c r="Z209" s="425"/>
      <c r="AA209" s="308"/>
      <c r="AB209" s="308"/>
      <c r="AC209" s="308"/>
      <c r="AD209" s="308"/>
      <c r="AE209" s="308"/>
      <c r="AF209" s="308"/>
      <c r="AG209" s="308"/>
    </row>
    <row r="210" spans="13:33" x14ac:dyDescent="0.25">
      <c r="M210" s="308"/>
      <c r="N210" s="308"/>
      <c r="O210" s="308"/>
      <c r="P210" s="308"/>
      <c r="Q210" s="308"/>
      <c r="R210" s="308"/>
      <c r="S210" s="308"/>
      <c r="T210" s="308"/>
      <c r="U210" s="308"/>
      <c r="V210" s="308"/>
      <c r="W210" s="425"/>
      <c r="X210" s="425"/>
      <c r="Y210" s="425"/>
      <c r="Z210" s="425"/>
      <c r="AA210" s="425"/>
      <c r="AB210" s="425"/>
      <c r="AC210" s="308"/>
      <c r="AD210" s="308"/>
      <c r="AE210" s="308"/>
      <c r="AF210" s="308"/>
      <c r="AG210" s="308"/>
    </row>
    <row r="211" spans="13:33" x14ac:dyDescent="0.25">
      <c r="M211" s="308"/>
      <c r="N211" s="308"/>
      <c r="O211" s="308"/>
      <c r="P211" s="308"/>
      <c r="Q211" s="308"/>
      <c r="R211" s="308"/>
      <c r="S211" s="308"/>
      <c r="T211" s="308"/>
      <c r="U211" s="308"/>
      <c r="V211" s="308"/>
      <c r="W211" s="425"/>
      <c r="X211" s="425"/>
      <c r="Y211" s="425"/>
      <c r="Z211" s="425"/>
      <c r="AA211" s="425"/>
      <c r="AB211" s="425"/>
      <c r="AC211" s="308"/>
      <c r="AD211" s="308"/>
      <c r="AE211" s="308"/>
      <c r="AF211" s="308"/>
      <c r="AG211" s="308"/>
    </row>
    <row r="212" spans="13:33" x14ac:dyDescent="0.25">
      <c r="M212" s="308"/>
      <c r="N212" s="308"/>
      <c r="O212" s="308"/>
      <c r="P212" s="308"/>
      <c r="Q212" s="308"/>
      <c r="R212" s="308"/>
      <c r="S212" s="308"/>
      <c r="T212" s="308"/>
      <c r="U212" s="308"/>
      <c r="V212" s="308"/>
      <c r="W212" s="425"/>
      <c r="X212" s="425"/>
      <c r="Y212" s="425"/>
      <c r="Z212" s="425"/>
      <c r="AA212" s="425"/>
      <c r="AB212" s="425"/>
      <c r="AC212" s="308"/>
      <c r="AD212" s="308"/>
      <c r="AE212" s="308"/>
      <c r="AF212" s="308"/>
      <c r="AG212" s="308"/>
    </row>
    <row r="213" spans="13:33" x14ac:dyDescent="0.25">
      <c r="M213" s="308"/>
      <c r="N213" s="308"/>
      <c r="O213" s="308"/>
      <c r="P213" s="308"/>
      <c r="Q213" s="308"/>
      <c r="R213" s="308"/>
      <c r="S213" s="308"/>
      <c r="T213" s="308"/>
      <c r="U213" s="308"/>
      <c r="V213" s="308"/>
      <c r="W213" s="425"/>
      <c r="X213" s="425"/>
      <c r="Y213" s="425"/>
      <c r="Z213" s="425"/>
      <c r="AA213" s="425"/>
      <c r="AB213" s="425"/>
      <c r="AC213" s="308"/>
      <c r="AD213" s="308"/>
      <c r="AE213" s="308"/>
      <c r="AF213" s="308"/>
      <c r="AG213" s="308"/>
    </row>
    <row r="214" spans="13:33" x14ac:dyDescent="0.25">
      <c r="M214" s="308"/>
      <c r="N214" s="308"/>
      <c r="O214" s="308"/>
      <c r="P214" s="308"/>
      <c r="Q214" s="308"/>
      <c r="R214" s="308"/>
      <c r="S214" s="308"/>
      <c r="T214" s="308"/>
      <c r="U214" s="308"/>
      <c r="V214" s="308"/>
      <c r="W214" s="425"/>
      <c r="X214" s="425"/>
      <c r="Y214" s="425"/>
      <c r="Z214" s="425"/>
      <c r="AA214" s="425"/>
      <c r="AB214" s="425"/>
      <c r="AC214" s="308"/>
      <c r="AD214" s="308"/>
      <c r="AE214" s="308"/>
      <c r="AF214" s="308"/>
      <c r="AG214" s="308"/>
    </row>
    <row r="215" spans="13:33" x14ac:dyDescent="0.25">
      <c r="M215" s="308"/>
      <c r="N215" s="308"/>
      <c r="O215" s="308"/>
      <c r="P215" s="308"/>
      <c r="Q215" s="308"/>
      <c r="R215" s="308"/>
      <c r="S215" s="308"/>
      <c r="T215" s="308"/>
      <c r="U215" s="308"/>
      <c r="V215" s="308"/>
      <c r="W215" s="425"/>
      <c r="X215" s="425"/>
      <c r="Y215" s="425"/>
      <c r="Z215" s="425"/>
      <c r="AA215" s="425"/>
      <c r="AB215" s="425"/>
      <c r="AC215" s="308"/>
      <c r="AD215" s="308"/>
      <c r="AE215" s="308"/>
      <c r="AF215" s="308"/>
      <c r="AG215" s="308"/>
    </row>
    <row r="216" spans="13:33" x14ac:dyDescent="0.25">
      <c r="M216" s="308"/>
      <c r="N216" s="308"/>
      <c r="O216" s="308"/>
      <c r="P216" s="308"/>
      <c r="Q216" s="308"/>
      <c r="R216" s="308"/>
      <c r="S216" s="308"/>
      <c r="T216" s="308"/>
      <c r="U216" s="308"/>
      <c r="V216" s="308"/>
      <c r="W216" s="425"/>
      <c r="X216" s="425"/>
      <c r="Y216" s="425"/>
      <c r="Z216" s="425"/>
      <c r="AA216" s="425"/>
      <c r="AB216" s="425"/>
      <c r="AC216" s="308"/>
      <c r="AD216" s="308"/>
      <c r="AE216" s="308"/>
      <c r="AF216" s="308"/>
      <c r="AG216" s="308"/>
    </row>
    <row r="217" spans="13:33" x14ac:dyDescent="0.25">
      <c r="M217" s="308"/>
      <c r="N217" s="308"/>
      <c r="O217" s="308"/>
      <c r="P217" s="308"/>
      <c r="Q217" s="308"/>
      <c r="R217" s="308"/>
      <c r="S217" s="308"/>
      <c r="T217" s="308"/>
      <c r="U217" s="308"/>
      <c r="V217" s="308"/>
      <c r="W217" s="425"/>
      <c r="X217" s="425"/>
      <c r="Y217" s="425"/>
      <c r="Z217" s="425"/>
      <c r="AA217" s="425"/>
      <c r="AB217" s="425"/>
      <c r="AC217" s="308"/>
      <c r="AD217" s="308"/>
      <c r="AE217" s="308"/>
      <c r="AF217" s="308"/>
      <c r="AG217" s="308"/>
    </row>
    <row r="218" spans="13:33" x14ac:dyDescent="0.25">
      <c r="M218" s="308"/>
      <c r="N218" s="308"/>
      <c r="O218" s="308"/>
      <c r="P218" s="308"/>
      <c r="Q218" s="308"/>
      <c r="R218" s="308"/>
      <c r="S218" s="308"/>
      <c r="T218" s="308"/>
      <c r="U218" s="308"/>
      <c r="V218" s="308"/>
      <c r="W218" s="425"/>
      <c r="X218" s="425"/>
      <c r="Y218" s="425"/>
      <c r="Z218" s="425"/>
      <c r="AA218" s="425"/>
      <c r="AB218" s="425"/>
      <c r="AC218" s="308"/>
      <c r="AD218" s="308"/>
      <c r="AE218" s="308"/>
      <c r="AF218" s="308"/>
      <c r="AG218" s="308"/>
    </row>
    <row r="219" spans="13:33" x14ac:dyDescent="0.25">
      <c r="M219" s="308"/>
      <c r="N219" s="308"/>
      <c r="O219" s="308"/>
      <c r="P219" s="308"/>
      <c r="Q219" s="308"/>
      <c r="R219" s="308"/>
      <c r="S219" s="308"/>
      <c r="T219" s="308"/>
      <c r="U219" s="308"/>
      <c r="V219" s="308"/>
      <c r="W219" s="425"/>
      <c r="X219" s="425"/>
      <c r="Y219" s="425"/>
      <c r="Z219" s="425"/>
      <c r="AA219" s="425"/>
      <c r="AB219" s="425"/>
      <c r="AC219" s="308"/>
      <c r="AD219" s="308"/>
      <c r="AE219" s="308"/>
      <c r="AF219" s="308"/>
      <c r="AG219" s="308"/>
    </row>
    <row r="220" spans="13:33" x14ac:dyDescent="0.25">
      <c r="M220" s="308"/>
      <c r="N220" s="308"/>
      <c r="O220" s="308"/>
      <c r="P220" s="308"/>
      <c r="Q220" s="308"/>
      <c r="R220" s="308"/>
      <c r="S220" s="308"/>
      <c r="T220" s="308"/>
      <c r="U220" s="308"/>
      <c r="V220" s="308"/>
      <c r="W220" s="425"/>
      <c r="X220" s="425"/>
      <c r="Y220" s="425"/>
      <c r="Z220" s="425"/>
      <c r="AA220" s="425"/>
      <c r="AB220" s="425"/>
      <c r="AC220" s="308"/>
      <c r="AD220" s="308"/>
      <c r="AE220" s="308"/>
      <c r="AF220" s="308"/>
      <c r="AG220" s="308"/>
    </row>
    <row r="221" spans="13:33" x14ac:dyDescent="0.25">
      <c r="M221" s="308"/>
      <c r="N221" s="308"/>
      <c r="O221" s="308"/>
      <c r="P221" s="308"/>
      <c r="Q221" s="308"/>
      <c r="R221" s="308"/>
      <c r="S221" s="308"/>
      <c r="T221" s="308"/>
      <c r="U221" s="308"/>
      <c r="V221" s="308"/>
      <c r="W221" s="425"/>
      <c r="X221" s="425"/>
      <c r="Y221" s="425"/>
      <c r="Z221" s="425"/>
      <c r="AA221" s="308"/>
      <c r="AB221" s="308"/>
      <c r="AC221" s="308"/>
      <c r="AD221" s="308"/>
      <c r="AE221" s="308"/>
      <c r="AF221" s="308"/>
      <c r="AG221" s="308"/>
    </row>
    <row r="222" spans="13:33" x14ac:dyDescent="0.25">
      <c r="M222" s="308"/>
      <c r="N222" s="308"/>
      <c r="O222" s="308"/>
      <c r="P222" s="308"/>
      <c r="Q222" s="308"/>
      <c r="R222" s="308"/>
      <c r="S222" s="308"/>
      <c r="T222" s="308"/>
      <c r="U222" s="308"/>
      <c r="V222" s="308"/>
      <c r="W222" s="425"/>
      <c r="X222" s="425"/>
      <c r="Y222" s="425"/>
      <c r="Z222" s="425"/>
      <c r="AA222" s="308"/>
      <c r="AB222" s="308"/>
      <c r="AC222" s="308"/>
      <c r="AD222" s="308"/>
      <c r="AE222" s="308"/>
      <c r="AF222" s="308"/>
      <c r="AG222" s="308"/>
    </row>
    <row r="223" spans="13:33" x14ac:dyDescent="0.25">
      <c r="M223" s="308"/>
      <c r="N223" s="308"/>
      <c r="O223" s="308"/>
      <c r="P223" s="308"/>
      <c r="Q223" s="308"/>
      <c r="R223" s="308"/>
      <c r="S223" s="308"/>
      <c r="T223" s="308"/>
      <c r="U223" s="308"/>
      <c r="V223" s="308"/>
      <c r="W223" s="427"/>
      <c r="X223" s="427"/>
      <c r="Y223" s="425"/>
      <c r="Z223" s="425"/>
      <c r="AA223" s="308"/>
      <c r="AB223" s="308"/>
      <c r="AC223" s="308"/>
      <c r="AD223" s="308"/>
      <c r="AE223" s="308"/>
      <c r="AF223" s="308"/>
      <c r="AG223" s="308"/>
    </row>
    <row r="224" spans="13:33" x14ac:dyDescent="0.25">
      <c r="M224" s="308"/>
      <c r="N224" s="308"/>
      <c r="O224" s="308"/>
      <c r="P224" s="308"/>
      <c r="Q224" s="308"/>
      <c r="R224" s="308"/>
      <c r="S224" s="308"/>
      <c r="T224" s="308"/>
      <c r="U224" s="308"/>
      <c r="V224" s="308"/>
      <c r="W224" s="308"/>
      <c r="X224" s="308"/>
      <c r="Y224" s="427"/>
      <c r="Z224" s="425"/>
      <c r="AA224" s="308"/>
      <c r="AB224" s="308"/>
      <c r="AC224" s="308"/>
      <c r="AD224" s="308"/>
      <c r="AE224" s="308"/>
      <c r="AF224" s="308"/>
      <c r="AG224" s="308"/>
    </row>
    <row r="225" spans="13:33" x14ac:dyDescent="0.25">
      <c r="M225" s="308"/>
      <c r="N225" s="308"/>
      <c r="O225" s="308"/>
      <c r="P225" s="308"/>
      <c r="Q225" s="308"/>
      <c r="R225" s="308"/>
      <c r="S225" s="308"/>
      <c r="T225" s="308"/>
      <c r="U225" s="308"/>
      <c r="V225" s="308"/>
      <c r="W225" s="308"/>
      <c r="X225" s="308"/>
      <c r="Y225" s="308"/>
      <c r="Z225" s="427"/>
      <c r="AA225" s="308"/>
      <c r="AB225" s="308"/>
      <c r="AC225" s="308"/>
      <c r="AD225" s="308"/>
      <c r="AE225" s="308"/>
      <c r="AF225" s="308"/>
      <c r="AG225" s="308"/>
    </row>
    <row r="226" spans="13:33" x14ac:dyDescent="0.25">
      <c r="M226" s="308"/>
      <c r="N226" s="308"/>
      <c r="O226" s="308"/>
      <c r="P226" s="308"/>
      <c r="Q226" s="308"/>
      <c r="R226" s="308"/>
      <c r="S226" s="308"/>
      <c r="T226" s="308"/>
      <c r="U226" s="308"/>
      <c r="V226" s="308"/>
      <c r="W226" s="308"/>
      <c r="X226" s="308"/>
      <c r="Y226" s="308"/>
      <c r="Z226" s="308"/>
      <c r="AA226" s="308"/>
      <c r="AB226" s="308"/>
      <c r="AC226" s="308"/>
      <c r="AD226" s="308"/>
      <c r="AE226" s="308"/>
      <c r="AF226" s="308"/>
      <c r="AG226" s="308"/>
    </row>
    <row r="227" spans="13:33" x14ac:dyDescent="0.25">
      <c r="M227" s="308"/>
      <c r="N227" s="308"/>
      <c r="O227" s="308"/>
      <c r="P227" s="308"/>
      <c r="Q227" s="308"/>
      <c r="R227" s="308"/>
      <c r="S227" s="308"/>
      <c r="T227" s="308"/>
      <c r="U227" s="308"/>
      <c r="V227" s="308"/>
      <c r="W227" s="308"/>
      <c r="X227" s="308"/>
      <c r="Y227" s="308"/>
      <c r="Z227" s="308"/>
      <c r="AA227" s="308"/>
      <c r="AB227" s="308"/>
      <c r="AC227" s="308"/>
      <c r="AD227" s="308"/>
      <c r="AE227" s="308"/>
      <c r="AF227" s="308"/>
      <c r="AG227" s="308"/>
    </row>
    <row r="228" spans="13:33" x14ac:dyDescent="0.25">
      <c r="M228" s="308"/>
      <c r="N228" s="308"/>
      <c r="O228" s="308"/>
      <c r="P228" s="308"/>
      <c r="Q228" s="308"/>
      <c r="R228" s="308"/>
      <c r="S228" s="308"/>
      <c r="T228" s="308"/>
      <c r="U228" s="308"/>
      <c r="V228" s="308"/>
      <c r="W228" s="308"/>
      <c r="X228" s="308"/>
      <c r="Y228" s="308"/>
      <c r="Z228" s="308"/>
      <c r="AA228" s="308"/>
      <c r="AB228" s="308"/>
      <c r="AC228" s="308"/>
      <c r="AD228" s="308"/>
      <c r="AE228" s="308"/>
      <c r="AF228" s="308"/>
      <c r="AG228" s="308"/>
    </row>
    <row r="229" spans="13:33" x14ac:dyDescent="0.25">
      <c r="M229" s="308"/>
      <c r="N229" s="308"/>
      <c r="O229" s="308"/>
      <c r="P229" s="308"/>
      <c r="Q229" s="308"/>
      <c r="R229" s="308"/>
      <c r="S229" s="308"/>
      <c r="T229" s="308"/>
      <c r="U229" s="308"/>
      <c r="V229" s="308"/>
      <c r="W229" s="308"/>
      <c r="X229" s="308"/>
      <c r="Y229" s="308"/>
      <c r="Z229" s="308"/>
      <c r="AA229" s="308"/>
      <c r="AB229" s="308"/>
      <c r="AC229" s="308"/>
      <c r="AD229" s="308"/>
      <c r="AE229" s="308"/>
      <c r="AF229" s="308"/>
      <c r="AG229" s="308"/>
    </row>
    <row r="230" spans="13:33" x14ac:dyDescent="0.25">
      <c r="M230" s="308"/>
      <c r="N230" s="308"/>
      <c r="O230" s="308"/>
      <c r="P230" s="308"/>
      <c r="Q230" s="308"/>
      <c r="R230" s="308"/>
      <c r="S230" s="308"/>
      <c r="T230" s="308"/>
      <c r="U230" s="308"/>
      <c r="V230" s="308"/>
      <c r="W230" s="308"/>
      <c r="X230" s="308"/>
      <c r="Y230" s="308"/>
      <c r="Z230" s="308"/>
      <c r="AA230" s="308"/>
      <c r="AB230" s="308"/>
      <c r="AC230" s="308"/>
      <c r="AD230" s="308"/>
      <c r="AE230" s="308"/>
      <c r="AF230" s="308"/>
      <c r="AG230" s="308"/>
    </row>
    <row r="231" spans="13:33" x14ac:dyDescent="0.25">
      <c r="M231" s="308"/>
      <c r="N231" s="308"/>
      <c r="O231" s="308"/>
      <c r="P231" s="308"/>
      <c r="Q231" s="308"/>
      <c r="R231" s="308"/>
      <c r="S231" s="308"/>
      <c r="T231" s="308"/>
      <c r="U231" s="308"/>
      <c r="V231" s="308"/>
      <c r="W231" s="308"/>
      <c r="X231" s="308"/>
      <c r="Y231" s="308"/>
      <c r="Z231" s="308"/>
      <c r="AA231" s="308"/>
      <c r="AB231" s="308"/>
      <c r="AC231" s="308"/>
      <c r="AD231" s="308"/>
      <c r="AE231" s="308"/>
      <c r="AF231" s="308"/>
      <c r="AG231" s="308"/>
    </row>
    <row r="232" spans="13:33" x14ac:dyDescent="0.25">
      <c r="M232" s="308"/>
      <c r="N232" s="308"/>
      <c r="O232" s="308"/>
      <c r="P232" s="308"/>
      <c r="Q232" s="308"/>
      <c r="R232" s="308"/>
      <c r="S232" s="308"/>
      <c r="T232" s="308"/>
      <c r="U232" s="308"/>
      <c r="V232" s="308"/>
      <c r="W232" s="308"/>
      <c r="X232" s="308"/>
      <c r="Y232" s="308"/>
      <c r="Z232" s="308"/>
      <c r="AA232" s="308"/>
      <c r="AB232" s="308"/>
      <c r="AC232" s="308"/>
      <c r="AD232" s="308"/>
      <c r="AE232" s="308"/>
      <c r="AF232" s="308"/>
      <c r="AG232" s="308"/>
    </row>
    <row r="233" spans="13:33" x14ac:dyDescent="0.25">
      <c r="M233" s="308"/>
      <c r="N233" s="308"/>
      <c r="O233" s="308"/>
      <c r="P233" s="308"/>
      <c r="Q233" s="308"/>
      <c r="R233" s="308"/>
      <c r="S233" s="308"/>
      <c r="T233" s="308"/>
      <c r="U233" s="308"/>
      <c r="V233" s="308"/>
      <c r="W233" s="308"/>
      <c r="X233" s="308"/>
      <c r="Y233" s="308"/>
      <c r="Z233" s="308"/>
      <c r="AA233" s="308"/>
      <c r="AB233" s="308"/>
      <c r="AC233" s="308"/>
      <c r="AD233" s="308"/>
      <c r="AE233" s="308"/>
      <c r="AF233" s="308"/>
      <c r="AG233" s="308"/>
    </row>
    <row r="234" spans="13:33" x14ac:dyDescent="0.25">
      <c r="M234" s="308"/>
      <c r="N234" s="308"/>
      <c r="O234" s="308"/>
      <c r="P234" s="308"/>
      <c r="Q234" s="308"/>
      <c r="R234" s="308"/>
      <c r="S234" s="308"/>
      <c r="T234" s="308"/>
      <c r="U234" s="308"/>
      <c r="V234" s="308"/>
      <c r="W234" s="308"/>
      <c r="X234" s="308"/>
      <c r="Y234" s="308"/>
      <c r="Z234" s="308"/>
      <c r="AA234" s="427"/>
      <c r="AB234" s="425"/>
      <c r="AC234" s="308"/>
      <c r="AD234" s="308"/>
      <c r="AE234" s="308"/>
      <c r="AF234" s="308"/>
      <c r="AG234" s="308"/>
    </row>
    <row r="235" spans="13:33" x14ac:dyDescent="0.25">
      <c r="M235" s="308"/>
      <c r="N235" s="308"/>
      <c r="O235" s="308"/>
      <c r="P235" s="308"/>
      <c r="Q235" s="308"/>
      <c r="R235" s="308"/>
      <c r="S235" s="308"/>
      <c r="T235" s="308"/>
      <c r="U235" s="308"/>
      <c r="V235" s="308"/>
      <c r="W235" s="308"/>
      <c r="X235" s="308"/>
      <c r="Y235" s="308"/>
      <c r="Z235" s="308"/>
      <c r="AA235" s="308"/>
      <c r="AB235" s="308"/>
      <c r="AC235" s="308"/>
      <c r="AD235" s="308"/>
      <c r="AE235" s="308"/>
      <c r="AF235" s="308"/>
      <c r="AG235" s="308"/>
    </row>
    <row r="236" spans="13:33" x14ac:dyDescent="0.25">
      <c r="M236" s="308"/>
      <c r="N236" s="308"/>
      <c r="O236" s="308"/>
      <c r="P236" s="308"/>
      <c r="Q236" s="308"/>
      <c r="R236" s="308"/>
      <c r="S236" s="308"/>
      <c r="T236" s="308"/>
      <c r="U236" s="308"/>
      <c r="V236" s="308"/>
      <c r="W236" s="308"/>
      <c r="X236" s="308"/>
      <c r="Y236" s="308"/>
      <c r="Z236" s="308"/>
      <c r="AA236" s="308"/>
      <c r="AB236" s="308"/>
      <c r="AC236" s="308"/>
      <c r="AD236" s="308"/>
      <c r="AE236" s="308"/>
      <c r="AF236" s="308"/>
      <c r="AG236" s="308"/>
    </row>
    <row r="237" spans="13:33" x14ac:dyDescent="0.25">
      <c r="M237" s="308"/>
      <c r="N237" s="308"/>
      <c r="O237" s="308"/>
      <c r="P237" s="308"/>
      <c r="Q237" s="308"/>
      <c r="R237" s="308"/>
      <c r="S237" s="308"/>
      <c r="T237" s="308"/>
      <c r="U237" s="308"/>
      <c r="V237" s="308"/>
      <c r="W237" s="308"/>
      <c r="X237" s="308"/>
      <c r="Y237" s="308"/>
      <c r="Z237" s="308"/>
      <c r="AA237" s="308"/>
      <c r="AB237" s="308"/>
      <c r="AC237" s="308"/>
      <c r="AD237" s="308"/>
      <c r="AE237" s="308"/>
      <c r="AF237" s="308"/>
      <c r="AG237" s="308"/>
    </row>
    <row r="238" spans="13:33" x14ac:dyDescent="0.25">
      <c r="M238" s="308"/>
      <c r="N238" s="308"/>
      <c r="O238" s="308"/>
      <c r="P238" s="308"/>
      <c r="Q238" s="308"/>
      <c r="R238" s="308"/>
      <c r="S238" s="308"/>
      <c r="T238" s="308"/>
      <c r="U238" s="308"/>
      <c r="V238" s="308"/>
      <c r="W238" s="308"/>
      <c r="X238" s="308"/>
      <c r="Y238" s="308"/>
      <c r="Z238" s="308"/>
      <c r="AA238" s="308"/>
      <c r="AB238" s="308"/>
      <c r="AC238" s="308"/>
      <c r="AD238" s="308"/>
      <c r="AE238" s="308"/>
      <c r="AF238" s="308"/>
      <c r="AG238" s="308"/>
    </row>
    <row r="239" spans="13:33" x14ac:dyDescent="0.25">
      <c r="M239" s="308"/>
      <c r="N239" s="308"/>
      <c r="O239" s="308"/>
      <c r="P239" s="308"/>
      <c r="Q239" s="308"/>
      <c r="R239" s="308"/>
      <c r="S239" s="308"/>
      <c r="T239" s="308"/>
      <c r="U239" s="308"/>
      <c r="V239" s="308"/>
      <c r="W239" s="308"/>
      <c r="X239" s="308"/>
      <c r="Y239" s="308"/>
      <c r="Z239" s="308"/>
      <c r="AA239" s="426"/>
      <c r="AB239" s="426"/>
      <c r="AC239" s="308"/>
      <c r="AD239" s="308"/>
      <c r="AE239" s="308"/>
      <c r="AF239" s="308"/>
      <c r="AG239" s="308"/>
    </row>
    <row r="240" spans="13:33" x14ac:dyDescent="0.25">
      <c r="M240" s="308"/>
      <c r="N240" s="308"/>
      <c r="O240" s="308"/>
      <c r="P240" s="308"/>
      <c r="Q240" s="308"/>
      <c r="R240" s="308"/>
      <c r="S240" s="308"/>
      <c r="T240" s="308"/>
      <c r="U240" s="308"/>
      <c r="V240" s="308"/>
      <c r="W240" s="308"/>
      <c r="X240" s="308"/>
      <c r="Y240" s="308"/>
      <c r="Z240" s="308"/>
      <c r="AA240" s="425"/>
      <c r="AB240" s="308"/>
      <c r="AC240" s="308"/>
      <c r="AD240" s="308"/>
      <c r="AE240" s="308"/>
      <c r="AF240" s="308"/>
      <c r="AG240" s="308"/>
    </row>
    <row r="241" spans="13:33" x14ac:dyDescent="0.25">
      <c r="M241" s="308"/>
      <c r="N241" s="308"/>
      <c r="O241" s="308"/>
      <c r="P241" s="308"/>
      <c r="Q241" s="308"/>
      <c r="R241" s="308"/>
      <c r="S241" s="308"/>
      <c r="T241" s="308"/>
      <c r="U241" s="308"/>
      <c r="V241" s="308"/>
      <c r="W241" s="308"/>
      <c r="X241" s="308"/>
      <c r="Y241" s="308"/>
      <c r="Z241" s="308"/>
      <c r="AA241" s="425"/>
      <c r="AB241" s="308"/>
      <c r="AC241" s="308"/>
      <c r="AD241" s="308"/>
      <c r="AE241" s="308"/>
      <c r="AF241" s="308"/>
      <c r="AG241" s="308"/>
    </row>
    <row r="242" spans="13:33" x14ac:dyDescent="0.25">
      <c r="M242" s="308"/>
      <c r="N242" s="308"/>
      <c r="O242" s="308"/>
      <c r="P242" s="308"/>
      <c r="Q242" s="308"/>
      <c r="R242" s="308"/>
      <c r="S242" s="308"/>
      <c r="T242" s="308"/>
      <c r="U242" s="308"/>
      <c r="V242" s="308"/>
      <c r="W242" s="308"/>
      <c r="X242" s="308"/>
      <c r="Y242" s="308"/>
      <c r="Z242" s="308"/>
      <c r="AA242" s="425"/>
      <c r="AB242" s="308"/>
      <c r="AC242" s="308"/>
      <c r="AD242" s="308"/>
      <c r="AE242" s="308"/>
      <c r="AF242" s="308"/>
      <c r="AG242" s="308"/>
    </row>
    <row r="243" spans="13:33" x14ac:dyDescent="0.25">
      <c r="M243" s="308"/>
      <c r="N243" s="308"/>
      <c r="O243" s="308"/>
      <c r="P243" s="308"/>
      <c r="Q243" s="308"/>
      <c r="R243" s="308"/>
      <c r="S243" s="308"/>
      <c r="T243" s="308"/>
      <c r="U243" s="308"/>
      <c r="V243" s="308"/>
      <c r="W243" s="308"/>
      <c r="X243" s="308"/>
      <c r="Y243" s="308"/>
      <c r="Z243" s="308"/>
      <c r="AA243" s="425"/>
      <c r="AB243" s="308"/>
      <c r="AC243" s="308"/>
      <c r="AD243" s="308"/>
      <c r="AE243" s="308"/>
      <c r="AF243" s="308"/>
      <c r="AG243" s="308"/>
    </row>
    <row r="244" spans="13:33" x14ac:dyDescent="0.25">
      <c r="M244" s="308"/>
      <c r="N244" s="308"/>
      <c r="O244" s="308"/>
      <c r="P244" s="308"/>
      <c r="Q244" s="308"/>
      <c r="R244" s="308"/>
      <c r="S244" s="308"/>
      <c r="T244" s="308"/>
      <c r="U244" s="308"/>
      <c r="V244" s="308"/>
      <c r="W244" s="308"/>
      <c r="X244" s="308"/>
      <c r="Y244" s="308"/>
      <c r="Z244" s="308"/>
      <c r="AA244" s="425"/>
      <c r="AB244" s="308"/>
      <c r="AC244" s="308"/>
      <c r="AD244" s="308"/>
      <c r="AE244" s="308"/>
      <c r="AF244" s="308"/>
      <c r="AG244" s="308"/>
    </row>
    <row r="245" spans="13:33" x14ac:dyDescent="0.25">
      <c r="M245" s="308"/>
      <c r="N245" s="308"/>
      <c r="O245" s="308"/>
      <c r="P245" s="308"/>
      <c r="Q245" s="308"/>
      <c r="R245" s="308"/>
      <c r="S245" s="308"/>
      <c r="T245" s="308"/>
      <c r="U245" s="308"/>
      <c r="V245" s="308"/>
      <c r="W245" s="308"/>
      <c r="X245" s="308"/>
      <c r="Y245" s="308"/>
      <c r="Z245" s="308"/>
      <c r="AA245" s="425"/>
      <c r="AB245" s="308"/>
      <c r="AC245" s="308"/>
      <c r="AD245" s="308"/>
      <c r="AE245" s="308"/>
      <c r="AF245" s="308"/>
      <c r="AG245" s="308"/>
    </row>
    <row r="246" spans="13:33" x14ac:dyDescent="0.25">
      <c r="M246" s="308"/>
      <c r="N246" s="308"/>
      <c r="O246" s="308"/>
      <c r="P246" s="308"/>
      <c r="Q246" s="308"/>
      <c r="R246" s="308"/>
      <c r="S246" s="308"/>
      <c r="T246" s="308"/>
      <c r="U246" s="308"/>
      <c r="V246" s="308"/>
      <c r="W246" s="308"/>
      <c r="X246" s="308"/>
      <c r="Y246" s="308"/>
      <c r="Z246" s="308"/>
      <c r="AA246" s="425"/>
      <c r="AB246" s="308"/>
      <c r="AC246" s="308"/>
      <c r="AD246" s="308"/>
      <c r="AE246" s="308"/>
      <c r="AF246" s="308"/>
      <c r="AG246" s="308"/>
    </row>
    <row r="247" spans="13:33" x14ac:dyDescent="0.25">
      <c r="M247" s="308"/>
      <c r="N247" s="308"/>
      <c r="O247" s="308"/>
      <c r="P247" s="308"/>
      <c r="Q247" s="308"/>
      <c r="R247" s="308"/>
      <c r="S247" s="308"/>
      <c r="T247" s="308"/>
      <c r="U247" s="308"/>
      <c r="V247" s="308"/>
      <c r="W247" s="308"/>
      <c r="X247" s="308"/>
      <c r="Y247" s="308"/>
      <c r="Z247" s="308"/>
      <c r="AA247" s="425"/>
      <c r="AB247" s="308"/>
      <c r="AC247" s="308"/>
      <c r="AD247" s="308"/>
      <c r="AE247" s="308"/>
      <c r="AF247" s="308"/>
      <c r="AG247" s="308"/>
    </row>
    <row r="248" spans="13:33" x14ac:dyDescent="0.25">
      <c r="M248" s="308"/>
      <c r="N248" s="308"/>
      <c r="O248" s="308"/>
      <c r="P248" s="308"/>
      <c r="Q248" s="308"/>
      <c r="R248" s="308"/>
      <c r="S248" s="308"/>
      <c r="T248" s="308"/>
      <c r="U248" s="308"/>
      <c r="V248" s="308"/>
      <c r="W248" s="308"/>
      <c r="X248" s="308"/>
      <c r="Y248" s="308"/>
      <c r="Z248" s="308"/>
      <c r="AA248" s="425"/>
      <c r="AB248" s="308"/>
      <c r="AC248" s="308"/>
      <c r="AD248" s="308"/>
      <c r="AE248" s="308"/>
      <c r="AF248" s="308"/>
      <c r="AG248" s="308"/>
    </row>
    <row r="249" spans="13:33" x14ac:dyDescent="0.25">
      <c r="M249" s="308"/>
      <c r="N249" s="308"/>
      <c r="O249" s="308"/>
      <c r="P249" s="308"/>
      <c r="Q249" s="308"/>
      <c r="R249" s="308"/>
      <c r="S249" s="308"/>
      <c r="T249" s="308"/>
      <c r="U249" s="308"/>
      <c r="V249" s="308"/>
      <c r="W249" s="308"/>
      <c r="X249" s="308"/>
      <c r="Y249" s="308"/>
      <c r="Z249" s="308"/>
      <c r="AA249" s="425"/>
      <c r="AB249" s="308"/>
      <c r="AC249" s="308"/>
      <c r="AD249" s="308"/>
      <c r="AE249" s="308"/>
      <c r="AF249" s="308"/>
      <c r="AG249" s="308"/>
    </row>
    <row r="250" spans="13:33" x14ac:dyDescent="0.25">
      <c r="M250" s="308"/>
      <c r="N250" s="308"/>
      <c r="O250" s="308"/>
      <c r="P250" s="308"/>
      <c r="Q250" s="308"/>
      <c r="R250" s="308"/>
      <c r="S250" s="308"/>
      <c r="T250" s="308"/>
      <c r="U250" s="308"/>
      <c r="V250" s="308"/>
      <c r="W250" s="308"/>
      <c r="X250" s="308"/>
      <c r="Y250" s="308"/>
      <c r="Z250" s="308"/>
      <c r="AA250" s="425"/>
      <c r="AB250" s="308"/>
      <c r="AC250" s="308"/>
      <c r="AD250" s="308"/>
      <c r="AE250" s="308"/>
      <c r="AF250" s="308"/>
      <c r="AG250" s="308"/>
    </row>
    <row r="251" spans="13:33" x14ac:dyDescent="0.25">
      <c r="M251" s="308"/>
      <c r="N251" s="308"/>
      <c r="O251" s="308"/>
      <c r="P251" s="308"/>
      <c r="Q251" s="308"/>
      <c r="R251" s="308"/>
      <c r="S251" s="308"/>
      <c r="T251" s="308"/>
      <c r="U251" s="308"/>
      <c r="V251" s="308"/>
      <c r="W251" s="308"/>
      <c r="X251" s="308"/>
      <c r="Y251" s="308"/>
      <c r="Z251" s="308"/>
      <c r="AA251" s="425"/>
      <c r="AB251" s="308"/>
      <c r="AC251" s="308"/>
      <c r="AD251" s="308"/>
      <c r="AE251" s="308"/>
      <c r="AF251" s="308"/>
      <c r="AG251" s="308"/>
    </row>
    <row r="252" spans="13:33" x14ac:dyDescent="0.25">
      <c r="W252" s="308"/>
      <c r="X252" s="308"/>
      <c r="Y252" s="308"/>
      <c r="Z252" s="308"/>
      <c r="AA252" s="425"/>
      <c r="AB252" s="308"/>
      <c r="AC252" s="308"/>
      <c r="AD252" s="308"/>
      <c r="AE252" s="308"/>
      <c r="AF252" s="308"/>
      <c r="AG252" s="308"/>
    </row>
    <row r="253" spans="13:33" x14ac:dyDescent="0.25">
      <c r="W253" s="308"/>
      <c r="X253" s="308"/>
      <c r="Y253" s="308"/>
      <c r="Z253" s="308"/>
      <c r="AA253" s="425"/>
      <c r="AB253" s="308"/>
      <c r="AC253" s="308"/>
      <c r="AD253" s="308"/>
      <c r="AE253" s="308"/>
      <c r="AF253" s="308"/>
      <c r="AG253" s="308"/>
    </row>
    <row r="254" spans="13:33" x14ac:dyDescent="0.25">
      <c r="W254" s="308"/>
      <c r="X254" s="308"/>
      <c r="Y254" s="308"/>
      <c r="Z254" s="308"/>
      <c r="AA254" s="425"/>
      <c r="AB254" s="308"/>
      <c r="AC254" s="308"/>
      <c r="AD254" s="308"/>
      <c r="AE254" s="308"/>
      <c r="AF254" s="308"/>
      <c r="AG254" s="308"/>
    </row>
    <row r="255" spans="13:33" x14ac:dyDescent="0.25">
      <c r="W255" s="308"/>
      <c r="X255" s="308"/>
      <c r="Y255" s="308"/>
      <c r="Z255" s="308"/>
      <c r="AA255" s="425"/>
      <c r="AB255" s="308"/>
      <c r="AC255" s="308"/>
      <c r="AD255" s="308"/>
      <c r="AE255" s="308"/>
      <c r="AF255" s="308"/>
      <c r="AG255" s="308"/>
    </row>
    <row r="256" spans="13:33" x14ac:dyDescent="0.25">
      <c r="W256" s="308"/>
      <c r="X256" s="308"/>
      <c r="Y256" s="308"/>
      <c r="Z256" s="308"/>
      <c r="AA256" s="425"/>
      <c r="AB256" s="308"/>
      <c r="AC256" s="308"/>
      <c r="AD256" s="308"/>
      <c r="AE256" s="308"/>
      <c r="AF256" s="308"/>
      <c r="AG256" s="308"/>
    </row>
    <row r="257" spans="25:33" x14ac:dyDescent="0.25">
      <c r="Y257" s="308"/>
      <c r="Z257" s="308"/>
      <c r="AA257" s="427"/>
      <c r="AB257" s="308"/>
      <c r="AC257" s="308"/>
      <c r="AD257" s="308"/>
      <c r="AE257" s="308"/>
      <c r="AF257" s="308"/>
      <c r="AG257" s="308"/>
    </row>
  </sheetData>
  <sortState ref="D5:H93">
    <sortCondition ref="D93"/>
  </sortState>
  <mergeCells count="91">
    <mergeCell ref="Q4:S4"/>
    <mergeCell ref="D58:H58"/>
    <mergeCell ref="D89:H89"/>
    <mergeCell ref="D76:H76"/>
    <mergeCell ref="D91:H91"/>
    <mergeCell ref="D62:H62"/>
    <mergeCell ref="D61:H61"/>
    <mergeCell ref="D12:H12"/>
    <mergeCell ref="D11:H11"/>
    <mergeCell ref="D28:H28"/>
    <mergeCell ref="D27:H27"/>
    <mergeCell ref="D23:H23"/>
    <mergeCell ref="D24:H24"/>
    <mergeCell ref="D25:H25"/>
    <mergeCell ref="D17:H17"/>
    <mergeCell ref="D9:H9"/>
    <mergeCell ref="D92:H92"/>
    <mergeCell ref="D66:H66"/>
    <mergeCell ref="D71:H71"/>
    <mergeCell ref="D73:H73"/>
    <mergeCell ref="D72:H72"/>
    <mergeCell ref="D77:H77"/>
    <mergeCell ref="D68:H68"/>
    <mergeCell ref="D90:H90"/>
    <mergeCell ref="D86:H86"/>
    <mergeCell ref="D87:H87"/>
    <mergeCell ref="D88:H88"/>
    <mergeCell ref="D85:H85"/>
    <mergeCell ref="D82:H82"/>
    <mergeCell ref="D83:H83"/>
    <mergeCell ref="D78:H78"/>
    <mergeCell ref="D79:H79"/>
    <mergeCell ref="D8:H8"/>
    <mergeCell ref="D7:H7"/>
    <mergeCell ref="D6:H6"/>
    <mergeCell ref="D5:H5"/>
    <mergeCell ref="D33:H33"/>
    <mergeCell ref="D18:H18"/>
    <mergeCell ref="A1:K3"/>
    <mergeCell ref="D31:H31"/>
    <mergeCell ref="D32:H32"/>
    <mergeCell ref="D16:H16"/>
    <mergeCell ref="D15:H15"/>
    <mergeCell ref="D14:H14"/>
    <mergeCell ref="D13:H13"/>
    <mergeCell ref="D30:H30"/>
    <mergeCell ref="D19:H19"/>
    <mergeCell ref="D21:H21"/>
    <mergeCell ref="D20:H20"/>
    <mergeCell ref="D22:H22"/>
    <mergeCell ref="D4:I4"/>
    <mergeCell ref="D10:H10"/>
    <mergeCell ref="D29:H29"/>
    <mergeCell ref="D26:H26"/>
    <mergeCell ref="D42:H42"/>
    <mergeCell ref="D44:H44"/>
    <mergeCell ref="D45:H45"/>
    <mergeCell ref="D49:H49"/>
    <mergeCell ref="D55:H55"/>
    <mergeCell ref="D48:H48"/>
    <mergeCell ref="D46:H46"/>
    <mergeCell ref="D47:H47"/>
    <mergeCell ref="D37:H37"/>
    <mergeCell ref="D38:H38"/>
    <mergeCell ref="D39:H39"/>
    <mergeCell ref="D40:H40"/>
    <mergeCell ref="D41:H41"/>
    <mergeCell ref="D34:H34"/>
    <mergeCell ref="D56:H56"/>
    <mergeCell ref="D67:H67"/>
    <mergeCell ref="D59:H59"/>
    <mergeCell ref="D60:H60"/>
    <mergeCell ref="D63:H63"/>
    <mergeCell ref="D64:H64"/>
    <mergeCell ref="D65:H65"/>
    <mergeCell ref="D35:H35"/>
    <mergeCell ref="D52:H52"/>
    <mergeCell ref="D53:H53"/>
    <mergeCell ref="D54:H54"/>
    <mergeCell ref="D51:H51"/>
    <mergeCell ref="D50:H50"/>
    <mergeCell ref="D36:H36"/>
    <mergeCell ref="D43:H43"/>
    <mergeCell ref="D57:H57"/>
    <mergeCell ref="D80:H80"/>
    <mergeCell ref="D84:H84"/>
    <mergeCell ref="D69:H69"/>
    <mergeCell ref="D70:H70"/>
    <mergeCell ref="D81:H81"/>
    <mergeCell ref="D75:H75"/>
    <mergeCell ref="D74:H74"/>
  </mergeCells>
  <phoneticPr fontId="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OD406"/>
  <sheetViews>
    <sheetView topLeftCell="A277" zoomScale="70" zoomScaleNormal="70" workbookViewId="0">
      <selection activeCell="R229" sqref="R229"/>
    </sheetView>
  </sheetViews>
  <sheetFormatPr baseColWidth="10" defaultRowHeight="15" x14ac:dyDescent="0.25"/>
  <cols>
    <col min="1" max="1" width="9.140625" customWidth="1"/>
    <col min="7" max="7" width="8.85546875" customWidth="1"/>
    <col min="8" max="20" width="11.5703125" customWidth="1"/>
    <col min="21" max="21" width="16" customWidth="1"/>
    <col min="22" max="22" width="15.28515625" customWidth="1"/>
    <col min="23" max="26" width="11.5703125" customWidth="1"/>
    <col min="78" max="82" width="11.5703125" customWidth="1"/>
    <col min="97" max="106" width="11.5703125" customWidth="1"/>
    <col min="115" max="122" width="11.5703125" customWidth="1"/>
    <col min="155" max="174" width="11.5703125" customWidth="1"/>
    <col min="186" max="196" width="11.5703125" customWidth="1"/>
    <col min="209" max="216" width="11.5703125" customWidth="1"/>
    <col min="241" max="243" width="11.5703125" customWidth="1"/>
    <col min="257" max="258" width="11.5703125" customWidth="1"/>
    <col min="269" max="286" width="11.5703125" customWidth="1"/>
    <col min="301" max="302" width="11.5703125" customWidth="1"/>
    <col min="315" max="315" width="11.5703125" customWidth="1"/>
    <col min="328" max="334" width="11.5703125" hidden="1" customWidth="1"/>
    <col min="335" max="341" width="11.5703125" customWidth="1"/>
    <col min="351" max="367" width="11.5703125" customWidth="1"/>
    <col min="378" max="383" width="11.42578125" customWidth="1"/>
  </cols>
  <sheetData>
    <row r="1" spans="1:394" ht="14.45" customHeight="1" x14ac:dyDescent="0.25">
      <c r="A1" s="749" t="s">
        <v>85</v>
      </c>
      <c r="B1" s="749"/>
      <c r="C1" s="749"/>
      <c r="D1" s="749"/>
      <c r="E1" s="749"/>
      <c r="F1" s="749"/>
      <c r="G1" s="749"/>
      <c r="H1" s="749"/>
      <c r="I1" s="749"/>
      <c r="J1" s="749"/>
      <c r="K1" s="749"/>
      <c r="L1" s="749"/>
      <c r="M1" s="749"/>
      <c r="N1" s="749"/>
      <c r="O1" s="749"/>
      <c r="P1" s="749"/>
      <c r="Q1" s="749"/>
      <c r="R1" s="749"/>
      <c r="S1" s="749"/>
      <c r="T1" s="749"/>
      <c r="U1" s="749"/>
      <c r="V1" s="749"/>
      <c r="W1" s="749"/>
      <c r="X1" s="749"/>
      <c r="Y1" s="749"/>
      <c r="Z1" s="749"/>
      <c r="AA1" s="749"/>
      <c r="AB1" s="749"/>
      <c r="AC1" s="749"/>
      <c r="AD1" s="749"/>
      <c r="AE1" s="749"/>
      <c r="AF1" s="749"/>
      <c r="AG1" s="749"/>
      <c r="AH1" s="749"/>
      <c r="AI1" s="749"/>
      <c r="AJ1" s="749"/>
      <c r="AK1" s="749"/>
      <c r="AL1" s="749"/>
      <c r="AM1" s="749"/>
      <c r="AN1" s="749"/>
      <c r="AO1" s="749"/>
      <c r="AP1" s="749"/>
      <c r="AQ1" s="749"/>
      <c r="AR1" s="749"/>
      <c r="AS1" s="749"/>
      <c r="AT1" s="749"/>
      <c r="AU1" s="749"/>
      <c r="AV1" s="749"/>
      <c r="AW1" s="749"/>
      <c r="AX1" s="749"/>
      <c r="AY1" s="749"/>
      <c r="AZ1" s="749"/>
      <c r="BA1" s="749"/>
      <c r="BB1" s="749"/>
      <c r="BC1" s="749"/>
      <c r="BD1" s="749"/>
      <c r="BE1" s="749"/>
      <c r="BF1" s="749"/>
      <c r="BG1" s="749"/>
      <c r="BH1" s="749"/>
      <c r="BI1" s="749"/>
      <c r="BJ1" s="749"/>
      <c r="BK1" s="749"/>
      <c r="BL1" s="749"/>
      <c r="BM1" s="749"/>
      <c r="BN1" s="749"/>
      <c r="BO1" s="749"/>
      <c r="BP1" s="749"/>
      <c r="BQ1" s="749"/>
      <c r="BR1" s="749"/>
      <c r="BS1" s="749"/>
      <c r="BT1" s="749"/>
      <c r="BU1" s="749"/>
      <c r="BV1" s="749"/>
      <c r="BW1" s="749"/>
      <c r="BX1" s="749"/>
      <c r="BY1" s="749"/>
      <c r="BZ1" s="749"/>
      <c r="CA1" s="749"/>
      <c r="CB1" s="749"/>
      <c r="CC1" s="749"/>
      <c r="CD1" s="749"/>
      <c r="CE1" s="749"/>
      <c r="CF1" s="749"/>
      <c r="CG1" s="749"/>
      <c r="CH1" s="749"/>
      <c r="CI1" s="749"/>
      <c r="CJ1" s="749"/>
      <c r="CK1" s="749"/>
      <c r="CL1" s="749"/>
      <c r="CM1" s="749"/>
      <c r="CN1" s="749"/>
      <c r="CO1" s="749"/>
      <c r="CP1" s="749"/>
      <c r="CQ1" s="749"/>
      <c r="CR1" s="749"/>
      <c r="CS1" s="749"/>
      <c r="CT1" s="749"/>
      <c r="CU1" s="749"/>
      <c r="CV1" s="749"/>
      <c r="CW1" s="749"/>
      <c r="CX1" s="749"/>
      <c r="CY1" s="749"/>
      <c r="CZ1" s="749"/>
      <c r="DA1" s="749"/>
      <c r="DB1" s="749"/>
      <c r="DC1" s="749"/>
      <c r="DD1" s="749"/>
      <c r="DE1" s="749"/>
      <c r="DF1" s="749"/>
      <c r="DG1" s="749"/>
      <c r="DH1" s="749"/>
      <c r="DI1" s="749"/>
      <c r="DJ1" s="749"/>
      <c r="DK1" s="749"/>
      <c r="DL1" s="749"/>
      <c r="DM1" s="749"/>
      <c r="DN1" s="749"/>
      <c r="DO1" s="749"/>
      <c r="DP1" s="749"/>
      <c r="DQ1" s="749"/>
      <c r="DR1" s="749"/>
      <c r="DS1" s="749"/>
      <c r="DT1" s="749"/>
      <c r="DU1" s="749"/>
      <c r="DV1" s="749"/>
    </row>
    <row r="2" spans="1:394" ht="14.45" customHeight="1" x14ac:dyDescent="0.25">
      <c r="A2" s="749"/>
      <c r="B2" s="749"/>
      <c r="C2" s="749"/>
      <c r="D2" s="749"/>
      <c r="E2" s="749"/>
      <c r="F2" s="749"/>
      <c r="G2" s="749"/>
      <c r="H2" s="749"/>
      <c r="I2" s="749"/>
      <c r="J2" s="749"/>
      <c r="K2" s="749"/>
      <c r="L2" s="749"/>
      <c r="M2" s="749"/>
      <c r="N2" s="749"/>
      <c r="O2" s="749"/>
      <c r="P2" s="749"/>
      <c r="Q2" s="749"/>
      <c r="R2" s="749"/>
      <c r="S2" s="749"/>
      <c r="T2" s="749"/>
      <c r="U2" s="749"/>
      <c r="V2" s="749"/>
      <c r="W2" s="749"/>
      <c r="X2" s="749"/>
      <c r="Y2" s="749"/>
      <c r="Z2" s="749"/>
      <c r="AA2" s="749"/>
      <c r="AB2" s="749"/>
      <c r="AC2" s="749"/>
      <c r="AD2" s="749"/>
      <c r="AE2" s="749"/>
      <c r="AF2" s="749"/>
      <c r="AG2" s="749"/>
      <c r="AH2" s="749"/>
      <c r="AI2" s="749"/>
      <c r="AJ2" s="749"/>
      <c r="AK2" s="749"/>
      <c r="AL2" s="749"/>
      <c r="AM2" s="749"/>
      <c r="AN2" s="749"/>
      <c r="AO2" s="749"/>
      <c r="AP2" s="749"/>
      <c r="AQ2" s="749"/>
      <c r="AR2" s="749"/>
      <c r="AS2" s="749"/>
      <c r="AT2" s="749"/>
      <c r="AU2" s="749"/>
      <c r="AV2" s="749"/>
      <c r="AW2" s="749"/>
      <c r="AX2" s="749"/>
      <c r="AY2" s="749"/>
      <c r="AZ2" s="749"/>
      <c r="BA2" s="749"/>
      <c r="BB2" s="749"/>
      <c r="BC2" s="749"/>
      <c r="BD2" s="749"/>
      <c r="BE2" s="749"/>
      <c r="BF2" s="749"/>
      <c r="BG2" s="749"/>
      <c r="BH2" s="749"/>
      <c r="BI2" s="749"/>
      <c r="BJ2" s="749"/>
      <c r="BK2" s="749"/>
      <c r="BL2" s="749"/>
      <c r="BM2" s="749"/>
      <c r="BN2" s="749"/>
      <c r="BO2" s="749"/>
      <c r="BP2" s="749"/>
      <c r="BQ2" s="749"/>
      <c r="BR2" s="749"/>
      <c r="BS2" s="749"/>
      <c r="BT2" s="749"/>
      <c r="BU2" s="749"/>
      <c r="BV2" s="749"/>
      <c r="BW2" s="749"/>
      <c r="BX2" s="749"/>
      <c r="BY2" s="749"/>
      <c r="BZ2" s="749"/>
      <c r="CA2" s="749"/>
      <c r="CB2" s="749"/>
      <c r="CC2" s="749"/>
      <c r="CD2" s="749"/>
      <c r="CE2" s="749"/>
      <c r="CF2" s="749"/>
      <c r="CG2" s="749"/>
      <c r="CH2" s="749"/>
      <c r="CI2" s="749"/>
      <c r="CJ2" s="749"/>
      <c r="CK2" s="749"/>
      <c r="CL2" s="749"/>
      <c r="CM2" s="749"/>
      <c r="CN2" s="749"/>
      <c r="CO2" s="749"/>
      <c r="CP2" s="749"/>
      <c r="CQ2" s="749"/>
      <c r="CR2" s="749"/>
      <c r="CS2" s="749"/>
      <c r="CT2" s="749"/>
      <c r="CU2" s="749"/>
      <c r="CV2" s="749"/>
      <c r="CW2" s="749"/>
      <c r="CX2" s="749"/>
      <c r="CY2" s="749"/>
      <c r="CZ2" s="749"/>
      <c r="DA2" s="749"/>
      <c r="DB2" s="749"/>
      <c r="DC2" s="749"/>
      <c r="DD2" s="749"/>
      <c r="DE2" s="749"/>
      <c r="DF2" s="749"/>
      <c r="DG2" s="749"/>
      <c r="DH2" s="749"/>
      <c r="DI2" s="749"/>
      <c r="DJ2" s="749"/>
      <c r="DK2" s="749"/>
      <c r="DL2" s="749"/>
      <c r="DM2" s="749"/>
      <c r="DN2" s="749"/>
      <c r="DO2" s="749"/>
      <c r="DP2" s="749"/>
      <c r="DQ2" s="749"/>
      <c r="DR2" s="749"/>
      <c r="DS2" s="749"/>
      <c r="DT2" s="749"/>
      <c r="DU2" s="749"/>
      <c r="DV2" s="749"/>
    </row>
    <row r="3" spans="1:394" x14ac:dyDescent="0.25">
      <c r="A3" s="749"/>
      <c r="B3" s="749"/>
      <c r="C3" s="749"/>
      <c r="D3" s="749"/>
      <c r="E3" s="749"/>
      <c r="F3" s="749"/>
      <c r="G3" s="749"/>
      <c r="H3" s="749"/>
      <c r="I3" s="749"/>
      <c r="J3" s="749"/>
      <c r="K3" s="749"/>
      <c r="L3" s="749"/>
      <c r="M3" s="749"/>
      <c r="N3" s="749"/>
      <c r="O3" s="749"/>
      <c r="P3" s="749"/>
      <c r="Q3" s="749"/>
      <c r="R3" s="749"/>
      <c r="S3" s="749"/>
      <c r="T3" s="749"/>
      <c r="U3" s="749"/>
      <c r="V3" s="749"/>
      <c r="W3" s="749"/>
      <c r="X3" s="749"/>
      <c r="Y3" s="749"/>
      <c r="Z3" s="749"/>
      <c r="AA3" s="749"/>
      <c r="AB3" s="749"/>
      <c r="AC3" s="749"/>
      <c r="AD3" s="749"/>
      <c r="AE3" s="749"/>
      <c r="AF3" s="749"/>
      <c r="AG3" s="749"/>
      <c r="AH3" s="749"/>
      <c r="AI3" s="749"/>
      <c r="AJ3" s="749"/>
      <c r="AK3" s="749"/>
      <c r="AL3" s="749"/>
      <c r="AM3" s="749"/>
      <c r="AN3" s="749"/>
      <c r="AO3" s="749"/>
      <c r="AP3" s="749"/>
      <c r="AQ3" s="749"/>
      <c r="AR3" s="749"/>
      <c r="AS3" s="749"/>
      <c r="AT3" s="749"/>
      <c r="AU3" s="749"/>
      <c r="AV3" s="749"/>
      <c r="AW3" s="749"/>
      <c r="AX3" s="749"/>
      <c r="AY3" s="749"/>
      <c r="AZ3" s="749"/>
      <c r="BA3" s="749"/>
      <c r="BB3" s="749"/>
      <c r="BC3" s="749"/>
      <c r="BD3" s="749"/>
      <c r="BE3" s="749"/>
      <c r="BF3" s="749"/>
      <c r="BG3" s="749"/>
      <c r="BH3" s="749"/>
      <c r="BI3" s="749"/>
      <c r="BJ3" s="749"/>
      <c r="BK3" s="749"/>
      <c r="BL3" s="749"/>
      <c r="BM3" s="749"/>
      <c r="BN3" s="749"/>
      <c r="BO3" s="749"/>
      <c r="BP3" s="749"/>
      <c r="BQ3" s="749"/>
      <c r="BR3" s="749"/>
      <c r="BS3" s="749"/>
      <c r="BT3" s="749"/>
      <c r="BU3" s="749"/>
      <c r="BV3" s="749"/>
      <c r="BW3" s="749"/>
      <c r="BX3" s="749"/>
      <c r="BY3" s="749"/>
      <c r="BZ3" s="749"/>
      <c r="CA3" s="749"/>
      <c r="CB3" s="749"/>
      <c r="CC3" s="749"/>
      <c r="CD3" s="749"/>
      <c r="CE3" s="749"/>
      <c r="CF3" s="749"/>
      <c r="CG3" s="749"/>
      <c r="CH3" s="749"/>
      <c r="CI3" s="749"/>
      <c r="CJ3" s="749"/>
      <c r="CK3" s="749"/>
      <c r="CL3" s="749"/>
      <c r="CM3" s="749"/>
      <c r="CN3" s="749"/>
      <c r="CO3" s="749"/>
      <c r="CP3" s="749"/>
      <c r="CQ3" s="749"/>
      <c r="CR3" s="749"/>
      <c r="CS3" s="749"/>
      <c r="CT3" s="749"/>
      <c r="CU3" s="749"/>
      <c r="CV3" s="749"/>
      <c r="CW3" s="749"/>
      <c r="CX3" s="749"/>
      <c r="CY3" s="749"/>
      <c r="CZ3" s="749"/>
      <c r="DA3" s="749"/>
      <c r="DB3" s="749"/>
      <c r="DC3" s="749"/>
      <c r="DD3" s="749"/>
      <c r="DE3" s="749"/>
      <c r="DF3" s="749"/>
      <c r="DG3" s="749"/>
      <c r="DH3" s="749"/>
      <c r="DI3" s="749"/>
      <c r="DJ3" s="749"/>
      <c r="DK3" s="749"/>
      <c r="DL3" s="749"/>
      <c r="DM3" s="749"/>
      <c r="DN3" s="749"/>
      <c r="DO3" s="749"/>
      <c r="DP3" s="749"/>
      <c r="DQ3" s="749"/>
      <c r="DR3" s="749"/>
      <c r="DS3" s="749"/>
      <c r="DT3" s="749"/>
      <c r="DU3" s="749"/>
      <c r="DV3" s="749"/>
    </row>
    <row r="4" spans="1:394" ht="14.45" customHeight="1" x14ac:dyDescent="0.25">
      <c r="A4" s="47"/>
      <c r="B4" s="7"/>
      <c r="C4" s="16"/>
      <c r="D4" s="16"/>
      <c r="E4" s="16"/>
      <c r="F4" s="16"/>
      <c r="G4" s="16"/>
      <c r="H4" s="16"/>
      <c r="I4" s="16"/>
      <c r="J4" s="7"/>
      <c r="K4" s="7"/>
      <c r="L4" s="9"/>
      <c r="M4" s="9"/>
      <c r="N4" s="9"/>
      <c r="O4" s="9"/>
      <c r="P4" s="9"/>
      <c r="Q4" s="9"/>
      <c r="R4" s="9"/>
      <c r="S4" s="9"/>
      <c r="T4" s="9"/>
      <c r="U4" s="9"/>
      <c r="V4" s="9"/>
    </row>
    <row r="5" spans="1:394" ht="14.45" customHeight="1" x14ac:dyDescent="0.25">
      <c r="A5" s="47"/>
      <c r="B5" s="7"/>
      <c r="C5" s="628" t="s">
        <v>71</v>
      </c>
      <c r="D5" s="628"/>
      <c r="E5" s="628"/>
      <c r="F5" s="628"/>
      <c r="G5" s="628"/>
      <c r="H5" s="628"/>
      <c r="I5" s="628"/>
      <c r="J5" s="5"/>
      <c r="K5" s="7"/>
      <c r="L5" s="9"/>
      <c r="M5" s="9"/>
      <c r="N5" s="9"/>
      <c r="O5" s="9"/>
      <c r="P5" s="628" t="s">
        <v>60</v>
      </c>
      <c r="Q5" s="628"/>
      <c r="R5" s="628"/>
      <c r="S5" s="628"/>
      <c r="T5" s="628"/>
      <c r="U5" s="628"/>
      <c r="V5" s="628"/>
      <c r="W5" s="7"/>
      <c r="X5" s="9"/>
      <c r="Y5" s="9"/>
      <c r="Z5" s="9"/>
      <c r="AA5" s="9"/>
      <c r="AB5" s="9"/>
      <c r="AC5" s="9"/>
      <c r="AD5" s="9"/>
      <c r="AE5" s="9"/>
      <c r="AF5" s="9"/>
      <c r="AH5" s="714" t="s">
        <v>61</v>
      </c>
      <c r="AI5" s="628"/>
      <c r="AJ5" s="628"/>
      <c r="AK5" s="628"/>
      <c r="AL5" s="628"/>
      <c r="AM5" s="628"/>
      <c r="AN5" s="628"/>
      <c r="AO5" s="7"/>
      <c r="AP5" s="7"/>
      <c r="AQ5" s="7"/>
      <c r="AS5" s="714" t="s">
        <v>62</v>
      </c>
      <c r="AT5" s="628"/>
      <c r="AU5" s="628"/>
      <c r="AV5" s="628"/>
      <c r="AW5" s="628"/>
      <c r="AX5" s="628"/>
      <c r="AY5" s="628"/>
      <c r="AZ5" s="7"/>
      <c r="BG5" s="714" t="s">
        <v>63</v>
      </c>
      <c r="BH5" s="628"/>
      <c r="BI5" s="628"/>
      <c r="BJ5" s="628"/>
      <c r="BK5" s="628"/>
      <c r="BL5" s="628"/>
      <c r="BM5" s="628"/>
      <c r="BN5" s="7"/>
      <c r="BS5" s="714" t="s">
        <v>65</v>
      </c>
      <c r="BT5" s="628"/>
      <c r="BU5" s="628"/>
      <c r="BV5" s="628"/>
      <c r="BW5" s="628"/>
      <c r="BX5" s="628"/>
      <c r="BY5" s="628"/>
      <c r="BZ5" s="7"/>
      <c r="CL5" s="714" t="s">
        <v>69</v>
      </c>
      <c r="CM5" s="628"/>
      <c r="CN5" s="628"/>
      <c r="CO5" s="628"/>
      <c r="CP5" s="628"/>
      <c r="CQ5" s="628"/>
      <c r="CR5" s="628"/>
      <c r="CS5" s="7"/>
      <c r="DD5" s="714" t="s">
        <v>76</v>
      </c>
      <c r="DE5" s="628"/>
      <c r="DF5" s="628"/>
      <c r="DG5" s="628"/>
      <c r="DH5" s="628"/>
      <c r="DI5" s="628"/>
      <c r="DJ5" s="628"/>
      <c r="DX5" s="714" t="s">
        <v>112</v>
      </c>
      <c r="DY5" s="628"/>
      <c r="DZ5" s="628"/>
      <c r="EA5" s="628"/>
      <c r="EB5" s="628"/>
      <c r="EC5" s="628"/>
      <c r="ED5" s="628"/>
      <c r="ER5" s="714" t="s">
        <v>180</v>
      </c>
      <c r="ES5" s="628"/>
      <c r="ET5" s="628"/>
      <c r="EU5" s="628"/>
      <c r="EV5" s="628"/>
      <c r="EW5" s="628"/>
      <c r="EX5" s="628"/>
      <c r="FW5" s="714" t="s">
        <v>189</v>
      </c>
      <c r="FX5" s="628"/>
      <c r="FY5" s="628"/>
      <c r="FZ5" s="628"/>
      <c r="GA5" s="628"/>
      <c r="GB5" s="628"/>
      <c r="GC5" s="628"/>
      <c r="GT5" s="714" t="s">
        <v>206</v>
      </c>
      <c r="GU5" s="628"/>
      <c r="GV5" s="628"/>
      <c r="GW5" s="628"/>
      <c r="GX5" s="628"/>
      <c r="GY5" s="628"/>
      <c r="GZ5" s="628"/>
      <c r="HO5" s="714" t="s">
        <v>205</v>
      </c>
      <c r="HP5" s="628"/>
      <c r="HQ5" s="628"/>
      <c r="HR5" s="628"/>
      <c r="HS5" s="628"/>
      <c r="HT5" s="628"/>
      <c r="HU5" s="628"/>
      <c r="HZ5" s="714" t="s">
        <v>205</v>
      </c>
      <c r="IA5" s="628"/>
      <c r="IB5" s="628"/>
      <c r="IC5" s="628"/>
      <c r="ID5" s="628"/>
      <c r="IE5" s="628"/>
      <c r="IF5" s="628"/>
      <c r="IP5" s="714" t="s">
        <v>227</v>
      </c>
      <c r="IQ5" s="628"/>
      <c r="IR5" s="628"/>
      <c r="IS5" s="628"/>
      <c r="IT5" s="628"/>
      <c r="IU5" s="628"/>
      <c r="IV5" s="628"/>
      <c r="JB5" s="714" t="s">
        <v>241</v>
      </c>
      <c r="JC5" s="628"/>
      <c r="JD5" s="628"/>
      <c r="JE5" s="628"/>
      <c r="JF5" s="628"/>
      <c r="JG5" s="628"/>
      <c r="JH5" s="628"/>
      <c r="KH5" s="714" t="s">
        <v>242</v>
      </c>
      <c r="KI5" s="628"/>
      <c r="KJ5" s="628"/>
      <c r="KK5" s="628"/>
      <c r="KL5" s="628"/>
      <c r="KM5" s="628"/>
      <c r="KN5" s="628"/>
      <c r="KV5" s="714" t="s">
        <v>263</v>
      </c>
      <c r="KW5" s="628"/>
      <c r="KX5" s="628"/>
      <c r="KY5" s="628"/>
      <c r="KZ5" s="628"/>
      <c r="LA5" s="628"/>
      <c r="LB5" s="628"/>
      <c r="LI5" s="714" t="s">
        <v>271</v>
      </c>
      <c r="LJ5" s="628"/>
      <c r="LK5" s="628"/>
      <c r="LL5" s="628"/>
      <c r="LM5" s="628"/>
      <c r="LN5" s="628"/>
      <c r="LO5" s="628"/>
      <c r="MH5" s="714" t="s">
        <v>286</v>
      </c>
      <c r="MI5" s="628"/>
      <c r="MJ5" s="628"/>
      <c r="MK5" s="628"/>
      <c r="ML5" s="628"/>
      <c r="MM5" s="628"/>
      <c r="MN5" s="628"/>
      <c r="NG5" s="714" t="s">
        <v>287</v>
      </c>
      <c r="NH5" s="628"/>
      <c r="NI5" s="628"/>
      <c r="NJ5" s="628"/>
      <c r="NK5" s="628"/>
      <c r="NL5" s="628"/>
      <c r="NM5" s="628"/>
    </row>
    <row r="6" spans="1:394" ht="14.45" customHeight="1" x14ac:dyDescent="0.25">
      <c r="A6" s="47"/>
      <c r="B6" s="7"/>
      <c r="C6" s="628"/>
      <c r="D6" s="628"/>
      <c r="E6" s="628"/>
      <c r="F6" s="628"/>
      <c r="G6" s="628"/>
      <c r="H6" s="628"/>
      <c r="I6" s="628"/>
      <c r="J6" s="5"/>
      <c r="K6" s="7"/>
      <c r="L6" s="9"/>
      <c r="M6" s="9"/>
      <c r="N6" s="9"/>
      <c r="O6" s="9"/>
      <c r="P6" s="628"/>
      <c r="Q6" s="628"/>
      <c r="R6" s="628"/>
      <c r="S6" s="628"/>
      <c r="T6" s="628"/>
      <c r="U6" s="628"/>
      <c r="V6" s="628"/>
      <c r="W6" s="7"/>
      <c r="X6" s="9"/>
      <c r="Y6" s="9"/>
      <c r="Z6" s="9"/>
      <c r="AA6" s="9"/>
      <c r="AB6" s="9"/>
      <c r="AC6" s="9"/>
      <c r="AD6" s="9"/>
      <c r="AE6" s="9"/>
      <c r="AF6" s="9"/>
      <c r="AH6" s="628"/>
      <c r="AI6" s="628"/>
      <c r="AJ6" s="628"/>
      <c r="AK6" s="628"/>
      <c r="AL6" s="628"/>
      <c r="AM6" s="628"/>
      <c r="AN6" s="628"/>
      <c r="AO6" s="7"/>
      <c r="AP6" s="7"/>
      <c r="AQ6" s="7"/>
      <c r="AS6" s="628"/>
      <c r="AT6" s="628"/>
      <c r="AU6" s="628"/>
      <c r="AV6" s="628"/>
      <c r="AW6" s="628"/>
      <c r="AX6" s="628"/>
      <c r="AY6" s="628"/>
      <c r="AZ6" s="7"/>
      <c r="BG6" s="628"/>
      <c r="BH6" s="628"/>
      <c r="BI6" s="628"/>
      <c r="BJ6" s="628"/>
      <c r="BK6" s="628"/>
      <c r="BL6" s="628"/>
      <c r="BM6" s="628"/>
      <c r="BN6" s="7"/>
      <c r="BS6" s="628"/>
      <c r="BT6" s="628"/>
      <c r="BU6" s="628"/>
      <c r="BV6" s="628"/>
      <c r="BW6" s="628"/>
      <c r="BX6" s="628"/>
      <c r="BY6" s="628"/>
      <c r="BZ6" s="7"/>
      <c r="CL6" s="628"/>
      <c r="CM6" s="628"/>
      <c r="CN6" s="628"/>
      <c r="CO6" s="628"/>
      <c r="CP6" s="628"/>
      <c r="CQ6" s="628"/>
      <c r="CR6" s="628"/>
      <c r="CS6" s="7"/>
      <c r="DD6" s="628"/>
      <c r="DE6" s="628"/>
      <c r="DF6" s="628"/>
      <c r="DG6" s="628"/>
      <c r="DH6" s="628"/>
      <c r="DI6" s="628"/>
      <c r="DJ6" s="628"/>
      <c r="DX6" s="628"/>
      <c r="DY6" s="628"/>
      <c r="DZ6" s="628"/>
      <c r="EA6" s="628"/>
      <c r="EB6" s="628"/>
      <c r="EC6" s="628"/>
      <c r="ED6" s="628"/>
      <c r="ER6" s="628"/>
      <c r="ES6" s="628"/>
      <c r="ET6" s="628"/>
      <c r="EU6" s="628"/>
      <c r="EV6" s="628"/>
      <c r="EW6" s="628"/>
      <c r="EX6" s="628"/>
      <c r="FW6" s="628"/>
      <c r="FX6" s="628"/>
      <c r="FY6" s="628"/>
      <c r="FZ6" s="628"/>
      <c r="GA6" s="628"/>
      <c r="GB6" s="628"/>
      <c r="GC6" s="628"/>
      <c r="GT6" s="628"/>
      <c r="GU6" s="628"/>
      <c r="GV6" s="628"/>
      <c r="GW6" s="628"/>
      <c r="GX6" s="628"/>
      <c r="GY6" s="628"/>
      <c r="GZ6" s="628"/>
      <c r="HO6" s="628"/>
      <c r="HP6" s="628"/>
      <c r="HQ6" s="628"/>
      <c r="HR6" s="628"/>
      <c r="HS6" s="628"/>
      <c r="HT6" s="628"/>
      <c r="HU6" s="628"/>
      <c r="HZ6" s="628"/>
      <c r="IA6" s="628"/>
      <c r="IB6" s="628"/>
      <c r="IC6" s="628"/>
      <c r="ID6" s="628"/>
      <c r="IE6" s="628"/>
      <c r="IF6" s="628"/>
      <c r="IP6" s="628"/>
      <c r="IQ6" s="628"/>
      <c r="IR6" s="628"/>
      <c r="IS6" s="628"/>
      <c r="IT6" s="628"/>
      <c r="IU6" s="628"/>
      <c r="IV6" s="628"/>
      <c r="IW6" t="s">
        <v>230</v>
      </c>
      <c r="JB6" s="628"/>
      <c r="JC6" s="628"/>
      <c r="JD6" s="628"/>
      <c r="JE6" s="628"/>
      <c r="JF6" s="628"/>
      <c r="JG6" s="628"/>
      <c r="JH6" s="628"/>
      <c r="KH6" s="628"/>
      <c r="KI6" s="628"/>
      <c r="KJ6" s="628"/>
      <c r="KK6" s="628"/>
      <c r="KL6" s="628"/>
      <c r="KM6" s="628"/>
      <c r="KN6" s="628"/>
      <c r="KV6" s="628"/>
      <c r="KW6" s="628"/>
      <c r="KX6" s="628"/>
      <c r="KY6" s="628"/>
      <c r="KZ6" s="628"/>
      <c r="LA6" s="628"/>
      <c r="LB6" s="628"/>
      <c r="LI6" s="628"/>
      <c r="LJ6" s="628"/>
      <c r="LK6" s="628"/>
      <c r="LL6" s="628"/>
      <c r="LM6" s="628"/>
      <c r="LN6" s="628"/>
      <c r="LO6" s="628"/>
      <c r="MH6" s="628"/>
      <c r="MI6" s="628"/>
      <c r="MJ6" s="628"/>
      <c r="MK6" s="628"/>
      <c r="ML6" s="628"/>
      <c r="MM6" s="628"/>
      <c r="MN6" s="628"/>
      <c r="NG6" s="628"/>
      <c r="NH6" s="628"/>
      <c r="NI6" s="628"/>
      <c r="NJ6" s="628"/>
      <c r="NK6" s="628"/>
      <c r="NL6" s="628"/>
      <c r="NM6" s="628"/>
    </row>
    <row r="7" spans="1:394" ht="14.45" customHeight="1" x14ac:dyDescent="0.25">
      <c r="A7" s="47"/>
      <c r="B7" s="10"/>
      <c r="C7" s="715" t="s">
        <v>2</v>
      </c>
      <c r="D7" s="715"/>
      <c r="E7" s="715"/>
      <c r="F7" s="715"/>
      <c r="G7" s="715"/>
      <c r="H7" s="715"/>
      <c r="I7" s="11" t="s">
        <v>3</v>
      </c>
      <c r="J7" s="11" t="s">
        <v>70</v>
      </c>
      <c r="K7" s="18">
        <v>23</v>
      </c>
      <c r="L7" s="18">
        <v>24</v>
      </c>
      <c r="M7" s="18" t="s">
        <v>1</v>
      </c>
      <c r="N7" s="18" t="s">
        <v>72</v>
      </c>
      <c r="O7" s="17"/>
      <c r="P7" s="715" t="s">
        <v>2</v>
      </c>
      <c r="Q7" s="715"/>
      <c r="R7" s="715"/>
      <c r="S7" s="715"/>
      <c r="T7" s="715"/>
      <c r="U7" s="715"/>
      <c r="V7" s="11" t="s">
        <v>3</v>
      </c>
      <c r="W7" s="18">
        <v>25</v>
      </c>
      <c r="X7" s="18">
        <v>26</v>
      </c>
      <c r="Y7" s="22" t="s">
        <v>1</v>
      </c>
      <c r="Z7" s="18" t="s">
        <v>72</v>
      </c>
      <c r="AA7" s="217"/>
      <c r="AB7" s="217"/>
      <c r="AC7" s="217"/>
      <c r="AD7" s="217"/>
      <c r="AE7" s="217"/>
      <c r="AF7" s="217"/>
      <c r="AG7" s="17"/>
      <c r="AH7" s="715" t="s">
        <v>2</v>
      </c>
      <c r="AI7" s="715"/>
      <c r="AJ7" s="715"/>
      <c r="AK7" s="715"/>
      <c r="AL7" s="715"/>
      <c r="AM7" s="715"/>
      <c r="AN7" s="11" t="s">
        <v>3</v>
      </c>
      <c r="AO7" s="18">
        <v>27</v>
      </c>
      <c r="AP7" s="22" t="s">
        <v>1</v>
      </c>
      <c r="AQ7" s="18" t="s">
        <v>72</v>
      </c>
      <c r="AS7" s="715" t="s">
        <v>2</v>
      </c>
      <c r="AT7" s="715"/>
      <c r="AU7" s="715"/>
      <c r="AV7" s="715"/>
      <c r="AW7" s="715"/>
      <c r="AX7" s="715"/>
      <c r="AY7" s="11" t="s">
        <v>3</v>
      </c>
      <c r="AZ7" s="18">
        <v>28</v>
      </c>
      <c r="BA7" s="18">
        <v>29</v>
      </c>
      <c r="BB7" s="18">
        <v>30</v>
      </c>
      <c r="BC7" s="18">
        <v>31</v>
      </c>
      <c r="BD7" s="22" t="s">
        <v>1</v>
      </c>
      <c r="BE7" s="18" t="s">
        <v>72</v>
      </c>
      <c r="BF7" s="24"/>
      <c r="BG7" s="715" t="s">
        <v>2</v>
      </c>
      <c r="BH7" s="715"/>
      <c r="BI7" s="715"/>
      <c r="BJ7" s="715"/>
      <c r="BK7" s="715"/>
      <c r="BL7" s="715"/>
      <c r="BM7" s="11" t="s">
        <v>3</v>
      </c>
      <c r="BN7" s="18">
        <v>1</v>
      </c>
      <c r="BO7" s="18">
        <v>2</v>
      </c>
      <c r="BP7" s="22" t="s">
        <v>1</v>
      </c>
      <c r="BQ7" s="18" t="s">
        <v>72</v>
      </c>
      <c r="BR7" s="24"/>
      <c r="BS7" s="715" t="s">
        <v>2</v>
      </c>
      <c r="BT7" s="715"/>
      <c r="BU7" s="715"/>
      <c r="BV7" s="715"/>
      <c r="BW7" s="715"/>
      <c r="BX7" s="715"/>
      <c r="BY7" s="11" t="s">
        <v>3</v>
      </c>
      <c r="BZ7" s="18">
        <v>3</v>
      </c>
      <c r="CA7" s="18">
        <v>4</v>
      </c>
      <c r="CB7" s="18">
        <v>5</v>
      </c>
      <c r="CC7" s="18">
        <v>6</v>
      </c>
      <c r="CD7" s="18">
        <v>7</v>
      </c>
      <c r="CE7" s="18">
        <v>8</v>
      </c>
      <c r="CF7" s="18">
        <v>9</v>
      </c>
      <c r="CG7" s="18">
        <v>10</v>
      </c>
      <c r="CH7" s="18">
        <v>11</v>
      </c>
      <c r="CI7" s="22" t="s">
        <v>1</v>
      </c>
      <c r="CJ7" s="18" t="s">
        <v>72</v>
      </c>
      <c r="CK7" s="24"/>
      <c r="CL7" s="715" t="s">
        <v>2</v>
      </c>
      <c r="CM7" s="715"/>
      <c r="CN7" s="715"/>
      <c r="CO7" s="715"/>
      <c r="CP7" s="715"/>
      <c r="CQ7" s="715"/>
      <c r="CR7" s="11" t="s">
        <v>3</v>
      </c>
      <c r="CS7" s="18">
        <v>13</v>
      </c>
      <c r="CT7" s="18">
        <v>14</v>
      </c>
      <c r="CU7" s="18">
        <v>15</v>
      </c>
      <c r="CV7" s="18">
        <v>16</v>
      </c>
      <c r="CW7" s="18">
        <v>17</v>
      </c>
      <c r="CX7" s="18">
        <v>18</v>
      </c>
      <c r="CY7" s="18">
        <v>19</v>
      </c>
      <c r="CZ7" s="18">
        <v>20</v>
      </c>
      <c r="DA7" s="22" t="s">
        <v>1</v>
      </c>
      <c r="DB7" s="18" t="s">
        <v>72</v>
      </c>
      <c r="DC7" s="24"/>
      <c r="DD7" s="715" t="s">
        <v>2</v>
      </c>
      <c r="DE7" s="715"/>
      <c r="DF7" s="715"/>
      <c r="DG7" s="715"/>
      <c r="DH7" s="715"/>
      <c r="DI7" s="715"/>
      <c r="DJ7" s="11" t="s">
        <v>3</v>
      </c>
      <c r="DK7" s="18">
        <v>21</v>
      </c>
      <c r="DL7" s="18">
        <v>22</v>
      </c>
      <c r="DM7" s="18">
        <v>23</v>
      </c>
      <c r="DN7" s="18">
        <v>24</v>
      </c>
      <c r="DO7" s="18">
        <v>25</v>
      </c>
      <c r="DP7" s="18">
        <v>26</v>
      </c>
      <c r="DQ7" s="18">
        <v>27</v>
      </c>
      <c r="DR7" s="18">
        <v>28</v>
      </c>
      <c r="DS7" s="18">
        <v>29</v>
      </c>
      <c r="DT7" s="18">
        <v>30</v>
      </c>
      <c r="DU7" s="22" t="s">
        <v>1</v>
      </c>
      <c r="DV7" s="18" t="s">
        <v>72</v>
      </c>
      <c r="DX7" s="715" t="s">
        <v>2</v>
      </c>
      <c r="DY7" s="715"/>
      <c r="DZ7" s="715"/>
      <c r="EA7" s="715"/>
      <c r="EB7" s="715"/>
      <c r="EC7" s="715"/>
      <c r="ED7" s="11" t="s">
        <v>3</v>
      </c>
      <c r="EE7" s="18">
        <v>1</v>
      </c>
      <c r="EF7" s="18">
        <v>2</v>
      </c>
      <c r="EG7" s="18">
        <v>3</v>
      </c>
      <c r="EH7" s="18">
        <v>4</v>
      </c>
      <c r="EI7" s="18">
        <v>5</v>
      </c>
      <c r="EJ7" s="18">
        <v>6</v>
      </c>
      <c r="EK7" s="18">
        <v>7</v>
      </c>
      <c r="EL7" s="18">
        <v>8</v>
      </c>
      <c r="EM7" s="22">
        <v>9</v>
      </c>
      <c r="EN7" s="22">
        <v>10</v>
      </c>
      <c r="EO7" s="22" t="s">
        <v>1</v>
      </c>
      <c r="EP7" s="18" t="s">
        <v>72</v>
      </c>
      <c r="ER7" s="715" t="s">
        <v>2</v>
      </c>
      <c r="ES7" s="715"/>
      <c r="ET7" s="715"/>
      <c r="EU7" s="715"/>
      <c r="EV7" s="715"/>
      <c r="EW7" s="715"/>
      <c r="EX7" s="11" t="s">
        <v>3</v>
      </c>
      <c r="EY7" s="18">
        <v>11</v>
      </c>
      <c r="EZ7" s="18">
        <v>12</v>
      </c>
      <c r="FA7" s="18">
        <v>13</v>
      </c>
      <c r="FB7" s="18">
        <v>14</v>
      </c>
      <c r="FC7" s="18">
        <v>15</v>
      </c>
      <c r="FD7" s="18">
        <v>16</v>
      </c>
      <c r="FE7" s="18">
        <v>17</v>
      </c>
      <c r="FF7" s="18">
        <v>18</v>
      </c>
      <c r="FG7" s="18">
        <v>19</v>
      </c>
      <c r="FH7" s="18">
        <v>20</v>
      </c>
      <c r="FI7" s="22">
        <v>21</v>
      </c>
      <c r="FJ7" s="18">
        <v>22</v>
      </c>
      <c r="FK7" s="22">
        <v>23</v>
      </c>
      <c r="FL7" s="18">
        <v>24</v>
      </c>
      <c r="FM7" s="22">
        <v>25</v>
      </c>
      <c r="FN7" s="18">
        <v>26</v>
      </c>
      <c r="FO7" s="22">
        <v>27</v>
      </c>
      <c r="FP7" s="22">
        <v>28</v>
      </c>
      <c r="FQ7" s="22">
        <v>29</v>
      </c>
      <c r="FR7" s="22">
        <v>30</v>
      </c>
      <c r="FS7" s="22">
        <v>31</v>
      </c>
      <c r="FT7" s="22" t="s">
        <v>1</v>
      </c>
      <c r="FU7" s="18" t="s">
        <v>72</v>
      </c>
      <c r="FW7" s="715" t="s">
        <v>2</v>
      </c>
      <c r="FX7" s="715"/>
      <c r="FY7" s="715"/>
      <c r="FZ7" s="715"/>
      <c r="GA7" s="715"/>
      <c r="GB7" s="715"/>
      <c r="GC7" s="11" t="s">
        <v>3</v>
      </c>
      <c r="GD7" s="18">
        <v>1</v>
      </c>
      <c r="GE7" s="18">
        <v>2</v>
      </c>
      <c r="GF7" s="18">
        <v>3</v>
      </c>
      <c r="GG7" s="18">
        <v>4</v>
      </c>
      <c r="GH7" s="18">
        <v>5</v>
      </c>
      <c r="GI7" s="18">
        <v>6</v>
      </c>
      <c r="GJ7" s="18">
        <v>7</v>
      </c>
      <c r="GK7" s="18">
        <v>8</v>
      </c>
      <c r="GL7" s="18">
        <v>9</v>
      </c>
      <c r="GM7" s="18">
        <v>10</v>
      </c>
      <c r="GN7" s="18">
        <v>11</v>
      </c>
      <c r="GO7" s="18">
        <v>12</v>
      </c>
      <c r="GP7" s="22">
        <v>13</v>
      </c>
      <c r="GQ7" s="22" t="s">
        <v>1</v>
      </c>
      <c r="GR7" s="18" t="s">
        <v>72</v>
      </c>
      <c r="GT7" s="715" t="s">
        <v>2</v>
      </c>
      <c r="GU7" s="715"/>
      <c r="GV7" s="715"/>
      <c r="GW7" s="715"/>
      <c r="GX7" s="715"/>
      <c r="GY7" s="715"/>
      <c r="GZ7" s="11" t="s">
        <v>3</v>
      </c>
      <c r="HA7" s="18">
        <v>14</v>
      </c>
      <c r="HB7" s="18">
        <v>15</v>
      </c>
      <c r="HC7" s="18">
        <v>16</v>
      </c>
      <c r="HD7" s="18">
        <v>17</v>
      </c>
      <c r="HE7" s="18">
        <v>18</v>
      </c>
      <c r="HF7" s="18">
        <v>19</v>
      </c>
      <c r="HG7" s="18">
        <v>20</v>
      </c>
      <c r="HH7" s="18">
        <v>21</v>
      </c>
      <c r="HI7" s="18">
        <v>22</v>
      </c>
      <c r="HJ7" s="18">
        <v>23</v>
      </c>
      <c r="HK7" s="18">
        <v>24</v>
      </c>
      <c r="HL7" s="22" t="s">
        <v>1</v>
      </c>
      <c r="HM7" s="18" t="s">
        <v>72</v>
      </c>
      <c r="HO7" s="715" t="s">
        <v>2</v>
      </c>
      <c r="HP7" s="715"/>
      <c r="HQ7" s="715"/>
      <c r="HR7" s="715"/>
      <c r="HS7" s="715"/>
      <c r="HT7" s="715"/>
      <c r="HU7" s="11" t="s">
        <v>3</v>
      </c>
      <c r="HV7" s="18">
        <v>25</v>
      </c>
      <c r="HW7" s="22" t="s">
        <v>1</v>
      </c>
      <c r="HX7" s="18" t="s">
        <v>72</v>
      </c>
      <c r="HZ7" s="715" t="s">
        <v>2</v>
      </c>
      <c r="IA7" s="715"/>
      <c r="IB7" s="715"/>
      <c r="IC7" s="715"/>
      <c r="ID7" s="715"/>
      <c r="IE7" s="715"/>
      <c r="IF7" s="11" t="s">
        <v>3</v>
      </c>
      <c r="IG7" s="18">
        <v>26</v>
      </c>
      <c r="IH7" s="22" t="s">
        <v>224</v>
      </c>
      <c r="II7" s="22">
        <v>28</v>
      </c>
      <c r="IJ7" s="22">
        <v>29</v>
      </c>
      <c r="IK7" s="22">
        <v>30</v>
      </c>
      <c r="IL7" s="22" t="s">
        <v>223</v>
      </c>
      <c r="IM7" s="22" t="s">
        <v>1</v>
      </c>
      <c r="IN7" s="18" t="s">
        <v>72</v>
      </c>
      <c r="IP7" s="715" t="s">
        <v>2</v>
      </c>
      <c r="IQ7" s="715"/>
      <c r="IR7" s="715"/>
      <c r="IS7" s="715"/>
      <c r="IT7" s="715"/>
      <c r="IU7" s="715"/>
      <c r="IV7" s="11" t="s">
        <v>3</v>
      </c>
      <c r="IW7" s="18">
        <v>1</v>
      </c>
      <c r="IX7" s="22">
        <v>2</v>
      </c>
      <c r="IY7" s="22" t="s">
        <v>1</v>
      </c>
      <c r="IZ7" s="18" t="s">
        <v>72</v>
      </c>
      <c r="JB7" s="715" t="s">
        <v>2</v>
      </c>
      <c r="JC7" s="715"/>
      <c r="JD7" s="715"/>
      <c r="JE7" s="715"/>
      <c r="JF7" s="715"/>
      <c r="JG7" s="715"/>
      <c r="JH7" s="11" t="s">
        <v>3</v>
      </c>
      <c r="JI7" s="18">
        <v>3</v>
      </c>
      <c r="JJ7" s="22">
        <v>4</v>
      </c>
      <c r="JK7" s="22">
        <v>5</v>
      </c>
      <c r="JL7" s="22">
        <v>6</v>
      </c>
      <c r="JM7" s="22">
        <v>7</v>
      </c>
      <c r="JN7" s="22">
        <v>8</v>
      </c>
      <c r="JO7" s="22">
        <v>9</v>
      </c>
      <c r="JP7" s="22">
        <v>10</v>
      </c>
      <c r="JQ7" s="22">
        <v>11</v>
      </c>
      <c r="JR7" s="22">
        <v>12</v>
      </c>
      <c r="JS7" s="22">
        <v>13</v>
      </c>
      <c r="JT7" s="22">
        <v>14</v>
      </c>
      <c r="JU7" s="22">
        <v>15</v>
      </c>
      <c r="JV7" s="22">
        <v>16</v>
      </c>
      <c r="JW7" s="22">
        <v>17</v>
      </c>
      <c r="JX7" s="22">
        <v>18</v>
      </c>
      <c r="JY7" s="22">
        <v>19</v>
      </c>
      <c r="JZ7" s="22">
        <v>20</v>
      </c>
      <c r="KA7" s="22">
        <v>21</v>
      </c>
      <c r="KB7" s="22">
        <v>22</v>
      </c>
      <c r="KC7" s="22">
        <v>23</v>
      </c>
      <c r="KD7" s="22"/>
      <c r="KE7" s="22" t="s">
        <v>1</v>
      </c>
      <c r="KF7" s="18" t="s">
        <v>72</v>
      </c>
      <c r="KH7" s="715" t="s">
        <v>2</v>
      </c>
      <c r="KI7" s="715"/>
      <c r="KJ7" s="715"/>
      <c r="KK7" s="715"/>
      <c r="KL7" s="715"/>
      <c r="KM7" s="715"/>
      <c r="KN7" s="11" t="s">
        <v>3</v>
      </c>
      <c r="KO7" s="18">
        <v>24</v>
      </c>
      <c r="KP7" s="22">
        <v>25</v>
      </c>
      <c r="KQ7" s="22">
        <v>26</v>
      </c>
      <c r="KR7" s="22">
        <v>27</v>
      </c>
      <c r="KS7" s="22" t="s">
        <v>1</v>
      </c>
      <c r="KT7" s="18" t="s">
        <v>72</v>
      </c>
      <c r="KV7" s="715" t="s">
        <v>2</v>
      </c>
      <c r="KW7" s="715"/>
      <c r="KX7" s="715"/>
      <c r="KY7" s="715"/>
      <c r="KZ7" s="715"/>
      <c r="LA7" s="715"/>
      <c r="LB7" s="11" t="s">
        <v>3</v>
      </c>
      <c r="LC7" s="18">
        <v>28</v>
      </c>
      <c r="LD7" s="22">
        <v>29</v>
      </c>
      <c r="LE7" s="22">
        <v>30</v>
      </c>
      <c r="LF7" s="22" t="s">
        <v>1</v>
      </c>
      <c r="LG7" s="18" t="s">
        <v>72</v>
      </c>
      <c r="LI7" s="715" t="s">
        <v>2</v>
      </c>
      <c r="LJ7" s="715"/>
      <c r="LK7" s="715"/>
      <c r="LL7" s="715"/>
      <c r="LM7" s="715"/>
      <c r="LN7" s="715"/>
      <c r="LO7" s="11" t="s">
        <v>3</v>
      </c>
      <c r="LP7" s="18">
        <v>1</v>
      </c>
      <c r="LQ7" s="22">
        <v>2</v>
      </c>
      <c r="LR7" s="22">
        <v>3</v>
      </c>
      <c r="LS7" s="22">
        <v>4</v>
      </c>
      <c r="LT7" s="22">
        <v>5</v>
      </c>
      <c r="LU7" s="22">
        <v>6</v>
      </c>
      <c r="LV7" s="22">
        <v>7</v>
      </c>
      <c r="LW7" s="22">
        <v>8</v>
      </c>
      <c r="LX7" s="22">
        <v>9</v>
      </c>
      <c r="LY7" s="22">
        <v>10</v>
      </c>
      <c r="LZ7" s="22">
        <v>11</v>
      </c>
      <c r="MA7" s="22">
        <v>12</v>
      </c>
      <c r="MB7" s="22">
        <v>13</v>
      </c>
      <c r="MC7" s="22">
        <v>14</v>
      </c>
      <c r="MD7" s="22">
        <v>15</v>
      </c>
      <c r="ME7" s="22" t="s">
        <v>1</v>
      </c>
      <c r="MF7" s="18" t="s">
        <v>72</v>
      </c>
      <c r="MH7" s="715" t="s">
        <v>2</v>
      </c>
      <c r="MI7" s="715"/>
      <c r="MJ7" s="715"/>
      <c r="MK7" s="715"/>
      <c r="ML7" s="715"/>
      <c r="MM7" s="715"/>
      <c r="MN7" s="11" t="s">
        <v>3</v>
      </c>
      <c r="MO7" s="18">
        <v>17</v>
      </c>
      <c r="MP7" s="22">
        <v>18</v>
      </c>
      <c r="MQ7" s="22">
        <v>19</v>
      </c>
      <c r="MR7" s="22">
        <v>20</v>
      </c>
      <c r="MS7" s="22">
        <v>21</v>
      </c>
      <c r="MT7" s="22">
        <v>22</v>
      </c>
      <c r="MU7" s="22">
        <v>23</v>
      </c>
      <c r="MV7" s="22">
        <v>24</v>
      </c>
      <c r="MW7" s="22">
        <v>25</v>
      </c>
      <c r="MX7" s="22">
        <v>26</v>
      </c>
      <c r="MY7" s="22">
        <v>27</v>
      </c>
      <c r="MZ7" s="22">
        <v>28</v>
      </c>
      <c r="NA7" s="22">
        <v>29</v>
      </c>
      <c r="NB7" s="22">
        <v>30</v>
      </c>
      <c r="NC7" s="22">
        <v>31</v>
      </c>
      <c r="ND7" s="22" t="s">
        <v>1</v>
      </c>
      <c r="NE7" s="18" t="s">
        <v>72</v>
      </c>
      <c r="NG7" s="715" t="s">
        <v>2</v>
      </c>
      <c r="NH7" s="715"/>
      <c r="NI7" s="715"/>
      <c r="NJ7" s="715"/>
      <c r="NK7" s="715"/>
      <c r="NL7" s="715"/>
      <c r="NM7" s="11" t="s">
        <v>3</v>
      </c>
      <c r="NN7" s="18">
        <v>1</v>
      </c>
      <c r="NO7" s="22">
        <v>2</v>
      </c>
      <c r="NP7" s="22">
        <v>3</v>
      </c>
      <c r="NQ7" s="22">
        <v>4</v>
      </c>
      <c r="NR7" s="22">
        <v>5</v>
      </c>
      <c r="NS7" s="22">
        <v>6</v>
      </c>
      <c r="NT7" s="22">
        <v>7</v>
      </c>
      <c r="NU7" s="22">
        <v>8</v>
      </c>
      <c r="NV7" s="22">
        <v>25</v>
      </c>
      <c r="NW7" s="22">
        <v>26</v>
      </c>
      <c r="NX7" s="22">
        <v>27</v>
      </c>
      <c r="NY7" s="22">
        <v>28</v>
      </c>
      <c r="NZ7" s="22">
        <v>29</v>
      </c>
      <c r="OA7" s="22">
        <v>30</v>
      </c>
      <c r="OB7" s="22">
        <v>31</v>
      </c>
      <c r="OC7" s="22" t="s">
        <v>1</v>
      </c>
      <c r="OD7" s="18" t="s">
        <v>72</v>
      </c>
    </row>
    <row r="8" spans="1:394" ht="14.45" customHeight="1" x14ac:dyDescent="0.25">
      <c r="A8" s="47"/>
      <c r="B8" s="12"/>
      <c r="C8" s="709" t="s">
        <v>55</v>
      </c>
      <c r="D8" s="709"/>
      <c r="E8" s="709"/>
      <c r="F8" s="709"/>
      <c r="G8" s="709"/>
      <c r="H8" s="11"/>
      <c r="I8" s="13"/>
      <c r="J8" s="13"/>
      <c r="K8" s="19"/>
      <c r="L8" s="19"/>
      <c r="M8" s="19">
        <f>SUM(J8:L8)</f>
        <v>0</v>
      </c>
      <c r="N8" s="19">
        <f>M8*I8</f>
        <v>0</v>
      </c>
      <c r="O8" s="12"/>
      <c r="P8" s="710" t="s">
        <v>55</v>
      </c>
      <c r="Q8" s="711"/>
      <c r="R8" s="711"/>
      <c r="S8" s="711"/>
      <c r="T8" s="711"/>
      <c r="U8" s="712"/>
      <c r="V8" s="13"/>
      <c r="W8" s="19"/>
      <c r="X8" s="19"/>
      <c r="Y8" s="23">
        <f>SUM(W8:X8)</f>
        <v>0</v>
      </c>
      <c r="Z8" s="19">
        <f>Y8*V8</f>
        <v>0</v>
      </c>
      <c r="AA8" s="34"/>
      <c r="AB8" s="34"/>
      <c r="AC8" s="34"/>
      <c r="AD8" s="34"/>
      <c r="AE8" s="34"/>
      <c r="AF8" s="34"/>
      <c r="AG8" s="6"/>
      <c r="AH8" s="709" t="s">
        <v>55</v>
      </c>
      <c r="AI8" s="709"/>
      <c r="AJ8" s="709"/>
      <c r="AK8" s="709"/>
      <c r="AL8" s="709"/>
      <c r="AM8" s="11"/>
      <c r="AN8" s="13"/>
      <c r="AO8" s="19"/>
      <c r="AP8" s="23">
        <f>SUM(AO8)</f>
        <v>0</v>
      </c>
      <c r="AQ8" s="19">
        <f>AP8*AN8</f>
        <v>0</v>
      </c>
      <c r="AS8" s="706" t="s">
        <v>55</v>
      </c>
      <c r="AT8" s="707"/>
      <c r="AU8" s="707"/>
      <c r="AV8" s="707"/>
      <c r="AW8" s="707"/>
      <c r="AX8" s="708"/>
      <c r="AY8" s="28"/>
      <c r="AZ8" s="28"/>
      <c r="BA8" s="28"/>
      <c r="BB8" s="28"/>
      <c r="BC8" s="28"/>
      <c r="BD8" s="30">
        <f>SUM(AZ8:BC8)</f>
        <v>0</v>
      </c>
      <c r="BE8" s="28">
        <f>BD8*AY8</f>
        <v>0</v>
      </c>
      <c r="BF8" s="14"/>
      <c r="BG8" s="706" t="s">
        <v>55</v>
      </c>
      <c r="BH8" s="707"/>
      <c r="BI8" s="707"/>
      <c r="BJ8" s="707"/>
      <c r="BK8" s="707"/>
      <c r="BL8" s="708"/>
      <c r="BM8" s="28"/>
      <c r="BN8" s="28"/>
      <c r="BO8" s="28"/>
      <c r="BP8" s="30">
        <f>SUM(BN8:BO8)</f>
        <v>0</v>
      </c>
      <c r="BQ8" s="28">
        <f>BP8*BM8</f>
        <v>0</v>
      </c>
      <c r="BR8" s="14"/>
      <c r="BS8" s="706" t="s">
        <v>55</v>
      </c>
      <c r="BT8" s="707"/>
      <c r="BU8" s="707"/>
      <c r="BV8" s="707"/>
      <c r="BW8" s="707"/>
      <c r="BX8" s="708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30">
        <f>SUM(BZ8:CH8)</f>
        <v>0</v>
      </c>
      <c r="CJ8" s="28">
        <f>CI8*BY8</f>
        <v>0</v>
      </c>
      <c r="CK8" s="14"/>
      <c r="CL8" s="706" t="s">
        <v>55</v>
      </c>
      <c r="CM8" s="707"/>
      <c r="CN8" s="707"/>
      <c r="CO8" s="707"/>
      <c r="CP8" s="707"/>
      <c r="CQ8" s="708"/>
      <c r="CR8" s="28">
        <v>7</v>
      </c>
      <c r="CS8" s="28"/>
      <c r="CT8" s="28"/>
      <c r="CU8" s="28">
        <v>1</v>
      </c>
      <c r="CV8" s="28"/>
      <c r="CW8" s="28">
        <v>1</v>
      </c>
      <c r="CX8" s="28"/>
      <c r="CY8" s="28"/>
      <c r="CZ8" s="28"/>
      <c r="DA8" s="30">
        <f>SUM(CS8:CZ8)</f>
        <v>2</v>
      </c>
      <c r="DB8" s="28">
        <f>DA8*CR8</f>
        <v>14</v>
      </c>
      <c r="DC8" s="14"/>
      <c r="DD8" s="706" t="s">
        <v>55</v>
      </c>
      <c r="DE8" s="707"/>
      <c r="DF8" s="707"/>
      <c r="DG8" s="707"/>
      <c r="DH8" s="707"/>
      <c r="DI8" s="708"/>
      <c r="DJ8" s="28">
        <v>7.5</v>
      </c>
      <c r="DK8" s="28">
        <v>22</v>
      </c>
      <c r="DL8" s="28"/>
      <c r="DM8" s="28"/>
      <c r="DN8" s="28"/>
      <c r="DO8" s="28"/>
      <c r="DP8" s="28"/>
      <c r="DQ8" s="28"/>
      <c r="DR8" s="28">
        <v>1</v>
      </c>
      <c r="DS8" s="28"/>
      <c r="DT8" s="28">
        <v>1</v>
      </c>
      <c r="DU8" s="30">
        <f>SUM(DK8:DT8)</f>
        <v>24</v>
      </c>
      <c r="DV8" s="28">
        <f>DU8*DJ8</f>
        <v>180</v>
      </c>
      <c r="DX8" s="706" t="s">
        <v>55</v>
      </c>
      <c r="DY8" s="707"/>
      <c r="DZ8" s="707"/>
      <c r="EA8" s="707"/>
      <c r="EB8" s="707"/>
      <c r="EC8" s="708"/>
      <c r="ED8" s="28">
        <v>7.5</v>
      </c>
      <c r="EE8" s="28"/>
      <c r="EF8" s="28"/>
      <c r="EG8" s="28"/>
      <c r="EH8" s="28"/>
      <c r="EI8" s="28"/>
      <c r="EJ8" s="28"/>
      <c r="EK8" s="28"/>
      <c r="EL8" s="28"/>
      <c r="EM8" s="30"/>
      <c r="EN8" s="30"/>
      <c r="EO8" s="30">
        <f>SUM(EE8:EN8)</f>
        <v>0</v>
      </c>
      <c r="EP8" s="28">
        <f>EO8*ED8</f>
        <v>0</v>
      </c>
      <c r="EQ8" t="str">
        <f>IF(ED8=EX8,"IGUAL","DIFERENTE")</f>
        <v>IGUAL</v>
      </c>
      <c r="ER8" s="706" t="s">
        <v>55</v>
      </c>
      <c r="ES8" s="707"/>
      <c r="ET8" s="707"/>
      <c r="EU8" s="707"/>
      <c r="EV8" s="707"/>
      <c r="EW8" s="708"/>
      <c r="EX8" s="28">
        <v>7.5</v>
      </c>
      <c r="EY8" s="28"/>
      <c r="EZ8" s="28">
        <v>1</v>
      </c>
      <c r="FA8" s="28"/>
      <c r="FB8" s="28"/>
      <c r="FC8" s="28"/>
      <c r="FD8" s="28">
        <v>1</v>
      </c>
      <c r="FE8" s="28"/>
      <c r="FF8" s="28"/>
      <c r="FG8" s="28"/>
      <c r="FH8" s="28">
        <v>1</v>
      </c>
      <c r="FI8" s="30">
        <v>1</v>
      </c>
      <c r="FJ8" s="30"/>
      <c r="FK8" s="30"/>
      <c r="FL8" s="30"/>
      <c r="FM8" s="30">
        <v>1</v>
      </c>
      <c r="FN8" s="30"/>
      <c r="FO8" s="30"/>
      <c r="FP8" s="30"/>
      <c r="FQ8" s="30"/>
      <c r="FR8" s="30"/>
      <c r="FS8" s="30"/>
      <c r="FT8" s="30">
        <f>SUM(EY8:FS8)</f>
        <v>5</v>
      </c>
      <c r="FU8" s="28">
        <f>FT8*EX8</f>
        <v>37.5</v>
      </c>
      <c r="FW8" s="706" t="s">
        <v>55</v>
      </c>
      <c r="FX8" s="707"/>
      <c r="FY8" s="707"/>
      <c r="FZ8" s="707"/>
      <c r="GA8" s="707"/>
      <c r="GB8" s="708"/>
      <c r="GC8" s="28">
        <v>7.5</v>
      </c>
      <c r="GD8" s="30"/>
      <c r="GE8" s="28"/>
      <c r="GF8" s="28"/>
      <c r="GG8" s="28"/>
      <c r="GH8" s="28">
        <v>1</v>
      </c>
      <c r="GI8" s="28"/>
      <c r="GJ8" s="28"/>
      <c r="GK8" s="28"/>
      <c r="GL8" s="28"/>
      <c r="GM8" s="28">
        <v>1</v>
      </c>
      <c r="GN8" s="30"/>
      <c r="GO8" s="30"/>
      <c r="GP8" s="30"/>
      <c r="GQ8" s="30">
        <f>SUM(GD8:GP8)</f>
        <v>2</v>
      </c>
      <c r="GR8" s="28">
        <f>GQ8*GC8</f>
        <v>15</v>
      </c>
      <c r="GT8" s="706" t="s">
        <v>55</v>
      </c>
      <c r="GU8" s="707"/>
      <c r="GV8" s="707"/>
      <c r="GW8" s="707"/>
      <c r="GX8" s="707"/>
      <c r="GY8" s="708"/>
      <c r="GZ8" s="28">
        <v>8</v>
      </c>
      <c r="HA8" s="28"/>
      <c r="HB8" s="28">
        <v>1</v>
      </c>
      <c r="HC8" s="28"/>
      <c r="HD8" s="28"/>
      <c r="HE8" s="28">
        <v>1</v>
      </c>
      <c r="HF8" s="28"/>
      <c r="HG8" s="28"/>
      <c r="HH8" s="28"/>
      <c r="HI8" s="28">
        <v>1</v>
      </c>
      <c r="HJ8" s="30"/>
      <c r="HK8" s="30">
        <v>1</v>
      </c>
      <c r="HL8" s="30">
        <f>SUM(HA8:HK8)</f>
        <v>4</v>
      </c>
      <c r="HM8" s="28">
        <f>HL8*GZ8</f>
        <v>32</v>
      </c>
      <c r="HO8" s="706" t="s">
        <v>55</v>
      </c>
      <c r="HP8" s="707"/>
      <c r="HQ8" s="707"/>
      <c r="HR8" s="707"/>
      <c r="HS8" s="707"/>
      <c r="HT8" s="708"/>
      <c r="HU8" s="28">
        <v>9</v>
      </c>
      <c r="HV8" s="28"/>
      <c r="HW8" s="30">
        <f>SUM(HV8:HV8)</f>
        <v>0</v>
      </c>
      <c r="HX8" s="28">
        <f t="shared" ref="HX8:HX39" si="0">HW8*HU8</f>
        <v>0</v>
      </c>
      <c r="HZ8" s="706" t="s">
        <v>55</v>
      </c>
      <c r="IA8" s="707"/>
      <c r="IB8" s="707"/>
      <c r="IC8" s="707"/>
      <c r="ID8" s="707"/>
      <c r="IE8" s="708"/>
      <c r="IF8" s="28">
        <v>9</v>
      </c>
      <c r="IG8" s="28"/>
      <c r="IH8" s="30"/>
      <c r="II8" s="30"/>
      <c r="IJ8" s="30"/>
      <c r="IK8" s="30"/>
      <c r="IL8" s="30"/>
      <c r="IM8" s="30">
        <f>SUM(IG8:IL8)</f>
        <v>0</v>
      </c>
      <c r="IN8" s="28">
        <f t="shared" ref="IN8:IN39" si="1">IM8*IF8</f>
        <v>0</v>
      </c>
      <c r="IP8" s="706" t="s">
        <v>55</v>
      </c>
      <c r="IQ8" s="707"/>
      <c r="IR8" s="707"/>
      <c r="IS8" s="707"/>
      <c r="IT8" s="707"/>
      <c r="IU8" s="708"/>
      <c r="IV8" s="28">
        <v>9</v>
      </c>
      <c r="IW8" s="28"/>
      <c r="IX8" s="30"/>
      <c r="IY8" s="30">
        <f t="shared" ref="IY8:IY39" si="2">SUM(IW8:IX8)</f>
        <v>0</v>
      </c>
      <c r="IZ8" s="28">
        <f t="shared" ref="IZ8:IZ39" si="3">IY8*IV8</f>
        <v>0</v>
      </c>
      <c r="JB8" s="706" t="s">
        <v>55</v>
      </c>
      <c r="JC8" s="707"/>
      <c r="JD8" s="707"/>
      <c r="JE8" s="707"/>
      <c r="JF8" s="707"/>
      <c r="JG8" s="708"/>
      <c r="JH8" s="28">
        <v>8</v>
      </c>
      <c r="JI8" s="28"/>
      <c r="JJ8" s="30"/>
      <c r="JK8" s="30"/>
      <c r="JL8" s="30">
        <v>1</v>
      </c>
      <c r="JM8" s="30">
        <v>6</v>
      </c>
      <c r="JN8" s="30">
        <v>1</v>
      </c>
      <c r="JO8" s="30"/>
      <c r="JP8" s="30"/>
      <c r="JQ8" s="30"/>
      <c r="JR8" s="30"/>
      <c r="JS8" s="30"/>
      <c r="JT8" s="30"/>
      <c r="JU8" s="30"/>
      <c r="JV8" s="30"/>
      <c r="JW8" s="30"/>
      <c r="JX8" s="30"/>
      <c r="JY8" s="30">
        <v>1</v>
      </c>
      <c r="JZ8" s="30"/>
      <c r="KA8" s="30">
        <v>1</v>
      </c>
      <c r="KB8" s="30"/>
      <c r="KC8" s="30">
        <v>1</v>
      </c>
      <c r="KD8" s="30"/>
      <c r="KE8" s="30">
        <f>SUM(JI8:KD8)</f>
        <v>11</v>
      </c>
      <c r="KF8" s="28">
        <f>KE8*JH8</f>
        <v>88</v>
      </c>
      <c r="KH8" s="706" t="s">
        <v>55</v>
      </c>
      <c r="KI8" s="707"/>
      <c r="KJ8" s="707"/>
      <c r="KK8" s="707"/>
      <c r="KL8" s="707"/>
      <c r="KM8" s="708"/>
      <c r="KN8" s="28">
        <v>8</v>
      </c>
      <c r="KO8" s="28">
        <v>14</v>
      </c>
      <c r="KP8" s="30"/>
      <c r="KQ8" s="30">
        <v>1</v>
      </c>
      <c r="KR8" s="30"/>
      <c r="KS8" s="30">
        <f t="shared" ref="KS8:KS39" si="4">SUM(KO8:KR8)</f>
        <v>15</v>
      </c>
      <c r="KT8" s="28">
        <f t="shared" ref="KT8:KT39" si="5">KS8*KN8</f>
        <v>120</v>
      </c>
      <c r="KV8" s="706" t="s">
        <v>55</v>
      </c>
      <c r="KW8" s="707"/>
      <c r="KX8" s="707"/>
      <c r="KY8" s="707"/>
      <c r="KZ8" s="707"/>
      <c r="LA8" s="708"/>
      <c r="LB8" s="28">
        <v>8</v>
      </c>
      <c r="LC8" s="28">
        <v>1</v>
      </c>
      <c r="LD8" s="30"/>
      <c r="LE8" s="30"/>
      <c r="LF8" s="30">
        <f t="shared" ref="LF8:LF39" si="6">SUM(LC8:LE8)</f>
        <v>1</v>
      </c>
      <c r="LG8" s="28">
        <f t="shared" ref="LG8:LG39" si="7">LF8*LB8</f>
        <v>8</v>
      </c>
      <c r="LI8" s="706" t="s">
        <v>55</v>
      </c>
      <c r="LJ8" s="707"/>
      <c r="LK8" s="707"/>
      <c r="LL8" s="707"/>
      <c r="LM8" s="707"/>
      <c r="LN8" s="708"/>
      <c r="LO8" s="28">
        <v>8</v>
      </c>
      <c r="LP8" s="28">
        <v>1</v>
      </c>
      <c r="LQ8" s="30"/>
      <c r="LR8" s="30"/>
      <c r="LS8" s="30"/>
      <c r="LT8" s="30">
        <v>1</v>
      </c>
      <c r="LU8" s="30"/>
      <c r="LV8" s="30">
        <v>1</v>
      </c>
      <c r="LW8" s="30"/>
      <c r="LX8" s="30"/>
      <c r="LY8" s="30"/>
      <c r="LZ8" s="30">
        <v>2</v>
      </c>
      <c r="MA8" s="30">
        <v>7</v>
      </c>
      <c r="MB8" s="30">
        <v>3</v>
      </c>
      <c r="MC8" s="30"/>
      <c r="MD8" s="30"/>
      <c r="ME8" s="30">
        <f>SUM(LP8:MD8)</f>
        <v>15</v>
      </c>
      <c r="MF8" s="28">
        <f t="shared" ref="MF8:MF71" si="8">ME8*LO8</f>
        <v>120</v>
      </c>
      <c r="MH8" s="706" t="s">
        <v>55</v>
      </c>
      <c r="MI8" s="707"/>
      <c r="MJ8" s="707"/>
      <c r="MK8" s="707"/>
      <c r="ML8" s="707"/>
      <c r="MM8" s="708"/>
      <c r="MN8" s="28">
        <v>8</v>
      </c>
      <c r="MO8" s="28"/>
      <c r="MP8" s="30">
        <v>1</v>
      </c>
      <c r="MQ8" s="30"/>
      <c r="MR8" s="30"/>
      <c r="MS8" s="30">
        <v>2</v>
      </c>
      <c r="MT8" s="30">
        <v>1</v>
      </c>
      <c r="MU8" s="30"/>
      <c r="MV8" s="30"/>
      <c r="MW8" s="30"/>
      <c r="MX8" s="30"/>
      <c r="MY8" s="30"/>
      <c r="MZ8" s="30">
        <v>3</v>
      </c>
      <c r="NA8" s="30">
        <v>3</v>
      </c>
      <c r="NB8" s="30"/>
      <c r="NC8" s="30">
        <v>4</v>
      </c>
      <c r="ND8" s="30">
        <f>SUM(MO8:NC8)</f>
        <v>14</v>
      </c>
      <c r="NE8" s="28">
        <f>ND8*MN8</f>
        <v>112</v>
      </c>
      <c r="NG8" s="706" t="s">
        <v>55</v>
      </c>
      <c r="NH8" s="707"/>
      <c r="NI8" s="707"/>
      <c r="NJ8" s="707"/>
      <c r="NK8" s="707"/>
      <c r="NL8" s="708"/>
      <c r="NM8" s="28">
        <v>8</v>
      </c>
      <c r="NN8" s="30">
        <v>7</v>
      </c>
      <c r="NO8" s="30">
        <v>8</v>
      </c>
      <c r="NP8" s="30">
        <v>3</v>
      </c>
      <c r="NQ8" s="30">
        <v>3</v>
      </c>
      <c r="NR8" s="30">
        <v>1</v>
      </c>
      <c r="NS8" s="30"/>
      <c r="NT8" s="30"/>
      <c r="NU8" s="30">
        <v>4</v>
      </c>
      <c r="NV8" s="30"/>
      <c r="NW8" s="30"/>
      <c r="NX8" s="30"/>
      <c r="NY8" s="30"/>
      <c r="NZ8" s="30"/>
      <c r="OA8" s="30"/>
      <c r="OB8" s="30"/>
      <c r="OC8" s="30">
        <f>SUM(NN8:OB8)</f>
        <v>26</v>
      </c>
      <c r="OD8" s="28">
        <f>OC8*NM8</f>
        <v>208</v>
      </c>
    </row>
    <row r="9" spans="1:394" ht="14.45" customHeight="1" x14ac:dyDescent="0.25">
      <c r="A9" s="47"/>
      <c r="B9" s="12"/>
      <c r="C9" s="709" t="s">
        <v>4</v>
      </c>
      <c r="D9" s="709"/>
      <c r="E9" s="709"/>
      <c r="F9" s="709"/>
      <c r="G9" s="709"/>
      <c r="H9" s="709"/>
      <c r="I9" s="13">
        <v>13</v>
      </c>
      <c r="J9" s="13">
        <v>12</v>
      </c>
      <c r="K9" s="19"/>
      <c r="L9" s="19">
        <v>9</v>
      </c>
      <c r="M9" s="19">
        <f>SUM(J9:L9)</f>
        <v>21</v>
      </c>
      <c r="N9" s="19">
        <f t="shared" ref="N9:N71" si="9">M9*I9</f>
        <v>273</v>
      </c>
      <c r="O9" s="12"/>
      <c r="P9" s="709" t="s">
        <v>4</v>
      </c>
      <c r="Q9" s="709"/>
      <c r="R9" s="709"/>
      <c r="S9" s="709"/>
      <c r="T9" s="709"/>
      <c r="U9" s="709"/>
      <c r="V9" s="13">
        <v>13</v>
      </c>
      <c r="W9" s="19">
        <v>9</v>
      </c>
      <c r="X9" s="19">
        <v>1</v>
      </c>
      <c r="Y9" s="23">
        <f t="shared" ref="Y9:Y71" si="10">SUM(W9:X9)</f>
        <v>10</v>
      </c>
      <c r="Z9" s="19">
        <f t="shared" ref="Z9:Z71" si="11">Y9*V9</f>
        <v>130</v>
      </c>
      <c r="AA9" s="34"/>
      <c r="AB9" s="34"/>
      <c r="AC9" s="34"/>
      <c r="AD9" s="34"/>
      <c r="AE9" s="34"/>
      <c r="AF9" s="34"/>
      <c r="AG9" s="6"/>
      <c r="AH9" s="709" t="s">
        <v>4</v>
      </c>
      <c r="AI9" s="709"/>
      <c r="AJ9" s="709"/>
      <c r="AK9" s="709"/>
      <c r="AL9" s="709"/>
      <c r="AM9" s="709"/>
      <c r="AN9" s="13">
        <v>14</v>
      </c>
      <c r="AO9" s="19">
        <v>1</v>
      </c>
      <c r="AP9" s="23">
        <f t="shared" ref="AP9:AP71" si="12">SUM(AO9)</f>
        <v>1</v>
      </c>
      <c r="AQ9" s="19">
        <f t="shared" ref="AQ9:AQ71" si="13">AP9*AN9</f>
        <v>14</v>
      </c>
      <c r="AS9" s="709" t="s">
        <v>4</v>
      </c>
      <c r="AT9" s="709"/>
      <c r="AU9" s="709"/>
      <c r="AV9" s="709"/>
      <c r="AW9" s="709"/>
      <c r="AX9" s="709"/>
      <c r="AY9" s="13">
        <v>14</v>
      </c>
      <c r="AZ9" s="19"/>
      <c r="BA9" s="19"/>
      <c r="BB9" s="19">
        <v>1</v>
      </c>
      <c r="BC9" s="19"/>
      <c r="BD9" s="30">
        <f t="shared" ref="BD9:BD71" si="14">SUM(AZ9:BC9)</f>
        <v>1</v>
      </c>
      <c r="BE9" s="28">
        <f t="shared" ref="BE9:BE71" si="15">BD9*AY9</f>
        <v>14</v>
      </c>
      <c r="BF9" s="14"/>
      <c r="BG9" s="709" t="s">
        <v>4</v>
      </c>
      <c r="BH9" s="709"/>
      <c r="BI9" s="709"/>
      <c r="BJ9" s="709"/>
      <c r="BK9" s="709"/>
      <c r="BL9" s="709"/>
      <c r="BM9" s="13">
        <v>14</v>
      </c>
      <c r="BN9" s="19"/>
      <c r="BO9" s="19"/>
      <c r="BP9" s="30">
        <f t="shared" ref="BP9:BP71" si="16">SUM(BN9:BO9)</f>
        <v>0</v>
      </c>
      <c r="BQ9" s="28">
        <f t="shared" ref="BQ9:BQ71" si="17">BP9*BM9</f>
        <v>0</v>
      </c>
      <c r="BR9" s="14"/>
      <c r="BS9" s="709" t="s">
        <v>4</v>
      </c>
      <c r="BT9" s="709"/>
      <c r="BU9" s="709"/>
      <c r="BV9" s="709"/>
      <c r="BW9" s="709"/>
      <c r="BX9" s="709"/>
      <c r="BY9" s="13">
        <v>14</v>
      </c>
      <c r="BZ9" s="19">
        <v>1</v>
      </c>
      <c r="CA9" s="19"/>
      <c r="CB9" s="19"/>
      <c r="CC9" s="19"/>
      <c r="CD9" s="19"/>
      <c r="CE9" s="19"/>
      <c r="CF9" s="19"/>
      <c r="CG9" s="19"/>
      <c r="CH9" s="19"/>
      <c r="CI9" s="30">
        <f t="shared" ref="CI9:CI71" si="18">SUM(BZ9:CH9)</f>
        <v>1</v>
      </c>
      <c r="CJ9" s="28">
        <f t="shared" ref="CJ9:CJ71" si="19">CI9*BY9</f>
        <v>14</v>
      </c>
      <c r="CK9" s="14"/>
      <c r="CL9" s="709" t="s">
        <v>4</v>
      </c>
      <c r="CM9" s="709"/>
      <c r="CN9" s="709"/>
      <c r="CO9" s="709"/>
      <c r="CP9" s="709"/>
      <c r="CQ9" s="709"/>
      <c r="CR9" s="13">
        <v>15</v>
      </c>
      <c r="CS9" s="19">
        <v>1</v>
      </c>
      <c r="CT9" s="19">
        <v>1</v>
      </c>
      <c r="CU9" s="19">
        <v>2</v>
      </c>
      <c r="CV9" s="19">
        <v>1</v>
      </c>
      <c r="CW9" s="19"/>
      <c r="CX9" s="19">
        <v>1</v>
      </c>
      <c r="CY9" s="19"/>
      <c r="CZ9" s="19"/>
      <c r="DA9" s="30">
        <f t="shared" ref="DA9:DA71" si="20">SUM(CS9:CZ9)</f>
        <v>6</v>
      </c>
      <c r="DB9" s="28">
        <f t="shared" ref="DB9:DB71" si="21">DA9*CR9</f>
        <v>90</v>
      </c>
      <c r="DC9" s="14"/>
      <c r="DD9" s="709" t="s">
        <v>4</v>
      </c>
      <c r="DE9" s="709"/>
      <c r="DF9" s="709"/>
      <c r="DG9" s="709"/>
      <c r="DH9" s="709"/>
      <c r="DI9" s="709"/>
      <c r="DJ9" s="13">
        <v>15</v>
      </c>
      <c r="DK9" s="19">
        <v>1</v>
      </c>
      <c r="DL9" s="19"/>
      <c r="DM9" s="19">
        <v>2</v>
      </c>
      <c r="DN9" s="19">
        <v>1</v>
      </c>
      <c r="DO9" s="19">
        <v>1</v>
      </c>
      <c r="DP9" s="19"/>
      <c r="DQ9" s="19">
        <v>1</v>
      </c>
      <c r="DR9" s="19">
        <v>8</v>
      </c>
      <c r="DS9" s="19">
        <v>1</v>
      </c>
      <c r="DT9" s="19"/>
      <c r="DU9" s="30">
        <f t="shared" ref="DU9:DU71" si="22">SUM(DK9:DT9)</f>
        <v>15</v>
      </c>
      <c r="DV9" s="28">
        <f t="shared" ref="DV9:DV71" si="23">DU9*DJ9</f>
        <v>225</v>
      </c>
      <c r="DX9" s="709" t="s">
        <v>4</v>
      </c>
      <c r="DY9" s="709"/>
      <c r="DZ9" s="709"/>
      <c r="EA9" s="709"/>
      <c r="EB9" s="709"/>
      <c r="EC9" s="709"/>
      <c r="ED9" s="13">
        <v>15</v>
      </c>
      <c r="EE9" s="19">
        <v>3</v>
      </c>
      <c r="EF9" s="19">
        <v>1</v>
      </c>
      <c r="EG9" s="19"/>
      <c r="EH9" s="19">
        <v>2</v>
      </c>
      <c r="EI9" s="19">
        <v>2</v>
      </c>
      <c r="EJ9" s="19">
        <v>2</v>
      </c>
      <c r="EK9" s="19"/>
      <c r="EL9" s="19">
        <v>2</v>
      </c>
      <c r="EM9" s="23">
        <v>1</v>
      </c>
      <c r="EN9" s="23"/>
      <c r="EO9" s="30">
        <f t="shared" ref="EO9:EO71" si="24">SUM(EE9:EN9)</f>
        <v>13</v>
      </c>
      <c r="EP9" s="28">
        <f t="shared" ref="EP9:EP71" si="25">EO9*ED9</f>
        <v>195</v>
      </c>
      <c r="EQ9" t="str">
        <f t="shared" ref="EQ9:EQ72" si="26">IF(ED9=EX9,"IGUAL","DIFERENTE")</f>
        <v>IGUAL</v>
      </c>
      <c r="ER9" s="709" t="s">
        <v>4</v>
      </c>
      <c r="ES9" s="709"/>
      <c r="ET9" s="709"/>
      <c r="EU9" s="709"/>
      <c r="EV9" s="709"/>
      <c r="EW9" s="709"/>
      <c r="EX9" s="13">
        <v>15</v>
      </c>
      <c r="EY9" s="19">
        <v>5</v>
      </c>
      <c r="EZ9" s="19">
        <v>2</v>
      </c>
      <c r="FA9" s="19">
        <v>1</v>
      </c>
      <c r="FB9" s="19">
        <v>1</v>
      </c>
      <c r="FC9" s="19">
        <v>1</v>
      </c>
      <c r="FD9" s="19"/>
      <c r="FE9" s="19"/>
      <c r="FF9" s="19">
        <v>20</v>
      </c>
      <c r="FG9" s="19">
        <v>2</v>
      </c>
      <c r="FH9" s="19"/>
      <c r="FI9" s="23"/>
      <c r="FJ9" s="23"/>
      <c r="FK9" s="23"/>
      <c r="FL9" s="23"/>
      <c r="FM9" s="23"/>
      <c r="FN9" s="23"/>
      <c r="FO9" s="23"/>
      <c r="FP9" s="23"/>
      <c r="FQ9" s="23">
        <v>4</v>
      </c>
      <c r="FR9" s="23"/>
      <c r="FS9" s="23"/>
      <c r="FT9" s="30">
        <f t="shared" ref="FT9:FT72" si="27">SUM(EY9:FS9)</f>
        <v>36</v>
      </c>
      <c r="FU9" s="28">
        <f t="shared" ref="FU9:FU72" si="28">FT9*EX9</f>
        <v>540</v>
      </c>
      <c r="FW9" s="709" t="s">
        <v>4</v>
      </c>
      <c r="FX9" s="709"/>
      <c r="FY9" s="709"/>
      <c r="FZ9" s="709"/>
      <c r="GA9" s="709"/>
      <c r="GB9" s="709"/>
      <c r="GC9" s="13">
        <v>15</v>
      </c>
      <c r="GD9" s="23"/>
      <c r="GE9" s="19">
        <v>2</v>
      </c>
      <c r="GF9" s="19">
        <v>4</v>
      </c>
      <c r="GG9" s="19"/>
      <c r="GH9" s="19">
        <v>1</v>
      </c>
      <c r="GI9" s="19">
        <v>3</v>
      </c>
      <c r="GJ9" s="19"/>
      <c r="GK9" s="19">
        <v>1</v>
      </c>
      <c r="GL9" s="19"/>
      <c r="GM9" s="19">
        <v>10</v>
      </c>
      <c r="GN9" s="23"/>
      <c r="GO9" s="23">
        <v>2</v>
      </c>
      <c r="GP9" s="23">
        <v>1</v>
      </c>
      <c r="GQ9" s="30">
        <f t="shared" ref="GQ9:GQ72" si="29">SUM(GD9:GP9)</f>
        <v>24</v>
      </c>
      <c r="GR9" s="28">
        <f t="shared" ref="GR9:GR72" si="30">GQ9*GC9</f>
        <v>360</v>
      </c>
      <c r="GT9" s="709" t="s">
        <v>4</v>
      </c>
      <c r="GU9" s="709"/>
      <c r="GV9" s="709"/>
      <c r="GW9" s="709"/>
      <c r="GX9" s="709"/>
      <c r="GY9" s="709"/>
      <c r="GZ9" s="13">
        <v>15</v>
      </c>
      <c r="HA9" s="19"/>
      <c r="HB9" s="19"/>
      <c r="HC9" s="19">
        <v>4</v>
      </c>
      <c r="HD9" s="19">
        <v>2</v>
      </c>
      <c r="HE9" s="19">
        <v>4</v>
      </c>
      <c r="HF9" s="19"/>
      <c r="HG9" s="19">
        <v>2</v>
      </c>
      <c r="HH9" s="19"/>
      <c r="HI9" s="19"/>
      <c r="HJ9" s="23"/>
      <c r="HK9" s="23"/>
      <c r="HL9" s="30">
        <f t="shared" ref="HL9:HL39" si="31">SUM(HA9:HK9)</f>
        <v>12</v>
      </c>
      <c r="HM9" s="28">
        <f t="shared" ref="HM9:HM72" si="32">HL9*GZ9</f>
        <v>180</v>
      </c>
      <c r="HO9" s="709" t="s">
        <v>4</v>
      </c>
      <c r="HP9" s="709"/>
      <c r="HQ9" s="709"/>
      <c r="HR9" s="709"/>
      <c r="HS9" s="709"/>
      <c r="HT9" s="709"/>
      <c r="HU9" s="13">
        <v>18</v>
      </c>
      <c r="HV9" s="19"/>
      <c r="HW9" s="30">
        <f t="shared" ref="HW9:HW39" si="33">SUM(HV9:HV9)</f>
        <v>0</v>
      </c>
      <c r="HX9" s="28">
        <f t="shared" si="0"/>
        <v>0</v>
      </c>
      <c r="HZ9" s="709" t="s">
        <v>4</v>
      </c>
      <c r="IA9" s="709"/>
      <c r="IB9" s="709"/>
      <c r="IC9" s="709"/>
      <c r="ID9" s="709"/>
      <c r="IE9" s="709"/>
      <c r="IF9" s="13">
        <v>18</v>
      </c>
      <c r="IG9" s="19">
        <v>1</v>
      </c>
      <c r="IH9" s="23"/>
      <c r="II9" s="23"/>
      <c r="IJ9" s="23">
        <v>7</v>
      </c>
      <c r="IK9" s="23">
        <v>4</v>
      </c>
      <c r="IL9" s="23">
        <v>1</v>
      </c>
      <c r="IM9" s="30">
        <f>SUM(IG9:IL9)</f>
        <v>13</v>
      </c>
      <c r="IN9" s="28">
        <f t="shared" si="1"/>
        <v>234</v>
      </c>
      <c r="IP9" s="709" t="s">
        <v>4</v>
      </c>
      <c r="IQ9" s="709"/>
      <c r="IR9" s="709"/>
      <c r="IS9" s="709"/>
      <c r="IT9" s="709"/>
      <c r="IU9" s="709"/>
      <c r="IV9" s="13">
        <v>18</v>
      </c>
      <c r="IW9" s="19">
        <v>2</v>
      </c>
      <c r="IX9" s="23"/>
      <c r="IY9" s="30">
        <f t="shared" si="2"/>
        <v>2</v>
      </c>
      <c r="IZ9" s="28">
        <f t="shared" si="3"/>
        <v>36</v>
      </c>
      <c r="JB9" s="709" t="s">
        <v>4</v>
      </c>
      <c r="JC9" s="709"/>
      <c r="JD9" s="709"/>
      <c r="JE9" s="709"/>
      <c r="JF9" s="709"/>
      <c r="JG9" s="709"/>
      <c r="JH9" s="13">
        <v>15</v>
      </c>
      <c r="JI9" s="19"/>
      <c r="JJ9" s="23"/>
      <c r="JK9" s="23">
        <v>5</v>
      </c>
      <c r="JL9" s="23"/>
      <c r="JM9" s="23">
        <v>1</v>
      </c>
      <c r="JN9" s="23"/>
      <c r="JO9" s="23">
        <v>5</v>
      </c>
      <c r="JP9" s="23"/>
      <c r="JQ9" s="23"/>
      <c r="JR9" s="23"/>
      <c r="JS9" s="23">
        <v>1</v>
      </c>
      <c r="JT9" s="23"/>
      <c r="JU9" s="23">
        <v>1</v>
      </c>
      <c r="JV9" s="23">
        <v>1</v>
      </c>
      <c r="JW9" s="23"/>
      <c r="JX9" s="23"/>
      <c r="JY9" s="23">
        <v>9</v>
      </c>
      <c r="JZ9" s="23">
        <v>4</v>
      </c>
      <c r="KA9" s="23">
        <v>12</v>
      </c>
      <c r="KB9" s="23">
        <v>1</v>
      </c>
      <c r="KC9" s="23">
        <v>9</v>
      </c>
      <c r="KD9" s="23"/>
      <c r="KE9" s="30">
        <f t="shared" ref="KE9:KE72" si="34">SUM(JI9:KD9)</f>
        <v>49</v>
      </c>
      <c r="KF9" s="28">
        <f>KE9*JH9</f>
        <v>735</v>
      </c>
      <c r="KH9" s="709" t="s">
        <v>4</v>
      </c>
      <c r="KI9" s="709"/>
      <c r="KJ9" s="709"/>
      <c r="KK9" s="709"/>
      <c r="KL9" s="709"/>
      <c r="KM9" s="709"/>
      <c r="KN9" s="13">
        <v>15</v>
      </c>
      <c r="KO9" s="19">
        <v>14</v>
      </c>
      <c r="KP9" s="23"/>
      <c r="KQ9" s="23">
        <v>2</v>
      </c>
      <c r="KR9" s="23"/>
      <c r="KS9" s="30">
        <f t="shared" si="4"/>
        <v>16</v>
      </c>
      <c r="KT9" s="28">
        <f t="shared" si="5"/>
        <v>240</v>
      </c>
      <c r="KV9" s="709" t="s">
        <v>4</v>
      </c>
      <c r="KW9" s="709"/>
      <c r="KX9" s="709"/>
      <c r="KY9" s="709"/>
      <c r="KZ9" s="709"/>
      <c r="LA9" s="709"/>
      <c r="LB9" s="13">
        <v>15</v>
      </c>
      <c r="LC9" s="19">
        <v>11</v>
      </c>
      <c r="LD9" s="23">
        <v>12</v>
      </c>
      <c r="LE9" s="23">
        <v>1</v>
      </c>
      <c r="LF9" s="30">
        <f t="shared" si="6"/>
        <v>24</v>
      </c>
      <c r="LG9" s="28">
        <f t="shared" si="7"/>
        <v>360</v>
      </c>
      <c r="LI9" s="709" t="s">
        <v>4</v>
      </c>
      <c r="LJ9" s="709"/>
      <c r="LK9" s="709"/>
      <c r="LL9" s="709"/>
      <c r="LM9" s="709"/>
      <c r="LN9" s="709"/>
      <c r="LO9" s="13">
        <v>15</v>
      </c>
      <c r="LP9" s="19">
        <v>3</v>
      </c>
      <c r="LQ9" s="23"/>
      <c r="LR9" s="23">
        <v>1</v>
      </c>
      <c r="LS9" s="23">
        <v>1</v>
      </c>
      <c r="LT9" s="23">
        <v>5</v>
      </c>
      <c r="LU9" s="23">
        <v>1</v>
      </c>
      <c r="LV9" s="23">
        <v>9</v>
      </c>
      <c r="LW9" s="23">
        <v>8</v>
      </c>
      <c r="LX9" s="23"/>
      <c r="LY9" s="23">
        <v>29</v>
      </c>
      <c r="LZ9" s="23">
        <v>19</v>
      </c>
      <c r="MA9" s="23"/>
      <c r="MB9" s="23"/>
      <c r="MC9" s="23">
        <v>1</v>
      </c>
      <c r="MD9" s="23">
        <v>11</v>
      </c>
      <c r="ME9" s="30">
        <f t="shared" ref="ME9:ME72" si="35">SUM(LP9:MD9)</f>
        <v>88</v>
      </c>
      <c r="MF9" s="28">
        <f t="shared" si="8"/>
        <v>1320</v>
      </c>
      <c r="MH9" s="709" t="s">
        <v>4</v>
      </c>
      <c r="MI9" s="709"/>
      <c r="MJ9" s="709"/>
      <c r="MK9" s="709"/>
      <c r="ML9" s="709"/>
      <c r="MM9" s="709"/>
      <c r="MN9" s="13">
        <v>15</v>
      </c>
      <c r="MO9" s="19">
        <v>14</v>
      </c>
      <c r="MP9" s="23">
        <v>3</v>
      </c>
      <c r="MQ9" s="23">
        <v>3</v>
      </c>
      <c r="MR9" s="23">
        <v>2</v>
      </c>
      <c r="MS9" s="23">
        <v>3</v>
      </c>
      <c r="MT9" s="23">
        <v>12</v>
      </c>
      <c r="MU9" s="23"/>
      <c r="MV9" s="23">
        <v>4</v>
      </c>
      <c r="MW9" s="23">
        <v>9</v>
      </c>
      <c r="MX9" s="23">
        <v>3</v>
      </c>
      <c r="MY9" s="23">
        <v>12</v>
      </c>
      <c r="MZ9" s="23">
        <v>1</v>
      </c>
      <c r="NA9" s="23">
        <v>1</v>
      </c>
      <c r="NB9" s="23"/>
      <c r="NC9" s="23"/>
      <c r="ND9" s="30">
        <f t="shared" ref="ND9:ND72" si="36">SUM(MO9:NC9)</f>
        <v>67</v>
      </c>
      <c r="NE9" s="28">
        <f t="shared" ref="NE9:NE71" si="37">ND9*MN9</f>
        <v>1005</v>
      </c>
      <c r="NG9" s="709" t="s">
        <v>4</v>
      </c>
      <c r="NH9" s="709"/>
      <c r="NI9" s="709"/>
      <c r="NJ9" s="709"/>
      <c r="NK9" s="709"/>
      <c r="NL9" s="709"/>
      <c r="NM9" s="13">
        <v>15</v>
      </c>
      <c r="NN9" s="23"/>
      <c r="NO9" s="23">
        <v>1</v>
      </c>
      <c r="NP9" s="23">
        <v>1</v>
      </c>
      <c r="NQ9" s="23"/>
      <c r="NR9" s="23"/>
      <c r="NS9" s="23"/>
      <c r="NT9" s="23">
        <v>1</v>
      </c>
      <c r="NU9" s="23"/>
      <c r="NV9" s="23"/>
      <c r="NW9" s="23"/>
      <c r="NX9" s="23"/>
      <c r="NY9" s="23"/>
      <c r="NZ9" s="23"/>
      <c r="OA9" s="23"/>
      <c r="OB9" s="23"/>
      <c r="OC9" s="30">
        <f t="shared" ref="OC9:OC72" si="38">SUM(NN9:OB9)</f>
        <v>3</v>
      </c>
      <c r="OD9" s="28">
        <f t="shared" ref="OD9:OD72" si="39">OC9*NM9</f>
        <v>45</v>
      </c>
    </row>
    <row r="10" spans="1:394" ht="14.45" customHeight="1" x14ac:dyDescent="0.25">
      <c r="A10" s="47"/>
      <c r="B10" s="12"/>
      <c r="C10" s="709" t="s">
        <v>5</v>
      </c>
      <c r="D10" s="709"/>
      <c r="E10" s="709"/>
      <c r="F10" s="709"/>
      <c r="G10" s="709"/>
      <c r="H10" s="709"/>
      <c r="I10" s="13">
        <v>36</v>
      </c>
      <c r="J10" s="13">
        <v>7</v>
      </c>
      <c r="K10" s="19"/>
      <c r="L10" s="19">
        <v>1</v>
      </c>
      <c r="M10" s="19">
        <f t="shared" ref="M10:M71" si="40">SUM(J10:L10)</f>
        <v>8</v>
      </c>
      <c r="N10" s="19">
        <f t="shared" si="9"/>
        <v>288</v>
      </c>
      <c r="O10" s="12"/>
      <c r="P10" s="709" t="s">
        <v>5</v>
      </c>
      <c r="Q10" s="709"/>
      <c r="R10" s="709"/>
      <c r="S10" s="709"/>
      <c r="T10" s="709"/>
      <c r="U10" s="709"/>
      <c r="V10" s="13">
        <v>36</v>
      </c>
      <c r="W10" s="19">
        <v>2</v>
      </c>
      <c r="X10" s="19"/>
      <c r="Y10" s="23">
        <f t="shared" si="10"/>
        <v>2</v>
      </c>
      <c r="Z10" s="19">
        <f t="shared" si="11"/>
        <v>72</v>
      </c>
      <c r="AA10" s="34"/>
      <c r="AB10" s="34"/>
      <c r="AC10" s="34"/>
      <c r="AD10" s="34"/>
      <c r="AE10" s="34"/>
      <c r="AF10" s="34"/>
      <c r="AG10" s="6"/>
      <c r="AH10" s="709" t="s">
        <v>5</v>
      </c>
      <c r="AI10" s="709"/>
      <c r="AJ10" s="709"/>
      <c r="AK10" s="709"/>
      <c r="AL10" s="709"/>
      <c r="AM10" s="709"/>
      <c r="AN10" s="13">
        <v>39</v>
      </c>
      <c r="AO10" s="19">
        <v>1</v>
      </c>
      <c r="AP10" s="23">
        <f t="shared" si="12"/>
        <v>1</v>
      </c>
      <c r="AQ10" s="19">
        <f t="shared" si="13"/>
        <v>39</v>
      </c>
      <c r="AS10" s="677" t="s">
        <v>5</v>
      </c>
      <c r="AT10" s="677"/>
      <c r="AU10" s="677"/>
      <c r="AV10" s="677"/>
      <c r="AW10" s="677"/>
      <c r="AX10" s="677"/>
      <c r="AY10" s="28">
        <v>38</v>
      </c>
      <c r="AZ10" s="28"/>
      <c r="BA10" s="28"/>
      <c r="BB10" s="28">
        <v>1</v>
      </c>
      <c r="BC10" s="28"/>
      <c r="BD10" s="30">
        <f t="shared" si="14"/>
        <v>1</v>
      </c>
      <c r="BE10" s="28">
        <f t="shared" si="15"/>
        <v>38</v>
      </c>
      <c r="BF10" s="14"/>
      <c r="BG10" s="677" t="s">
        <v>5</v>
      </c>
      <c r="BH10" s="677"/>
      <c r="BI10" s="677"/>
      <c r="BJ10" s="677"/>
      <c r="BK10" s="677"/>
      <c r="BL10" s="677"/>
      <c r="BM10" s="28">
        <v>38</v>
      </c>
      <c r="BN10" s="28">
        <v>1</v>
      </c>
      <c r="BO10" s="28"/>
      <c r="BP10" s="30">
        <f t="shared" si="16"/>
        <v>1</v>
      </c>
      <c r="BQ10" s="28">
        <f t="shared" si="17"/>
        <v>38</v>
      </c>
      <c r="BR10" s="14"/>
      <c r="BS10" s="677" t="s">
        <v>5</v>
      </c>
      <c r="BT10" s="677"/>
      <c r="BU10" s="677"/>
      <c r="BV10" s="677"/>
      <c r="BW10" s="677"/>
      <c r="BX10" s="677"/>
      <c r="BY10" s="28">
        <v>40</v>
      </c>
      <c r="BZ10" s="28">
        <v>2</v>
      </c>
      <c r="CA10" s="28"/>
      <c r="CB10" s="28"/>
      <c r="CC10" s="28"/>
      <c r="CD10" s="28"/>
      <c r="CE10" s="28"/>
      <c r="CF10" s="28"/>
      <c r="CG10" s="28"/>
      <c r="CH10" s="28"/>
      <c r="CI10" s="30">
        <f t="shared" si="18"/>
        <v>2</v>
      </c>
      <c r="CJ10" s="28">
        <f t="shared" si="19"/>
        <v>80</v>
      </c>
      <c r="CK10" s="14"/>
      <c r="CL10" s="677" t="s">
        <v>5</v>
      </c>
      <c r="CM10" s="677"/>
      <c r="CN10" s="677"/>
      <c r="CO10" s="677"/>
      <c r="CP10" s="677"/>
      <c r="CQ10" s="677"/>
      <c r="CR10" s="28">
        <v>40</v>
      </c>
      <c r="CS10" s="28"/>
      <c r="CT10" s="28"/>
      <c r="CU10" s="28">
        <v>1</v>
      </c>
      <c r="CV10" s="28">
        <v>1</v>
      </c>
      <c r="CW10" s="28">
        <v>1</v>
      </c>
      <c r="CX10" s="28">
        <v>3</v>
      </c>
      <c r="CY10" s="28"/>
      <c r="CZ10" s="28">
        <v>1</v>
      </c>
      <c r="DA10" s="30">
        <f t="shared" si="20"/>
        <v>7</v>
      </c>
      <c r="DB10" s="28">
        <f t="shared" si="21"/>
        <v>280</v>
      </c>
      <c r="DC10" s="14"/>
      <c r="DD10" s="677" t="s">
        <v>5</v>
      </c>
      <c r="DE10" s="677"/>
      <c r="DF10" s="677"/>
      <c r="DG10" s="677"/>
      <c r="DH10" s="677"/>
      <c r="DI10" s="677"/>
      <c r="DJ10" s="28">
        <v>40</v>
      </c>
      <c r="DK10" s="28">
        <v>2</v>
      </c>
      <c r="DL10" s="28"/>
      <c r="DM10" s="28">
        <v>1</v>
      </c>
      <c r="DN10" s="28"/>
      <c r="DO10" s="28">
        <v>2</v>
      </c>
      <c r="DP10" s="28"/>
      <c r="DQ10" s="28"/>
      <c r="DR10" s="28">
        <v>1</v>
      </c>
      <c r="DS10" s="28"/>
      <c r="DT10" s="28">
        <v>2</v>
      </c>
      <c r="DU10" s="30">
        <f t="shared" si="22"/>
        <v>8</v>
      </c>
      <c r="DV10" s="28">
        <f t="shared" si="23"/>
        <v>320</v>
      </c>
      <c r="DX10" s="677" t="s">
        <v>5</v>
      </c>
      <c r="DY10" s="677"/>
      <c r="DZ10" s="677"/>
      <c r="EA10" s="677"/>
      <c r="EB10" s="677"/>
      <c r="EC10" s="677"/>
      <c r="ED10" s="28">
        <v>40</v>
      </c>
      <c r="EE10" s="28"/>
      <c r="EF10" s="28">
        <v>2</v>
      </c>
      <c r="EG10" s="28"/>
      <c r="EH10" s="28">
        <v>1</v>
      </c>
      <c r="EI10" s="28"/>
      <c r="EJ10" s="28"/>
      <c r="EK10" s="28">
        <v>1</v>
      </c>
      <c r="EL10" s="28"/>
      <c r="EM10" s="30"/>
      <c r="EN10" s="30"/>
      <c r="EO10" s="30">
        <f t="shared" si="24"/>
        <v>4</v>
      </c>
      <c r="EP10" s="28">
        <f t="shared" si="25"/>
        <v>160</v>
      </c>
      <c r="EQ10" t="str">
        <f t="shared" si="26"/>
        <v>IGUAL</v>
      </c>
      <c r="ER10" s="677" t="s">
        <v>5</v>
      </c>
      <c r="ES10" s="677"/>
      <c r="ET10" s="677"/>
      <c r="EU10" s="677"/>
      <c r="EV10" s="677"/>
      <c r="EW10" s="677"/>
      <c r="EX10" s="28">
        <v>40</v>
      </c>
      <c r="EY10" s="28">
        <v>2</v>
      </c>
      <c r="EZ10" s="28"/>
      <c r="FA10" s="28"/>
      <c r="FB10" s="28"/>
      <c r="FC10" s="28"/>
      <c r="FD10" s="28"/>
      <c r="FE10" s="28"/>
      <c r="FF10" s="28"/>
      <c r="FG10" s="28">
        <v>3</v>
      </c>
      <c r="FH10" s="28">
        <v>5</v>
      </c>
      <c r="FI10" s="30">
        <v>1</v>
      </c>
      <c r="FJ10" s="30">
        <v>1</v>
      </c>
      <c r="FK10" s="30"/>
      <c r="FL10" s="30"/>
      <c r="FM10" s="30"/>
      <c r="FN10" s="30">
        <v>1</v>
      </c>
      <c r="FO10" s="30"/>
      <c r="FP10" s="30">
        <v>2</v>
      </c>
      <c r="FQ10" s="30"/>
      <c r="FR10" s="30"/>
      <c r="FS10" s="30"/>
      <c r="FT10" s="30">
        <f t="shared" si="27"/>
        <v>15</v>
      </c>
      <c r="FU10" s="28">
        <f t="shared" si="28"/>
        <v>600</v>
      </c>
      <c r="FW10" s="677" t="s">
        <v>5</v>
      </c>
      <c r="FX10" s="677"/>
      <c r="FY10" s="677"/>
      <c r="FZ10" s="677"/>
      <c r="GA10" s="677"/>
      <c r="GB10" s="677"/>
      <c r="GC10" s="28">
        <v>40</v>
      </c>
      <c r="GD10" s="30"/>
      <c r="GE10" s="28"/>
      <c r="GF10" s="28">
        <v>1</v>
      </c>
      <c r="GG10" s="28">
        <v>1</v>
      </c>
      <c r="GH10" s="28"/>
      <c r="GI10" s="28">
        <v>1</v>
      </c>
      <c r="GJ10" s="28"/>
      <c r="GK10" s="28"/>
      <c r="GL10" s="28">
        <v>2</v>
      </c>
      <c r="GM10" s="28">
        <v>2</v>
      </c>
      <c r="GN10" s="30"/>
      <c r="GO10" s="30">
        <v>2</v>
      </c>
      <c r="GP10" s="30">
        <v>2</v>
      </c>
      <c r="GQ10" s="30">
        <f t="shared" si="29"/>
        <v>11</v>
      </c>
      <c r="GR10" s="28">
        <f t="shared" si="30"/>
        <v>440</v>
      </c>
      <c r="GT10" s="677" t="s">
        <v>5</v>
      </c>
      <c r="GU10" s="677"/>
      <c r="GV10" s="677"/>
      <c r="GW10" s="677"/>
      <c r="GX10" s="677"/>
      <c r="GY10" s="677"/>
      <c r="GZ10" s="28">
        <v>40</v>
      </c>
      <c r="HA10" s="28"/>
      <c r="HB10" s="28"/>
      <c r="HC10" s="28">
        <v>1</v>
      </c>
      <c r="HD10" s="28"/>
      <c r="HE10" s="28"/>
      <c r="HF10" s="28">
        <v>1</v>
      </c>
      <c r="HG10" s="28"/>
      <c r="HH10" s="28"/>
      <c r="HI10" s="28">
        <v>1</v>
      </c>
      <c r="HJ10" s="30">
        <v>1</v>
      </c>
      <c r="HK10" s="30"/>
      <c r="HL10" s="30">
        <f t="shared" si="31"/>
        <v>4</v>
      </c>
      <c r="HM10" s="28">
        <f t="shared" si="32"/>
        <v>160</v>
      </c>
      <c r="HO10" s="677" t="s">
        <v>5</v>
      </c>
      <c r="HP10" s="677"/>
      <c r="HQ10" s="677"/>
      <c r="HR10" s="677"/>
      <c r="HS10" s="677"/>
      <c r="HT10" s="677"/>
      <c r="HU10" s="28">
        <v>46</v>
      </c>
      <c r="HV10" s="28">
        <v>1</v>
      </c>
      <c r="HW10" s="30">
        <f t="shared" si="33"/>
        <v>1</v>
      </c>
      <c r="HX10" s="28">
        <f t="shared" si="0"/>
        <v>46</v>
      </c>
      <c r="HZ10" s="677" t="s">
        <v>5</v>
      </c>
      <c r="IA10" s="677"/>
      <c r="IB10" s="677"/>
      <c r="IC10" s="677"/>
      <c r="ID10" s="677"/>
      <c r="IE10" s="677"/>
      <c r="IF10" s="28">
        <v>45</v>
      </c>
      <c r="IG10" s="28">
        <v>1</v>
      </c>
      <c r="IH10" s="30"/>
      <c r="II10" s="30"/>
      <c r="IJ10" s="30">
        <v>1</v>
      </c>
      <c r="IK10" s="30"/>
      <c r="IL10" s="30"/>
      <c r="IM10" s="30">
        <f t="shared" ref="IM10:IM72" si="41">SUM(IG10:IL10)</f>
        <v>2</v>
      </c>
      <c r="IN10" s="28">
        <f t="shared" si="1"/>
        <v>90</v>
      </c>
      <c r="IP10" s="677" t="s">
        <v>5</v>
      </c>
      <c r="IQ10" s="677"/>
      <c r="IR10" s="677"/>
      <c r="IS10" s="677"/>
      <c r="IT10" s="677"/>
      <c r="IU10" s="677"/>
      <c r="IV10" s="28">
        <v>45</v>
      </c>
      <c r="IW10" s="28">
        <v>1</v>
      </c>
      <c r="IX10" s="30"/>
      <c r="IY10" s="30">
        <f>SUM(IW10:IX10)</f>
        <v>1</v>
      </c>
      <c r="IZ10" s="28">
        <f t="shared" si="3"/>
        <v>45</v>
      </c>
      <c r="JB10" s="677" t="s">
        <v>5</v>
      </c>
      <c r="JC10" s="677"/>
      <c r="JD10" s="677"/>
      <c r="JE10" s="677"/>
      <c r="JF10" s="677"/>
      <c r="JG10" s="677"/>
      <c r="JH10" s="28">
        <v>42</v>
      </c>
      <c r="JI10" s="28"/>
      <c r="JJ10" s="30"/>
      <c r="JK10" s="30">
        <v>1</v>
      </c>
      <c r="JL10" s="30">
        <v>1</v>
      </c>
      <c r="JM10" s="30">
        <v>2</v>
      </c>
      <c r="JN10" s="30">
        <v>3</v>
      </c>
      <c r="JO10" s="30">
        <v>1</v>
      </c>
      <c r="JP10" s="30"/>
      <c r="JQ10" s="30"/>
      <c r="JR10" s="30"/>
      <c r="JS10" s="30">
        <v>1</v>
      </c>
      <c r="JT10" s="30">
        <v>3</v>
      </c>
      <c r="JU10" s="30">
        <v>4</v>
      </c>
      <c r="JV10" s="30">
        <v>1</v>
      </c>
      <c r="JW10" s="30">
        <v>1</v>
      </c>
      <c r="JX10" s="30"/>
      <c r="JY10" s="30">
        <v>2</v>
      </c>
      <c r="JZ10" s="30">
        <v>1</v>
      </c>
      <c r="KA10" s="30"/>
      <c r="KB10" s="30">
        <v>2</v>
      </c>
      <c r="KC10" s="30">
        <v>5</v>
      </c>
      <c r="KD10" s="30"/>
      <c r="KE10" s="30">
        <f t="shared" si="34"/>
        <v>28</v>
      </c>
      <c r="KF10" s="28">
        <f t="shared" ref="KF10:KF39" si="42">KE10*JH10</f>
        <v>1176</v>
      </c>
      <c r="KH10" s="677" t="s">
        <v>5</v>
      </c>
      <c r="KI10" s="677"/>
      <c r="KJ10" s="677"/>
      <c r="KK10" s="677"/>
      <c r="KL10" s="677"/>
      <c r="KM10" s="677"/>
      <c r="KN10" s="28">
        <v>42</v>
      </c>
      <c r="KO10" s="28">
        <v>4</v>
      </c>
      <c r="KP10" s="30"/>
      <c r="KQ10" s="30"/>
      <c r="KR10" s="30"/>
      <c r="KS10" s="30">
        <f t="shared" si="4"/>
        <v>4</v>
      </c>
      <c r="KT10" s="28">
        <f t="shared" si="5"/>
        <v>168</v>
      </c>
      <c r="KV10" s="677" t="s">
        <v>5</v>
      </c>
      <c r="KW10" s="677"/>
      <c r="KX10" s="677"/>
      <c r="KY10" s="677"/>
      <c r="KZ10" s="677"/>
      <c r="LA10" s="677"/>
      <c r="LB10" s="28">
        <v>39</v>
      </c>
      <c r="LC10" s="28">
        <v>1</v>
      </c>
      <c r="LD10" s="30">
        <v>5</v>
      </c>
      <c r="LE10" s="30">
        <v>2</v>
      </c>
      <c r="LF10" s="30">
        <f t="shared" si="6"/>
        <v>8</v>
      </c>
      <c r="LG10" s="28">
        <f t="shared" si="7"/>
        <v>312</v>
      </c>
      <c r="LI10" s="677" t="s">
        <v>5</v>
      </c>
      <c r="LJ10" s="677"/>
      <c r="LK10" s="677"/>
      <c r="LL10" s="677"/>
      <c r="LM10" s="677"/>
      <c r="LN10" s="677"/>
      <c r="LO10" s="28">
        <v>39</v>
      </c>
      <c r="LP10" s="28">
        <v>1</v>
      </c>
      <c r="LQ10" s="30"/>
      <c r="LR10" s="30">
        <v>1</v>
      </c>
      <c r="LS10" s="30">
        <v>1</v>
      </c>
      <c r="LT10" s="30">
        <v>2</v>
      </c>
      <c r="LU10" s="30">
        <v>4</v>
      </c>
      <c r="LV10" s="30"/>
      <c r="LW10" s="30">
        <v>2</v>
      </c>
      <c r="LX10" s="30"/>
      <c r="LY10" s="30">
        <v>18</v>
      </c>
      <c r="LZ10" s="30">
        <v>12</v>
      </c>
      <c r="MA10" s="30">
        <v>5</v>
      </c>
      <c r="MB10" s="30">
        <v>7</v>
      </c>
      <c r="MC10" s="30">
        <v>5</v>
      </c>
      <c r="MD10" s="30">
        <v>6</v>
      </c>
      <c r="ME10" s="30">
        <f t="shared" si="35"/>
        <v>64</v>
      </c>
      <c r="MF10" s="28">
        <f t="shared" si="8"/>
        <v>2496</v>
      </c>
      <c r="MH10" s="677" t="s">
        <v>5</v>
      </c>
      <c r="MI10" s="677"/>
      <c r="MJ10" s="677"/>
      <c r="MK10" s="677"/>
      <c r="ML10" s="677"/>
      <c r="MM10" s="677"/>
      <c r="MN10" s="28">
        <v>39</v>
      </c>
      <c r="MO10" s="28">
        <v>8</v>
      </c>
      <c r="MP10" s="223"/>
      <c r="MQ10" s="223">
        <v>8</v>
      </c>
      <c r="MR10" s="30">
        <v>5</v>
      </c>
      <c r="MS10" s="30"/>
      <c r="MT10" s="30"/>
      <c r="MU10" s="30"/>
      <c r="MV10" s="30"/>
      <c r="MW10" s="30"/>
      <c r="MX10" s="30"/>
      <c r="MY10" s="30">
        <v>2</v>
      </c>
      <c r="MZ10" s="30">
        <v>1</v>
      </c>
      <c r="NA10" s="30">
        <v>9</v>
      </c>
      <c r="NB10" s="30"/>
      <c r="NC10" s="30">
        <v>10</v>
      </c>
      <c r="ND10" s="30">
        <f t="shared" si="36"/>
        <v>43</v>
      </c>
      <c r="NE10" s="28">
        <f t="shared" si="37"/>
        <v>1677</v>
      </c>
      <c r="NG10" s="677" t="s">
        <v>5</v>
      </c>
      <c r="NH10" s="677"/>
      <c r="NI10" s="677"/>
      <c r="NJ10" s="677"/>
      <c r="NK10" s="677"/>
      <c r="NL10" s="677"/>
      <c r="NM10" s="28">
        <v>39</v>
      </c>
      <c r="NN10" s="30">
        <v>16</v>
      </c>
      <c r="NO10" s="223">
        <v>1</v>
      </c>
      <c r="NP10" s="223"/>
      <c r="NQ10" s="30">
        <v>7</v>
      </c>
      <c r="NR10" s="30">
        <v>4</v>
      </c>
      <c r="NS10" s="30"/>
      <c r="NT10" s="30">
        <v>3</v>
      </c>
      <c r="NU10" s="30">
        <v>6</v>
      </c>
      <c r="NV10" s="30"/>
      <c r="NW10" s="30"/>
      <c r="NX10" s="30"/>
      <c r="NY10" s="30"/>
      <c r="NZ10" s="30"/>
      <c r="OA10" s="30"/>
      <c r="OB10" s="30"/>
      <c r="OC10" s="30">
        <f t="shared" si="38"/>
        <v>37</v>
      </c>
      <c r="OD10" s="28">
        <f t="shared" si="39"/>
        <v>1443</v>
      </c>
    </row>
    <row r="11" spans="1:394" ht="14.45" customHeight="1" x14ac:dyDescent="0.25">
      <c r="A11" s="47"/>
      <c r="B11" s="12"/>
      <c r="C11" s="644" t="s">
        <v>56</v>
      </c>
      <c r="D11" s="644"/>
      <c r="E11" s="644"/>
      <c r="F11" s="644"/>
      <c r="G11" s="644"/>
      <c r="H11" s="644"/>
      <c r="I11" s="13"/>
      <c r="J11" s="13"/>
      <c r="K11" s="19"/>
      <c r="L11" s="19"/>
      <c r="M11" s="19">
        <f t="shared" si="40"/>
        <v>0</v>
      </c>
      <c r="N11" s="19">
        <f t="shared" si="9"/>
        <v>0</v>
      </c>
      <c r="O11" s="12"/>
      <c r="P11" s="644" t="s">
        <v>56</v>
      </c>
      <c r="Q11" s="644"/>
      <c r="R11" s="644"/>
      <c r="S11" s="644"/>
      <c r="T11" s="644"/>
      <c r="U11" s="644"/>
      <c r="V11" s="13"/>
      <c r="W11" s="19"/>
      <c r="X11" s="19"/>
      <c r="Y11" s="23">
        <f t="shared" si="10"/>
        <v>0</v>
      </c>
      <c r="Z11" s="19">
        <f t="shared" si="11"/>
        <v>0</v>
      </c>
      <c r="AA11" s="34"/>
      <c r="AB11" s="34"/>
      <c r="AC11" s="34"/>
      <c r="AD11" s="34"/>
      <c r="AE11" s="34"/>
      <c r="AF11" s="34"/>
      <c r="AG11" s="6"/>
      <c r="AH11" s="644" t="s">
        <v>56</v>
      </c>
      <c r="AI11" s="644"/>
      <c r="AJ11" s="644"/>
      <c r="AK11" s="644"/>
      <c r="AL11" s="644"/>
      <c r="AM11" s="644"/>
      <c r="AN11" s="13"/>
      <c r="AO11" s="19"/>
      <c r="AP11" s="23">
        <f t="shared" si="12"/>
        <v>0</v>
      </c>
      <c r="AQ11" s="19">
        <f t="shared" si="13"/>
        <v>0</v>
      </c>
      <c r="AS11" s="644" t="s">
        <v>56</v>
      </c>
      <c r="AT11" s="644"/>
      <c r="AU11" s="644"/>
      <c r="AV11" s="644"/>
      <c r="AW11" s="644"/>
      <c r="AX11" s="644"/>
      <c r="AY11" s="13"/>
      <c r="AZ11" s="19"/>
      <c r="BA11" s="19"/>
      <c r="BB11" s="19"/>
      <c r="BC11" s="19"/>
      <c r="BD11" s="30">
        <f t="shared" si="14"/>
        <v>0</v>
      </c>
      <c r="BE11" s="28">
        <f t="shared" si="15"/>
        <v>0</v>
      </c>
      <c r="BF11" s="14"/>
      <c r="BG11" s="644" t="s">
        <v>56</v>
      </c>
      <c r="BH11" s="644"/>
      <c r="BI11" s="644"/>
      <c r="BJ11" s="644"/>
      <c r="BK11" s="644"/>
      <c r="BL11" s="644"/>
      <c r="BM11" s="13"/>
      <c r="BN11" s="19"/>
      <c r="BO11" s="19"/>
      <c r="BP11" s="30">
        <f t="shared" si="16"/>
        <v>0</v>
      </c>
      <c r="BQ11" s="28">
        <f t="shared" si="17"/>
        <v>0</v>
      </c>
      <c r="BR11" s="14"/>
      <c r="BS11" s="644" t="s">
        <v>56</v>
      </c>
      <c r="BT11" s="644"/>
      <c r="BU11" s="644"/>
      <c r="BV11" s="644"/>
      <c r="BW11" s="644"/>
      <c r="BX11" s="644"/>
      <c r="BY11" s="13"/>
      <c r="BZ11" s="19"/>
      <c r="CA11" s="19"/>
      <c r="CB11" s="19"/>
      <c r="CC11" s="19"/>
      <c r="CD11" s="19"/>
      <c r="CE11" s="19"/>
      <c r="CF11" s="19"/>
      <c r="CG11" s="19"/>
      <c r="CH11" s="19"/>
      <c r="CI11" s="30">
        <f t="shared" si="18"/>
        <v>0</v>
      </c>
      <c r="CJ11" s="28">
        <f t="shared" si="19"/>
        <v>0</v>
      </c>
      <c r="CK11" s="14"/>
      <c r="CL11" s="644" t="s">
        <v>56</v>
      </c>
      <c r="CM11" s="644"/>
      <c r="CN11" s="644"/>
      <c r="CO11" s="644"/>
      <c r="CP11" s="644"/>
      <c r="CQ11" s="644"/>
      <c r="CR11" s="13"/>
      <c r="CS11" s="19"/>
      <c r="CT11" s="19"/>
      <c r="CU11" s="19"/>
      <c r="CV11" s="19"/>
      <c r="CW11" s="19"/>
      <c r="CX11" s="19"/>
      <c r="CY11" s="19"/>
      <c r="CZ11" s="19"/>
      <c r="DA11" s="30">
        <f t="shared" si="20"/>
        <v>0</v>
      </c>
      <c r="DB11" s="28">
        <f t="shared" si="21"/>
        <v>0</v>
      </c>
      <c r="DC11" s="14"/>
      <c r="DD11" s="644" t="s">
        <v>56</v>
      </c>
      <c r="DE11" s="644"/>
      <c r="DF11" s="644"/>
      <c r="DG11" s="644"/>
      <c r="DH11" s="644"/>
      <c r="DI11" s="644"/>
      <c r="DJ11" s="13">
        <v>12</v>
      </c>
      <c r="DK11" s="19"/>
      <c r="DL11" s="19"/>
      <c r="DM11" s="19"/>
      <c r="DN11" s="19"/>
      <c r="DO11" s="19"/>
      <c r="DP11" s="19"/>
      <c r="DQ11" s="19"/>
      <c r="DR11" s="19"/>
      <c r="DS11" s="19">
        <v>1</v>
      </c>
      <c r="DT11" s="19"/>
      <c r="DU11" s="30">
        <f t="shared" si="22"/>
        <v>1</v>
      </c>
      <c r="DV11" s="28">
        <f t="shared" si="23"/>
        <v>12</v>
      </c>
      <c r="DX11" s="644" t="s">
        <v>56</v>
      </c>
      <c r="DY11" s="644"/>
      <c r="DZ11" s="644"/>
      <c r="EA11" s="644"/>
      <c r="EB11" s="644"/>
      <c r="EC11" s="644"/>
      <c r="ED11" s="13">
        <v>12</v>
      </c>
      <c r="EE11" s="19"/>
      <c r="EF11" s="19"/>
      <c r="EG11" s="19"/>
      <c r="EH11" s="19"/>
      <c r="EI11" s="19"/>
      <c r="EJ11" s="19"/>
      <c r="EK11" s="19"/>
      <c r="EL11" s="19"/>
      <c r="EM11" s="23"/>
      <c r="EN11" s="23"/>
      <c r="EO11" s="30">
        <f t="shared" si="24"/>
        <v>0</v>
      </c>
      <c r="EP11" s="28">
        <f t="shared" si="25"/>
        <v>0</v>
      </c>
      <c r="EQ11" t="str">
        <f t="shared" si="26"/>
        <v>IGUAL</v>
      </c>
      <c r="ER11" s="644" t="s">
        <v>56</v>
      </c>
      <c r="ES11" s="644"/>
      <c r="ET11" s="644"/>
      <c r="EU11" s="644"/>
      <c r="EV11" s="644"/>
      <c r="EW11" s="644"/>
      <c r="EX11" s="13">
        <v>12</v>
      </c>
      <c r="EY11" s="19"/>
      <c r="EZ11" s="19"/>
      <c r="FA11" s="19"/>
      <c r="FB11" s="19"/>
      <c r="FC11" s="19"/>
      <c r="FD11" s="19"/>
      <c r="FE11" s="19"/>
      <c r="FF11" s="19"/>
      <c r="FG11" s="19"/>
      <c r="FH11" s="19"/>
      <c r="FI11" s="23"/>
      <c r="FJ11" s="23"/>
      <c r="FK11" s="23"/>
      <c r="FL11" s="23"/>
      <c r="FM11" s="23"/>
      <c r="FN11" s="23">
        <v>1</v>
      </c>
      <c r="FO11" s="23"/>
      <c r="FP11" s="23"/>
      <c r="FQ11" s="23"/>
      <c r="FR11" s="23"/>
      <c r="FS11" s="23"/>
      <c r="FT11" s="30">
        <f t="shared" si="27"/>
        <v>1</v>
      </c>
      <c r="FU11" s="28">
        <f t="shared" si="28"/>
        <v>12</v>
      </c>
      <c r="FW11" s="644" t="s">
        <v>56</v>
      </c>
      <c r="FX11" s="644"/>
      <c r="FY11" s="644"/>
      <c r="FZ11" s="644"/>
      <c r="GA11" s="644"/>
      <c r="GB11" s="644"/>
      <c r="GC11" s="13">
        <v>12</v>
      </c>
      <c r="GD11" s="23"/>
      <c r="GE11" s="19"/>
      <c r="GF11" s="19">
        <v>4</v>
      </c>
      <c r="GG11" s="19"/>
      <c r="GH11" s="19"/>
      <c r="GI11" s="19"/>
      <c r="GJ11" s="19"/>
      <c r="GK11" s="19"/>
      <c r="GL11" s="19"/>
      <c r="GM11" s="19"/>
      <c r="GN11" s="23"/>
      <c r="GO11" s="23"/>
      <c r="GP11" s="23"/>
      <c r="GQ11" s="30">
        <f t="shared" si="29"/>
        <v>4</v>
      </c>
      <c r="GR11" s="28">
        <f t="shared" si="30"/>
        <v>48</v>
      </c>
      <c r="GT11" s="644" t="s">
        <v>56</v>
      </c>
      <c r="GU11" s="644"/>
      <c r="GV11" s="644"/>
      <c r="GW11" s="644"/>
      <c r="GX11" s="644"/>
      <c r="GY11" s="644"/>
      <c r="GZ11" s="13">
        <v>12</v>
      </c>
      <c r="HA11" s="19"/>
      <c r="HB11" s="19"/>
      <c r="HC11" s="19"/>
      <c r="HD11" s="19"/>
      <c r="HE11" s="19">
        <v>4</v>
      </c>
      <c r="HF11" s="19">
        <v>1</v>
      </c>
      <c r="HG11" s="19"/>
      <c r="HH11" s="19"/>
      <c r="HI11" s="19"/>
      <c r="HJ11" s="23"/>
      <c r="HK11" s="23"/>
      <c r="HL11" s="30">
        <f t="shared" si="31"/>
        <v>5</v>
      </c>
      <c r="HM11" s="28">
        <f t="shared" si="32"/>
        <v>60</v>
      </c>
      <c r="HO11" s="644" t="s">
        <v>56</v>
      </c>
      <c r="HP11" s="644"/>
      <c r="HQ11" s="644"/>
      <c r="HR11" s="644"/>
      <c r="HS11" s="644"/>
      <c r="HT11" s="644"/>
      <c r="HU11" s="13">
        <v>14</v>
      </c>
      <c r="HV11" s="19"/>
      <c r="HW11" s="30">
        <f t="shared" si="33"/>
        <v>0</v>
      </c>
      <c r="HX11" s="28">
        <f t="shared" si="0"/>
        <v>0</v>
      </c>
      <c r="HZ11" s="644" t="s">
        <v>56</v>
      </c>
      <c r="IA11" s="644"/>
      <c r="IB11" s="644"/>
      <c r="IC11" s="644"/>
      <c r="ID11" s="644"/>
      <c r="IE11" s="644"/>
      <c r="IF11" s="13">
        <v>14</v>
      </c>
      <c r="IG11" s="19"/>
      <c r="IH11" s="23"/>
      <c r="II11" s="23"/>
      <c r="IJ11" s="23"/>
      <c r="IK11" s="23"/>
      <c r="IL11" s="23"/>
      <c r="IM11" s="30">
        <f t="shared" si="41"/>
        <v>0</v>
      </c>
      <c r="IN11" s="28">
        <f t="shared" si="1"/>
        <v>0</v>
      </c>
      <c r="IP11" s="644" t="s">
        <v>56</v>
      </c>
      <c r="IQ11" s="644"/>
      <c r="IR11" s="644"/>
      <c r="IS11" s="644"/>
      <c r="IT11" s="644"/>
      <c r="IU11" s="644"/>
      <c r="IV11" s="13">
        <v>14</v>
      </c>
      <c r="IW11" s="19"/>
      <c r="IX11" s="23"/>
      <c r="IY11" s="30">
        <f t="shared" si="2"/>
        <v>0</v>
      </c>
      <c r="IZ11" s="28">
        <f t="shared" si="3"/>
        <v>0</v>
      </c>
      <c r="JB11" s="644" t="s">
        <v>56</v>
      </c>
      <c r="JC11" s="644"/>
      <c r="JD11" s="644"/>
      <c r="JE11" s="644"/>
      <c r="JF11" s="644"/>
      <c r="JG11" s="644"/>
      <c r="JH11" s="13">
        <v>13</v>
      </c>
      <c r="JI11" s="19"/>
      <c r="JJ11" s="23"/>
      <c r="JK11" s="23">
        <v>2</v>
      </c>
      <c r="JL11" s="23"/>
      <c r="JM11" s="23"/>
      <c r="JN11" s="23"/>
      <c r="JO11" s="23"/>
      <c r="JP11" s="23"/>
      <c r="JQ11" s="23"/>
      <c r="JR11" s="23"/>
      <c r="JS11" s="23">
        <v>1</v>
      </c>
      <c r="JT11" s="23"/>
      <c r="JU11" s="23"/>
      <c r="JV11" s="23">
        <v>1</v>
      </c>
      <c r="JW11" s="23"/>
      <c r="JX11" s="23"/>
      <c r="JY11" s="23">
        <v>2</v>
      </c>
      <c r="JZ11" s="23"/>
      <c r="KA11" s="23"/>
      <c r="KB11" s="23"/>
      <c r="KC11" s="23">
        <v>4</v>
      </c>
      <c r="KD11" s="23"/>
      <c r="KE11" s="30">
        <f t="shared" si="34"/>
        <v>10</v>
      </c>
      <c r="KF11" s="28">
        <f t="shared" si="42"/>
        <v>130</v>
      </c>
      <c r="KH11" s="644" t="s">
        <v>56</v>
      </c>
      <c r="KI11" s="644"/>
      <c r="KJ11" s="644"/>
      <c r="KK11" s="644"/>
      <c r="KL11" s="644"/>
      <c r="KM11" s="644"/>
      <c r="KN11" s="13">
        <v>13</v>
      </c>
      <c r="KO11" s="19">
        <v>2</v>
      </c>
      <c r="KP11" s="23"/>
      <c r="KQ11" s="23"/>
      <c r="KR11" s="23"/>
      <c r="KS11" s="30">
        <f t="shared" si="4"/>
        <v>2</v>
      </c>
      <c r="KT11" s="28">
        <f t="shared" si="5"/>
        <v>26</v>
      </c>
      <c r="KV11" s="644" t="s">
        <v>56</v>
      </c>
      <c r="KW11" s="644"/>
      <c r="KX11" s="644"/>
      <c r="KY11" s="644"/>
      <c r="KZ11" s="644"/>
      <c r="LA11" s="644"/>
      <c r="LB11" s="13">
        <v>13</v>
      </c>
      <c r="LC11" s="19">
        <v>1</v>
      </c>
      <c r="LD11" s="23"/>
      <c r="LE11" s="23"/>
      <c r="LF11" s="30">
        <f t="shared" si="6"/>
        <v>1</v>
      </c>
      <c r="LG11" s="28">
        <f t="shared" si="7"/>
        <v>13</v>
      </c>
      <c r="LI11" s="644" t="s">
        <v>56</v>
      </c>
      <c r="LJ11" s="644"/>
      <c r="LK11" s="644"/>
      <c r="LL11" s="644"/>
      <c r="LM11" s="644"/>
      <c r="LN11" s="644"/>
      <c r="LO11" s="13">
        <v>13</v>
      </c>
      <c r="LP11" s="19"/>
      <c r="LQ11" s="23"/>
      <c r="LR11" s="23"/>
      <c r="LS11" s="23">
        <v>1</v>
      </c>
      <c r="LT11" s="23"/>
      <c r="LU11" s="23"/>
      <c r="LV11" s="23"/>
      <c r="LW11" s="23">
        <v>2</v>
      </c>
      <c r="LX11" s="23"/>
      <c r="LY11" s="23">
        <v>8</v>
      </c>
      <c r="LZ11" s="23">
        <v>3</v>
      </c>
      <c r="MA11" s="23"/>
      <c r="MB11" s="23"/>
      <c r="MC11" s="23"/>
      <c r="MD11" s="23">
        <v>1</v>
      </c>
      <c r="ME11" s="30">
        <f t="shared" si="35"/>
        <v>15</v>
      </c>
      <c r="MF11" s="28">
        <f t="shared" si="8"/>
        <v>195</v>
      </c>
      <c r="MH11" s="644" t="s">
        <v>56</v>
      </c>
      <c r="MI11" s="644"/>
      <c r="MJ11" s="644"/>
      <c r="MK11" s="644"/>
      <c r="ML11" s="644"/>
      <c r="MM11" s="644"/>
      <c r="MN11" s="13">
        <v>13</v>
      </c>
      <c r="MO11" s="19">
        <v>8</v>
      </c>
      <c r="MP11" s="23"/>
      <c r="MQ11" s="23"/>
      <c r="MR11" s="23"/>
      <c r="MS11" s="23">
        <v>1</v>
      </c>
      <c r="MT11" s="23">
        <v>1</v>
      </c>
      <c r="MU11" s="23"/>
      <c r="MV11" s="23"/>
      <c r="MW11" s="23"/>
      <c r="MX11" s="23">
        <v>1</v>
      </c>
      <c r="MY11" s="23"/>
      <c r="MZ11" s="23">
        <v>5</v>
      </c>
      <c r="NA11" s="23"/>
      <c r="NB11" s="23"/>
      <c r="NC11" s="23">
        <v>4</v>
      </c>
      <c r="ND11" s="30">
        <f t="shared" si="36"/>
        <v>20</v>
      </c>
      <c r="NE11" s="28">
        <f t="shared" si="37"/>
        <v>260</v>
      </c>
      <c r="NG11" s="644" t="s">
        <v>56</v>
      </c>
      <c r="NH11" s="644"/>
      <c r="NI11" s="644"/>
      <c r="NJ11" s="644"/>
      <c r="NK11" s="644"/>
      <c r="NL11" s="644"/>
      <c r="NM11" s="13">
        <v>13</v>
      </c>
      <c r="NN11" s="23">
        <v>1</v>
      </c>
      <c r="NO11" s="23">
        <v>1</v>
      </c>
      <c r="NP11" s="23">
        <v>1</v>
      </c>
      <c r="NQ11" s="23">
        <v>3</v>
      </c>
      <c r="NR11" s="23"/>
      <c r="NS11" s="23"/>
      <c r="NT11" s="23">
        <v>1</v>
      </c>
      <c r="NU11" s="23"/>
      <c r="NV11" s="23"/>
      <c r="NW11" s="23"/>
      <c r="NX11" s="23"/>
      <c r="NY11" s="23"/>
      <c r="NZ11" s="23"/>
      <c r="OA11" s="23"/>
      <c r="OB11" s="23"/>
      <c r="OC11" s="30">
        <f t="shared" si="38"/>
        <v>7</v>
      </c>
      <c r="OD11" s="28">
        <f t="shared" si="39"/>
        <v>91</v>
      </c>
    </row>
    <row r="12" spans="1:394" ht="14.45" customHeight="1" x14ac:dyDescent="0.25">
      <c r="A12" s="47"/>
      <c r="B12" s="14"/>
      <c r="C12" s="644" t="s">
        <v>49</v>
      </c>
      <c r="D12" s="644"/>
      <c r="E12" s="644"/>
      <c r="F12" s="644"/>
      <c r="G12" s="644"/>
      <c r="H12" s="644"/>
      <c r="I12" s="13"/>
      <c r="J12" s="13"/>
      <c r="K12" s="19"/>
      <c r="L12" s="19"/>
      <c r="M12" s="19">
        <f t="shared" si="40"/>
        <v>0</v>
      </c>
      <c r="N12" s="19">
        <f t="shared" si="9"/>
        <v>0</v>
      </c>
      <c r="O12" s="12"/>
      <c r="P12" s="644" t="s">
        <v>49</v>
      </c>
      <c r="Q12" s="644"/>
      <c r="R12" s="644"/>
      <c r="S12" s="644"/>
      <c r="T12" s="644"/>
      <c r="U12" s="644"/>
      <c r="V12" s="13"/>
      <c r="W12" s="19"/>
      <c r="X12" s="19"/>
      <c r="Y12" s="23">
        <f t="shared" si="10"/>
        <v>0</v>
      </c>
      <c r="Z12" s="19">
        <f t="shared" si="11"/>
        <v>0</v>
      </c>
      <c r="AA12" s="34"/>
      <c r="AB12" s="34"/>
      <c r="AC12" s="34"/>
      <c r="AD12" s="34"/>
      <c r="AE12" s="34"/>
      <c r="AF12" s="34"/>
      <c r="AG12" s="6"/>
      <c r="AH12" s="644" t="s">
        <v>49</v>
      </c>
      <c r="AI12" s="644"/>
      <c r="AJ12" s="644"/>
      <c r="AK12" s="644"/>
      <c r="AL12" s="644"/>
      <c r="AM12" s="644"/>
      <c r="AN12" s="13"/>
      <c r="AO12" s="19"/>
      <c r="AP12" s="23">
        <f t="shared" si="12"/>
        <v>0</v>
      </c>
      <c r="AQ12" s="19">
        <f t="shared" si="13"/>
        <v>0</v>
      </c>
      <c r="AS12" s="677" t="s">
        <v>49</v>
      </c>
      <c r="AT12" s="677"/>
      <c r="AU12" s="677"/>
      <c r="AV12" s="677"/>
      <c r="AW12" s="677"/>
      <c r="AX12" s="677"/>
      <c r="AY12" s="28"/>
      <c r="AZ12" s="28"/>
      <c r="BA12" s="28"/>
      <c r="BB12" s="28"/>
      <c r="BC12" s="28"/>
      <c r="BD12" s="30">
        <f t="shared" si="14"/>
        <v>0</v>
      </c>
      <c r="BE12" s="28">
        <f t="shared" si="15"/>
        <v>0</v>
      </c>
      <c r="BF12" s="14"/>
      <c r="BG12" s="677" t="s">
        <v>49</v>
      </c>
      <c r="BH12" s="677"/>
      <c r="BI12" s="677"/>
      <c r="BJ12" s="677"/>
      <c r="BK12" s="677"/>
      <c r="BL12" s="677"/>
      <c r="BM12" s="28">
        <v>26</v>
      </c>
      <c r="BN12" s="28"/>
      <c r="BO12" s="28">
        <v>1</v>
      </c>
      <c r="BP12" s="30">
        <f t="shared" si="16"/>
        <v>1</v>
      </c>
      <c r="BQ12" s="28">
        <f t="shared" si="17"/>
        <v>26</v>
      </c>
      <c r="BR12" s="14"/>
      <c r="BS12" s="677" t="s">
        <v>49</v>
      </c>
      <c r="BT12" s="677"/>
      <c r="BU12" s="677"/>
      <c r="BV12" s="677"/>
      <c r="BW12" s="677"/>
      <c r="BX12" s="677"/>
      <c r="BY12" s="28">
        <v>27</v>
      </c>
      <c r="BZ12" s="28">
        <v>2</v>
      </c>
      <c r="CA12" s="28"/>
      <c r="CB12" s="28"/>
      <c r="CC12" s="28"/>
      <c r="CD12" s="28"/>
      <c r="CE12" s="28">
        <v>2</v>
      </c>
      <c r="CF12" s="28"/>
      <c r="CG12" s="28"/>
      <c r="CH12" s="28">
        <v>2</v>
      </c>
      <c r="CI12" s="30">
        <f t="shared" si="18"/>
        <v>6</v>
      </c>
      <c r="CJ12" s="28">
        <f t="shared" si="19"/>
        <v>162</v>
      </c>
      <c r="CK12" s="14"/>
      <c r="CL12" s="677" t="s">
        <v>49</v>
      </c>
      <c r="CM12" s="677"/>
      <c r="CN12" s="677"/>
      <c r="CO12" s="677"/>
      <c r="CP12" s="677"/>
      <c r="CQ12" s="677"/>
      <c r="CR12" s="28">
        <v>27</v>
      </c>
      <c r="CS12" s="28"/>
      <c r="CT12" s="28">
        <v>2</v>
      </c>
      <c r="CU12" s="28">
        <v>2</v>
      </c>
      <c r="CV12" s="28"/>
      <c r="CW12" s="28">
        <v>2</v>
      </c>
      <c r="CX12" s="28">
        <v>1</v>
      </c>
      <c r="CY12" s="28"/>
      <c r="CZ12" s="28">
        <v>4</v>
      </c>
      <c r="DA12" s="30">
        <f t="shared" si="20"/>
        <v>11</v>
      </c>
      <c r="DB12" s="28">
        <f t="shared" si="21"/>
        <v>297</v>
      </c>
      <c r="DC12" s="14"/>
      <c r="DD12" s="677" t="s">
        <v>49</v>
      </c>
      <c r="DE12" s="677"/>
      <c r="DF12" s="677"/>
      <c r="DG12" s="677"/>
      <c r="DH12" s="677"/>
      <c r="DI12" s="677"/>
      <c r="DJ12" s="28">
        <v>27</v>
      </c>
      <c r="DK12" s="28"/>
      <c r="DL12" s="28">
        <v>2</v>
      </c>
      <c r="DM12" s="28"/>
      <c r="DN12" s="28"/>
      <c r="DO12" s="28"/>
      <c r="DP12" s="28"/>
      <c r="DQ12" s="28">
        <v>1</v>
      </c>
      <c r="DR12" s="28"/>
      <c r="DS12" s="28">
        <v>1</v>
      </c>
      <c r="DT12" s="28"/>
      <c r="DU12" s="30">
        <f t="shared" si="22"/>
        <v>4</v>
      </c>
      <c r="DV12" s="28">
        <f t="shared" si="23"/>
        <v>108</v>
      </c>
      <c r="DX12" s="677" t="s">
        <v>49</v>
      </c>
      <c r="DY12" s="677"/>
      <c r="DZ12" s="677"/>
      <c r="EA12" s="677"/>
      <c r="EB12" s="677"/>
      <c r="EC12" s="677"/>
      <c r="ED12" s="28">
        <v>27</v>
      </c>
      <c r="EE12" s="28"/>
      <c r="EF12" s="28"/>
      <c r="EG12" s="28"/>
      <c r="EH12" s="28">
        <v>5</v>
      </c>
      <c r="EI12" s="28"/>
      <c r="EJ12" s="28"/>
      <c r="EK12" s="28"/>
      <c r="EL12" s="28"/>
      <c r="EM12" s="30"/>
      <c r="EN12" s="30"/>
      <c r="EO12" s="30">
        <f t="shared" si="24"/>
        <v>5</v>
      </c>
      <c r="EP12" s="28">
        <f t="shared" si="25"/>
        <v>135</v>
      </c>
      <c r="EQ12" t="str">
        <f t="shared" si="26"/>
        <v>IGUAL</v>
      </c>
      <c r="ER12" s="677" t="s">
        <v>49</v>
      </c>
      <c r="ES12" s="677"/>
      <c r="ET12" s="677"/>
      <c r="EU12" s="677"/>
      <c r="EV12" s="677"/>
      <c r="EW12" s="677"/>
      <c r="EX12" s="28">
        <v>27</v>
      </c>
      <c r="EY12" s="28">
        <v>1</v>
      </c>
      <c r="EZ12" s="28"/>
      <c r="FA12" s="28"/>
      <c r="FB12" s="28"/>
      <c r="FC12" s="28"/>
      <c r="FD12" s="28"/>
      <c r="FE12" s="28"/>
      <c r="FF12" s="28">
        <v>2</v>
      </c>
      <c r="FG12" s="28"/>
      <c r="FH12" s="28"/>
      <c r="FI12" s="30">
        <v>2</v>
      </c>
      <c r="FJ12" s="30">
        <v>1</v>
      </c>
      <c r="FK12" s="30">
        <v>6</v>
      </c>
      <c r="FL12" s="30"/>
      <c r="FM12" s="30">
        <v>1</v>
      </c>
      <c r="FN12" s="30">
        <v>1</v>
      </c>
      <c r="FO12" s="30"/>
      <c r="FP12" s="30"/>
      <c r="FQ12" s="30"/>
      <c r="FR12" s="30"/>
      <c r="FS12" s="30"/>
      <c r="FT12" s="30">
        <f t="shared" si="27"/>
        <v>14</v>
      </c>
      <c r="FU12" s="28">
        <f t="shared" si="28"/>
        <v>378</v>
      </c>
      <c r="FW12" s="677" t="s">
        <v>49</v>
      </c>
      <c r="FX12" s="677"/>
      <c r="FY12" s="677"/>
      <c r="FZ12" s="677"/>
      <c r="GA12" s="677"/>
      <c r="GB12" s="677"/>
      <c r="GC12" s="28">
        <v>27</v>
      </c>
      <c r="GD12" s="30"/>
      <c r="GE12" s="28"/>
      <c r="GF12" s="28"/>
      <c r="GG12" s="28"/>
      <c r="GH12" s="28"/>
      <c r="GI12" s="28">
        <v>2</v>
      </c>
      <c r="GJ12" s="28"/>
      <c r="GK12" s="28">
        <v>1</v>
      </c>
      <c r="GL12" s="28">
        <v>2</v>
      </c>
      <c r="GM12" s="28"/>
      <c r="GN12" s="30"/>
      <c r="GO12" s="30">
        <v>2</v>
      </c>
      <c r="GP12" s="30"/>
      <c r="GQ12" s="30">
        <f t="shared" si="29"/>
        <v>7</v>
      </c>
      <c r="GR12" s="28">
        <f t="shared" si="30"/>
        <v>189</v>
      </c>
      <c r="GT12" s="677" t="s">
        <v>49</v>
      </c>
      <c r="GU12" s="677"/>
      <c r="GV12" s="677"/>
      <c r="GW12" s="677"/>
      <c r="GX12" s="677"/>
      <c r="GY12" s="677"/>
      <c r="GZ12" s="28">
        <v>27</v>
      </c>
      <c r="HA12" s="28"/>
      <c r="HB12" s="28">
        <v>2</v>
      </c>
      <c r="HC12" s="28"/>
      <c r="HD12" s="28"/>
      <c r="HE12" s="28">
        <v>5</v>
      </c>
      <c r="HF12" s="28"/>
      <c r="HG12" s="28"/>
      <c r="HH12" s="28"/>
      <c r="HI12" s="28"/>
      <c r="HJ12" s="30"/>
      <c r="HK12" s="30">
        <v>2</v>
      </c>
      <c r="HL12" s="30">
        <f t="shared" si="31"/>
        <v>9</v>
      </c>
      <c r="HM12" s="28">
        <f t="shared" si="32"/>
        <v>243</v>
      </c>
      <c r="HO12" s="677" t="s">
        <v>49</v>
      </c>
      <c r="HP12" s="677"/>
      <c r="HQ12" s="677"/>
      <c r="HR12" s="677"/>
      <c r="HS12" s="677"/>
      <c r="HT12" s="677"/>
      <c r="HU12" s="28">
        <v>31</v>
      </c>
      <c r="HV12" s="28"/>
      <c r="HW12" s="30">
        <f t="shared" si="33"/>
        <v>0</v>
      </c>
      <c r="HX12" s="28">
        <f t="shared" si="0"/>
        <v>0</v>
      </c>
      <c r="HZ12" s="677" t="s">
        <v>49</v>
      </c>
      <c r="IA12" s="677"/>
      <c r="IB12" s="677"/>
      <c r="IC12" s="677"/>
      <c r="ID12" s="677"/>
      <c r="IE12" s="677"/>
      <c r="IF12" s="28">
        <v>30</v>
      </c>
      <c r="IG12" s="28"/>
      <c r="IH12" s="30">
        <v>1</v>
      </c>
      <c r="II12" s="30"/>
      <c r="IJ12" s="30">
        <v>2</v>
      </c>
      <c r="IK12" s="30"/>
      <c r="IL12" s="30">
        <v>2</v>
      </c>
      <c r="IM12" s="30">
        <f t="shared" si="41"/>
        <v>5</v>
      </c>
      <c r="IN12" s="28">
        <f t="shared" si="1"/>
        <v>150</v>
      </c>
      <c r="IP12" s="677" t="s">
        <v>49</v>
      </c>
      <c r="IQ12" s="677"/>
      <c r="IR12" s="677"/>
      <c r="IS12" s="677"/>
      <c r="IT12" s="677"/>
      <c r="IU12" s="677"/>
      <c r="IV12" s="28">
        <v>30</v>
      </c>
      <c r="IW12" s="28">
        <v>3</v>
      </c>
      <c r="IX12" s="30"/>
      <c r="IY12" s="30">
        <f t="shared" si="2"/>
        <v>3</v>
      </c>
      <c r="IZ12" s="28">
        <f t="shared" si="3"/>
        <v>90</v>
      </c>
      <c r="JB12" s="677" t="s">
        <v>49</v>
      </c>
      <c r="JC12" s="677"/>
      <c r="JD12" s="677"/>
      <c r="JE12" s="677"/>
      <c r="JF12" s="677"/>
      <c r="JG12" s="677"/>
      <c r="JH12" s="28">
        <v>28</v>
      </c>
      <c r="JI12" s="28"/>
      <c r="JJ12" s="30"/>
      <c r="JK12" s="30">
        <v>6</v>
      </c>
      <c r="JL12" s="30"/>
      <c r="JM12" s="30">
        <v>3</v>
      </c>
      <c r="JN12" s="30"/>
      <c r="JO12" s="30"/>
      <c r="JP12" s="30"/>
      <c r="JQ12" s="30"/>
      <c r="JR12" s="30"/>
      <c r="JS12" s="30"/>
      <c r="JT12" s="30"/>
      <c r="JU12" s="30"/>
      <c r="JV12" s="30"/>
      <c r="JW12" s="30">
        <v>1</v>
      </c>
      <c r="JX12" s="30"/>
      <c r="JY12" s="30">
        <v>2</v>
      </c>
      <c r="JZ12" s="30">
        <v>7</v>
      </c>
      <c r="KA12" s="30">
        <v>1</v>
      </c>
      <c r="KB12" s="30">
        <v>2</v>
      </c>
      <c r="KC12" s="30"/>
      <c r="KD12" s="30"/>
      <c r="KE12" s="30">
        <f t="shared" si="34"/>
        <v>22</v>
      </c>
      <c r="KF12" s="28">
        <f t="shared" si="42"/>
        <v>616</v>
      </c>
      <c r="KH12" s="677" t="s">
        <v>49</v>
      </c>
      <c r="KI12" s="677"/>
      <c r="KJ12" s="677"/>
      <c r="KK12" s="677"/>
      <c r="KL12" s="677"/>
      <c r="KM12" s="677"/>
      <c r="KN12" s="28">
        <v>28</v>
      </c>
      <c r="KO12" s="28">
        <v>2</v>
      </c>
      <c r="KP12" s="30"/>
      <c r="KQ12" s="30">
        <v>2</v>
      </c>
      <c r="KR12" s="30">
        <v>2</v>
      </c>
      <c r="KS12" s="30">
        <f t="shared" si="4"/>
        <v>6</v>
      </c>
      <c r="KT12" s="28">
        <f t="shared" si="5"/>
        <v>168</v>
      </c>
      <c r="KV12" s="677" t="s">
        <v>49</v>
      </c>
      <c r="KW12" s="677"/>
      <c r="KX12" s="677"/>
      <c r="KY12" s="677"/>
      <c r="KZ12" s="677"/>
      <c r="LA12" s="677"/>
      <c r="LB12" s="28">
        <v>26</v>
      </c>
      <c r="LC12" s="28">
        <v>5</v>
      </c>
      <c r="LD12" s="30">
        <v>2</v>
      </c>
      <c r="LE12" s="30">
        <v>4</v>
      </c>
      <c r="LF12" s="30">
        <f t="shared" si="6"/>
        <v>11</v>
      </c>
      <c r="LG12" s="28">
        <f t="shared" si="7"/>
        <v>286</v>
      </c>
      <c r="LI12" s="677" t="s">
        <v>49</v>
      </c>
      <c r="LJ12" s="677"/>
      <c r="LK12" s="677"/>
      <c r="LL12" s="677"/>
      <c r="LM12" s="677"/>
      <c r="LN12" s="677"/>
      <c r="LO12" s="28">
        <v>26</v>
      </c>
      <c r="LP12" s="28">
        <v>2</v>
      </c>
      <c r="LQ12" s="30"/>
      <c r="LR12" s="30">
        <v>1</v>
      </c>
      <c r="LS12" s="30">
        <v>1</v>
      </c>
      <c r="LT12" s="30">
        <v>1</v>
      </c>
      <c r="LU12" s="30">
        <v>1</v>
      </c>
      <c r="LV12" s="30">
        <v>10</v>
      </c>
      <c r="LW12" s="30">
        <v>7</v>
      </c>
      <c r="LX12" s="30"/>
      <c r="LY12" s="30">
        <v>16</v>
      </c>
      <c r="LZ12" s="30">
        <v>1</v>
      </c>
      <c r="MA12" s="30"/>
      <c r="MB12" s="30"/>
      <c r="MC12" s="30"/>
      <c r="MD12" s="30">
        <v>2</v>
      </c>
      <c r="ME12" s="30">
        <f t="shared" si="35"/>
        <v>42</v>
      </c>
      <c r="MF12" s="28">
        <f t="shared" si="8"/>
        <v>1092</v>
      </c>
      <c r="MH12" s="677" t="s">
        <v>49</v>
      </c>
      <c r="MI12" s="677"/>
      <c r="MJ12" s="677"/>
      <c r="MK12" s="677"/>
      <c r="ML12" s="677"/>
      <c r="MM12" s="677"/>
      <c r="MN12" s="28">
        <v>26</v>
      </c>
      <c r="MO12" s="28">
        <v>4</v>
      </c>
      <c r="MP12" s="30">
        <v>1</v>
      </c>
      <c r="MQ12" s="30"/>
      <c r="MR12" s="30">
        <v>7</v>
      </c>
      <c r="MS12" s="30">
        <v>3</v>
      </c>
      <c r="MT12" s="30">
        <v>3</v>
      </c>
      <c r="MU12" s="30"/>
      <c r="MV12" s="30">
        <v>10</v>
      </c>
      <c r="MW12" s="30">
        <v>6</v>
      </c>
      <c r="MX12" s="30">
        <v>3</v>
      </c>
      <c r="MY12" s="30">
        <v>3</v>
      </c>
      <c r="MZ12" s="30">
        <v>9</v>
      </c>
      <c r="NA12" s="30">
        <v>8</v>
      </c>
      <c r="NB12" s="30"/>
      <c r="NC12" s="30">
        <v>7</v>
      </c>
      <c r="ND12" s="30">
        <f t="shared" si="36"/>
        <v>64</v>
      </c>
      <c r="NE12" s="28">
        <f t="shared" si="37"/>
        <v>1664</v>
      </c>
      <c r="NG12" s="677" t="s">
        <v>49</v>
      </c>
      <c r="NH12" s="677"/>
      <c r="NI12" s="677"/>
      <c r="NJ12" s="677"/>
      <c r="NK12" s="677"/>
      <c r="NL12" s="677"/>
      <c r="NM12" s="28">
        <v>26</v>
      </c>
      <c r="NN12" s="30">
        <v>5</v>
      </c>
      <c r="NO12" s="30">
        <v>1</v>
      </c>
      <c r="NP12" s="30">
        <v>1</v>
      </c>
      <c r="NQ12" s="30">
        <v>2</v>
      </c>
      <c r="NR12" s="30"/>
      <c r="NS12" s="30"/>
      <c r="NT12" s="30"/>
      <c r="NU12" s="30"/>
      <c r="NV12" s="30"/>
      <c r="NW12" s="30"/>
      <c r="NX12" s="30"/>
      <c r="NY12" s="30"/>
      <c r="NZ12" s="30"/>
      <c r="OA12" s="30"/>
      <c r="OB12" s="30"/>
      <c r="OC12" s="30">
        <f t="shared" si="38"/>
        <v>9</v>
      </c>
      <c r="OD12" s="28">
        <f t="shared" si="39"/>
        <v>234</v>
      </c>
    </row>
    <row r="13" spans="1:394" ht="14.45" customHeight="1" x14ac:dyDescent="0.25">
      <c r="A13" s="47"/>
      <c r="B13" s="14"/>
      <c r="C13" s="644" t="s">
        <v>50</v>
      </c>
      <c r="D13" s="644"/>
      <c r="E13" s="644"/>
      <c r="F13" s="644"/>
      <c r="G13" s="644"/>
      <c r="H13" s="644"/>
      <c r="I13" s="13"/>
      <c r="J13" s="13"/>
      <c r="K13" s="19"/>
      <c r="L13" s="19"/>
      <c r="M13" s="19">
        <f t="shared" si="40"/>
        <v>0</v>
      </c>
      <c r="N13" s="19">
        <f t="shared" si="9"/>
        <v>0</v>
      </c>
      <c r="O13" s="12"/>
      <c r="P13" s="644" t="s">
        <v>50</v>
      </c>
      <c r="Q13" s="644"/>
      <c r="R13" s="644"/>
      <c r="S13" s="644"/>
      <c r="T13" s="644"/>
      <c r="U13" s="644"/>
      <c r="V13" s="13"/>
      <c r="W13" s="19"/>
      <c r="X13" s="19"/>
      <c r="Y13" s="23">
        <f t="shared" si="10"/>
        <v>0</v>
      </c>
      <c r="Z13" s="19">
        <f t="shared" si="11"/>
        <v>0</v>
      </c>
      <c r="AA13" s="34"/>
      <c r="AB13" s="34"/>
      <c r="AC13" s="34"/>
      <c r="AD13" s="34"/>
      <c r="AE13" s="34"/>
      <c r="AF13" s="34"/>
      <c r="AG13" s="6"/>
      <c r="AH13" s="644" t="s">
        <v>50</v>
      </c>
      <c r="AI13" s="644"/>
      <c r="AJ13" s="644"/>
      <c r="AK13" s="644"/>
      <c r="AL13" s="644"/>
      <c r="AM13" s="644"/>
      <c r="AN13" s="13"/>
      <c r="AO13" s="19"/>
      <c r="AP13" s="23">
        <f t="shared" si="12"/>
        <v>0</v>
      </c>
      <c r="AQ13" s="19">
        <f t="shared" si="13"/>
        <v>0</v>
      </c>
      <c r="AS13" s="644" t="s">
        <v>50</v>
      </c>
      <c r="AT13" s="644"/>
      <c r="AU13" s="644"/>
      <c r="AV13" s="644"/>
      <c r="AW13" s="644"/>
      <c r="AX13" s="644"/>
      <c r="AY13" s="13"/>
      <c r="AZ13" s="19"/>
      <c r="BA13" s="19"/>
      <c r="BB13" s="19"/>
      <c r="BC13" s="19"/>
      <c r="BD13" s="30">
        <f t="shared" si="14"/>
        <v>0</v>
      </c>
      <c r="BE13" s="28">
        <f t="shared" si="15"/>
        <v>0</v>
      </c>
      <c r="BF13" s="14"/>
      <c r="BG13" s="644" t="s">
        <v>50</v>
      </c>
      <c r="BH13" s="644"/>
      <c r="BI13" s="644"/>
      <c r="BJ13" s="644"/>
      <c r="BK13" s="644"/>
      <c r="BL13" s="644"/>
      <c r="BM13" s="13"/>
      <c r="BN13" s="19"/>
      <c r="BO13" s="19"/>
      <c r="BP13" s="30">
        <f t="shared" si="16"/>
        <v>0</v>
      </c>
      <c r="BQ13" s="28">
        <f t="shared" si="17"/>
        <v>0</v>
      </c>
      <c r="BR13" s="14"/>
      <c r="BS13" s="644" t="s">
        <v>50</v>
      </c>
      <c r="BT13" s="644"/>
      <c r="BU13" s="644"/>
      <c r="BV13" s="644"/>
      <c r="BW13" s="644"/>
      <c r="BX13" s="644"/>
      <c r="BY13" s="13"/>
      <c r="BZ13" s="19"/>
      <c r="CA13" s="19"/>
      <c r="CB13" s="19"/>
      <c r="CC13" s="19"/>
      <c r="CD13" s="19"/>
      <c r="CE13" s="19"/>
      <c r="CF13" s="19"/>
      <c r="CG13" s="19"/>
      <c r="CH13" s="19"/>
      <c r="CI13" s="30">
        <f t="shared" si="18"/>
        <v>0</v>
      </c>
      <c r="CJ13" s="28">
        <f t="shared" si="19"/>
        <v>0</v>
      </c>
      <c r="CK13" s="14"/>
      <c r="CL13" s="644" t="s">
        <v>50</v>
      </c>
      <c r="CM13" s="644"/>
      <c r="CN13" s="644"/>
      <c r="CO13" s="644"/>
      <c r="CP13" s="644"/>
      <c r="CQ13" s="644"/>
      <c r="CR13" s="13"/>
      <c r="CS13" s="19"/>
      <c r="CT13" s="19"/>
      <c r="CU13" s="19"/>
      <c r="CV13" s="19"/>
      <c r="CW13" s="19"/>
      <c r="CX13" s="19"/>
      <c r="CY13" s="19"/>
      <c r="CZ13" s="19"/>
      <c r="DA13" s="30">
        <f t="shared" si="20"/>
        <v>0</v>
      </c>
      <c r="DB13" s="28">
        <f t="shared" si="21"/>
        <v>0</v>
      </c>
      <c r="DC13" s="14"/>
      <c r="DD13" s="644" t="s">
        <v>50</v>
      </c>
      <c r="DE13" s="644"/>
      <c r="DF13" s="644"/>
      <c r="DG13" s="644"/>
      <c r="DH13" s="644"/>
      <c r="DI13" s="644"/>
      <c r="DJ13" s="13">
        <v>7</v>
      </c>
      <c r="DK13" s="19"/>
      <c r="DL13" s="19"/>
      <c r="DM13" s="19"/>
      <c r="DN13" s="19"/>
      <c r="DO13" s="19"/>
      <c r="DP13" s="19"/>
      <c r="DQ13" s="19">
        <v>1</v>
      </c>
      <c r="DR13" s="19"/>
      <c r="DS13" s="19"/>
      <c r="DT13" s="19"/>
      <c r="DU13" s="30">
        <f t="shared" si="22"/>
        <v>1</v>
      </c>
      <c r="DV13" s="28">
        <f t="shared" si="23"/>
        <v>7</v>
      </c>
      <c r="DX13" s="644" t="s">
        <v>50</v>
      </c>
      <c r="DY13" s="644"/>
      <c r="DZ13" s="644"/>
      <c r="EA13" s="644"/>
      <c r="EB13" s="644"/>
      <c r="EC13" s="644"/>
      <c r="ED13" s="13">
        <v>7</v>
      </c>
      <c r="EE13" s="19"/>
      <c r="EF13" s="19"/>
      <c r="EG13" s="19"/>
      <c r="EH13" s="19"/>
      <c r="EI13" s="19"/>
      <c r="EJ13" s="19"/>
      <c r="EK13" s="19"/>
      <c r="EL13" s="19"/>
      <c r="EM13" s="23"/>
      <c r="EN13" s="23"/>
      <c r="EO13" s="30">
        <f t="shared" si="24"/>
        <v>0</v>
      </c>
      <c r="EP13" s="28">
        <f t="shared" si="25"/>
        <v>0</v>
      </c>
      <c r="EQ13" t="str">
        <f t="shared" si="26"/>
        <v>IGUAL</v>
      </c>
      <c r="ER13" s="644" t="s">
        <v>50</v>
      </c>
      <c r="ES13" s="644"/>
      <c r="ET13" s="644"/>
      <c r="EU13" s="644"/>
      <c r="EV13" s="644"/>
      <c r="EW13" s="644"/>
      <c r="EX13" s="13">
        <v>7</v>
      </c>
      <c r="EY13" s="19"/>
      <c r="EZ13" s="19"/>
      <c r="FA13" s="19"/>
      <c r="FB13" s="19"/>
      <c r="FC13" s="19"/>
      <c r="FD13" s="19"/>
      <c r="FE13" s="19"/>
      <c r="FF13" s="19"/>
      <c r="FG13" s="19"/>
      <c r="FH13" s="19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30">
        <f t="shared" si="27"/>
        <v>0</v>
      </c>
      <c r="FU13" s="28">
        <f t="shared" si="28"/>
        <v>0</v>
      </c>
      <c r="FW13" s="644" t="s">
        <v>50</v>
      </c>
      <c r="FX13" s="644"/>
      <c r="FY13" s="644"/>
      <c r="FZ13" s="644"/>
      <c r="GA13" s="644"/>
      <c r="GB13" s="644"/>
      <c r="GC13" s="13">
        <v>7</v>
      </c>
      <c r="GD13" s="23"/>
      <c r="GE13" s="19"/>
      <c r="GF13" s="19"/>
      <c r="GG13" s="19"/>
      <c r="GH13" s="19"/>
      <c r="GI13" s="19"/>
      <c r="GJ13" s="19"/>
      <c r="GK13" s="19"/>
      <c r="GL13" s="19"/>
      <c r="GM13" s="19"/>
      <c r="GN13" s="23"/>
      <c r="GO13" s="23"/>
      <c r="GP13" s="23"/>
      <c r="GQ13" s="30">
        <f t="shared" si="29"/>
        <v>0</v>
      </c>
      <c r="GR13" s="28">
        <f t="shared" si="30"/>
        <v>0</v>
      </c>
      <c r="GT13" s="644" t="s">
        <v>50</v>
      </c>
      <c r="GU13" s="644"/>
      <c r="GV13" s="644"/>
      <c r="GW13" s="644"/>
      <c r="GX13" s="644"/>
      <c r="GY13" s="644"/>
      <c r="GZ13" s="13">
        <v>7</v>
      </c>
      <c r="HA13" s="19"/>
      <c r="HB13" s="19"/>
      <c r="HC13" s="19"/>
      <c r="HD13" s="19"/>
      <c r="HE13" s="19"/>
      <c r="HF13" s="19"/>
      <c r="HG13" s="19"/>
      <c r="HH13" s="19"/>
      <c r="HI13" s="19"/>
      <c r="HJ13" s="23"/>
      <c r="HK13" s="23"/>
      <c r="HL13" s="30">
        <f t="shared" si="31"/>
        <v>0</v>
      </c>
      <c r="HM13" s="28">
        <f t="shared" si="32"/>
        <v>0</v>
      </c>
      <c r="HO13" s="644" t="s">
        <v>50</v>
      </c>
      <c r="HP13" s="644"/>
      <c r="HQ13" s="644"/>
      <c r="HR13" s="644"/>
      <c r="HS13" s="644"/>
      <c r="HT13" s="644"/>
      <c r="HU13" s="13">
        <v>8</v>
      </c>
      <c r="HV13" s="19"/>
      <c r="HW13" s="30">
        <f t="shared" si="33"/>
        <v>0</v>
      </c>
      <c r="HX13" s="28">
        <f t="shared" si="0"/>
        <v>0</v>
      </c>
      <c r="HZ13" s="644" t="s">
        <v>50</v>
      </c>
      <c r="IA13" s="644"/>
      <c r="IB13" s="644"/>
      <c r="IC13" s="644"/>
      <c r="ID13" s="644"/>
      <c r="IE13" s="644"/>
      <c r="IF13" s="13">
        <v>8</v>
      </c>
      <c r="IG13" s="19"/>
      <c r="IH13" s="23"/>
      <c r="II13" s="23"/>
      <c r="IJ13" s="23"/>
      <c r="IK13" s="23"/>
      <c r="IL13" s="23">
        <v>1</v>
      </c>
      <c r="IM13" s="30">
        <f t="shared" si="41"/>
        <v>1</v>
      </c>
      <c r="IN13" s="28">
        <f t="shared" si="1"/>
        <v>8</v>
      </c>
      <c r="IP13" s="644" t="s">
        <v>50</v>
      </c>
      <c r="IQ13" s="644"/>
      <c r="IR13" s="644"/>
      <c r="IS13" s="644"/>
      <c r="IT13" s="644"/>
      <c r="IU13" s="644"/>
      <c r="IV13" s="13">
        <v>8</v>
      </c>
      <c r="IW13" s="19"/>
      <c r="IX13" s="23"/>
      <c r="IY13" s="30">
        <f t="shared" si="2"/>
        <v>0</v>
      </c>
      <c r="IZ13" s="28">
        <f t="shared" si="3"/>
        <v>0</v>
      </c>
      <c r="JB13" s="644" t="s">
        <v>50</v>
      </c>
      <c r="JC13" s="644"/>
      <c r="JD13" s="644"/>
      <c r="JE13" s="644"/>
      <c r="JF13" s="644"/>
      <c r="JG13" s="644"/>
      <c r="JH13" s="13">
        <v>7</v>
      </c>
      <c r="JI13" s="19"/>
      <c r="JJ13" s="23"/>
      <c r="JK13" s="23"/>
      <c r="JL13" s="23">
        <v>1</v>
      </c>
      <c r="JM13" s="23"/>
      <c r="JN13" s="23"/>
      <c r="JO13" s="23"/>
      <c r="JP13" s="23"/>
      <c r="JQ13" s="23"/>
      <c r="JR13" s="23"/>
      <c r="JS13" s="23"/>
      <c r="JT13" s="23"/>
      <c r="JU13" s="23"/>
      <c r="JV13" s="23"/>
      <c r="JW13" s="23"/>
      <c r="JX13" s="23"/>
      <c r="JY13" s="23"/>
      <c r="JZ13" s="23"/>
      <c r="KA13" s="23"/>
      <c r="KB13" s="23"/>
      <c r="KC13" s="23">
        <v>12</v>
      </c>
      <c r="KD13" s="23"/>
      <c r="KE13" s="30">
        <f t="shared" si="34"/>
        <v>13</v>
      </c>
      <c r="KF13" s="28">
        <f t="shared" si="42"/>
        <v>91</v>
      </c>
      <c r="KH13" s="644" t="s">
        <v>50</v>
      </c>
      <c r="KI13" s="644"/>
      <c r="KJ13" s="644"/>
      <c r="KK13" s="644"/>
      <c r="KL13" s="644"/>
      <c r="KM13" s="644"/>
      <c r="KN13" s="13">
        <v>7</v>
      </c>
      <c r="KO13" s="19">
        <v>1</v>
      </c>
      <c r="KP13" s="23"/>
      <c r="KQ13" s="23"/>
      <c r="KR13" s="23"/>
      <c r="KS13" s="30">
        <f t="shared" si="4"/>
        <v>1</v>
      </c>
      <c r="KT13" s="28">
        <f t="shared" si="5"/>
        <v>7</v>
      </c>
      <c r="KV13" s="644" t="s">
        <v>50</v>
      </c>
      <c r="KW13" s="644"/>
      <c r="KX13" s="644"/>
      <c r="KY13" s="644"/>
      <c r="KZ13" s="644"/>
      <c r="LA13" s="644"/>
      <c r="LB13" s="13">
        <v>7</v>
      </c>
      <c r="LC13" s="19"/>
      <c r="LD13" s="23"/>
      <c r="LE13" s="23"/>
      <c r="LF13" s="30">
        <f t="shared" si="6"/>
        <v>0</v>
      </c>
      <c r="LG13" s="28">
        <f t="shared" si="7"/>
        <v>0</v>
      </c>
      <c r="LI13" s="644" t="s">
        <v>50</v>
      </c>
      <c r="LJ13" s="644"/>
      <c r="LK13" s="644"/>
      <c r="LL13" s="644"/>
      <c r="LM13" s="644"/>
      <c r="LN13" s="644"/>
      <c r="LO13" s="13">
        <v>7</v>
      </c>
      <c r="LP13" s="19"/>
      <c r="LQ13" s="23"/>
      <c r="LR13" s="23">
        <v>1</v>
      </c>
      <c r="LS13" s="23"/>
      <c r="LT13" s="23"/>
      <c r="LU13" s="23"/>
      <c r="LV13" s="23"/>
      <c r="LW13" s="23"/>
      <c r="LX13" s="23"/>
      <c r="LY13" s="23"/>
      <c r="LZ13" s="23">
        <v>1</v>
      </c>
      <c r="MA13" s="23"/>
      <c r="MB13" s="23"/>
      <c r="MC13" s="23"/>
      <c r="MD13" s="23"/>
      <c r="ME13" s="30">
        <f t="shared" si="35"/>
        <v>2</v>
      </c>
      <c r="MF13" s="28">
        <f t="shared" si="8"/>
        <v>14</v>
      </c>
      <c r="MH13" s="644" t="s">
        <v>50</v>
      </c>
      <c r="MI13" s="644"/>
      <c r="MJ13" s="644"/>
      <c r="MK13" s="644"/>
      <c r="ML13" s="644"/>
      <c r="MM13" s="644"/>
      <c r="MN13" s="13">
        <v>7</v>
      </c>
      <c r="MO13" s="19"/>
      <c r="MP13" s="23"/>
      <c r="MQ13" s="23"/>
      <c r="MR13" s="23"/>
      <c r="MS13" s="23"/>
      <c r="MT13" s="23"/>
      <c r="MU13" s="23"/>
      <c r="MV13" s="23"/>
      <c r="MW13" s="23">
        <v>1</v>
      </c>
      <c r="MX13" s="23"/>
      <c r="MY13" s="23">
        <v>1</v>
      </c>
      <c r="MZ13" s="23"/>
      <c r="NA13" s="23"/>
      <c r="NB13" s="23"/>
      <c r="NC13" s="23"/>
      <c r="ND13" s="30">
        <f t="shared" si="36"/>
        <v>2</v>
      </c>
      <c r="NE13" s="28">
        <f t="shared" si="37"/>
        <v>14</v>
      </c>
      <c r="NG13" s="644" t="s">
        <v>50</v>
      </c>
      <c r="NH13" s="644"/>
      <c r="NI13" s="644"/>
      <c r="NJ13" s="644"/>
      <c r="NK13" s="644"/>
      <c r="NL13" s="644"/>
      <c r="NM13" s="13">
        <v>7</v>
      </c>
      <c r="NN13" s="23"/>
      <c r="NO13" s="23">
        <v>1</v>
      </c>
      <c r="NP13" s="23"/>
      <c r="NQ13" s="23"/>
      <c r="NR13" s="23"/>
      <c r="NS13" s="23"/>
      <c r="NT13" s="23"/>
      <c r="NU13" s="23"/>
      <c r="NV13" s="23"/>
      <c r="NW13" s="23"/>
      <c r="NX13" s="23"/>
      <c r="NY13" s="23"/>
      <c r="NZ13" s="23"/>
      <c r="OA13" s="23"/>
      <c r="OB13" s="23"/>
      <c r="OC13" s="30">
        <f t="shared" si="38"/>
        <v>1</v>
      </c>
      <c r="OD13" s="28">
        <f t="shared" si="39"/>
        <v>7</v>
      </c>
    </row>
    <row r="14" spans="1:394" ht="14.45" customHeight="1" x14ac:dyDescent="0.25">
      <c r="A14" s="47"/>
      <c r="B14" s="14"/>
      <c r="C14" s="644" t="s">
        <v>6</v>
      </c>
      <c r="D14" s="644"/>
      <c r="E14" s="644"/>
      <c r="F14" s="644"/>
      <c r="G14" s="644"/>
      <c r="H14" s="644"/>
      <c r="I14" s="13">
        <v>10</v>
      </c>
      <c r="J14" s="13">
        <v>4</v>
      </c>
      <c r="K14" s="19"/>
      <c r="L14" s="19">
        <v>8</v>
      </c>
      <c r="M14" s="19">
        <f t="shared" si="40"/>
        <v>12</v>
      </c>
      <c r="N14" s="19">
        <f t="shared" si="9"/>
        <v>120</v>
      </c>
      <c r="O14" s="12"/>
      <c r="P14" s="644" t="s">
        <v>6</v>
      </c>
      <c r="Q14" s="644"/>
      <c r="R14" s="644"/>
      <c r="S14" s="644"/>
      <c r="T14" s="644"/>
      <c r="U14" s="644"/>
      <c r="V14" s="13">
        <v>10</v>
      </c>
      <c r="W14" s="19">
        <v>9</v>
      </c>
      <c r="X14" s="19"/>
      <c r="Y14" s="23">
        <f t="shared" si="10"/>
        <v>9</v>
      </c>
      <c r="Z14" s="19">
        <f t="shared" si="11"/>
        <v>90</v>
      </c>
      <c r="AA14" s="34"/>
      <c r="AB14" s="34"/>
      <c r="AC14" s="34"/>
      <c r="AD14" s="34"/>
      <c r="AE14" s="34"/>
      <c r="AF14" s="34"/>
      <c r="AG14" s="6"/>
      <c r="AH14" s="644" t="s">
        <v>6</v>
      </c>
      <c r="AI14" s="644"/>
      <c r="AJ14" s="644"/>
      <c r="AK14" s="644"/>
      <c r="AL14" s="644"/>
      <c r="AM14" s="644"/>
      <c r="AN14" s="13">
        <v>10.5</v>
      </c>
      <c r="AO14" s="19"/>
      <c r="AP14" s="23">
        <f t="shared" si="12"/>
        <v>0</v>
      </c>
      <c r="AQ14" s="19">
        <f t="shared" si="13"/>
        <v>0</v>
      </c>
      <c r="AS14" s="677" t="s">
        <v>6</v>
      </c>
      <c r="AT14" s="677"/>
      <c r="AU14" s="677"/>
      <c r="AV14" s="677"/>
      <c r="AW14" s="677"/>
      <c r="AX14" s="677"/>
      <c r="AY14" s="28">
        <v>10.5</v>
      </c>
      <c r="AZ14" s="28">
        <v>1</v>
      </c>
      <c r="BA14" s="28"/>
      <c r="BB14" s="28"/>
      <c r="BC14" s="28">
        <v>1</v>
      </c>
      <c r="BD14" s="30">
        <f t="shared" si="14"/>
        <v>2</v>
      </c>
      <c r="BE14" s="28">
        <f t="shared" si="15"/>
        <v>21</v>
      </c>
      <c r="BF14" s="14"/>
      <c r="BG14" s="677" t="s">
        <v>6</v>
      </c>
      <c r="BH14" s="677"/>
      <c r="BI14" s="677"/>
      <c r="BJ14" s="677"/>
      <c r="BK14" s="677"/>
      <c r="BL14" s="677"/>
      <c r="BM14" s="28">
        <v>10.5</v>
      </c>
      <c r="BN14" s="28"/>
      <c r="BO14" s="28"/>
      <c r="BP14" s="30">
        <f t="shared" si="16"/>
        <v>0</v>
      </c>
      <c r="BQ14" s="28">
        <f t="shared" si="17"/>
        <v>0</v>
      </c>
      <c r="BR14" s="14"/>
      <c r="BS14" s="677" t="s">
        <v>6</v>
      </c>
      <c r="BT14" s="677"/>
      <c r="BU14" s="677"/>
      <c r="BV14" s="677"/>
      <c r="BW14" s="677"/>
      <c r="BX14" s="677"/>
      <c r="BY14" s="28">
        <v>10.5</v>
      </c>
      <c r="BZ14" s="28"/>
      <c r="CA14" s="28">
        <v>1</v>
      </c>
      <c r="CB14" s="28"/>
      <c r="CC14" s="28"/>
      <c r="CD14" s="28"/>
      <c r="CE14" s="28"/>
      <c r="CF14" s="28"/>
      <c r="CG14" s="28"/>
      <c r="CH14" s="28"/>
      <c r="CI14" s="30">
        <f t="shared" si="18"/>
        <v>1</v>
      </c>
      <c r="CJ14" s="28">
        <f t="shared" si="19"/>
        <v>10.5</v>
      </c>
      <c r="CK14" s="14"/>
      <c r="CL14" s="677" t="s">
        <v>6</v>
      </c>
      <c r="CM14" s="677"/>
      <c r="CN14" s="677"/>
      <c r="CO14" s="677"/>
      <c r="CP14" s="677"/>
      <c r="CQ14" s="677"/>
      <c r="CR14" s="28">
        <v>10.5</v>
      </c>
      <c r="CS14" s="28"/>
      <c r="CT14" s="28"/>
      <c r="CU14" s="28"/>
      <c r="CV14" s="28"/>
      <c r="CW14" s="28"/>
      <c r="CX14" s="28"/>
      <c r="CY14" s="28"/>
      <c r="CZ14" s="28"/>
      <c r="DA14" s="30">
        <f t="shared" si="20"/>
        <v>0</v>
      </c>
      <c r="DB14" s="28">
        <f t="shared" si="21"/>
        <v>0</v>
      </c>
      <c r="DC14" s="14"/>
      <c r="DD14" s="677" t="s">
        <v>6</v>
      </c>
      <c r="DE14" s="677"/>
      <c r="DF14" s="677"/>
      <c r="DG14" s="677"/>
      <c r="DH14" s="677"/>
      <c r="DI14" s="677"/>
      <c r="DJ14" s="28">
        <v>10.5</v>
      </c>
      <c r="DK14" s="28"/>
      <c r="DL14" s="28"/>
      <c r="DM14" s="28"/>
      <c r="DN14" s="28"/>
      <c r="DO14" s="28"/>
      <c r="DP14" s="28"/>
      <c r="DQ14" s="28"/>
      <c r="DR14" s="28">
        <v>1</v>
      </c>
      <c r="DS14" s="28"/>
      <c r="DT14" s="28"/>
      <c r="DU14" s="30">
        <f t="shared" si="22"/>
        <v>1</v>
      </c>
      <c r="DV14" s="28">
        <f t="shared" si="23"/>
        <v>10.5</v>
      </c>
      <c r="DX14" s="677" t="s">
        <v>6</v>
      </c>
      <c r="DY14" s="677"/>
      <c r="DZ14" s="677"/>
      <c r="EA14" s="677"/>
      <c r="EB14" s="677"/>
      <c r="EC14" s="677"/>
      <c r="ED14" s="28">
        <v>10.5</v>
      </c>
      <c r="EE14" s="28"/>
      <c r="EF14" s="28"/>
      <c r="EG14" s="28"/>
      <c r="EH14" s="28"/>
      <c r="EI14" s="28"/>
      <c r="EJ14" s="28">
        <v>1</v>
      </c>
      <c r="EK14" s="28"/>
      <c r="EL14" s="28"/>
      <c r="EM14" s="30"/>
      <c r="EN14" s="30"/>
      <c r="EO14" s="30">
        <f t="shared" si="24"/>
        <v>1</v>
      </c>
      <c r="EP14" s="28">
        <f t="shared" si="25"/>
        <v>10.5</v>
      </c>
      <c r="EQ14" t="str">
        <f t="shared" si="26"/>
        <v>IGUAL</v>
      </c>
      <c r="ER14" s="677" t="s">
        <v>6</v>
      </c>
      <c r="ES14" s="677"/>
      <c r="ET14" s="677"/>
      <c r="EU14" s="677"/>
      <c r="EV14" s="677"/>
      <c r="EW14" s="677"/>
      <c r="EX14" s="28">
        <v>10.5</v>
      </c>
      <c r="EY14" s="28"/>
      <c r="EZ14" s="28"/>
      <c r="FA14" s="28">
        <v>1</v>
      </c>
      <c r="FB14" s="28"/>
      <c r="FC14" s="28"/>
      <c r="FD14" s="28"/>
      <c r="FE14" s="28"/>
      <c r="FF14" s="28"/>
      <c r="FG14" s="28">
        <v>1</v>
      </c>
      <c r="FH14" s="28"/>
      <c r="FI14" s="30"/>
      <c r="FJ14" s="30"/>
      <c r="FK14" s="30"/>
      <c r="FL14" s="30"/>
      <c r="FM14" s="30"/>
      <c r="FN14" s="30"/>
      <c r="FO14" s="30"/>
      <c r="FP14" s="30"/>
      <c r="FQ14" s="30"/>
      <c r="FR14" s="30"/>
      <c r="FS14" s="30"/>
      <c r="FT14" s="30">
        <f t="shared" si="27"/>
        <v>2</v>
      </c>
      <c r="FU14" s="28">
        <f t="shared" si="28"/>
        <v>21</v>
      </c>
      <c r="FW14" s="677" t="s">
        <v>6</v>
      </c>
      <c r="FX14" s="677"/>
      <c r="FY14" s="677"/>
      <c r="FZ14" s="677"/>
      <c r="GA14" s="677"/>
      <c r="GB14" s="677"/>
      <c r="GC14" s="28">
        <v>10.5</v>
      </c>
      <c r="GD14" s="30"/>
      <c r="GE14" s="28"/>
      <c r="GF14" s="28">
        <v>4</v>
      </c>
      <c r="GG14" s="28"/>
      <c r="GH14" s="28"/>
      <c r="GI14" s="28"/>
      <c r="GJ14" s="28"/>
      <c r="GK14" s="28"/>
      <c r="GL14" s="28"/>
      <c r="GM14" s="28"/>
      <c r="GN14" s="30"/>
      <c r="GO14" s="30"/>
      <c r="GP14" s="30"/>
      <c r="GQ14" s="30">
        <f t="shared" si="29"/>
        <v>4</v>
      </c>
      <c r="GR14" s="28">
        <f t="shared" si="30"/>
        <v>42</v>
      </c>
      <c r="GT14" s="677" t="s">
        <v>6</v>
      </c>
      <c r="GU14" s="677"/>
      <c r="GV14" s="677"/>
      <c r="GW14" s="677"/>
      <c r="GX14" s="677"/>
      <c r="GY14" s="677"/>
      <c r="GZ14" s="28">
        <v>10</v>
      </c>
      <c r="HA14" s="28"/>
      <c r="HB14" s="28">
        <v>1</v>
      </c>
      <c r="HC14" s="28"/>
      <c r="HD14" s="28">
        <v>2</v>
      </c>
      <c r="HE14" s="28">
        <v>4</v>
      </c>
      <c r="HF14" s="28"/>
      <c r="HG14" s="28">
        <v>1</v>
      </c>
      <c r="HH14" s="28"/>
      <c r="HI14" s="28"/>
      <c r="HJ14" s="30"/>
      <c r="HK14" s="30"/>
      <c r="HL14" s="30">
        <f t="shared" si="31"/>
        <v>8</v>
      </c>
      <c r="HM14" s="28">
        <f t="shared" si="32"/>
        <v>80</v>
      </c>
      <c r="HO14" s="677" t="s">
        <v>6</v>
      </c>
      <c r="HP14" s="677"/>
      <c r="HQ14" s="677"/>
      <c r="HR14" s="677"/>
      <c r="HS14" s="677"/>
      <c r="HT14" s="677"/>
      <c r="HU14" s="28">
        <v>12</v>
      </c>
      <c r="HV14" s="28"/>
      <c r="HW14" s="30">
        <f t="shared" si="33"/>
        <v>0</v>
      </c>
      <c r="HX14" s="28">
        <f t="shared" si="0"/>
        <v>0</v>
      </c>
      <c r="HZ14" s="677" t="s">
        <v>6</v>
      </c>
      <c r="IA14" s="677"/>
      <c r="IB14" s="677"/>
      <c r="IC14" s="677"/>
      <c r="ID14" s="677"/>
      <c r="IE14" s="677"/>
      <c r="IF14" s="28">
        <v>12</v>
      </c>
      <c r="IG14" s="28"/>
      <c r="IH14" s="30"/>
      <c r="II14" s="30"/>
      <c r="IJ14" s="30"/>
      <c r="IK14" s="30"/>
      <c r="IL14" s="30">
        <v>1</v>
      </c>
      <c r="IM14" s="30">
        <f t="shared" si="41"/>
        <v>1</v>
      </c>
      <c r="IN14" s="28">
        <f t="shared" si="1"/>
        <v>12</v>
      </c>
      <c r="IP14" s="677" t="s">
        <v>6</v>
      </c>
      <c r="IQ14" s="677"/>
      <c r="IR14" s="677"/>
      <c r="IS14" s="677"/>
      <c r="IT14" s="677"/>
      <c r="IU14" s="677"/>
      <c r="IV14" s="28">
        <v>12</v>
      </c>
      <c r="IW14" s="28"/>
      <c r="IX14" s="30"/>
      <c r="IY14" s="30">
        <f t="shared" si="2"/>
        <v>0</v>
      </c>
      <c r="IZ14" s="28">
        <f t="shared" si="3"/>
        <v>0</v>
      </c>
      <c r="JB14" s="677" t="s">
        <v>6</v>
      </c>
      <c r="JC14" s="677"/>
      <c r="JD14" s="677"/>
      <c r="JE14" s="677"/>
      <c r="JF14" s="677"/>
      <c r="JG14" s="677"/>
      <c r="JH14" s="28">
        <v>11</v>
      </c>
      <c r="JI14" s="28"/>
      <c r="JJ14" s="30"/>
      <c r="JK14" s="30"/>
      <c r="JL14" s="30"/>
      <c r="JM14" s="30"/>
      <c r="JN14" s="30"/>
      <c r="JO14" s="30"/>
      <c r="JP14" s="30">
        <v>4</v>
      </c>
      <c r="JQ14" s="30"/>
      <c r="JR14" s="30"/>
      <c r="JS14" s="30"/>
      <c r="JT14" s="30">
        <v>1</v>
      </c>
      <c r="JU14" s="30"/>
      <c r="JV14" s="30"/>
      <c r="JW14" s="30"/>
      <c r="JX14" s="30"/>
      <c r="JY14" s="30"/>
      <c r="JZ14" s="30">
        <v>1</v>
      </c>
      <c r="KA14" s="30"/>
      <c r="KB14" s="30"/>
      <c r="KC14" s="30">
        <v>4</v>
      </c>
      <c r="KD14" s="30"/>
      <c r="KE14" s="30">
        <f t="shared" si="34"/>
        <v>10</v>
      </c>
      <c r="KF14" s="28">
        <f t="shared" si="42"/>
        <v>110</v>
      </c>
      <c r="KH14" s="677" t="s">
        <v>6</v>
      </c>
      <c r="KI14" s="677"/>
      <c r="KJ14" s="677"/>
      <c r="KK14" s="677"/>
      <c r="KL14" s="677"/>
      <c r="KM14" s="677"/>
      <c r="KN14" s="28">
        <v>11</v>
      </c>
      <c r="KO14" s="28">
        <v>2</v>
      </c>
      <c r="KP14" s="30"/>
      <c r="KQ14" s="30"/>
      <c r="KR14" s="30"/>
      <c r="KS14" s="30">
        <f t="shared" si="4"/>
        <v>2</v>
      </c>
      <c r="KT14" s="28">
        <f t="shared" si="5"/>
        <v>22</v>
      </c>
      <c r="KV14" s="677" t="s">
        <v>6</v>
      </c>
      <c r="KW14" s="677"/>
      <c r="KX14" s="677"/>
      <c r="KY14" s="677"/>
      <c r="KZ14" s="677"/>
      <c r="LA14" s="677"/>
      <c r="LB14" s="28">
        <v>11</v>
      </c>
      <c r="LC14" s="28"/>
      <c r="LD14" s="30">
        <v>11</v>
      </c>
      <c r="LE14" s="30">
        <v>1</v>
      </c>
      <c r="LF14" s="30">
        <f t="shared" si="6"/>
        <v>12</v>
      </c>
      <c r="LG14" s="28">
        <f t="shared" si="7"/>
        <v>132</v>
      </c>
      <c r="LI14" s="677" t="s">
        <v>6</v>
      </c>
      <c r="LJ14" s="677"/>
      <c r="LK14" s="677"/>
      <c r="LL14" s="677"/>
      <c r="LM14" s="677"/>
      <c r="LN14" s="677"/>
      <c r="LO14" s="28">
        <v>11</v>
      </c>
      <c r="LP14" s="28"/>
      <c r="LQ14" s="30"/>
      <c r="LR14" s="30"/>
      <c r="LS14" s="30">
        <v>1</v>
      </c>
      <c r="LT14" s="30"/>
      <c r="LU14" s="30"/>
      <c r="LV14" s="30"/>
      <c r="LW14" s="30"/>
      <c r="LX14" s="30"/>
      <c r="LY14" s="30">
        <v>10</v>
      </c>
      <c r="LZ14" s="30"/>
      <c r="MA14" s="30"/>
      <c r="MB14" s="30"/>
      <c r="MC14" s="30">
        <v>1</v>
      </c>
      <c r="MD14" s="30">
        <v>6</v>
      </c>
      <c r="ME14" s="30">
        <f t="shared" si="35"/>
        <v>18</v>
      </c>
      <c r="MF14" s="28">
        <f t="shared" si="8"/>
        <v>198</v>
      </c>
      <c r="MH14" s="677" t="s">
        <v>6</v>
      </c>
      <c r="MI14" s="677"/>
      <c r="MJ14" s="677"/>
      <c r="MK14" s="677"/>
      <c r="ML14" s="677"/>
      <c r="MM14" s="677"/>
      <c r="MN14" s="28">
        <v>11</v>
      </c>
      <c r="MO14" s="28">
        <v>2</v>
      </c>
      <c r="MP14" s="30"/>
      <c r="MQ14" s="30"/>
      <c r="MR14" s="30"/>
      <c r="MS14" s="30">
        <v>2</v>
      </c>
      <c r="MT14" s="30">
        <v>6</v>
      </c>
      <c r="MU14" s="30"/>
      <c r="MV14" s="30">
        <v>1</v>
      </c>
      <c r="MW14" s="30">
        <v>4</v>
      </c>
      <c r="MX14" s="30"/>
      <c r="MY14" s="30"/>
      <c r="MZ14" s="30">
        <v>4</v>
      </c>
      <c r="NA14" s="30"/>
      <c r="NB14" s="30"/>
      <c r="NC14" s="30">
        <v>5</v>
      </c>
      <c r="ND14" s="30">
        <f t="shared" si="36"/>
        <v>24</v>
      </c>
      <c r="NE14" s="28">
        <f t="shared" si="37"/>
        <v>264</v>
      </c>
      <c r="NG14" s="677" t="s">
        <v>6</v>
      </c>
      <c r="NH14" s="677"/>
      <c r="NI14" s="677"/>
      <c r="NJ14" s="677"/>
      <c r="NK14" s="677"/>
      <c r="NL14" s="677"/>
      <c r="NM14" s="28">
        <v>11</v>
      </c>
      <c r="NN14" s="30">
        <v>2</v>
      </c>
      <c r="NO14" s="30">
        <v>1</v>
      </c>
      <c r="NP14" s="30">
        <v>4</v>
      </c>
      <c r="NQ14" s="30">
        <v>1</v>
      </c>
      <c r="NR14" s="30">
        <v>2</v>
      </c>
      <c r="NS14" s="30">
        <v>1</v>
      </c>
      <c r="NT14" s="30">
        <v>1</v>
      </c>
      <c r="NU14" s="30">
        <v>2</v>
      </c>
      <c r="NV14" s="30"/>
      <c r="NW14" s="30"/>
      <c r="NX14" s="30"/>
      <c r="NY14" s="30"/>
      <c r="NZ14" s="30"/>
      <c r="OA14" s="30"/>
      <c r="OB14" s="30"/>
      <c r="OC14" s="30">
        <f t="shared" si="38"/>
        <v>14</v>
      </c>
      <c r="OD14" s="28">
        <f t="shared" si="39"/>
        <v>154</v>
      </c>
    </row>
    <row r="15" spans="1:394" ht="14.45" customHeight="1" x14ac:dyDescent="0.25">
      <c r="A15" s="47"/>
      <c r="B15" s="14"/>
      <c r="C15" s="644" t="s">
        <v>7</v>
      </c>
      <c r="D15" s="644"/>
      <c r="E15" s="644"/>
      <c r="F15" s="644"/>
      <c r="G15" s="644"/>
      <c r="H15" s="644"/>
      <c r="I15" s="13">
        <v>28</v>
      </c>
      <c r="J15" s="13">
        <v>5</v>
      </c>
      <c r="K15" s="19"/>
      <c r="L15" s="19"/>
      <c r="M15" s="19">
        <f t="shared" si="40"/>
        <v>5</v>
      </c>
      <c r="N15" s="19">
        <f t="shared" si="9"/>
        <v>140</v>
      </c>
      <c r="O15" s="12"/>
      <c r="P15" s="644" t="s">
        <v>7</v>
      </c>
      <c r="Q15" s="644"/>
      <c r="R15" s="644"/>
      <c r="S15" s="644"/>
      <c r="T15" s="644"/>
      <c r="U15" s="644"/>
      <c r="V15" s="13"/>
      <c r="W15" s="19"/>
      <c r="X15" s="19"/>
      <c r="Y15" s="23">
        <f t="shared" si="10"/>
        <v>0</v>
      </c>
      <c r="Z15" s="19">
        <f t="shared" si="11"/>
        <v>0</v>
      </c>
      <c r="AA15" s="34"/>
      <c r="AB15" s="34"/>
      <c r="AC15" s="34"/>
      <c r="AD15" s="34"/>
      <c r="AE15" s="34"/>
      <c r="AF15" s="34"/>
      <c r="AG15" s="6"/>
      <c r="AH15" s="644" t="s">
        <v>7</v>
      </c>
      <c r="AI15" s="644"/>
      <c r="AJ15" s="644"/>
      <c r="AK15" s="644"/>
      <c r="AL15" s="644"/>
      <c r="AM15" s="644"/>
      <c r="AN15" s="13"/>
      <c r="AO15" s="19"/>
      <c r="AP15" s="23">
        <f t="shared" si="12"/>
        <v>0</v>
      </c>
      <c r="AQ15" s="19">
        <f t="shared" si="13"/>
        <v>0</v>
      </c>
      <c r="AS15" s="644" t="s">
        <v>7</v>
      </c>
      <c r="AT15" s="644"/>
      <c r="AU15" s="644"/>
      <c r="AV15" s="644"/>
      <c r="AW15" s="644"/>
      <c r="AX15" s="644"/>
      <c r="AY15" s="13"/>
      <c r="AZ15" s="19"/>
      <c r="BA15" s="19"/>
      <c r="BB15" s="19"/>
      <c r="BC15" s="19"/>
      <c r="BD15" s="30">
        <f t="shared" si="14"/>
        <v>0</v>
      </c>
      <c r="BE15" s="28">
        <f t="shared" si="15"/>
        <v>0</v>
      </c>
      <c r="BF15" s="14"/>
      <c r="BG15" s="644" t="s">
        <v>7</v>
      </c>
      <c r="BH15" s="644"/>
      <c r="BI15" s="644"/>
      <c r="BJ15" s="644"/>
      <c r="BK15" s="644"/>
      <c r="BL15" s="644"/>
      <c r="BM15" s="13"/>
      <c r="BN15" s="19"/>
      <c r="BO15" s="19"/>
      <c r="BP15" s="30">
        <f t="shared" si="16"/>
        <v>0</v>
      </c>
      <c r="BQ15" s="28">
        <f t="shared" si="17"/>
        <v>0</v>
      </c>
      <c r="BR15" s="14"/>
      <c r="BS15" s="644" t="s">
        <v>7</v>
      </c>
      <c r="BT15" s="644"/>
      <c r="BU15" s="644"/>
      <c r="BV15" s="644"/>
      <c r="BW15" s="644"/>
      <c r="BX15" s="644"/>
      <c r="BY15" s="13"/>
      <c r="BZ15" s="19"/>
      <c r="CA15" s="19"/>
      <c r="CB15" s="19"/>
      <c r="CC15" s="19"/>
      <c r="CD15" s="19"/>
      <c r="CE15" s="19"/>
      <c r="CF15" s="19"/>
      <c r="CG15" s="19"/>
      <c r="CH15" s="19"/>
      <c r="CI15" s="30">
        <f t="shared" si="18"/>
        <v>0</v>
      </c>
      <c r="CJ15" s="28">
        <f t="shared" si="19"/>
        <v>0</v>
      </c>
      <c r="CK15" s="14"/>
      <c r="CL15" s="644" t="s">
        <v>7</v>
      </c>
      <c r="CM15" s="644"/>
      <c r="CN15" s="644"/>
      <c r="CO15" s="644"/>
      <c r="CP15" s="644"/>
      <c r="CQ15" s="644"/>
      <c r="CR15" s="13">
        <v>30</v>
      </c>
      <c r="CS15" s="19"/>
      <c r="CT15" s="19"/>
      <c r="CU15" s="19"/>
      <c r="CV15" s="19">
        <v>1</v>
      </c>
      <c r="CW15" s="19">
        <v>1</v>
      </c>
      <c r="CX15" s="19"/>
      <c r="CY15" s="19"/>
      <c r="CZ15" s="19"/>
      <c r="DA15" s="30">
        <f t="shared" si="20"/>
        <v>2</v>
      </c>
      <c r="DB15" s="28">
        <f t="shared" si="21"/>
        <v>60</v>
      </c>
      <c r="DC15" s="14"/>
      <c r="DD15" s="644" t="s">
        <v>7</v>
      </c>
      <c r="DE15" s="644"/>
      <c r="DF15" s="644"/>
      <c r="DG15" s="644"/>
      <c r="DH15" s="644"/>
      <c r="DI15" s="644"/>
      <c r="DJ15" s="13">
        <v>30</v>
      </c>
      <c r="DK15" s="19"/>
      <c r="DL15" s="19">
        <v>3</v>
      </c>
      <c r="DM15" s="19"/>
      <c r="DN15" s="19"/>
      <c r="DO15" s="19"/>
      <c r="DP15" s="19"/>
      <c r="DQ15" s="19"/>
      <c r="DR15" s="19"/>
      <c r="DS15" s="19"/>
      <c r="DT15" s="19">
        <v>2</v>
      </c>
      <c r="DU15" s="30">
        <f t="shared" si="22"/>
        <v>5</v>
      </c>
      <c r="DV15" s="28">
        <f t="shared" si="23"/>
        <v>150</v>
      </c>
      <c r="DX15" s="644" t="s">
        <v>7</v>
      </c>
      <c r="DY15" s="644"/>
      <c r="DZ15" s="644"/>
      <c r="EA15" s="644"/>
      <c r="EB15" s="644"/>
      <c r="EC15" s="644"/>
      <c r="ED15" s="13">
        <v>30</v>
      </c>
      <c r="EE15" s="19"/>
      <c r="EF15" s="19"/>
      <c r="EG15" s="19"/>
      <c r="EH15" s="19"/>
      <c r="EI15" s="19"/>
      <c r="EJ15" s="19"/>
      <c r="EK15" s="19"/>
      <c r="EL15" s="19"/>
      <c r="EM15" s="23">
        <v>3</v>
      </c>
      <c r="EN15" s="23"/>
      <c r="EO15" s="30">
        <f t="shared" si="24"/>
        <v>3</v>
      </c>
      <c r="EP15" s="28">
        <f t="shared" si="25"/>
        <v>90</v>
      </c>
      <c r="EQ15" t="str">
        <f t="shared" si="26"/>
        <v>IGUAL</v>
      </c>
      <c r="ER15" s="644" t="s">
        <v>7</v>
      </c>
      <c r="ES15" s="644"/>
      <c r="ET15" s="644"/>
      <c r="EU15" s="644"/>
      <c r="EV15" s="644"/>
      <c r="EW15" s="644"/>
      <c r="EX15" s="13">
        <v>30</v>
      </c>
      <c r="EY15" s="19">
        <v>1</v>
      </c>
      <c r="EZ15" s="19"/>
      <c r="FA15" s="19"/>
      <c r="FB15" s="19"/>
      <c r="FC15" s="19"/>
      <c r="FD15" s="19"/>
      <c r="FE15" s="19"/>
      <c r="FF15" s="19">
        <v>2</v>
      </c>
      <c r="FG15" s="19"/>
      <c r="FH15" s="19"/>
      <c r="FI15" s="23"/>
      <c r="FJ15" s="23"/>
      <c r="FK15" s="23"/>
      <c r="FL15" s="23"/>
      <c r="FM15" s="23"/>
      <c r="FN15" s="23">
        <v>1</v>
      </c>
      <c r="FO15" s="23"/>
      <c r="FP15" s="23">
        <v>2</v>
      </c>
      <c r="FQ15" s="23">
        <v>2</v>
      </c>
      <c r="FR15" s="23"/>
      <c r="FS15" s="23"/>
      <c r="FT15" s="30">
        <f t="shared" si="27"/>
        <v>8</v>
      </c>
      <c r="FU15" s="28">
        <f t="shared" si="28"/>
        <v>240</v>
      </c>
      <c r="FW15" s="644" t="s">
        <v>7</v>
      </c>
      <c r="FX15" s="644"/>
      <c r="FY15" s="644"/>
      <c r="FZ15" s="644"/>
      <c r="GA15" s="644"/>
      <c r="GB15" s="644"/>
      <c r="GC15" s="13">
        <v>30</v>
      </c>
      <c r="GD15" s="23"/>
      <c r="GE15" s="19"/>
      <c r="GF15" s="19"/>
      <c r="GG15" s="19"/>
      <c r="GH15" s="19"/>
      <c r="GI15" s="19"/>
      <c r="GJ15" s="19"/>
      <c r="GK15" s="19"/>
      <c r="GL15" s="19">
        <v>1</v>
      </c>
      <c r="GM15" s="19"/>
      <c r="GN15" s="23"/>
      <c r="GO15" s="23">
        <v>1</v>
      </c>
      <c r="GP15" s="23"/>
      <c r="GQ15" s="30">
        <f t="shared" si="29"/>
        <v>2</v>
      </c>
      <c r="GR15" s="28">
        <f t="shared" si="30"/>
        <v>60</v>
      </c>
      <c r="GT15" s="644" t="s">
        <v>7</v>
      </c>
      <c r="GU15" s="644"/>
      <c r="GV15" s="644"/>
      <c r="GW15" s="644"/>
      <c r="GX15" s="644"/>
      <c r="GY15" s="644"/>
      <c r="GZ15" s="13">
        <v>30</v>
      </c>
      <c r="HA15" s="19"/>
      <c r="HB15" s="19"/>
      <c r="HC15" s="19">
        <v>1</v>
      </c>
      <c r="HD15" s="19"/>
      <c r="HE15" s="19">
        <v>1</v>
      </c>
      <c r="HF15" s="19"/>
      <c r="HG15" s="19"/>
      <c r="HH15" s="19"/>
      <c r="HI15" s="19"/>
      <c r="HJ15" s="23"/>
      <c r="HK15" s="23"/>
      <c r="HL15" s="30">
        <f t="shared" si="31"/>
        <v>2</v>
      </c>
      <c r="HM15" s="28">
        <f t="shared" si="32"/>
        <v>60</v>
      </c>
      <c r="HO15" s="644" t="s">
        <v>7</v>
      </c>
      <c r="HP15" s="644"/>
      <c r="HQ15" s="644"/>
      <c r="HR15" s="644"/>
      <c r="HS15" s="644"/>
      <c r="HT15" s="644"/>
      <c r="HU15" s="13">
        <v>35</v>
      </c>
      <c r="HV15" s="19"/>
      <c r="HW15" s="30">
        <f t="shared" si="33"/>
        <v>0</v>
      </c>
      <c r="HX15" s="28">
        <f t="shared" si="0"/>
        <v>0</v>
      </c>
      <c r="HZ15" s="644" t="s">
        <v>7</v>
      </c>
      <c r="IA15" s="644"/>
      <c r="IB15" s="644"/>
      <c r="IC15" s="644"/>
      <c r="ID15" s="644"/>
      <c r="IE15" s="644"/>
      <c r="IF15" s="13">
        <v>35</v>
      </c>
      <c r="IG15" s="19"/>
      <c r="IH15" s="23"/>
      <c r="II15" s="23"/>
      <c r="IJ15" s="23"/>
      <c r="IK15" s="23">
        <v>1</v>
      </c>
      <c r="IL15" s="23">
        <v>1</v>
      </c>
      <c r="IM15" s="30">
        <f t="shared" si="41"/>
        <v>2</v>
      </c>
      <c r="IN15" s="28">
        <f t="shared" si="1"/>
        <v>70</v>
      </c>
      <c r="IP15" s="644" t="s">
        <v>7</v>
      </c>
      <c r="IQ15" s="644"/>
      <c r="IR15" s="644"/>
      <c r="IS15" s="644"/>
      <c r="IT15" s="644"/>
      <c r="IU15" s="644"/>
      <c r="IV15" s="13">
        <v>35</v>
      </c>
      <c r="IW15" s="19"/>
      <c r="IX15" s="23">
        <v>1</v>
      </c>
      <c r="IY15" s="30">
        <f t="shared" si="2"/>
        <v>1</v>
      </c>
      <c r="IZ15" s="28">
        <f t="shared" si="3"/>
        <v>35</v>
      </c>
      <c r="JB15" s="644" t="s">
        <v>7</v>
      </c>
      <c r="JC15" s="644"/>
      <c r="JD15" s="644"/>
      <c r="JE15" s="644"/>
      <c r="JF15" s="644"/>
      <c r="JG15" s="644"/>
      <c r="JH15" s="13">
        <v>33</v>
      </c>
      <c r="JI15" s="19"/>
      <c r="JJ15" s="23"/>
      <c r="JK15" s="23">
        <v>1</v>
      </c>
      <c r="JL15" s="23"/>
      <c r="JM15" s="23"/>
      <c r="JN15" s="23"/>
      <c r="JO15" s="23"/>
      <c r="JP15" s="23"/>
      <c r="JQ15" s="23"/>
      <c r="JR15" s="23"/>
      <c r="JS15" s="23"/>
      <c r="JT15" s="23"/>
      <c r="JU15" s="23"/>
      <c r="JV15" s="23"/>
      <c r="JW15" s="23"/>
      <c r="JX15" s="23"/>
      <c r="JY15" s="23"/>
      <c r="JZ15" s="23">
        <v>3</v>
      </c>
      <c r="KA15" s="23"/>
      <c r="KB15" s="23">
        <v>2</v>
      </c>
      <c r="KC15" s="23">
        <v>2</v>
      </c>
      <c r="KD15" s="23"/>
      <c r="KE15" s="30">
        <f t="shared" si="34"/>
        <v>8</v>
      </c>
      <c r="KF15" s="28">
        <f t="shared" si="42"/>
        <v>264</v>
      </c>
      <c r="KH15" s="644" t="s">
        <v>7</v>
      </c>
      <c r="KI15" s="644"/>
      <c r="KJ15" s="644"/>
      <c r="KK15" s="644"/>
      <c r="KL15" s="644"/>
      <c r="KM15" s="644"/>
      <c r="KN15" s="13">
        <v>33</v>
      </c>
      <c r="KO15" s="19">
        <v>2</v>
      </c>
      <c r="KP15" s="23"/>
      <c r="KQ15" s="23"/>
      <c r="KR15" s="23"/>
      <c r="KS15" s="30">
        <f t="shared" si="4"/>
        <v>2</v>
      </c>
      <c r="KT15" s="28">
        <f t="shared" si="5"/>
        <v>66</v>
      </c>
      <c r="KV15" s="644" t="s">
        <v>7</v>
      </c>
      <c r="KW15" s="644"/>
      <c r="KX15" s="644"/>
      <c r="KY15" s="644"/>
      <c r="KZ15" s="644"/>
      <c r="LA15" s="644"/>
      <c r="LB15" s="13">
        <v>30</v>
      </c>
      <c r="LC15" s="19"/>
      <c r="LD15" s="23"/>
      <c r="LE15" s="23"/>
      <c r="LF15" s="30">
        <f t="shared" si="6"/>
        <v>0</v>
      </c>
      <c r="LG15" s="28">
        <f t="shared" si="7"/>
        <v>0</v>
      </c>
      <c r="LI15" s="644" t="s">
        <v>7</v>
      </c>
      <c r="LJ15" s="644"/>
      <c r="LK15" s="644"/>
      <c r="LL15" s="644"/>
      <c r="LM15" s="644"/>
      <c r="LN15" s="644"/>
      <c r="LO15" s="13">
        <v>30</v>
      </c>
      <c r="LP15" s="19">
        <v>1</v>
      </c>
      <c r="LQ15" s="23"/>
      <c r="LR15" s="23"/>
      <c r="LS15" s="23"/>
      <c r="LT15" s="23"/>
      <c r="LU15" s="23"/>
      <c r="LV15" s="23">
        <v>1</v>
      </c>
      <c r="LW15" s="23"/>
      <c r="LX15" s="23"/>
      <c r="LY15" s="23">
        <v>6</v>
      </c>
      <c r="LZ15" s="23">
        <v>5</v>
      </c>
      <c r="MA15" s="23">
        <v>1</v>
      </c>
      <c r="MB15" s="23">
        <v>6</v>
      </c>
      <c r="MC15" s="23"/>
      <c r="MD15" s="23">
        <v>2</v>
      </c>
      <c r="ME15" s="30">
        <f t="shared" si="35"/>
        <v>22</v>
      </c>
      <c r="MF15" s="28">
        <f t="shared" si="8"/>
        <v>660</v>
      </c>
      <c r="MH15" s="644" t="s">
        <v>7</v>
      </c>
      <c r="MI15" s="644"/>
      <c r="MJ15" s="644"/>
      <c r="MK15" s="644"/>
      <c r="ML15" s="644"/>
      <c r="MM15" s="644"/>
      <c r="MN15" s="13">
        <v>30</v>
      </c>
      <c r="MO15" s="19"/>
      <c r="MP15" s="23"/>
      <c r="MQ15" s="23">
        <v>2</v>
      </c>
      <c r="MR15" s="23"/>
      <c r="MS15" s="23"/>
      <c r="MT15" s="23">
        <v>1</v>
      </c>
      <c r="MU15" s="23"/>
      <c r="MV15" s="23">
        <v>6</v>
      </c>
      <c r="MW15" s="23"/>
      <c r="MX15" s="23"/>
      <c r="MY15" s="23">
        <v>2</v>
      </c>
      <c r="MZ15" s="23">
        <v>1</v>
      </c>
      <c r="NA15" s="23">
        <v>3</v>
      </c>
      <c r="NB15" s="23"/>
      <c r="NC15" s="23">
        <v>1</v>
      </c>
      <c r="ND15" s="30">
        <f t="shared" si="36"/>
        <v>16</v>
      </c>
      <c r="NE15" s="28">
        <f t="shared" si="37"/>
        <v>480</v>
      </c>
      <c r="NG15" s="644" t="s">
        <v>7</v>
      </c>
      <c r="NH15" s="644"/>
      <c r="NI15" s="644"/>
      <c r="NJ15" s="644"/>
      <c r="NK15" s="644"/>
      <c r="NL15" s="644"/>
      <c r="NM15" s="13">
        <v>30</v>
      </c>
      <c r="NN15" s="23">
        <v>1</v>
      </c>
      <c r="NO15" s="23">
        <v>2</v>
      </c>
      <c r="NP15" s="23"/>
      <c r="NQ15" s="23">
        <v>4</v>
      </c>
      <c r="NR15" s="23"/>
      <c r="NS15" s="23"/>
      <c r="NT15" s="23">
        <v>1</v>
      </c>
      <c r="NU15" s="23">
        <v>3</v>
      </c>
      <c r="NV15" s="23"/>
      <c r="NW15" s="23"/>
      <c r="NX15" s="23"/>
      <c r="NY15" s="23"/>
      <c r="NZ15" s="23"/>
      <c r="OA15" s="23"/>
      <c r="OB15" s="23"/>
      <c r="OC15" s="30">
        <f t="shared" si="38"/>
        <v>11</v>
      </c>
      <c r="OD15" s="28">
        <f t="shared" si="39"/>
        <v>330</v>
      </c>
    </row>
    <row r="16" spans="1:394" ht="14.45" customHeight="1" x14ac:dyDescent="0.25">
      <c r="A16" s="47"/>
      <c r="B16" s="14"/>
      <c r="C16" s="644" t="s">
        <v>8</v>
      </c>
      <c r="D16" s="644"/>
      <c r="E16" s="644"/>
      <c r="F16" s="644"/>
      <c r="G16" s="644"/>
      <c r="H16" s="644"/>
      <c r="I16" s="13">
        <v>12</v>
      </c>
      <c r="J16" s="13">
        <v>8</v>
      </c>
      <c r="K16" s="19"/>
      <c r="L16" s="19"/>
      <c r="M16" s="19">
        <f t="shared" si="40"/>
        <v>8</v>
      </c>
      <c r="N16" s="19">
        <f t="shared" si="9"/>
        <v>96</v>
      </c>
      <c r="O16" s="12"/>
      <c r="P16" s="644" t="s">
        <v>8</v>
      </c>
      <c r="Q16" s="644"/>
      <c r="R16" s="644"/>
      <c r="S16" s="644"/>
      <c r="T16" s="644"/>
      <c r="U16" s="644"/>
      <c r="V16" s="13">
        <v>12</v>
      </c>
      <c r="W16" s="19">
        <v>4</v>
      </c>
      <c r="X16" s="19"/>
      <c r="Y16" s="23">
        <f t="shared" si="10"/>
        <v>4</v>
      </c>
      <c r="Z16" s="19">
        <f t="shared" si="11"/>
        <v>48</v>
      </c>
      <c r="AA16" s="34"/>
      <c r="AB16" s="34"/>
      <c r="AC16" s="34"/>
      <c r="AD16" s="34"/>
      <c r="AE16" s="34"/>
      <c r="AF16" s="34"/>
      <c r="AG16" s="6"/>
      <c r="AH16" s="644" t="s">
        <v>8</v>
      </c>
      <c r="AI16" s="644"/>
      <c r="AJ16" s="644"/>
      <c r="AK16" s="644"/>
      <c r="AL16" s="644"/>
      <c r="AM16" s="644"/>
      <c r="AN16" s="13">
        <v>12</v>
      </c>
      <c r="AO16" s="19"/>
      <c r="AP16" s="23">
        <f t="shared" si="12"/>
        <v>0</v>
      </c>
      <c r="AQ16" s="19">
        <f t="shared" si="13"/>
        <v>0</v>
      </c>
      <c r="AS16" s="677" t="s">
        <v>8</v>
      </c>
      <c r="AT16" s="677"/>
      <c r="AU16" s="677"/>
      <c r="AV16" s="677"/>
      <c r="AW16" s="677"/>
      <c r="AX16" s="677"/>
      <c r="AY16" s="28">
        <v>12</v>
      </c>
      <c r="AZ16" s="28"/>
      <c r="BA16" s="28"/>
      <c r="BB16" s="28"/>
      <c r="BC16" s="28"/>
      <c r="BD16" s="30">
        <f t="shared" si="14"/>
        <v>0</v>
      </c>
      <c r="BE16" s="28">
        <f t="shared" si="15"/>
        <v>0</v>
      </c>
      <c r="BF16" s="14"/>
      <c r="BG16" s="677" t="s">
        <v>8</v>
      </c>
      <c r="BH16" s="677"/>
      <c r="BI16" s="677"/>
      <c r="BJ16" s="677"/>
      <c r="BK16" s="677"/>
      <c r="BL16" s="677"/>
      <c r="BM16" s="28">
        <v>13</v>
      </c>
      <c r="BN16" s="28"/>
      <c r="BO16" s="28"/>
      <c r="BP16" s="30">
        <f t="shared" si="16"/>
        <v>0</v>
      </c>
      <c r="BQ16" s="28">
        <f t="shared" si="17"/>
        <v>0</v>
      </c>
      <c r="BR16" s="14"/>
      <c r="BS16" s="677" t="s">
        <v>8</v>
      </c>
      <c r="BT16" s="677"/>
      <c r="BU16" s="677"/>
      <c r="BV16" s="677"/>
      <c r="BW16" s="677"/>
      <c r="BX16" s="677"/>
      <c r="BY16" s="28">
        <v>13</v>
      </c>
      <c r="BZ16" s="28">
        <v>1</v>
      </c>
      <c r="CA16" s="28"/>
      <c r="CB16" s="28"/>
      <c r="CC16" s="28"/>
      <c r="CD16" s="28"/>
      <c r="CE16" s="28"/>
      <c r="CF16" s="28"/>
      <c r="CG16" s="28"/>
      <c r="CH16" s="28"/>
      <c r="CI16" s="30">
        <f t="shared" si="18"/>
        <v>1</v>
      </c>
      <c r="CJ16" s="28">
        <f t="shared" si="19"/>
        <v>13</v>
      </c>
      <c r="CK16" s="14"/>
      <c r="CL16" s="677" t="s">
        <v>8</v>
      </c>
      <c r="CM16" s="677"/>
      <c r="CN16" s="677"/>
      <c r="CO16" s="677"/>
      <c r="CP16" s="677"/>
      <c r="CQ16" s="677"/>
      <c r="CR16" s="28">
        <v>14</v>
      </c>
      <c r="CS16" s="28"/>
      <c r="CT16" s="28"/>
      <c r="CU16" s="28"/>
      <c r="CV16" s="28">
        <v>1</v>
      </c>
      <c r="CW16" s="28">
        <v>2</v>
      </c>
      <c r="CX16" s="28"/>
      <c r="CY16" s="28"/>
      <c r="CZ16" s="28"/>
      <c r="DA16" s="30">
        <f t="shared" si="20"/>
        <v>3</v>
      </c>
      <c r="DB16" s="28">
        <f t="shared" si="21"/>
        <v>42</v>
      </c>
      <c r="DC16" s="14"/>
      <c r="DD16" s="677" t="s">
        <v>8</v>
      </c>
      <c r="DE16" s="677"/>
      <c r="DF16" s="677"/>
      <c r="DG16" s="677"/>
      <c r="DH16" s="677"/>
      <c r="DI16" s="677"/>
      <c r="DJ16" s="28">
        <v>14</v>
      </c>
      <c r="DK16" s="28"/>
      <c r="DL16" s="28">
        <v>1</v>
      </c>
      <c r="DM16" s="28"/>
      <c r="DN16" s="28"/>
      <c r="DO16" s="28"/>
      <c r="DP16" s="28"/>
      <c r="DQ16" s="28">
        <v>1</v>
      </c>
      <c r="DR16" s="28"/>
      <c r="DS16" s="28"/>
      <c r="DT16" s="28">
        <v>1</v>
      </c>
      <c r="DU16" s="30">
        <f t="shared" si="22"/>
        <v>3</v>
      </c>
      <c r="DV16" s="28">
        <f t="shared" si="23"/>
        <v>42</v>
      </c>
      <c r="DX16" s="677" t="s">
        <v>8</v>
      </c>
      <c r="DY16" s="677"/>
      <c r="DZ16" s="677"/>
      <c r="EA16" s="677"/>
      <c r="EB16" s="677"/>
      <c r="EC16" s="677"/>
      <c r="ED16" s="28">
        <v>14</v>
      </c>
      <c r="EE16" s="28">
        <v>2</v>
      </c>
      <c r="EF16" s="28"/>
      <c r="EG16" s="28"/>
      <c r="EH16" s="28"/>
      <c r="EI16" s="28"/>
      <c r="EJ16" s="28"/>
      <c r="EK16" s="28"/>
      <c r="EL16" s="28">
        <v>1</v>
      </c>
      <c r="EM16" s="30"/>
      <c r="EN16" s="30"/>
      <c r="EO16" s="30">
        <f t="shared" si="24"/>
        <v>3</v>
      </c>
      <c r="EP16" s="28">
        <f t="shared" si="25"/>
        <v>42</v>
      </c>
      <c r="EQ16" t="str">
        <f t="shared" si="26"/>
        <v>IGUAL</v>
      </c>
      <c r="ER16" s="677" t="s">
        <v>8</v>
      </c>
      <c r="ES16" s="677"/>
      <c r="ET16" s="677"/>
      <c r="EU16" s="677"/>
      <c r="EV16" s="677"/>
      <c r="EW16" s="677"/>
      <c r="EX16" s="28">
        <v>14</v>
      </c>
      <c r="EY16" s="28"/>
      <c r="EZ16" s="28"/>
      <c r="FA16" s="28"/>
      <c r="FB16" s="28"/>
      <c r="FC16" s="28">
        <v>1</v>
      </c>
      <c r="FD16" s="28"/>
      <c r="FE16" s="28"/>
      <c r="FF16" s="28"/>
      <c r="FG16" s="28"/>
      <c r="FH16" s="28">
        <v>1</v>
      </c>
      <c r="FI16" s="30"/>
      <c r="FJ16" s="30"/>
      <c r="FK16" s="30"/>
      <c r="FL16" s="30"/>
      <c r="FM16" s="30">
        <v>1</v>
      </c>
      <c r="FN16" s="30">
        <v>1</v>
      </c>
      <c r="FO16" s="30"/>
      <c r="FP16" s="30"/>
      <c r="FQ16" s="30"/>
      <c r="FR16" s="30"/>
      <c r="FS16" s="30"/>
      <c r="FT16" s="30">
        <f t="shared" si="27"/>
        <v>4</v>
      </c>
      <c r="FU16" s="28">
        <f t="shared" si="28"/>
        <v>56</v>
      </c>
      <c r="FW16" s="677" t="s">
        <v>8</v>
      </c>
      <c r="FX16" s="677"/>
      <c r="FY16" s="677"/>
      <c r="FZ16" s="677"/>
      <c r="GA16" s="677"/>
      <c r="GB16" s="677"/>
      <c r="GC16" s="28">
        <v>14</v>
      </c>
      <c r="GD16" s="30"/>
      <c r="GE16" s="28"/>
      <c r="GF16" s="28"/>
      <c r="GG16" s="28"/>
      <c r="GH16" s="28"/>
      <c r="GI16" s="28">
        <v>1</v>
      </c>
      <c r="GJ16" s="28"/>
      <c r="GK16" s="28">
        <v>1</v>
      </c>
      <c r="GL16" s="28"/>
      <c r="GM16" s="28">
        <v>1</v>
      </c>
      <c r="GN16" s="30"/>
      <c r="GO16" s="30">
        <v>2</v>
      </c>
      <c r="GP16" s="30"/>
      <c r="GQ16" s="30">
        <f t="shared" si="29"/>
        <v>5</v>
      </c>
      <c r="GR16" s="28">
        <f t="shared" si="30"/>
        <v>70</v>
      </c>
      <c r="GT16" s="677" t="s">
        <v>8</v>
      </c>
      <c r="GU16" s="677"/>
      <c r="GV16" s="677"/>
      <c r="GW16" s="677"/>
      <c r="GX16" s="677"/>
      <c r="GY16" s="677"/>
      <c r="GZ16" s="28">
        <v>14</v>
      </c>
      <c r="HA16" s="28"/>
      <c r="HB16" s="28">
        <v>1</v>
      </c>
      <c r="HC16" s="28"/>
      <c r="HD16" s="28"/>
      <c r="HE16" s="28">
        <v>5</v>
      </c>
      <c r="HF16" s="28">
        <v>1</v>
      </c>
      <c r="HG16" s="28"/>
      <c r="HH16" s="28"/>
      <c r="HI16" s="28">
        <v>1</v>
      </c>
      <c r="HJ16" s="30"/>
      <c r="HK16" s="30"/>
      <c r="HL16" s="30">
        <f t="shared" si="31"/>
        <v>8</v>
      </c>
      <c r="HM16" s="28">
        <f t="shared" si="32"/>
        <v>112</v>
      </c>
      <c r="HO16" s="677" t="s">
        <v>8</v>
      </c>
      <c r="HP16" s="677"/>
      <c r="HQ16" s="677"/>
      <c r="HR16" s="677"/>
      <c r="HS16" s="677"/>
      <c r="HT16" s="677"/>
      <c r="HU16" s="28">
        <v>16</v>
      </c>
      <c r="HV16" s="28"/>
      <c r="HW16" s="30">
        <f t="shared" si="33"/>
        <v>0</v>
      </c>
      <c r="HX16" s="28">
        <f t="shared" si="0"/>
        <v>0</v>
      </c>
      <c r="HZ16" s="677" t="s">
        <v>8</v>
      </c>
      <c r="IA16" s="677"/>
      <c r="IB16" s="677"/>
      <c r="IC16" s="677"/>
      <c r="ID16" s="677"/>
      <c r="IE16" s="677"/>
      <c r="IF16" s="28">
        <v>16</v>
      </c>
      <c r="IG16" s="28">
        <v>1</v>
      </c>
      <c r="IH16" s="30"/>
      <c r="II16" s="30"/>
      <c r="IJ16" s="30"/>
      <c r="IK16" s="30"/>
      <c r="IL16" s="30">
        <v>1</v>
      </c>
      <c r="IM16" s="30">
        <f t="shared" si="41"/>
        <v>2</v>
      </c>
      <c r="IN16" s="28">
        <f t="shared" si="1"/>
        <v>32</v>
      </c>
      <c r="IP16" s="677" t="s">
        <v>8</v>
      </c>
      <c r="IQ16" s="677"/>
      <c r="IR16" s="677"/>
      <c r="IS16" s="677"/>
      <c r="IT16" s="677"/>
      <c r="IU16" s="677"/>
      <c r="IV16" s="28">
        <v>16</v>
      </c>
      <c r="IW16" s="28"/>
      <c r="IX16" s="30"/>
      <c r="IY16" s="30">
        <f t="shared" si="2"/>
        <v>0</v>
      </c>
      <c r="IZ16" s="28">
        <f t="shared" si="3"/>
        <v>0</v>
      </c>
      <c r="JB16" s="677" t="s">
        <v>8</v>
      </c>
      <c r="JC16" s="677"/>
      <c r="JD16" s="677"/>
      <c r="JE16" s="677"/>
      <c r="JF16" s="677"/>
      <c r="JG16" s="677"/>
      <c r="JH16" s="28">
        <v>14</v>
      </c>
      <c r="JI16" s="28"/>
      <c r="JJ16" s="30"/>
      <c r="JK16" s="30">
        <v>1</v>
      </c>
      <c r="JL16" s="30"/>
      <c r="JM16" s="30"/>
      <c r="JN16" s="30"/>
      <c r="JO16" s="30"/>
      <c r="JP16" s="30"/>
      <c r="JQ16" s="30"/>
      <c r="JR16" s="30"/>
      <c r="JS16" s="30"/>
      <c r="JT16" s="30">
        <v>1</v>
      </c>
      <c r="JU16" s="30"/>
      <c r="JV16" s="30"/>
      <c r="JW16" s="30"/>
      <c r="JX16" s="30"/>
      <c r="JY16" s="30">
        <v>4</v>
      </c>
      <c r="JZ16" s="30">
        <v>1</v>
      </c>
      <c r="KA16" s="30">
        <v>1</v>
      </c>
      <c r="KB16" s="30">
        <v>2</v>
      </c>
      <c r="KC16" s="30">
        <v>8</v>
      </c>
      <c r="KD16" s="30"/>
      <c r="KE16" s="30">
        <f t="shared" si="34"/>
        <v>18</v>
      </c>
      <c r="KF16" s="28">
        <f t="shared" si="42"/>
        <v>252</v>
      </c>
      <c r="KH16" s="677" t="s">
        <v>8</v>
      </c>
      <c r="KI16" s="677"/>
      <c r="KJ16" s="677"/>
      <c r="KK16" s="677"/>
      <c r="KL16" s="677"/>
      <c r="KM16" s="677"/>
      <c r="KN16" s="28">
        <v>14</v>
      </c>
      <c r="KO16" s="28">
        <v>2</v>
      </c>
      <c r="KP16" s="30"/>
      <c r="KQ16" s="30">
        <v>3</v>
      </c>
      <c r="KR16" s="30"/>
      <c r="KS16" s="30">
        <f t="shared" si="4"/>
        <v>5</v>
      </c>
      <c r="KT16" s="28">
        <f t="shared" si="5"/>
        <v>70</v>
      </c>
      <c r="KV16" s="677" t="s">
        <v>8</v>
      </c>
      <c r="KW16" s="677"/>
      <c r="KX16" s="677"/>
      <c r="KY16" s="677"/>
      <c r="KZ16" s="677"/>
      <c r="LA16" s="677"/>
      <c r="LB16" s="28">
        <v>14</v>
      </c>
      <c r="LC16" s="28">
        <v>1</v>
      </c>
      <c r="LD16" s="30">
        <v>13</v>
      </c>
      <c r="LE16" s="30">
        <v>2</v>
      </c>
      <c r="LF16" s="30">
        <f t="shared" si="6"/>
        <v>16</v>
      </c>
      <c r="LG16" s="28">
        <f t="shared" si="7"/>
        <v>224</v>
      </c>
      <c r="LI16" s="677" t="s">
        <v>8</v>
      </c>
      <c r="LJ16" s="677"/>
      <c r="LK16" s="677"/>
      <c r="LL16" s="677"/>
      <c r="LM16" s="677"/>
      <c r="LN16" s="677"/>
      <c r="LO16" s="28">
        <v>14</v>
      </c>
      <c r="LP16" s="28">
        <v>2</v>
      </c>
      <c r="LQ16" s="30"/>
      <c r="LR16" s="30">
        <v>1</v>
      </c>
      <c r="LS16" s="30"/>
      <c r="LT16" s="30"/>
      <c r="LU16" s="30"/>
      <c r="LV16" s="30">
        <v>1</v>
      </c>
      <c r="LW16" s="30">
        <v>1</v>
      </c>
      <c r="LX16" s="30"/>
      <c r="LY16" s="30">
        <v>6</v>
      </c>
      <c r="LZ16" s="30">
        <v>2</v>
      </c>
      <c r="MA16" s="30">
        <v>1</v>
      </c>
      <c r="MB16" s="30">
        <v>3</v>
      </c>
      <c r="MC16" s="30">
        <v>3</v>
      </c>
      <c r="MD16" s="30">
        <v>2</v>
      </c>
      <c r="ME16" s="30">
        <f t="shared" si="35"/>
        <v>22</v>
      </c>
      <c r="MF16" s="28">
        <f t="shared" si="8"/>
        <v>308</v>
      </c>
      <c r="MH16" s="677" t="s">
        <v>8</v>
      </c>
      <c r="MI16" s="677"/>
      <c r="MJ16" s="677"/>
      <c r="MK16" s="677"/>
      <c r="ML16" s="677"/>
      <c r="MM16" s="677"/>
      <c r="MN16" s="28">
        <v>14</v>
      </c>
      <c r="MO16" s="28">
        <v>2</v>
      </c>
      <c r="MP16" s="30"/>
      <c r="MQ16" s="30">
        <v>3</v>
      </c>
      <c r="MR16" s="30"/>
      <c r="MS16" s="30">
        <v>1</v>
      </c>
      <c r="MT16" s="30">
        <v>3</v>
      </c>
      <c r="MU16" s="30"/>
      <c r="MV16" s="30">
        <v>1</v>
      </c>
      <c r="MW16" s="30">
        <v>2</v>
      </c>
      <c r="MX16" s="30"/>
      <c r="MY16" s="30">
        <v>4</v>
      </c>
      <c r="MZ16" s="30">
        <v>1</v>
      </c>
      <c r="NA16" s="30">
        <v>4</v>
      </c>
      <c r="NB16" s="30"/>
      <c r="NC16" s="30">
        <v>6</v>
      </c>
      <c r="ND16" s="30">
        <f t="shared" si="36"/>
        <v>27</v>
      </c>
      <c r="NE16" s="28">
        <f t="shared" si="37"/>
        <v>378</v>
      </c>
      <c r="NG16" s="677" t="s">
        <v>8</v>
      </c>
      <c r="NH16" s="677"/>
      <c r="NI16" s="677"/>
      <c r="NJ16" s="677"/>
      <c r="NK16" s="677"/>
      <c r="NL16" s="677"/>
      <c r="NM16" s="28">
        <v>14</v>
      </c>
      <c r="NN16" s="30">
        <v>9</v>
      </c>
      <c r="NO16" s="30">
        <v>4</v>
      </c>
      <c r="NP16" s="30"/>
      <c r="NQ16" s="30">
        <v>6</v>
      </c>
      <c r="NR16" s="30">
        <v>2</v>
      </c>
      <c r="NS16" s="30">
        <v>4</v>
      </c>
      <c r="NT16" s="30"/>
      <c r="NU16" s="30"/>
      <c r="NV16" s="30"/>
      <c r="NW16" s="30"/>
      <c r="NX16" s="30"/>
      <c r="NY16" s="30"/>
      <c r="NZ16" s="30"/>
      <c r="OA16" s="30"/>
      <c r="OB16" s="30"/>
      <c r="OC16" s="30">
        <f t="shared" si="38"/>
        <v>25</v>
      </c>
      <c r="OD16" s="28">
        <f t="shared" si="39"/>
        <v>350</v>
      </c>
    </row>
    <row r="17" spans="1:394" ht="14.45" customHeight="1" x14ac:dyDescent="0.25">
      <c r="A17" s="47"/>
      <c r="B17" s="14"/>
      <c r="C17" s="644" t="s">
        <v>9</v>
      </c>
      <c r="D17" s="644"/>
      <c r="E17" s="644"/>
      <c r="F17" s="644"/>
      <c r="G17" s="644"/>
      <c r="H17" s="644"/>
      <c r="I17" s="13">
        <v>28</v>
      </c>
      <c r="J17" s="13">
        <v>11</v>
      </c>
      <c r="K17" s="19">
        <v>3</v>
      </c>
      <c r="L17" s="19">
        <v>1</v>
      </c>
      <c r="M17" s="19">
        <f t="shared" si="40"/>
        <v>15</v>
      </c>
      <c r="N17" s="19">
        <f t="shared" si="9"/>
        <v>420</v>
      </c>
      <c r="O17" s="12"/>
      <c r="P17" s="644" t="s">
        <v>9</v>
      </c>
      <c r="Q17" s="644"/>
      <c r="R17" s="644"/>
      <c r="S17" s="644"/>
      <c r="T17" s="644"/>
      <c r="U17" s="644"/>
      <c r="V17" s="13">
        <v>28</v>
      </c>
      <c r="W17" s="19">
        <v>6</v>
      </c>
      <c r="X17" s="19"/>
      <c r="Y17" s="23">
        <f t="shared" si="10"/>
        <v>6</v>
      </c>
      <c r="Z17" s="19">
        <f t="shared" si="11"/>
        <v>168</v>
      </c>
      <c r="AA17" s="34"/>
      <c r="AB17" s="34"/>
      <c r="AC17" s="34"/>
      <c r="AD17" s="34"/>
      <c r="AE17" s="34"/>
      <c r="AF17" s="34"/>
      <c r="AG17" s="6"/>
      <c r="AH17" s="644" t="s">
        <v>9</v>
      </c>
      <c r="AI17" s="644"/>
      <c r="AJ17" s="644"/>
      <c r="AK17" s="644"/>
      <c r="AL17" s="644"/>
      <c r="AM17" s="644"/>
      <c r="AN17" s="13">
        <v>30</v>
      </c>
      <c r="AO17" s="19">
        <v>1</v>
      </c>
      <c r="AP17" s="23">
        <f t="shared" si="12"/>
        <v>1</v>
      </c>
      <c r="AQ17" s="19">
        <f t="shared" si="13"/>
        <v>30</v>
      </c>
      <c r="AS17" s="644" t="s">
        <v>9</v>
      </c>
      <c r="AT17" s="644"/>
      <c r="AU17" s="644"/>
      <c r="AV17" s="644"/>
      <c r="AW17" s="644"/>
      <c r="AX17" s="644"/>
      <c r="AY17" s="13">
        <v>30</v>
      </c>
      <c r="AZ17" s="19"/>
      <c r="BA17" s="19"/>
      <c r="BB17" s="19"/>
      <c r="BC17" s="19"/>
      <c r="BD17" s="30">
        <f t="shared" si="14"/>
        <v>0</v>
      </c>
      <c r="BE17" s="28">
        <f t="shared" si="15"/>
        <v>0</v>
      </c>
      <c r="BF17" s="14"/>
      <c r="BG17" s="644" t="s">
        <v>9</v>
      </c>
      <c r="BH17" s="644"/>
      <c r="BI17" s="644"/>
      <c r="BJ17" s="644"/>
      <c r="BK17" s="644"/>
      <c r="BL17" s="644"/>
      <c r="BM17" s="13">
        <v>27</v>
      </c>
      <c r="BN17" s="19">
        <v>3</v>
      </c>
      <c r="BO17" s="19"/>
      <c r="BP17" s="30">
        <f t="shared" si="16"/>
        <v>3</v>
      </c>
      <c r="BQ17" s="28">
        <f t="shared" si="17"/>
        <v>81</v>
      </c>
      <c r="BR17" s="14"/>
      <c r="BS17" s="644" t="s">
        <v>9</v>
      </c>
      <c r="BT17" s="644"/>
      <c r="BU17" s="644"/>
      <c r="BV17" s="644"/>
      <c r="BW17" s="644"/>
      <c r="BX17" s="644"/>
      <c r="BY17" s="13">
        <v>30</v>
      </c>
      <c r="BZ17" s="19">
        <v>2</v>
      </c>
      <c r="CA17" s="19"/>
      <c r="CB17" s="19"/>
      <c r="CC17" s="19"/>
      <c r="CD17" s="19">
        <v>1</v>
      </c>
      <c r="CE17" s="19">
        <v>1</v>
      </c>
      <c r="CF17" s="19">
        <v>3</v>
      </c>
      <c r="CG17" s="19"/>
      <c r="CH17" s="19"/>
      <c r="CI17" s="30">
        <f t="shared" si="18"/>
        <v>7</v>
      </c>
      <c r="CJ17" s="28">
        <f t="shared" si="19"/>
        <v>210</v>
      </c>
      <c r="CK17" s="14"/>
      <c r="CL17" s="644" t="s">
        <v>9</v>
      </c>
      <c r="CM17" s="644"/>
      <c r="CN17" s="644"/>
      <c r="CO17" s="644"/>
      <c r="CP17" s="644"/>
      <c r="CQ17" s="644"/>
      <c r="CR17" s="13">
        <v>30</v>
      </c>
      <c r="CS17" s="19"/>
      <c r="CT17" s="19">
        <v>2</v>
      </c>
      <c r="CU17" s="19">
        <v>5</v>
      </c>
      <c r="CV17" s="19">
        <v>2</v>
      </c>
      <c r="CW17" s="19">
        <v>3</v>
      </c>
      <c r="CX17" s="19">
        <v>1</v>
      </c>
      <c r="CY17" s="19"/>
      <c r="CZ17" s="19"/>
      <c r="DA17" s="30">
        <f t="shared" si="20"/>
        <v>13</v>
      </c>
      <c r="DB17" s="28">
        <f t="shared" si="21"/>
        <v>390</v>
      </c>
      <c r="DC17" s="14"/>
      <c r="DD17" s="644" t="s">
        <v>9</v>
      </c>
      <c r="DE17" s="644"/>
      <c r="DF17" s="644"/>
      <c r="DG17" s="644"/>
      <c r="DH17" s="644"/>
      <c r="DI17" s="644"/>
      <c r="DJ17" s="13">
        <v>30</v>
      </c>
      <c r="DK17" s="19">
        <v>2</v>
      </c>
      <c r="DL17" s="19">
        <v>1</v>
      </c>
      <c r="DM17" s="19">
        <v>2</v>
      </c>
      <c r="DN17" s="19">
        <v>3</v>
      </c>
      <c r="DO17" s="19">
        <v>2</v>
      </c>
      <c r="DP17" s="19"/>
      <c r="DQ17" s="19">
        <v>2</v>
      </c>
      <c r="DR17" s="19">
        <v>2</v>
      </c>
      <c r="DS17" s="19">
        <v>2</v>
      </c>
      <c r="DT17" s="19">
        <v>2</v>
      </c>
      <c r="DU17" s="30">
        <f t="shared" si="22"/>
        <v>18</v>
      </c>
      <c r="DV17" s="28">
        <f t="shared" si="23"/>
        <v>540</v>
      </c>
      <c r="DX17" s="644" t="s">
        <v>9</v>
      </c>
      <c r="DY17" s="644"/>
      <c r="DZ17" s="644"/>
      <c r="EA17" s="644"/>
      <c r="EB17" s="644"/>
      <c r="EC17" s="644"/>
      <c r="ED17" s="13">
        <v>30</v>
      </c>
      <c r="EE17" s="19">
        <v>3</v>
      </c>
      <c r="EF17" s="19"/>
      <c r="EG17" s="19"/>
      <c r="EH17" s="19"/>
      <c r="EI17" s="19">
        <v>1</v>
      </c>
      <c r="EJ17" s="19"/>
      <c r="EK17" s="19"/>
      <c r="EL17" s="19"/>
      <c r="EM17" s="23">
        <v>2</v>
      </c>
      <c r="EN17" s="23"/>
      <c r="EO17" s="30">
        <f t="shared" si="24"/>
        <v>6</v>
      </c>
      <c r="EP17" s="28">
        <f t="shared" si="25"/>
        <v>180</v>
      </c>
      <c r="EQ17" t="str">
        <f t="shared" si="26"/>
        <v>IGUAL</v>
      </c>
      <c r="ER17" s="644" t="s">
        <v>9</v>
      </c>
      <c r="ES17" s="644"/>
      <c r="ET17" s="644"/>
      <c r="EU17" s="644"/>
      <c r="EV17" s="644"/>
      <c r="EW17" s="644"/>
      <c r="EX17" s="13">
        <v>30</v>
      </c>
      <c r="EY17" s="19">
        <v>5</v>
      </c>
      <c r="EZ17" s="19"/>
      <c r="FA17" s="19">
        <v>1</v>
      </c>
      <c r="FB17" s="19"/>
      <c r="FC17" s="19"/>
      <c r="FD17" s="19">
        <v>7</v>
      </c>
      <c r="FE17" s="19"/>
      <c r="FF17" s="19"/>
      <c r="FG17" s="19">
        <v>1</v>
      </c>
      <c r="FH17" s="19">
        <v>1</v>
      </c>
      <c r="FI17" s="23">
        <v>2</v>
      </c>
      <c r="FJ17" s="23"/>
      <c r="FK17" s="23"/>
      <c r="FL17" s="23"/>
      <c r="FM17" s="23"/>
      <c r="FN17" s="23"/>
      <c r="FO17" s="23"/>
      <c r="FP17" s="23"/>
      <c r="FQ17" s="23"/>
      <c r="FR17" s="23">
        <v>1</v>
      </c>
      <c r="FS17" s="23"/>
      <c r="FT17" s="30">
        <f t="shared" si="27"/>
        <v>18</v>
      </c>
      <c r="FU17" s="28">
        <f t="shared" si="28"/>
        <v>540</v>
      </c>
      <c r="FW17" s="644" t="s">
        <v>9</v>
      </c>
      <c r="FX17" s="644"/>
      <c r="FY17" s="644"/>
      <c r="FZ17" s="644"/>
      <c r="GA17" s="644"/>
      <c r="GB17" s="644"/>
      <c r="GC17" s="13">
        <v>30</v>
      </c>
      <c r="GD17" s="23"/>
      <c r="GE17" s="19"/>
      <c r="GF17" s="19">
        <v>1</v>
      </c>
      <c r="GG17" s="19">
        <v>2</v>
      </c>
      <c r="GH17" s="19">
        <v>3</v>
      </c>
      <c r="GI17" s="19">
        <v>2</v>
      </c>
      <c r="GJ17" s="19"/>
      <c r="GK17" s="19">
        <v>1</v>
      </c>
      <c r="GL17" s="19">
        <v>3</v>
      </c>
      <c r="GM17" s="19">
        <v>2</v>
      </c>
      <c r="GN17" s="23">
        <v>2</v>
      </c>
      <c r="GO17" s="23">
        <v>3</v>
      </c>
      <c r="GP17" s="23">
        <v>1</v>
      </c>
      <c r="GQ17" s="30">
        <f t="shared" si="29"/>
        <v>20</v>
      </c>
      <c r="GR17" s="28">
        <f t="shared" si="30"/>
        <v>600</v>
      </c>
      <c r="GT17" s="644" t="s">
        <v>9</v>
      </c>
      <c r="GU17" s="644"/>
      <c r="GV17" s="644"/>
      <c r="GW17" s="644"/>
      <c r="GX17" s="644"/>
      <c r="GY17" s="644"/>
      <c r="GZ17" s="13">
        <v>30</v>
      </c>
      <c r="HA17" s="19"/>
      <c r="HB17" s="19"/>
      <c r="HC17" s="19">
        <v>7</v>
      </c>
      <c r="HD17" s="19">
        <v>1</v>
      </c>
      <c r="HE17" s="19">
        <v>1</v>
      </c>
      <c r="HF17" s="19">
        <v>4</v>
      </c>
      <c r="HG17" s="19">
        <v>10</v>
      </c>
      <c r="HH17" s="19"/>
      <c r="HI17" s="19">
        <v>1</v>
      </c>
      <c r="HJ17" s="23">
        <v>2</v>
      </c>
      <c r="HK17" s="23">
        <v>3</v>
      </c>
      <c r="HL17" s="30">
        <f t="shared" si="31"/>
        <v>29</v>
      </c>
      <c r="HM17" s="28">
        <f t="shared" si="32"/>
        <v>870</v>
      </c>
      <c r="HO17" s="644" t="s">
        <v>9</v>
      </c>
      <c r="HP17" s="644"/>
      <c r="HQ17" s="644"/>
      <c r="HR17" s="644"/>
      <c r="HS17" s="644"/>
      <c r="HT17" s="644"/>
      <c r="HU17" s="13">
        <v>35</v>
      </c>
      <c r="HV17" s="19"/>
      <c r="HW17" s="30">
        <f t="shared" si="33"/>
        <v>0</v>
      </c>
      <c r="HX17" s="28">
        <f t="shared" si="0"/>
        <v>0</v>
      </c>
      <c r="HZ17" s="644" t="s">
        <v>9</v>
      </c>
      <c r="IA17" s="644"/>
      <c r="IB17" s="644"/>
      <c r="IC17" s="644"/>
      <c r="ID17" s="644"/>
      <c r="IE17" s="644"/>
      <c r="IF17" s="13">
        <v>34</v>
      </c>
      <c r="IG17" s="19"/>
      <c r="IH17" s="23"/>
      <c r="II17" s="23"/>
      <c r="IJ17" s="23"/>
      <c r="IK17" s="23"/>
      <c r="IL17" s="23">
        <v>1</v>
      </c>
      <c r="IM17" s="30">
        <f t="shared" si="41"/>
        <v>1</v>
      </c>
      <c r="IN17" s="28">
        <f t="shared" si="1"/>
        <v>34</v>
      </c>
      <c r="IP17" s="644" t="s">
        <v>9</v>
      </c>
      <c r="IQ17" s="644"/>
      <c r="IR17" s="644"/>
      <c r="IS17" s="644"/>
      <c r="IT17" s="644"/>
      <c r="IU17" s="644"/>
      <c r="IV17" s="13">
        <v>34</v>
      </c>
      <c r="IW17" s="19"/>
      <c r="IX17" s="23"/>
      <c r="IY17" s="30">
        <f t="shared" si="2"/>
        <v>0</v>
      </c>
      <c r="IZ17" s="28">
        <f t="shared" si="3"/>
        <v>0</v>
      </c>
      <c r="JB17" s="644" t="s">
        <v>9</v>
      </c>
      <c r="JC17" s="644"/>
      <c r="JD17" s="644"/>
      <c r="JE17" s="644"/>
      <c r="JF17" s="644"/>
      <c r="JG17" s="644"/>
      <c r="JH17" s="13">
        <v>32</v>
      </c>
      <c r="JI17" s="19">
        <v>1</v>
      </c>
      <c r="JJ17" s="23"/>
      <c r="JK17" s="23">
        <v>1</v>
      </c>
      <c r="JL17" s="23">
        <v>3</v>
      </c>
      <c r="JM17" s="23"/>
      <c r="JN17" s="23"/>
      <c r="JO17" s="23">
        <v>4</v>
      </c>
      <c r="JP17" s="23"/>
      <c r="JQ17" s="23"/>
      <c r="JR17" s="23"/>
      <c r="JS17" s="23">
        <v>2</v>
      </c>
      <c r="JT17" s="23">
        <v>4</v>
      </c>
      <c r="JU17" s="23">
        <v>2</v>
      </c>
      <c r="JV17" s="23"/>
      <c r="JW17" s="23">
        <v>2</v>
      </c>
      <c r="JX17" s="23"/>
      <c r="JY17" s="23">
        <v>2</v>
      </c>
      <c r="JZ17" s="23"/>
      <c r="KA17" s="23">
        <v>10</v>
      </c>
      <c r="KB17" s="23">
        <v>3</v>
      </c>
      <c r="KC17" s="23">
        <v>6</v>
      </c>
      <c r="KD17" s="23"/>
      <c r="KE17" s="30">
        <f t="shared" si="34"/>
        <v>40</v>
      </c>
      <c r="KF17" s="28">
        <f t="shared" si="42"/>
        <v>1280</v>
      </c>
      <c r="KH17" s="644" t="s">
        <v>9</v>
      </c>
      <c r="KI17" s="644"/>
      <c r="KJ17" s="644"/>
      <c r="KK17" s="644"/>
      <c r="KL17" s="644"/>
      <c r="KM17" s="644"/>
      <c r="KN17" s="13">
        <v>32</v>
      </c>
      <c r="KO17" s="19">
        <v>3</v>
      </c>
      <c r="KP17" s="23"/>
      <c r="KQ17" s="23">
        <v>4</v>
      </c>
      <c r="KR17" s="23">
        <v>2</v>
      </c>
      <c r="KS17" s="30">
        <f t="shared" si="4"/>
        <v>9</v>
      </c>
      <c r="KT17" s="28">
        <f t="shared" si="5"/>
        <v>288</v>
      </c>
      <c r="KV17" s="644" t="s">
        <v>9</v>
      </c>
      <c r="KW17" s="644"/>
      <c r="KX17" s="644"/>
      <c r="KY17" s="644"/>
      <c r="KZ17" s="644"/>
      <c r="LA17" s="644"/>
      <c r="LB17" s="13">
        <v>30</v>
      </c>
      <c r="LC17" s="19">
        <v>5</v>
      </c>
      <c r="LD17" s="23"/>
      <c r="LE17" s="23">
        <v>1</v>
      </c>
      <c r="LF17" s="30">
        <f t="shared" si="6"/>
        <v>6</v>
      </c>
      <c r="LG17" s="28">
        <f t="shared" si="7"/>
        <v>180</v>
      </c>
      <c r="LI17" s="644" t="s">
        <v>9</v>
      </c>
      <c r="LJ17" s="644"/>
      <c r="LK17" s="644"/>
      <c r="LL17" s="644"/>
      <c r="LM17" s="644"/>
      <c r="LN17" s="644"/>
      <c r="LO17" s="13">
        <v>30</v>
      </c>
      <c r="LP17" s="19"/>
      <c r="LQ17" s="23"/>
      <c r="LR17" s="23"/>
      <c r="LS17" s="23"/>
      <c r="LT17" s="23">
        <v>6</v>
      </c>
      <c r="LU17" s="23">
        <v>2</v>
      </c>
      <c r="LV17" s="23">
        <v>6</v>
      </c>
      <c r="LW17" s="23">
        <v>4</v>
      </c>
      <c r="LX17" s="23"/>
      <c r="LY17" s="23">
        <v>21</v>
      </c>
      <c r="LZ17" s="23">
        <v>14</v>
      </c>
      <c r="MA17" s="23">
        <v>2</v>
      </c>
      <c r="MB17" s="23">
        <v>2</v>
      </c>
      <c r="MC17" s="23">
        <v>3</v>
      </c>
      <c r="MD17" s="23">
        <v>5</v>
      </c>
      <c r="ME17" s="30">
        <f t="shared" si="35"/>
        <v>65</v>
      </c>
      <c r="MF17" s="28">
        <f t="shared" si="8"/>
        <v>1950</v>
      </c>
      <c r="MH17" s="644" t="s">
        <v>9</v>
      </c>
      <c r="MI17" s="644"/>
      <c r="MJ17" s="644"/>
      <c r="MK17" s="644"/>
      <c r="ML17" s="644"/>
      <c r="MM17" s="644"/>
      <c r="MN17" s="13">
        <v>30</v>
      </c>
      <c r="MO17" s="19">
        <v>19</v>
      </c>
      <c r="MP17" s="23">
        <v>10</v>
      </c>
      <c r="MQ17" s="23">
        <v>8</v>
      </c>
      <c r="MR17" s="23">
        <v>4</v>
      </c>
      <c r="MS17" s="23">
        <v>8</v>
      </c>
      <c r="MT17" s="23">
        <v>1</v>
      </c>
      <c r="MU17" s="23"/>
      <c r="MV17" s="23"/>
      <c r="MW17" s="23"/>
      <c r="MX17" s="23"/>
      <c r="MY17" s="23"/>
      <c r="MZ17" s="23"/>
      <c r="NA17" s="23"/>
      <c r="NB17" s="23"/>
      <c r="NC17" s="23"/>
      <c r="ND17" s="30">
        <f t="shared" si="36"/>
        <v>50</v>
      </c>
      <c r="NE17" s="28">
        <f t="shared" si="37"/>
        <v>1500</v>
      </c>
      <c r="NG17" s="644" t="s">
        <v>9</v>
      </c>
      <c r="NH17" s="644"/>
      <c r="NI17" s="644"/>
      <c r="NJ17" s="644"/>
      <c r="NK17" s="644"/>
      <c r="NL17" s="644"/>
      <c r="NM17" s="13">
        <v>30</v>
      </c>
      <c r="NN17" s="23"/>
      <c r="NO17" s="23">
        <v>1</v>
      </c>
      <c r="NP17" s="23">
        <v>1</v>
      </c>
      <c r="NQ17" s="23">
        <v>15</v>
      </c>
      <c r="NR17" s="23">
        <v>7</v>
      </c>
      <c r="NS17" s="23"/>
      <c r="NT17" s="23">
        <v>13</v>
      </c>
      <c r="NU17" s="23"/>
      <c r="NV17" s="23"/>
      <c r="NW17" s="23"/>
      <c r="NX17" s="23"/>
      <c r="NY17" s="23"/>
      <c r="NZ17" s="23"/>
      <c r="OA17" s="23"/>
      <c r="OB17" s="23"/>
      <c r="OC17" s="30">
        <f t="shared" si="38"/>
        <v>37</v>
      </c>
      <c r="OD17" s="28">
        <f t="shared" si="39"/>
        <v>1110</v>
      </c>
    </row>
    <row r="18" spans="1:394" ht="14.45" customHeight="1" x14ac:dyDescent="0.25">
      <c r="A18" s="47"/>
      <c r="B18" s="14"/>
      <c r="C18" s="644" t="s">
        <v>10</v>
      </c>
      <c r="D18" s="644"/>
      <c r="E18" s="644"/>
      <c r="F18" s="644"/>
      <c r="G18" s="644"/>
      <c r="H18" s="644"/>
      <c r="I18" s="13">
        <v>29</v>
      </c>
      <c r="J18" s="13"/>
      <c r="K18" s="19"/>
      <c r="L18" s="19">
        <v>3</v>
      </c>
      <c r="M18" s="19">
        <f t="shared" si="40"/>
        <v>3</v>
      </c>
      <c r="N18" s="19">
        <f t="shared" si="9"/>
        <v>87</v>
      </c>
      <c r="O18" s="12"/>
      <c r="P18" s="644" t="s">
        <v>10</v>
      </c>
      <c r="Q18" s="644"/>
      <c r="R18" s="644"/>
      <c r="S18" s="644"/>
      <c r="T18" s="644"/>
      <c r="U18" s="644"/>
      <c r="V18" s="13">
        <v>29</v>
      </c>
      <c r="W18" s="19">
        <v>2</v>
      </c>
      <c r="X18" s="19">
        <v>4</v>
      </c>
      <c r="Y18" s="23">
        <f t="shared" si="10"/>
        <v>6</v>
      </c>
      <c r="Z18" s="19">
        <f t="shared" si="11"/>
        <v>174</v>
      </c>
      <c r="AA18" s="34"/>
      <c r="AB18" s="34"/>
      <c r="AC18" s="34"/>
      <c r="AD18" s="34"/>
      <c r="AE18" s="34"/>
      <c r="AF18" s="34"/>
      <c r="AG18" s="6"/>
      <c r="AH18" s="644" t="s">
        <v>10</v>
      </c>
      <c r="AI18" s="644"/>
      <c r="AJ18" s="644"/>
      <c r="AK18" s="644"/>
      <c r="AL18" s="644"/>
      <c r="AM18" s="644"/>
      <c r="AN18" s="13">
        <v>31</v>
      </c>
      <c r="AO18" s="19">
        <v>2</v>
      </c>
      <c r="AP18" s="23">
        <f t="shared" si="12"/>
        <v>2</v>
      </c>
      <c r="AQ18" s="19">
        <f t="shared" si="13"/>
        <v>62</v>
      </c>
      <c r="AS18" s="677" t="s">
        <v>10</v>
      </c>
      <c r="AT18" s="677"/>
      <c r="AU18" s="677"/>
      <c r="AV18" s="677"/>
      <c r="AW18" s="677"/>
      <c r="AX18" s="677"/>
      <c r="AY18" s="28">
        <v>31</v>
      </c>
      <c r="AZ18" s="28"/>
      <c r="BA18" s="28"/>
      <c r="BB18" s="28">
        <v>3</v>
      </c>
      <c r="BC18" s="28">
        <v>3</v>
      </c>
      <c r="BD18" s="30">
        <f t="shared" si="14"/>
        <v>6</v>
      </c>
      <c r="BE18" s="28">
        <f t="shared" si="15"/>
        <v>186</v>
      </c>
      <c r="BF18" s="14"/>
      <c r="BG18" s="677" t="s">
        <v>10</v>
      </c>
      <c r="BH18" s="677"/>
      <c r="BI18" s="677"/>
      <c r="BJ18" s="677"/>
      <c r="BK18" s="677"/>
      <c r="BL18" s="677"/>
      <c r="BM18" s="28">
        <v>31</v>
      </c>
      <c r="BN18" s="28">
        <v>1</v>
      </c>
      <c r="BO18" s="28"/>
      <c r="BP18" s="30">
        <f t="shared" si="16"/>
        <v>1</v>
      </c>
      <c r="BQ18" s="28">
        <f t="shared" si="17"/>
        <v>31</v>
      </c>
      <c r="BR18" s="14"/>
      <c r="BS18" s="677" t="s">
        <v>10</v>
      </c>
      <c r="BT18" s="677"/>
      <c r="BU18" s="677"/>
      <c r="BV18" s="677"/>
      <c r="BW18" s="677"/>
      <c r="BX18" s="677"/>
      <c r="BY18" s="28">
        <v>32</v>
      </c>
      <c r="BZ18" s="28">
        <v>3</v>
      </c>
      <c r="CA18" s="28"/>
      <c r="CB18" s="28"/>
      <c r="CC18" s="28"/>
      <c r="CD18" s="28"/>
      <c r="CE18" s="28">
        <v>3</v>
      </c>
      <c r="CF18" s="28"/>
      <c r="CG18" s="28"/>
      <c r="CH18" s="28"/>
      <c r="CI18" s="30">
        <f t="shared" si="18"/>
        <v>6</v>
      </c>
      <c r="CJ18" s="28">
        <f t="shared" si="19"/>
        <v>192</v>
      </c>
      <c r="CK18" s="14"/>
      <c r="CL18" s="677" t="s">
        <v>10</v>
      </c>
      <c r="CM18" s="677"/>
      <c r="CN18" s="677"/>
      <c r="CO18" s="677"/>
      <c r="CP18" s="677"/>
      <c r="CQ18" s="677"/>
      <c r="CR18" s="28">
        <v>32</v>
      </c>
      <c r="CS18" s="28"/>
      <c r="CT18" s="28"/>
      <c r="CU18" s="28"/>
      <c r="CV18" s="28">
        <v>2</v>
      </c>
      <c r="CW18" s="28">
        <v>1</v>
      </c>
      <c r="CX18" s="28"/>
      <c r="CY18" s="28"/>
      <c r="CZ18" s="28"/>
      <c r="DA18" s="30">
        <f t="shared" si="20"/>
        <v>3</v>
      </c>
      <c r="DB18" s="28">
        <f t="shared" si="21"/>
        <v>96</v>
      </c>
      <c r="DC18" s="14"/>
      <c r="DD18" s="677" t="s">
        <v>10</v>
      </c>
      <c r="DE18" s="677"/>
      <c r="DF18" s="677"/>
      <c r="DG18" s="677"/>
      <c r="DH18" s="677"/>
      <c r="DI18" s="677"/>
      <c r="DJ18" s="28">
        <v>32</v>
      </c>
      <c r="DK18" s="28"/>
      <c r="DL18" s="28">
        <v>1</v>
      </c>
      <c r="DM18" s="28"/>
      <c r="DN18" s="28"/>
      <c r="DO18" s="28"/>
      <c r="DP18" s="28"/>
      <c r="DQ18" s="28">
        <v>1</v>
      </c>
      <c r="DR18" s="28"/>
      <c r="DS18" s="28"/>
      <c r="DT18" s="28"/>
      <c r="DU18" s="30">
        <f t="shared" si="22"/>
        <v>2</v>
      </c>
      <c r="DV18" s="28">
        <f t="shared" si="23"/>
        <v>64</v>
      </c>
      <c r="DX18" s="677" t="s">
        <v>10</v>
      </c>
      <c r="DY18" s="677"/>
      <c r="DZ18" s="677"/>
      <c r="EA18" s="677"/>
      <c r="EB18" s="677"/>
      <c r="EC18" s="677"/>
      <c r="ED18" s="28">
        <v>32</v>
      </c>
      <c r="EE18" s="28">
        <v>2</v>
      </c>
      <c r="EF18" s="28"/>
      <c r="EG18" s="28"/>
      <c r="EH18" s="28"/>
      <c r="EI18" s="28"/>
      <c r="EJ18" s="28"/>
      <c r="EK18" s="28"/>
      <c r="EL18" s="28">
        <v>2</v>
      </c>
      <c r="EM18" s="30"/>
      <c r="EN18" s="30"/>
      <c r="EO18" s="30">
        <f t="shared" si="24"/>
        <v>4</v>
      </c>
      <c r="EP18" s="28">
        <f t="shared" si="25"/>
        <v>128</v>
      </c>
      <c r="EQ18" t="str">
        <f t="shared" si="26"/>
        <v>IGUAL</v>
      </c>
      <c r="ER18" s="677" t="s">
        <v>10</v>
      </c>
      <c r="ES18" s="677"/>
      <c r="ET18" s="677"/>
      <c r="EU18" s="677"/>
      <c r="EV18" s="677"/>
      <c r="EW18" s="677"/>
      <c r="EX18" s="28">
        <v>32</v>
      </c>
      <c r="EY18" s="28"/>
      <c r="EZ18" s="28"/>
      <c r="FA18" s="28"/>
      <c r="FB18" s="28"/>
      <c r="FC18" s="28">
        <v>1</v>
      </c>
      <c r="FD18" s="28">
        <v>1</v>
      </c>
      <c r="FE18" s="28"/>
      <c r="FF18" s="28"/>
      <c r="FG18" s="28"/>
      <c r="FH18" s="28"/>
      <c r="FI18" s="30"/>
      <c r="FJ18" s="30"/>
      <c r="FK18" s="30"/>
      <c r="FL18" s="30"/>
      <c r="FM18" s="30"/>
      <c r="FN18" s="30"/>
      <c r="FO18" s="30">
        <v>1</v>
      </c>
      <c r="FP18" s="30"/>
      <c r="FQ18" s="30"/>
      <c r="FR18" s="30"/>
      <c r="FS18" s="30"/>
      <c r="FT18" s="30">
        <f t="shared" si="27"/>
        <v>3</v>
      </c>
      <c r="FU18" s="28">
        <f t="shared" si="28"/>
        <v>96</v>
      </c>
      <c r="FW18" s="677" t="s">
        <v>10</v>
      </c>
      <c r="FX18" s="677"/>
      <c r="FY18" s="677"/>
      <c r="FZ18" s="677"/>
      <c r="GA18" s="677"/>
      <c r="GB18" s="677"/>
      <c r="GC18" s="28">
        <v>32</v>
      </c>
      <c r="GD18" s="30"/>
      <c r="GE18" s="28"/>
      <c r="GF18" s="28"/>
      <c r="GG18" s="28"/>
      <c r="GH18" s="28"/>
      <c r="GI18" s="28"/>
      <c r="GJ18" s="28"/>
      <c r="GK18" s="28"/>
      <c r="GL18" s="28">
        <v>1</v>
      </c>
      <c r="GM18" s="28"/>
      <c r="GN18" s="30"/>
      <c r="GO18" s="30"/>
      <c r="GP18" s="30"/>
      <c r="GQ18" s="30">
        <f t="shared" si="29"/>
        <v>1</v>
      </c>
      <c r="GR18" s="28">
        <f t="shared" si="30"/>
        <v>32</v>
      </c>
      <c r="GT18" s="677" t="s">
        <v>10</v>
      </c>
      <c r="GU18" s="677"/>
      <c r="GV18" s="677"/>
      <c r="GW18" s="677"/>
      <c r="GX18" s="677"/>
      <c r="GY18" s="677"/>
      <c r="GZ18" s="28">
        <v>32</v>
      </c>
      <c r="HA18" s="28"/>
      <c r="HB18" s="28">
        <v>1</v>
      </c>
      <c r="HC18" s="28"/>
      <c r="HD18" s="28"/>
      <c r="HE18" s="28">
        <v>5</v>
      </c>
      <c r="HF18" s="28"/>
      <c r="HG18" s="28"/>
      <c r="HH18" s="28"/>
      <c r="HI18" s="28"/>
      <c r="HJ18" s="30"/>
      <c r="HK18" s="30"/>
      <c r="HL18" s="30">
        <f>SUM(HA18:HK18)</f>
        <v>6</v>
      </c>
      <c r="HM18" s="28">
        <f t="shared" si="32"/>
        <v>192</v>
      </c>
      <c r="HO18" s="677" t="s">
        <v>10</v>
      </c>
      <c r="HP18" s="677"/>
      <c r="HQ18" s="677"/>
      <c r="HR18" s="677"/>
      <c r="HS18" s="677"/>
      <c r="HT18" s="677"/>
      <c r="HU18" s="28">
        <v>37</v>
      </c>
      <c r="HV18" s="28">
        <v>1</v>
      </c>
      <c r="HW18" s="30">
        <f t="shared" si="33"/>
        <v>1</v>
      </c>
      <c r="HX18" s="28">
        <f t="shared" si="0"/>
        <v>37</v>
      </c>
      <c r="HZ18" s="677" t="s">
        <v>10</v>
      </c>
      <c r="IA18" s="677"/>
      <c r="IB18" s="677"/>
      <c r="IC18" s="677"/>
      <c r="ID18" s="677"/>
      <c r="IE18" s="677"/>
      <c r="IF18" s="28">
        <v>36</v>
      </c>
      <c r="IG18" s="28"/>
      <c r="IH18" s="30"/>
      <c r="II18" s="30"/>
      <c r="IJ18" s="30"/>
      <c r="IK18" s="30"/>
      <c r="IL18" s="30"/>
      <c r="IM18" s="30">
        <f t="shared" si="41"/>
        <v>0</v>
      </c>
      <c r="IN18" s="28">
        <f t="shared" si="1"/>
        <v>0</v>
      </c>
      <c r="IP18" s="677" t="s">
        <v>10</v>
      </c>
      <c r="IQ18" s="677"/>
      <c r="IR18" s="677"/>
      <c r="IS18" s="677"/>
      <c r="IT18" s="677"/>
      <c r="IU18" s="677"/>
      <c r="IV18" s="28">
        <v>36</v>
      </c>
      <c r="IW18" s="28"/>
      <c r="IX18" s="30"/>
      <c r="IY18" s="30">
        <f t="shared" si="2"/>
        <v>0</v>
      </c>
      <c r="IZ18" s="28">
        <f t="shared" si="3"/>
        <v>0</v>
      </c>
      <c r="JB18" s="677" t="s">
        <v>10</v>
      </c>
      <c r="JC18" s="677"/>
      <c r="JD18" s="677"/>
      <c r="JE18" s="677"/>
      <c r="JF18" s="677"/>
      <c r="JG18" s="677"/>
      <c r="JH18" s="28">
        <v>34</v>
      </c>
      <c r="JI18" s="28"/>
      <c r="JJ18" s="30"/>
      <c r="JK18" s="30">
        <v>5</v>
      </c>
      <c r="JL18" s="30">
        <v>1</v>
      </c>
      <c r="JM18" s="30"/>
      <c r="JN18" s="30"/>
      <c r="JO18" s="30">
        <v>1</v>
      </c>
      <c r="JP18" s="30"/>
      <c r="JQ18" s="30"/>
      <c r="JR18" s="30"/>
      <c r="JS18" s="30">
        <v>1</v>
      </c>
      <c r="JT18" s="30"/>
      <c r="JU18" s="30">
        <v>1</v>
      </c>
      <c r="JV18" s="30"/>
      <c r="JW18" s="30"/>
      <c r="JX18" s="30"/>
      <c r="JY18" s="30">
        <v>2</v>
      </c>
      <c r="JZ18" s="30">
        <v>1</v>
      </c>
      <c r="KA18" s="30"/>
      <c r="KB18" s="30">
        <v>1</v>
      </c>
      <c r="KC18" s="30"/>
      <c r="KD18" s="30"/>
      <c r="KE18" s="30">
        <f t="shared" si="34"/>
        <v>13</v>
      </c>
      <c r="KF18" s="28">
        <f t="shared" si="42"/>
        <v>442</v>
      </c>
      <c r="KH18" s="677" t="s">
        <v>10</v>
      </c>
      <c r="KI18" s="677"/>
      <c r="KJ18" s="677"/>
      <c r="KK18" s="677"/>
      <c r="KL18" s="677"/>
      <c r="KM18" s="677"/>
      <c r="KN18" s="28">
        <v>31</v>
      </c>
      <c r="KO18" s="28"/>
      <c r="KP18" s="30"/>
      <c r="KQ18" s="30"/>
      <c r="KR18" s="30"/>
      <c r="KS18" s="30">
        <f t="shared" si="4"/>
        <v>0</v>
      </c>
      <c r="KT18" s="28">
        <f t="shared" si="5"/>
        <v>0</v>
      </c>
      <c r="KV18" s="677" t="s">
        <v>10</v>
      </c>
      <c r="KW18" s="677"/>
      <c r="KX18" s="677"/>
      <c r="KY18" s="677"/>
      <c r="KZ18" s="677"/>
      <c r="LA18" s="677"/>
      <c r="LB18" s="28">
        <v>31</v>
      </c>
      <c r="LC18" s="28">
        <v>1</v>
      </c>
      <c r="LD18" s="30">
        <v>3</v>
      </c>
      <c r="LE18" s="30">
        <v>2</v>
      </c>
      <c r="LF18" s="30">
        <f t="shared" si="6"/>
        <v>6</v>
      </c>
      <c r="LG18" s="28">
        <f t="shared" si="7"/>
        <v>186</v>
      </c>
      <c r="LI18" s="677" t="s">
        <v>10</v>
      </c>
      <c r="LJ18" s="677"/>
      <c r="LK18" s="677"/>
      <c r="LL18" s="677"/>
      <c r="LM18" s="677"/>
      <c r="LN18" s="677"/>
      <c r="LO18" s="28">
        <v>31</v>
      </c>
      <c r="LP18" s="28"/>
      <c r="LQ18" s="30"/>
      <c r="LR18" s="30"/>
      <c r="LS18" s="30"/>
      <c r="LT18" s="30">
        <v>1</v>
      </c>
      <c r="LU18" s="30">
        <v>2</v>
      </c>
      <c r="LV18" s="30"/>
      <c r="LW18" s="30">
        <v>1</v>
      </c>
      <c r="LX18" s="30"/>
      <c r="LY18" s="30">
        <v>7</v>
      </c>
      <c r="LZ18" s="30">
        <v>5</v>
      </c>
      <c r="MA18" s="30"/>
      <c r="MB18" s="30">
        <v>3</v>
      </c>
      <c r="MC18" s="30">
        <v>2</v>
      </c>
      <c r="MD18" s="30">
        <v>5</v>
      </c>
      <c r="ME18" s="30">
        <f t="shared" si="35"/>
        <v>26</v>
      </c>
      <c r="MF18" s="28">
        <f t="shared" si="8"/>
        <v>806</v>
      </c>
      <c r="MH18" s="677" t="s">
        <v>10</v>
      </c>
      <c r="MI18" s="677"/>
      <c r="MJ18" s="677"/>
      <c r="MK18" s="677"/>
      <c r="ML18" s="677"/>
      <c r="MM18" s="677"/>
      <c r="MN18" s="28">
        <v>31</v>
      </c>
      <c r="MO18" s="28">
        <v>1</v>
      </c>
      <c r="MP18" s="30">
        <v>1</v>
      </c>
      <c r="MQ18" s="30">
        <v>2</v>
      </c>
      <c r="MR18" s="30"/>
      <c r="MS18" s="30"/>
      <c r="MT18" s="30"/>
      <c r="MU18" s="30"/>
      <c r="MV18" s="30">
        <v>2</v>
      </c>
      <c r="MW18" s="30">
        <v>5</v>
      </c>
      <c r="MX18" s="30">
        <v>1</v>
      </c>
      <c r="MY18" s="30">
        <v>1</v>
      </c>
      <c r="MZ18" s="30"/>
      <c r="NA18" s="30">
        <v>4</v>
      </c>
      <c r="NB18" s="30"/>
      <c r="NC18" s="30">
        <v>2</v>
      </c>
      <c r="ND18" s="30">
        <f t="shared" si="36"/>
        <v>19</v>
      </c>
      <c r="NE18" s="28">
        <f t="shared" si="37"/>
        <v>589</v>
      </c>
      <c r="NG18" s="677" t="s">
        <v>10</v>
      </c>
      <c r="NH18" s="677"/>
      <c r="NI18" s="677"/>
      <c r="NJ18" s="677"/>
      <c r="NK18" s="677"/>
      <c r="NL18" s="677"/>
      <c r="NM18" s="28">
        <v>31</v>
      </c>
      <c r="NN18" s="30">
        <v>3</v>
      </c>
      <c r="NO18" s="30"/>
      <c r="NP18" s="30">
        <v>2</v>
      </c>
      <c r="NQ18" s="30">
        <v>1</v>
      </c>
      <c r="NR18" s="30">
        <v>1</v>
      </c>
      <c r="NS18" s="30"/>
      <c r="NT18" s="30"/>
      <c r="NU18" s="30"/>
      <c r="NV18" s="30"/>
      <c r="NW18" s="30"/>
      <c r="NX18" s="30"/>
      <c r="NY18" s="30"/>
      <c r="NZ18" s="30"/>
      <c r="OA18" s="30"/>
      <c r="OB18" s="30"/>
      <c r="OC18" s="30">
        <f t="shared" si="38"/>
        <v>7</v>
      </c>
      <c r="OD18" s="28">
        <f t="shared" si="39"/>
        <v>217</v>
      </c>
    </row>
    <row r="19" spans="1:394" ht="14.45" customHeight="1" x14ac:dyDescent="0.25">
      <c r="A19" s="47"/>
      <c r="B19" s="14"/>
      <c r="C19" s="644" t="s">
        <v>11</v>
      </c>
      <c r="D19" s="644"/>
      <c r="E19" s="644"/>
      <c r="F19" s="644"/>
      <c r="G19" s="644"/>
      <c r="H19" s="644"/>
      <c r="I19" s="13">
        <v>97</v>
      </c>
      <c r="J19" s="13">
        <v>2</v>
      </c>
      <c r="K19" s="19">
        <v>1</v>
      </c>
      <c r="L19" s="19">
        <v>2</v>
      </c>
      <c r="M19" s="19">
        <f t="shared" si="40"/>
        <v>5</v>
      </c>
      <c r="N19" s="19">
        <f t="shared" si="9"/>
        <v>485</v>
      </c>
      <c r="O19" s="12"/>
      <c r="P19" s="644" t="s">
        <v>11</v>
      </c>
      <c r="Q19" s="644"/>
      <c r="R19" s="644"/>
      <c r="S19" s="644"/>
      <c r="T19" s="644"/>
      <c r="U19" s="644"/>
      <c r="V19" s="13">
        <v>105</v>
      </c>
      <c r="W19" s="19">
        <v>2</v>
      </c>
      <c r="X19" s="19"/>
      <c r="Y19" s="23">
        <f t="shared" si="10"/>
        <v>2</v>
      </c>
      <c r="Z19" s="19">
        <f t="shared" si="11"/>
        <v>210</v>
      </c>
      <c r="AA19" s="34"/>
      <c r="AB19" s="34"/>
      <c r="AC19" s="34"/>
      <c r="AD19" s="34"/>
      <c r="AE19" s="34"/>
      <c r="AF19" s="34"/>
      <c r="AG19" s="6"/>
      <c r="AH19" s="644" t="s">
        <v>11</v>
      </c>
      <c r="AI19" s="644"/>
      <c r="AJ19" s="644"/>
      <c r="AK19" s="644"/>
      <c r="AL19" s="644"/>
      <c r="AM19" s="644"/>
      <c r="AN19" s="13">
        <v>105</v>
      </c>
      <c r="AO19" s="19">
        <v>2</v>
      </c>
      <c r="AP19" s="23">
        <f t="shared" si="12"/>
        <v>2</v>
      </c>
      <c r="AQ19" s="19">
        <f t="shared" si="13"/>
        <v>210</v>
      </c>
      <c r="AS19" s="644" t="s">
        <v>11</v>
      </c>
      <c r="AT19" s="644"/>
      <c r="AU19" s="644"/>
      <c r="AV19" s="644"/>
      <c r="AW19" s="644"/>
      <c r="AX19" s="644"/>
      <c r="AY19" s="13">
        <v>105</v>
      </c>
      <c r="AZ19" s="19"/>
      <c r="BA19" s="19"/>
      <c r="BB19" s="19"/>
      <c r="BC19" s="19"/>
      <c r="BD19" s="30">
        <f t="shared" si="14"/>
        <v>0</v>
      </c>
      <c r="BE19" s="28">
        <f t="shared" si="15"/>
        <v>0</v>
      </c>
      <c r="BF19" s="14"/>
      <c r="BG19" s="644" t="s">
        <v>11</v>
      </c>
      <c r="BH19" s="644"/>
      <c r="BI19" s="644"/>
      <c r="BJ19" s="644"/>
      <c r="BK19" s="644"/>
      <c r="BL19" s="644"/>
      <c r="BM19" s="13">
        <v>105</v>
      </c>
      <c r="BN19" s="19"/>
      <c r="BO19" s="19"/>
      <c r="BP19" s="30">
        <f t="shared" si="16"/>
        <v>0</v>
      </c>
      <c r="BQ19" s="28">
        <f t="shared" si="17"/>
        <v>0</v>
      </c>
      <c r="BR19" s="14"/>
      <c r="BS19" s="644" t="s">
        <v>11</v>
      </c>
      <c r="BT19" s="644"/>
      <c r="BU19" s="644"/>
      <c r="BV19" s="644"/>
      <c r="BW19" s="644"/>
      <c r="BX19" s="644"/>
      <c r="BY19" s="13">
        <v>110</v>
      </c>
      <c r="BZ19" s="19">
        <v>1</v>
      </c>
      <c r="CA19" s="19"/>
      <c r="CB19" s="19"/>
      <c r="CC19" s="19"/>
      <c r="CD19" s="19"/>
      <c r="CE19" s="19">
        <v>1</v>
      </c>
      <c r="CF19" s="19"/>
      <c r="CG19" s="19"/>
      <c r="CH19" s="19"/>
      <c r="CI19" s="30">
        <f t="shared" si="18"/>
        <v>2</v>
      </c>
      <c r="CJ19" s="28">
        <f t="shared" si="19"/>
        <v>220</v>
      </c>
      <c r="CK19" s="14"/>
      <c r="CL19" s="644" t="s">
        <v>11</v>
      </c>
      <c r="CM19" s="644"/>
      <c r="CN19" s="644"/>
      <c r="CO19" s="644"/>
      <c r="CP19" s="644"/>
      <c r="CQ19" s="644"/>
      <c r="CR19" s="13">
        <v>105</v>
      </c>
      <c r="CS19" s="19"/>
      <c r="CT19" s="19"/>
      <c r="CU19" s="19">
        <v>2</v>
      </c>
      <c r="CV19" s="19">
        <v>2</v>
      </c>
      <c r="CW19" s="19"/>
      <c r="CX19" s="19"/>
      <c r="CY19" s="19"/>
      <c r="CZ19" s="19">
        <v>1</v>
      </c>
      <c r="DA19" s="30">
        <f t="shared" si="20"/>
        <v>5</v>
      </c>
      <c r="DB19" s="28">
        <f t="shared" si="21"/>
        <v>525</v>
      </c>
      <c r="DC19" s="14"/>
      <c r="DD19" s="644" t="s">
        <v>11</v>
      </c>
      <c r="DE19" s="644"/>
      <c r="DF19" s="644"/>
      <c r="DG19" s="644"/>
      <c r="DH19" s="644"/>
      <c r="DI19" s="644"/>
      <c r="DJ19" s="13">
        <v>105</v>
      </c>
      <c r="DK19" s="19">
        <v>1</v>
      </c>
      <c r="DL19" s="19">
        <v>3</v>
      </c>
      <c r="DM19" s="19"/>
      <c r="DN19" s="19"/>
      <c r="DO19" s="19"/>
      <c r="DP19" s="19"/>
      <c r="DQ19" s="19"/>
      <c r="DR19" s="19"/>
      <c r="DS19" s="19">
        <v>2</v>
      </c>
      <c r="DT19" s="19">
        <v>3</v>
      </c>
      <c r="DU19" s="30">
        <f t="shared" si="22"/>
        <v>9</v>
      </c>
      <c r="DV19" s="28">
        <f t="shared" si="23"/>
        <v>945</v>
      </c>
      <c r="DX19" s="644" t="s">
        <v>11</v>
      </c>
      <c r="DY19" s="644"/>
      <c r="DZ19" s="644"/>
      <c r="EA19" s="644"/>
      <c r="EB19" s="644"/>
      <c r="EC19" s="644"/>
      <c r="ED19" s="13">
        <v>105</v>
      </c>
      <c r="EE19" s="19">
        <v>3</v>
      </c>
      <c r="EF19" s="19"/>
      <c r="EG19" s="19"/>
      <c r="EH19" s="19">
        <v>1</v>
      </c>
      <c r="EI19" s="19"/>
      <c r="EJ19" s="19"/>
      <c r="EK19" s="19"/>
      <c r="EL19" s="19"/>
      <c r="EM19" s="23"/>
      <c r="EN19" s="23"/>
      <c r="EO19" s="30">
        <f t="shared" si="24"/>
        <v>4</v>
      </c>
      <c r="EP19" s="28">
        <f t="shared" si="25"/>
        <v>420</v>
      </c>
      <c r="EQ19" t="str">
        <f t="shared" si="26"/>
        <v>DIFERENTE</v>
      </c>
      <c r="ER19" s="644" t="s">
        <v>11</v>
      </c>
      <c r="ES19" s="644"/>
      <c r="ET19" s="644"/>
      <c r="EU19" s="644"/>
      <c r="EV19" s="644"/>
      <c r="EW19" s="644"/>
      <c r="EX19" s="13">
        <v>106</v>
      </c>
      <c r="EY19" s="19">
        <v>3</v>
      </c>
      <c r="EZ19" s="19"/>
      <c r="FA19" s="19"/>
      <c r="FB19" s="19">
        <v>1</v>
      </c>
      <c r="FC19" s="19">
        <v>1</v>
      </c>
      <c r="FD19" s="19"/>
      <c r="FE19" s="19"/>
      <c r="FF19" s="19"/>
      <c r="FG19" s="19"/>
      <c r="FH19" s="19">
        <v>1</v>
      </c>
      <c r="FI19" s="23"/>
      <c r="FJ19" s="23">
        <v>1</v>
      </c>
      <c r="FK19" s="23"/>
      <c r="FL19" s="23"/>
      <c r="FM19" s="23"/>
      <c r="FN19" s="23"/>
      <c r="FO19" s="23">
        <v>1</v>
      </c>
      <c r="FP19" s="23"/>
      <c r="FQ19" s="23"/>
      <c r="FR19" s="23"/>
      <c r="FS19" s="23"/>
      <c r="FT19" s="30">
        <f t="shared" si="27"/>
        <v>8</v>
      </c>
      <c r="FU19" s="28">
        <f t="shared" si="28"/>
        <v>848</v>
      </c>
      <c r="FW19" s="644" t="s">
        <v>11</v>
      </c>
      <c r="FX19" s="644"/>
      <c r="FY19" s="644"/>
      <c r="FZ19" s="644"/>
      <c r="GA19" s="644"/>
      <c r="GB19" s="644"/>
      <c r="GC19" s="13">
        <v>106</v>
      </c>
      <c r="GD19" s="23">
        <v>1</v>
      </c>
      <c r="GE19" s="19">
        <v>1</v>
      </c>
      <c r="GF19" s="19"/>
      <c r="GG19" s="19">
        <v>2</v>
      </c>
      <c r="GH19" s="19"/>
      <c r="GI19" s="19">
        <v>2</v>
      </c>
      <c r="GJ19" s="19"/>
      <c r="GK19" s="19">
        <v>1</v>
      </c>
      <c r="GL19" s="19">
        <v>1</v>
      </c>
      <c r="GM19" s="19"/>
      <c r="GN19" s="23">
        <v>1</v>
      </c>
      <c r="GO19" s="23">
        <v>2</v>
      </c>
      <c r="GP19" s="23"/>
      <c r="GQ19" s="30">
        <f t="shared" si="29"/>
        <v>11</v>
      </c>
      <c r="GR19" s="28">
        <f t="shared" si="30"/>
        <v>1166</v>
      </c>
      <c r="GT19" s="644" t="s">
        <v>11</v>
      </c>
      <c r="GU19" s="644"/>
      <c r="GV19" s="644"/>
      <c r="GW19" s="644"/>
      <c r="GX19" s="644"/>
      <c r="GY19" s="644"/>
      <c r="GZ19" s="13">
        <v>106</v>
      </c>
      <c r="HA19" s="19"/>
      <c r="HB19" s="19"/>
      <c r="HC19" s="19">
        <v>1</v>
      </c>
      <c r="HD19" s="19"/>
      <c r="HE19" s="19"/>
      <c r="HF19" s="19">
        <v>2</v>
      </c>
      <c r="HG19" s="19">
        <v>2</v>
      </c>
      <c r="HH19" s="19"/>
      <c r="HI19" s="19">
        <v>3</v>
      </c>
      <c r="HJ19" s="23">
        <v>1</v>
      </c>
      <c r="HK19" s="23">
        <v>1</v>
      </c>
      <c r="HL19" s="30">
        <f t="shared" si="31"/>
        <v>10</v>
      </c>
      <c r="HM19" s="28">
        <f t="shared" si="32"/>
        <v>1060</v>
      </c>
      <c r="HO19" s="644" t="s">
        <v>11</v>
      </c>
      <c r="HP19" s="644"/>
      <c r="HQ19" s="644"/>
      <c r="HR19" s="644"/>
      <c r="HS19" s="644"/>
      <c r="HT19" s="644"/>
      <c r="HU19" s="13">
        <v>122</v>
      </c>
      <c r="HV19" s="19"/>
      <c r="HW19" s="30">
        <f t="shared" si="33"/>
        <v>0</v>
      </c>
      <c r="HX19" s="28">
        <f t="shared" si="0"/>
        <v>0</v>
      </c>
      <c r="HZ19" s="644" t="s">
        <v>11</v>
      </c>
      <c r="IA19" s="644"/>
      <c r="IB19" s="644"/>
      <c r="IC19" s="644"/>
      <c r="ID19" s="644"/>
      <c r="IE19" s="644"/>
      <c r="IF19" s="13">
        <v>122</v>
      </c>
      <c r="IG19" s="19"/>
      <c r="IH19" s="23"/>
      <c r="II19" s="23"/>
      <c r="IJ19" s="23"/>
      <c r="IK19" s="23"/>
      <c r="IL19" s="23">
        <v>2</v>
      </c>
      <c r="IM19" s="30">
        <f t="shared" si="41"/>
        <v>2</v>
      </c>
      <c r="IN19" s="28">
        <f t="shared" si="1"/>
        <v>244</v>
      </c>
      <c r="IP19" s="644" t="s">
        <v>11</v>
      </c>
      <c r="IQ19" s="644"/>
      <c r="IR19" s="644"/>
      <c r="IS19" s="644"/>
      <c r="IT19" s="644"/>
      <c r="IU19" s="644"/>
      <c r="IV19" s="13">
        <v>122</v>
      </c>
      <c r="IW19" s="19"/>
      <c r="IX19" s="23"/>
      <c r="IY19" s="30">
        <f t="shared" si="2"/>
        <v>0</v>
      </c>
      <c r="IZ19" s="28">
        <f t="shared" si="3"/>
        <v>0</v>
      </c>
      <c r="JB19" s="644" t="s">
        <v>11</v>
      </c>
      <c r="JC19" s="644"/>
      <c r="JD19" s="644"/>
      <c r="JE19" s="644"/>
      <c r="JF19" s="644"/>
      <c r="JG19" s="644"/>
      <c r="JH19" s="13">
        <v>113</v>
      </c>
      <c r="JI19" s="19">
        <v>2</v>
      </c>
      <c r="JJ19" s="23"/>
      <c r="JK19" s="23">
        <v>2</v>
      </c>
      <c r="JL19" s="23">
        <v>1</v>
      </c>
      <c r="JM19" s="23">
        <v>2</v>
      </c>
      <c r="JN19" s="23"/>
      <c r="JO19" s="23">
        <v>2</v>
      </c>
      <c r="JP19" s="23"/>
      <c r="JQ19" s="23"/>
      <c r="JR19" s="23"/>
      <c r="JS19" s="23"/>
      <c r="JT19" s="23">
        <v>1</v>
      </c>
      <c r="JU19" s="23">
        <v>1</v>
      </c>
      <c r="JV19" s="23"/>
      <c r="JW19" s="23">
        <v>1</v>
      </c>
      <c r="JX19" s="23"/>
      <c r="JY19" s="23">
        <v>3</v>
      </c>
      <c r="JZ19" s="23"/>
      <c r="KA19" s="23">
        <v>2</v>
      </c>
      <c r="KB19" s="23">
        <v>1</v>
      </c>
      <c r="KC19" s="23">
        <v>2</v>
      </c>
      <c r="KD19" s="23"/>
      <c r="KE19" s="30">
        <f t="shared" si="34"/>
        <v>20</v>
      </c>
      <c r="KF19" s="28">
        <f t="shared" si="42"/>
        <v>2260</v>
      </c>
      <c r="KH19" s="644" t="s">
        <v>11</v>
      </c>
      <c r="KI19" s="644"/>
      <c r="KJ19" s="644"/>
      <c r="KK19" s="644"/>
      <c r="KL19" s="644"/>
      <c r="KM19" s="644"/>
      <c r="KN19" s="13">
        <v>106</v>
      </c>
      <c r="KO19" s="19">
        <v>4</v>
      </c>
      <c r="KP19" s="23"/>
      <c r="KQ19" s="23">
        <v>1</v>
      </c>
      <c r="KR19" s="23">
        <v>1</v>
      </c>
      <c r="KS19" s="30">
        <f t="shared" si="4"/>
        <v>6</v>
      </c>
      <c r="KT19" s="28">
        <f t="shared" si="5"/>
        <v>636</v>
      </c>
      <c r="KV19" s="644" t="s">
        <v>11</v>
      </c>
      <c r="KW19" s="644"/>
      <c r="KX19" s="644"/>
      <c r="KY19" s="644"/>
      <c r="KZ19" s="644"/>
      <c r="LA19" s="644"/>
      <c r="LB19" s="13">
        <v>106</v>
      </c>
      <c r="LC19" s="19">
        <v>2</v>
      </c>
      <c r="LD19" s="23"/>
      <c r="LE19" s="23"/>
      <c r="LF19" s="30">
        <f t="shared" si="6"/>
        <v>2</v>
      </c>
      <c r="LG19" s="28">
        <f t="shared" si="7"/>
        <v>212</v>
      </c>
      <c r="LI19" s="644" t="s">
        <v>11</v>
      </c>
      <c r="LJ19" s="644"/>
      <c r="LK19" s="644"/>
      <c r="LL19" s="644"/>
      <c r="LM19" s="644"/>
      <c r="LN19" s="644"/>
      <c r="LO19" s="13">
        <v>106</v>
      </c>
      <c r="LP19" s="19">
        <v>2</v>
      </c>
      <c r="LQ19" s="23"/>
      <c r="LR19" s="23"/>
      <c r="LS19" s="23">
        <v>1</v>
      </c>
      <c r="LT19" s="23">
        <v>1</v>
      </c>
      <c r="LU19" s="23">
        <v>2</v>
      </c>
      <c r="LV19" s="23">
        <v>3</v>
      </c>
      <c r="LW19" s="23">
        <v>1</v>
      </c>
      <c r="LX19" s="23"/>
      <c r="LY19" s="23">
        <v>8</v>
      </c>
      <c r="LZ19" s="23">
        <v>5</v>
      </c>
      <c r="MA19" s="23">
        <v>1</v>
      </c>
      <c r="MB19" s="23">
        <v>4</v>
      </c>
      <c r="MC19" s="23"/>
      <c r="MD19" s="23">
        <v>3</v>
      </c>
      <c r="ME19" s="30">
        <f t="shared" si="35"/>
        <v>31</v>
      </c>
      <c r="MF19" s="28">
        <f t="shared" si="8"/>
        <v>3286</v>
      </c>
      <c r="MH19" s="644" t="s">
        <v>11</v>
      </c>
      <c r="MI19" s="644"/>
      <c r="MJ19" s="644"/>
      <c r="MK19" s="644"/>
      <c r="ML19" s="644"/>
      <c r="MM19" s="644"/>
      <c r="MN19" s="13">
        <v>106</v>
      </c>
      <c r="MO19" s="19">
        <v>4</v>
      </c>
      <c r="MP19" s="23">
        <v>1</v>
      </c>
      <c r="MQ19" s="23">
        <v>1</v>
      </c>
      <c r="MR19" s="23">
        <v>1</v>
      </c>
      <c r="MS19" s="23">
        <v>2</v>
      </c>
      <c r="MT19" s="23">
        <v>2</v>
      </c>
      <c r="MU19" s="23"/>
      <c r="MV19" s="23"/>
      <c r="MW19" s="23">
        <v>1</v>
      </c>
      <c r="MX19" s="23">
        <v>1</v>
      </c>
      <c r="MY19" s="23">
        <v>5</v>
      </c>
      <c r="MZ19" s="23"/>
      <c r="NA19" s="23">
        <v>7</v>
      </c>
      <c r="NB19" s="23"/>
      <c r="NC19" s="23">
        <v>4</v>
      </c>
      <c r="ND19" s="30">
        <f t="shared" si="36"/>
        <v>29</v>
      </c>
      <c r="NE19" s="28">
        <f t="shared" si="37"/>
        <v>3074</v>
      </c>
      <c r="NG19" s="644" t="s">
        <v>11</v>
      </c>
      <c r="NH19" s="644"/>
      <c r="NI19" s="644"/>
      <c r="NJ19" s="644"/>
      <c r="NK19" s="644"/>
      <c r="NL19" s="644"/>
      <c r="NM19" s="13">
        <v>106</v>
      </c>
      <c r="NN19" s="23">
        <v>10</v>
      </c>
      <c r="NO19" s="23">
        <v>7</v>
      </c>
      <c r="NP19" s="23">
        <v>4</v>
      </c>
      <c r="NQ19" s="23">
        <v>5</v>
      </c>
      <c r="NR19" s="23">
        <v>3</v>
      </c>
      <c r="NS19" s="23"/>
      <c r="NT19" s="23"/>
      <c r="NU19" s="23"/>
      <c r="NV19" s="23"/>
      <c r="NW19" s="23"/>
      <c r="NX19" s="23"/>
      <c r="NY19" s="23"/>
      <c r="NZ19" s="23"/>
      <c r="OA19" s="23"/>
      <c r="OB19" s="23"/>
      <c r="OC19" s="30">
        <f t="shared" si="38"/>
        <v>29</v>
      </c>
      <c r="OD19" s="28">
        <f t="shared" si="39"/>
        <v>3074</v>
      </c>
    </row>
    <row r="20" spans="1:394" ht="14.45" customHeight="1" x14ac:dyDescent="0.25">
      <c r="A20" s="47"/>
      <c r="B20" s="14"/>
      <c r="C20" s="644" t="s">
        <v>57</v>
      </c>
      <c r="D20" s="644"/>
      <c r="E20" s="644"/>
      <c r="F20" s="644"/>
      <c r="G20" s="644"/>
      <c r="H20" s="15"/>
      <c r="I20" s="13"/>
      <c r="J20" s="13"/>
      <c r="K20" s="19"/>
      <c r="L20" s="19"/>
      <c r="M20" s="19">
        <f t="shared" si="40"/>
        <v>0</v>
      </c>
      <c r="N20" s="19">
        <f t="shared" si="9"/>
        <v>0</v>
      </c>
      <c r="O20" s="12"/>
      <c r="P20" s="642" t="s">
        <v>57</v>
      </c>
      <c r="Q20" s="643"/>
      <c r="R20" s="643"/>
      <c r="S20" s="643"/>
      <c r="T20" s="643"/>
      <c r="U20" s="705"/>
      <c r="V20" s="13"/>
      <c r="W20" s="19"/>
      <c r="X20" s="19"/>
      <c r="Y20" s="23">
        <f t="shared" si="10"/>
        <v>0</v>
      </c>
      <c r="Z20" s="19">
        <f t="shared" si="11"/>
        <v>0</v>
      </c>
      <c r="AA20" s="34"/>
      <c r="AB20" s="34"/>
      <c r="AC20" s="34"/>
      <c r="AD20" s="34"/>
      <c r="AE20" s="34"/>
      <c r="AF20" s="34"/>
      <c r="AG20" s="6"/>
      <c r="AH20" s="644" t="s">
        <v>57</v>
      </c>
      <c r="AI20" s="644"/>
      <c r="AJ20" s="644"/>
      <c r="AK20" s="644"/>
      <c r="AL20" s="644"/>
      <c r="AM20" s="15"/>
      <c r="AN20" s="13"/>
      <c r="AO20" s="19"/>
      <c r="AP20" s="23">
        <f t="shared" si="12"/>
        <v>0</v>
      </c>
      <c r="AQ20" s="19">
        <f t="shared" si="13"/>
        <v>0</v>
      </c>
      <c r="AS20" s="706" t="s">
        <v>57</v>
      </c>
      <c r="AT20" s="707"/>
      <c r="AU20" s="707"/>
      <c r="AV20" s="707"/>
      <c r="AW20" s="707"/>
      <c r="AX20" s="708"/>
      <c r="AY20" s="28"/>
      <c r="AZ20" s="28"/>
      <c r="BA20" s="28"/>
      <c r="BB20" s="28"/>
      <c r="BC20" s="28"/>
      <c r="BD20" s="30">
        <f t="shared" si="14"/>
        <v>0</v>
      </c>
      <c r="BE20" s="28">
        <f t="shared" si="15"/>
        <v>0</v>
      </c>
      <c r="BF20" s="14"/>
      <c r="BG20" s="706" t="s">
        <v>57</v>
      </c>
      <c r="BH20" s="707"/>
      <c r="BI20" s="707"/>
      <c r="BJ20" s="707"/>
      <c r="BK20" s="707"/>
      <c r="BL20" s="708"/>
      <c r="BM20" s="28"/>
      <c r="BN20" s="28"/>
      <c r="BO20" s="28"/>
      <c r="BP20" s="30">
        <f t="shared" si="16"/>
        <v>0</v>
      </c>
      <c r="BQ20" s="28">
        <f t="shared" si="17"/>
        <v>0</v>
      </c>
      <c r="BR20" s="14"/>
      <c r="BS20" s="706" t="s">
        <v>57</v>
      </c>
      <c r="BT20" s="707"/>
      <c r="BU20" s="707"/>
      <c r="BV20" s="707"/>
      <c r="BW20" s="707"/>
      <c r="BX20" s="708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30">
        <f t="shared" si="18"/>
        <v>0</v>
      </c>
      <c r="CJ20" s="28">
        <f t="shared" si="19"/>
        <v>0</v>
      </c>
      <c r="CK20" s="14"/>
      <c r="CL20" s="706" t="s">
        <v>57</v>
      </c>
      <c r="CM20" s="707"/>
      <c r="CN20" s="707"/>
      <c r="CO20" s="707"/>
      <c r="CP20" s="707"/>
      <c r="CQ20" s="708"/>
      <c r="CR20" s="28">
        <v>50</v>
      </c>
      <c r="CS20" s="28"/>
      <c r="CT20" s="28"/>
      <c r="CU20" s="28"/>
      <c r="CV20" s="28">
        <v>4</v>
      </c>
      <c r="CW20" s="28">
        <v>1</v>
      </c>
      <c r="CX20" s="28">
        <v>1</v>
      </c>
      <c r="CY20" s="28"/>
      <c r="CZ20" s="28"/>
      <c r="DA20" s="30">
        <f t="shared" si="20"/>
        <v>6</v>
      </c>
      <c r="DB20" s="28">
        <f t="shared" si="21"/>
        <v>300</v>
      </c>
      <c r="DC20" s="14"/>
      <c r="DD20" s="706" t="s">
        <v>57</v>
      </c>
      <c r="DE20" s="707"/>
      <c r="DF20" s="707"/>
      <c r="DG20" s="707"/>
      <c r="DH20" s="707"/>
      <c r="DI20" s="708"/>
      <c r="DJ20" s="28">
        <v>50</v>
      </c>
      <c r="DK20" s="28"/>
      <c r="DL20" s="28"/>
      <c r="DM20" s="28"/>
      <c r="DN20" s="28"/>
      <c r="DO20" s="28"/>
      <c r="DP20" s="28"/>
      <c r="DQ20" s="28"/>
      <c r="DR20" s="28"/>
      <c r="DS20" s="28"/>
      <c r="DT20" s="28">
        <v>1</v>
      </c>
      <c r="DU20" s="30">
        <f t="shared" si="22"/>
        <v>1</v>
      </c>
      <c r="DV20" s="28">
        <f t="shared" si="23"/>
        <v>50</v>
      </c>
      <c r="DX20" s="706" t="s">
        <v>57</v>
      </c>
      <c r="DY20" s="707"/>
      <c r="DZ20" s="707"/>
      <c r="EA20" s="707"/>
      <c r="EB20" s="707"/>
      <c r="EC20" s="708"/>
      <c r="ED20" s="28">
        <v>50</v>
      </c>
      <c r="EE20" s="28">
        <v>1</v>
      </c>
      <c r="EF20" s="28"/>
      <c r="EG20" s="28"/>
      <c r="EH20" s="28">
        <v>1</v>
      </c>
      <c r="EI20" s="28"/>
      <c r="EJ20" s="28"/>
      <c r="EK20" s="28"/>
      <c r="EL20" s="28">
        <v>1</v>
      </c>
      <c r="EM20" s="30"/>
      <c r="EN20" s="30"/>
      <c r="EO20" s="30">
        <f t="shared" si="24"/>
        <v>3</v>
      </c>
      <c r="EP20" s="28">
        <f t="shared" si="25"/>
        <v>150</v>
      </c>
      <c r="EQ20" t="str">
        <f t="shared" si="26"/>
        <v>IGUAL</v>
      </c>
      <c r="ER20" s="706" t="s">
        <v>57</v>
      </c>
      <c r="ES20" s="707"/>
      <c r="ET20" s="707"/>
      <c r="EU20" s="707"/>
      <c r="EV20" s="707"/>
      <c r="EW20" s="708"/>
      <c r="EX20" s="28">
        <v>50</v>
      </c>
      <c r="EY20" s="28"/>
      <c r="EZ20" s="28"/>
      <c r="FA20" s="28"/>
      <c r="FB20" s="28">
        <v>1</v>
      </c>
      <c r="FC20" s="28"/>
      <c r="FD20" s="28"/>
      <c r="FE20" s="28"/>
      <c r="FF20" s="28"/>
      <c r="FG20" s="28">
        <v>5</v>
      </c>
      <c r="FH20" s="28"/>
      <c r="FI20" s="30">
        <v>5</v>
      </c>
      <c r="FJ20" s="30"/>
      <c r="FK20" s="30">
        <v>1</v>
      </c>
      <c r="FL20" s="30"/>
      <c r="FM20" s="30"/>
      <c r="FN20" s="30"/>
      <c r="FO20" s="30"/>
      <c r="FP20" s="30"/>
      <c r="FQ20" s="30"/>
      <c r="FR20" s="30"/>
      <c r="FS20" s="30"/>
      <c r="FT20" s="30">
        <f t="shared" si="27"/>
        <v>12</v>
      </c>
      <c r="FU20" s="28">
        <f t="shared" si="28"/>
        <v>600</v>
      </c>
      <c r="FW20" s="706" t="s">
        <v>57</v>
      </c>
      <c r="FX20" s="707"/>
      <c r="FY20" s="707"/>
      <c r="FZ20" s="707"/>
      <c r="GA20" s="707"/>
      <c r="GB20" s="708"/>
      <c r="GC20" s="28">
        <v>50</v>
      </c>
      <c r="GD20" s="30"/>
      <c r="GE20" s="28"/>
      <c r="GF20" s="28"/>
      <c r="GG20" s="28"/>
      <c r="GH20" s="28"/>
      <c r="GI20" s="28"/>
      <c r="GJ20" s="28"/>
      <c r="GK20" s="28"/>
      <c r="GL20" s="28"/>
      <c r="GM20" s="28"/>
      <c r="GN20" s="30"/>
      <c r="GO20" s="30"/>
      <c r="GP20" s="30"/>
      <c r="GQ20" s="30">
        <f t="shared" si="29"/>
        <v>0</v>
      </c>
      <c r="GR20" s="28">
        <f t="shared" si="30"/>
        <v>0</v>
      </c>
      <c r="GT20" s="706" t="s">
        <v>57</v>
      </c>
      <c r="GU20" s="707"/>
      <c r="GV20" s="707"/>
      <c r="GW20" s="707"/>
      <c r="GX20" s="707"/>
      <c r="GY20" s="708"/>
      <c r="GZ20" s="28">
        <v>50</v>
      </c>
      <c r="HA20" s="28"/>
      <c r="HB20" s="28">
        <v>2</v>
      </c>
      <c r="HC20" s="28"/>
      <c r="HD20" s="28"/>
      <c r="HE20" s="28"/>
      <c r="HF20" s="28"/>
      <c r="HG20" s="28"/>
      <c r="HH20" s="28"/>
      <c r="HI20" s="28"/>
      <c r="HJ20" s="30"/>
      <c r="HK20" s="30"/>
      <c r="HL20" s="30">
        <f t="shared" si="31"/>
        <v>2</v>
      </c>
      <c r="HM20" s="28">
        <f t="shared" si="32"/>
        <v>100</v>
      </c>
      <c r="HO20" s="706" t="s">
        <v>57</v>
      </c>
      <c r="HP20" s="707"/>
      <c r="HQ20" s="707"/>
      <c r="HR20" s="707"/>
      <c r="HS20" s="707"/>
      <c r="HT20" s="708"/>
      <c r="HU20" s="28">
        <v>58</v>
      </c>
      <c r="HV20" s="28"/>
      <c r="HW20" s="30">
        <f t="shared" si="33"/>
        <v>0</v>
      </c>
      <c r="HX20" s="28">
        <f t="shared" si="0"/>
        <v>0</v>
      </c>
      <c r="HZ20" s="706" t="s">
        <v>57</v>
      </c>
      <c r="IA20" s="707"/>
      <c r="IB20" s="707"/>
      <c r="IC20" s="707"/>
      <c r="ID20" s="707"/>
      <c r="IE20" s="708"/>
      <c r="IF20" s="28">
        <v>56</v>
      </c>
      <c r="IG20" s="28">
        <v>1</v>
      </c>
      <c r="IH20" s="30">
        <v>1</v>
      </c>
      <c r="II20" s="30"/>
      <c r="IJ20" s="30">
        <v>2</v>
      </c>
      <c r="IK20" s="30"/>
      <c r="IL20" s="30"/>
      <c r="IM20" s="30">
        <f t="shared" si="41"/>
        <v>4</v>
      </c>
      <c r="IN20" s="28">
        <f t="shared" si="1"/>
        <v>224</v>
      </c>
      <c r="IP20" s="706" t="s">
        <v>57</v>
      </c>
      <c r="IQ20" s="707"/>
      <c r="IR20" s="707"/>
      <c r="IS20" s="707"/>
      <c r="IT20" s="707"/>
      <c r="IU20" s="708"/>
      <c r="IV20" s="28">
        <v>56</v>
      </c>
      <c r="IW20" s="28"/>
      <c r="IX20" s="30"/>
      <c r="IY20" s="30">
        <f t="shared" si="2"/>
        <v>0</v>
      </c>
      <c r="IZ20" s="28">
        <f t="shared" si="3"/>
        <v>0</v>
      </c>
      <c r="JB20" s="706" t="s">
        <v>57</v>
      </c>
      <c r="JC20" s="707"/>
      <c r="JD20" s="707"/>
      <c r="JE20" s="707"/>
      <c r="JF20" s="707"/>
      <c r="JG20" s="708"/>
      <c r="JH20" s="28">
        <v>53</v>
      </c>
      <c r="JI20" s="28">
        <v>1</v>
      </c>
      <c r="JJ20" s="30"/>
      <c r="JK20" s="30">
        <v>1</v>
      </c>
      <c r="JL20" s="30"/>
      <c r="JM20" s="30"/>
      <c r="JN20" s="30">
        <v>3</v>
      </c>
      <c r="JO20" s="30">
        <v>4</v>
      </c>
      <c r="JP20" s="30"/>
      <c r="JQ20" s="30"/>
      <c r="JR20" s="30"/>
      <c r="JS20" s="30"/>
      <c r="JT20" s="30">
        <v>5</v>
      </c>
      <c r="JU20" s="30">
        <v>1</v>
      </c>
      <c r="JV20" s="30"/>
      <c r="JW20" s="30"/>
      <c r="JX20" s="30"/>
      <c r="JY20" s="30"/>
      <c r="JZ20" s="30"/>
      <c r="KA20" s="30">
        <v>1</v>
      </c>
      <c r="KB20" s="30"/>
      <c r="KC20" s="30">
        <v>3</v>
      </c>
      <c r="KD20" s="30"/>
      <c r="KE20" s="30">
        <f t="shared" si="34"/>
        <v>19</v>
      </c>
      <c r="KF20" s="28">
        <f t="shared" si="42"/>
        <v>1007</v>
      </c>
      <c r="KH20" s="706" t="s">
        <v>57</v>
      </c>
      <c r="KI20" s="707"/>
      <c r="KJ20" s="707"/>
      <c r="KK20" s="707"/>
      <c r="KL20" s="707"/>
      <c r="KM20" s="708"/>
      <c r="KN20" s="28">
        <v>53</v>
      </c>
      <c r="KO20" s="28"/>
      <c r="KP20" s="30"/>
      <c r="KQ20" s="30">
        <v>1</v>
      </c>
      <c r="KR20" s="30"/>
      <c r="KS20" s="30">
        <f t="shared" si="4"/>
        <v>1</v>
      </c>
      <c r="KT20" s="28">
        <f t="shared" si="5"/>
        <v>53</v>
      </c>
      <c r="KV20" s="706" t="s">
        <v>57</v>
      </c>
      <c r="KW20" s="707"/>
      <c r="KX20" s="707"/>
      <c r="KY20" s="707"/>
      <c r="KZ20" s="707"/>
      <c r="LA20" s="708"/>
      <c r="LB20" s="28">
        <v>50</v>
      </c>
      <c r="LC20" s="28">
        <v>4</v>
      </c>
      <c r="LD20" s="30">
        <v>8</v>
      </c>
      <c r="LE20" s="30">
        <v>1</v>
      </c>
      <c r="LF20" s="30">
        <f t="shared" si="6"/>
        <v>13</v>
      </c>
      <c r="LG20" s="28">
        <f t="shared" si="7"/>
        <v>650</v>
      </c>
      <c r="LI20" s="706" t="s">
        <v>57</v>
      </c>
      <c r="LJ20" s="707"/>
      <c r="LK20" s="707"/>
      <c r="LL20" s="707"/>
      <c r="LM20" s="707"/>
      <c r="LN20" s="708"/>
      <c r="LO20" s="28">
        <v>50</v>
      </c>
      <c r="LP20" s="28"/>
      <c r="LQ20" s="30"/>
      <c r="LR20" s="30">
        <v>8</v>
      </c>
      <c r="LS20" s="30"/>
      <c r="LT20" s="30"/>
      <c r="LU20" s="30"/>
      <c r="LV20" s="30">
        <v>7</v>
      </c>
      <c r="LW20" s="30">
        <v>10</v>
      </c>
      <c r="LX20" s="30"/>
      <c r="LY20" s="30">
        <v>5</v>
      </c>
      <c r="LZ20" s="30">
        <v>18</v>
      </c>
      <c r="MA20" s="30"/>
      <c r="MB20" s="30"/>
      <c r="MC20" s="30"/>
      <c r="MD20" s="30">
        <v>1</v>
      </c>
      <c r="ME20" s="30">
        <f t="shared" si="35"/>
        <v>49</v>
      </c>
      <c r="MF20" s="28">
        <f t="shared" si="8"/>
        <v>2450</v>
      </c>
      <c r="MH20" s="706" t="s">
        <v>57</v>
      </c>
      <c r="MI20" s="707"/>
      <c r="MJ20" s="707"/>
      <c r="MK20" s="707"/>
      <c r="ML20" s="707"/>
      <c r="MM20" s="708"/>
      <c r="MN20" s="28">
        <v>50</v>
      </c>
      <c r="MO20" s="28"/>
      <c r="MP20" s="30"/>
      <c r="MQ20" s="30"/>
      <c r="MR20" s="30"/>
      <c r="MS20" s="30"/>
      <c r="MT20" s="30">
        <v>3</v>
      </c>
      <c r="MU20" s="30"/>
      <c r="MV20" s="30">
        <v>5</v>
      </c>
      <c r="MW20" s="30">
        <v>8</v>
      </c>
      <c r="MX20" s="30">
        <v>2</v>
      </c>
      <c r="MY20" s="30"/>
      <c r="MZ20" s="30">
        <v>6</v>
      </c>
      <c r="NA20" s="30">
        <v>5</v>
      </c>
      <c r="NB20" s="30"/>
      <c r="NC20" s="30">
        <v>8</v>
      </c>
      <c r="ND20" s="30">
        <f t="shared" si="36"/>
        <v>37</v>
      </c>
      <c r="NE20" s="28">
        <f t="shared" si="37"/>
        <v>1850</v>
      </c>
      <c r="NG20" s="706" t="s">
        <v>57</v>
      </c>
      <c r="NH20" s="707"/>
      <c r="NI20" s="707"/>
      <c r="NJ20" s="707"/>
      <c r="NK20" s="707"/>
      <c r="NL20" s="708"/>
      <c r="NM20" s="28">
        <v>50</v>
      </c>
      <c r="NN20" s="30">
        <v>16</v>
      </c>
      <c r="NO20" s="30">
        <v>1</v>
      </c>
      <c r="NP20" s="30"/>
      <c r="NQ20" s="30"/>
      <c r="NR20" s="30"/>
      <c r="NS20" s="30"/>
      <c r="NT20" s="30"/>
      <c r="NU20" s="30"/>
      <c r="NV20" s="30"/>
      <c r="NW20" s="30"/>
      <c r="NX20" s="30"/>
      <c r="NY20" s="30"/>
      <c r="NZ20" s="30"/>
      <c r="OA20" s="30"/>
      <c r="OB20" s="30"/>
      <c r="OC20" s="30">
        <f t="shared" si="38"/>
        <v>17</v>
      </c>
      <c r="OD20" s="28">
        <f t="shared" si="39"/>
        <v>850</v>
      </c>
    </row>
    <row r="21" spans="1:394" ht="14.45" customHeight="1" x14ac:dyDescent="0.25">
      <c r="A21" s="47"/>
      <c r="B21" s="14"/>
      <c r="C21" s="644" t="s">
        <v>51</v>
      </c>
      <c r="D21" s="644"/>
      <c r="E21" s="644"/>
      <c r="F21" s="644"/>
      <c r="G21" s="644"/>
      <c r="H21" s="644"/>
      <c r="I21" s="13"/>
      <c r="J21" s="13"/>
      <c r="K21" s="19"/>
      <c r="L21" s="19"/>
      <c r="M21" s="19">
        <f t="shared" si="40"/>
        <v>0</v>
      </c>
      <c r="N21" s="19">
        <f t="shared" si="9"/>
        <v>0</v>
      </c>
      <c r="O21" s="12"/>
      <c r="P21" s="644" t="s">
        <v>51</v>
      </c>
      <c r="Q21" s="644"/>
      <c r="R21" s="644"/>
      <c r="S21" s="644"/>
      <c r="T21" s="644"/>
      <c r="U21" s="644"/>
      <c r="V21" s="13"/>
      <c r="W21" s="19"/>
      <c r="X21" s="19"/>
      <c r="Y21" s="23">
        <f t="shared" si="10"/>
        <v>0</v>
      </c>
      <c r="Z21" s="19">
        <f t="shared" si="11"/>
        <v>0</v>
      </c>
      <c r="AA21" s="34"/>
      <c r="AB21" s="34"/>
      <c r="AC21" s="34"/>
      <c r="AD21" s="34"/>
      <c r="AE21" s="34"/>
      <c r="AF21" s="34"/>
      <c r="AG21" s="6"/>
      <c r="AH21" s="644" t="s">
        <v>51</v>
      </c>
      <c r="AI21" s="644"/>
      <c r="AJ21" s="644"/>
      <c r="AK21" s="644"/>
      <c r="AL21" s="644"/>
      <c r="AM21" s="644"/>
      <c r="AN21" s="13"/>
      <c r="AO21" s="19"/>
      <c r="AP21" s="23">
        <f t="shared" si="12"/>
        <v>0</v>
      </c>
      <c r="AQ21" s="19">
        <f t="shared" si="13"/>
        <v>0</v>
      </c>
      <c r="AS21" s="644" t="s">
        <v>51</v>
      </c>
      <c r="AT21" s="644"/>
      <c r="AU21" s="644"/>
      <c r="AV21" s="644"/>
      <c r="AW21" s="644"/>
      <c r="AX21" s="644"/>
      <c r="AY21" s="13"/>
      <c r="AZ21" s="19"/>
      <c r="BA21" s="19"/>
      <c r="BB21" s="19"/>
      <c r="BC21" s="19"/>
      <c r="BD21" s="30">
        <f t="shared" si="14"/>
        <v>0</v>
      </c>
      <c r="BE21" s="28">
        <f t="shared" si="15"/>
        <v>0</v>
      </c>
      <c r="BF21" s="14"/>
      <c r="BG21" s="644" t="s">
        <v>51</v>
      </c>
      <c r="BH21" s="644"/>
      <c r="BI21" s="644"/>
      <c r="BJ21" s="644"/>
      <c r="BK21" s="644"/>
      <c r="BL21" s="644"/>
      <c r="BM21" s="13"/>
      <c r="BN21" s="19"/>
      <c r="BO21" s="19"/>
      <c r="BP21" s="30">
        <f t="shared" si="16"/>
        <v>0</v>
      </c>
      <c r="BQ21" s="28">
        <f t="shared" si="17"/>
        <v>0</v>
      </c>
      <c r="BR21" s="14"/>
      <c r="BS21" s="644" t="s">
        <v>51</v>
      </c>
      <c r="BT21" s="644"/>
      <c r="BU21" s="644"/>
      <c r="BV21" s="644"/>
      <c r="BW21" s="644"/>
      <c r="BX21" s="644"/>
      <c r="BY21" s="13"/>
      <c r="BZ21" s="19"/>
      <c r="CA21" s="19"/>
      <c r="CB21" s="19"/>
      <c r="CC21" s="19"/>
      <c r="CD21" s="19"/>
      <c r="CE21" s="19"/>
      <c r="CF21" s="19"/>
      <c r="CG21" s="19"/>
      <c r="CH21" s="19"/>
      <c r="CI21" s="30">
        <f t="shared" si="18"/>
        <v>0</v>
      </c>
      <c r="CJ21" s="28">
        <f t="shared" si="19"/>
        <v>0</v>
      </c>
      <c r="CK21" s="14"/>
      <c r="CL21" s="644" t="s">
        <v>51</v>
      </c>
      <c r="CM21" s="644"/>
      <c r="CN21" s="644"/>
      <c r="CO21" s="644"/>
      <c r="CP21" s="644"/>
      <c r="CQ21" s="644"/>
      <c r="CR21" s="13"/>
      <c r="CS21" s="19"/>
      <c r="CT21" s="19"/>
      <c r="CU21" s="19"/>
      <c r="CV21" s="19"/>
      <c r="CW21" s="19"/>
      <c r="CX21" s="19"/>
      <c r="CY21" s="19"/>
      <c r="CZ21" s="19"/>
      <c r="DA21" s="30">
        <f t="shared" si="20"/>
        <v>0</v>
      </c>
      <c r="DB21" s="28">
        <f t="shared" si="21"/>
        <v>0</v>
      </c>
      <c r="DC21" s="14"/>
      <c r="DD21" s="644" t="s">
        <v>51</v>
      </c>
      <c r="DE21" s="644"/>
      <c r="DF21" s="644"/>
      <c r="DG21" s="644"/>
      <c r="DH21" s="644"/>
      <c r="DI21" s="644"/>
      <c r="DJ21" s="13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30">
        <f t="shared" si="22"/>
        <v>0</v>
      </c>
      <c r="DV21" s="28">
        <f t="shared" si="23"/>
        <v>0</v>
      </c>
      <c r="DX21" s="644" t="s">
        <v>51</v>
      </c>
      <c r="DY21" s="644"/>
      <c r="DZ21" s="644"/>
      <c r="EA21" s="644"/>
      <c r="EB21" s="644"/>
      <c r="EC21" s="644"/>
      <c r="ED21" s="13">
        <v>48</v>
      </c>
      <c r="EE21" s="19"/>
      <c r="EF21" s="19"/>
      <c r="EG21" s="19"/>
      <c r="EH21" s="19"/>
      <c r="EI21" s="19"/>
      <c r="EJ21" s="19"/>
      <c r="EK21" s="19">
        <v>1</v>
      </c>
      <c r="EL21" s="19"/>
      <c r="EM21" s="23"/>
      <c r="EN21" s="23"/>
      <c r="EO21" s="30">
        <f t="shared" si="24"/>
        <v>1</v>
      </c>
      <c r="EP21" s="28">
        <f t="shared" si="25"/>
        <v>48</v>
      </c>
      <c r="EQ21" t="str">
        <f t="shared" si="26"/>
        <v>IGUAL</v>
      </c>
      <c r="ER21" s="644" t="s">
        <v>51</v>
      </c>
      <c r="ES21" s="644"/>
      <c r="ET21" s="644"/>
      <c r="EU21" s="644"/>
      <c r="EV21" s="644"/>
      <c r="EW21" s="644"/>
      <c r="EX21" s="13">
        <v>48</v>
      </c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23"/>
      <c r="FJ21" s="23"/>
      <c r="FK21" s="23"/>
      <c r="FL21" s="23"/>
      <c r="FM21" s="23">
        <v>1</v>
      </c>
      <c r="FN21" s="23"/>
      <c r="FO21" s="23"/>
      <c r="FP21" s="23"/>
      <c r="FQ21" s="23"/>
      <c r="FR21" s="23"/>
      <c r="FS21" s="23"/>
      <c r="FT21" s="30">
        <f t="shared" si="27"/>
        <v>1</v>
      </c>
      <c r="FU21" s="28">
        <f t="shared" si="28"/>
        <v>48</v>
      </c>
      <c r="FW21" s="644" t="s">
        <v>51</v>
      </c>
      <c r="FX21" s="644"/>
      <c r="FY21" s="644"/>
      <c r="FZ21" s="644"/>
      <c r="GA21" s="644"/>
      <c r="GB21" s="644"/>
      <c r="GC21" s="13">
        <v>48</v>
      </c>
      <c r="GD21" s="23"/>
      <c r="GE21" s="19"/>
      <c r="GF21" s="19"/>
      <c r="GG21" s="19"/>
      <c r="GH21" s="19"/>
      <c r="GI21" s="19">
        <v>1</v>
      </c>
      <c r="GJ21" s="19"/>
      <c r="GK21" s="19"/>
      <c r="GL21" s="19"/>
      <c r="GM21" s="19"/>
      <c r="GN21" s="23"/>
      <c r="GO21" s="23"/>
      <c r="GP21" s="23"/>
      <c r="GQ21" s="30">
        <f t="shared" si="29"/>
        <v>1</v>
      </c>
      <c r="GR21" s="28">
        <f t="shared" si="30"/>
        <v>48</v>
      </c>
      <c r="GT21" s="644" t="s">
        <v>51</v>
      </c>
      <c r="GU21" s="644"/>
      <c r="GV21" s="644"/>
      <c r="GW21" s="644"/>
      <c r="GX21" s="644"/>
      <c r="GY21" s="644"/>
      <c r="GZ21" s="13">
        <v>48</v>
      </c>
      <c r="HA21" s="19"/>
      <c r="HB21" s="19"/>
      <c r="HC21" s="19">
        <v>1</v>
      </c>
      <c r="HD21" s="19"/>
      <c r="HE21" s="19"/>
      <c r="HF21" s="19">
        <v>1</v>
      </c>
      <c r="HG21" s="19"/>
      <c r="HH21" s="19"/>
      <c r="HI21" s="19"/>
      <c r="HJ21" s="23"/>
      <c r="HK21" s="23"/>
      <c r="HL21" s="30">
        <f t="shared" si="31"/>
        <v>2</v>
      </c>
      <c r="HM21" s="28">
        <f t="shared" si="32"/>
        <v>96</v>
      </c>
      <c r="HO21" s="644" t="s">
        <v>51</v>
      </c>
      <c r="HP21" s="644"/>
      <c r="HQ21" s="644"/>
      <c r="HR21" s="644"/>
      <c r="HS21" s="644"/>
      <c r="HT21" s="644"/>
      <c r="HU21" s="13">
        <v>55</v>
      </c>
      <c r="HV21" s="19"/>
      <c r="HW21" s="30">
        <f t="shared" si="33"/>
        <v>0</v>
      </c>
      <c r="HX21" s="28">
        <f t="shared" si="0"/>
        <v>0</v>
      </c>
      <c r="HZ21" s="644" t="s">
        <v>51</v>
      </c>
      <c r="IA21" s="644"/>
      <c r="IB21" s="644"/>
      <c r="IC21" s="644"/>
      <c r="ID21" s="644"/>
      <c r="IE21" s="644"/>
      <c r="IF21" s="13">
        <v>53</v>
      </c>
      <c r="IG21" s="19"/>
      <c r="IH21" s="23"/>
      <c r="II21" s="23"/>
      <c r="IJ21" s="23"/>
      <c r="IK21" s="23"/>
      <c r="IL21" s="23"/>
      <c r="IM21" s="30">
        <f t="shared" si="41"/>
        <v>0</v>
      </c>
      <c r="IN21" s="28">
        <f t="shared" si="1"/>
        <v>0</v>
      </c>
      <c r="IP21" s="644" t="s">
        <v>51</v>
      </c>
      <c r="IQ21" s="644"/>
      <c r="IR21" s="644"/>
      <c r="IS21" s="644"/>
      <c r="IT21" s="644"/>
      <c r="IU21" s="644"/>
      <c r="IV21" s="13">
        <v>53</v>
      </c>
      <c r="IW21" s="19"/>
      <c r="IX21" s="23"/>
      <c r="IY21" s="30">
        <f t="shared" si="2"/>
        <v>0</v>
      </c>
      <c r="IZ21" s="28">
        <f t="shared" si="3"/>
        <v>0</v>
      </c>
      <c r="JB21" s="644" t="s">
        <v>51</v>
      </c>
      <c r="JC21" s="644"/>
      <c r="JD21" s="644"/>
      <c r="JE21" s="644"/>
      <c r="JF21" s="644"/>
      <c r="JG21" s="644"/>
      <c r="JH21" s="13">
        <v>50</v>
      </c>
      <c r="JI21" s="19"/>
      <c r="JJ21" s="23"/>
      <c r="JK21" s="23"/>
      <c r="JL21" s="23"/>
      <c r="JM21" s="23"/>
      <c r="JN21" s="23">
        <v>1</v>
      </c>
      <c r="JO21" s="23"/>
      <c r="JP21" s="23"/>
      <c r="JQ21" s="23"/>
      <c r="JR21" s="23"/>
      <c r="JS21" s="23"/>
      <c r="JT21" s="23"/>
      <c r="JU21" s="23"/>
      <c r="JV21" s="23"/>
      <c r="JW21" s="23"/>
      <c r="JX21" s="23"/>
      <c r="JY21" s="23">
        <v>4</v>
      </c>
      <c r="JZ21" s="23"/>
      <c r="KA21" s="23"/>
      <c r="KB21" s="23"/>
      <c r="KC21" s="23">
        <v>1</v>
      </c>
      <c r="KD21" s="23"/>
      <c r="KE21" s="30">
        <f t="shared" si="34"/>
        <v>6</v>
      </c>
      <c r="KF21" s="28">
        <f t="shared" si="42"/>
        <v>300</v>
      </c>
      <c r="KH21" s="644" t="s">
        <v>51</v>
      </c>
      <c r="KI21" s="644"/>
      <c r="KJ21" s="644"/>
      <c r="KK21" s="644"/>
      <c r="KL21" s="644"/>
      <c r="KM21" s="644"/>
      <c r="KN21" s="13">
        <v>50</v>
      </c>
      <c r="KO21" s="19"/>
      <c r="KP21" s="23"/>
      <c r="KQ21" s="23"/>
      <c r="KR21" s="23"/>
      <c r="KS21" s="30">
        <f t="shared" si="4"/>
        <v>0</v>
      </c>
      <c r="KT21" s="28">
        <f t="shared" si="5"/>
        <v>0</v>
      </c>
      <c r="KV21" s="644" t="s">
        <v>51</v>
      </c>
      <c r="KW21" s="644"/>
      <c r="KX21" s="644"/>
      <c r="KY21" s="644"/>
      <c r="KZ21" s="644"/>
      <c r="LA21" s="644"/>
      <c r="LB21" s="13">
        <v>46</v>
      </c>
      <c r="LC21" s="19"/>
      <c r="LD21" s="23"/>
      <c r="LE21" s="23">
        <v>1</v>
      </c>
      <c r="LF21" s="30">
        <f t="shared" si="6"/>
        <v>1</v>
      </c>
      <c r="LG21" s="28">
        <f t="shared" si="7"/>
        <v>46</v>
      </c>
      <c r="LI21" s="644" t="s">
        <v>51</v>
      </c>
      <c r="LJ21" s="644"/>
      <c r="LK21" s="644"/>
      <c r="LL21" s="644"/>
      <c r="LM21" s="644"/>
      <c r="LN21" s="644"/>
      <c r="LO21" s="13">
        <v>46</v>
      </c>
      <c r="LP21" s="19">
        <v>1</v>
      </c>
      <c r="LQ21" s="23"/>
      <c r="LR21" s="23">
        <v>1</v>
      </c>
      <c r="LS21" s="23"/>
      <c r="LT21" s="23"/>
      <c r="LU21" s="23"/>
      <c r="LV21" s="23">
        <v>1</v>
      </c>
      <c r="LW21" s="23"/>
      <c r="LX21" s="23"/>
      <c r="LY21" s="23">
        <v>1</v>
      </c>
      <c r="LZ21" s="23">
        <v>2</v>
      </c>
      <c r="MA21" s="23"/>
      <c r="MB21" s="23"/>
      <c r="MC21" s="23"/>
      <c r="MD21" s="23"/>
      <c r="ME21" s="30">
        <f t="shared" si="35"/>
        <v>6</v>
      </c>
      <c r="MF21" s="28">
        <f t="shared" si="8"/>
        <v>276</v>
      </c>
      <c r="MH21" s="644" t="s">
        <v>51</v>
      </c>
      <c r="MI21" s="644"/>
      <c r="MJ21" s="644"/>
      <c r="MK21" s="644"/>
      <c r="ML21" s="644"/>
      <c r="MM21" s="644"/>
      <c r="MN21" s="13">
        <v>46</v>
      </c>
      <c r="MO21" s="19">
        <v>3</v>
      </c>
      <c r="MP21" s="23">
        <v>1</v>
      </c>
      <c r="MQ21" s="23">
        <v>3</v>
      </c>
      <c r="MR21" s="23"/>
      <c r="MS21" s="23"/>
      <c r="MT21" s="23"/>
      <c r="MU21" s="23"/>
      <c r="MV21" s="23"/>
      <c r="MW21" s="23"/>
      <c r="MX21" s="23"/>
      <c r="MY21" s="23">
        <v>2</v>
      </c>
      <c r="MZ21" s="23"/>
      <c r="NA21" s="23"/>
      <c r="NB21" s="23"/>
      <c r="NC21" s="23"/>
      <c r="ND21" s="30">
        <f t="shared" si="36"/>
        <v>9</v>
      </c>
      <c r="NE21" s="28">
        <f t="shared" si="37"/>
        <v>414</v>
      </c>
      <c r="NG21" s="644" t="s">
        <v>51</v>
      </c>
      <c r="NH21" s="644"/>
      <c r="NI21" s="644"/>
      <c r="NJ21" s="644"/>
      <c r="NK21" s="644"/>
      <c r="NL21" s="644"/>
      <c r="NM21" s="13">
        <v>46</v>
      </c>
      <c r="NN21" s="23">
        <v>1</v>
      </c>
      <c r="NO21" s="23"/>
      <c r="NP21" s="23"/>
      <c r="NQ21" s="23"/>
      <c r="NR21" s="23"/>
      <c r="NS21" s="23"/>
      <c r="NT21" s="23">
        <v>1</v>
      </c>
      <c r="NU21" s="23"/>
      <c r="NV21" s="23"/>
      <c r="NW21" s="23"/>
      <c r="NX21" s="23"/>
      <c r="NY21" s="23"/>
      <c r="NZ21" s="23"/>
      <c r="OA21" s="23"/>
      <c r="OB21" s="23"/>
      <c r="OC21" s="30">
        <f t="shared" si="38"/>
        <v>2</v>
      </c>
      <c r="OD21" s="28">
        <f t="shared" si="39"/>
        <v>92</v>
      </c>
    </row>
    <row r="22" spans="1:394" ht="14.45" customHeight="1" x14ac:dyDescent="0.25">
      <c r="A22" s="47"/>
      <c r="B22" s="14"/>
      <c r="C22" s="644" t="s">
        <v>52</v>
      </c>
      <c r="D22" s="644"/>
      <c r="E22" s="644"/>
      <c r="F22" s="644"/>
      <c r="G22" s="644"/>
      <c r="H22" s="644"/>
      <c r="I22" s="13"/>
      <c r="J22" s="13"/>
      <c r="K22" s="19"/>
      <c r="L22" s="19"/>
      <c r="M22" s="19">
        <f t="shared" si="40"/>
        <v>0</v>
      </c>
      <c r="N22" s="19">
        <f t="shared" si="9"/>
        <v>0</v>
      </c>
      <c r="O22" s="12"/>
      <c r="P22" s="644" t="s">
        <v>52</v>
      </c>
      <c r="Q22" s="644"/>
      <c r="R22" s="644"/>
      <c r="S22" s="644"/>
      <c r="T22" s="644"/>
      <c r="U22" s="644"/>
      <c r="V22" s="13"/>
      <c r="W22" s="19"/>
      <c r="X22" s="19"/>
      <c r="Y22" s="23">
        <f t="shared" si="10"/>
        <v>0</v>
      </c>
      <c r="Z22" s="19">
        <f t="shared" si="11"/>
        <v>0</v>
      </c>
      <c r="AA22" s="34"/>
      <c r="AB22" s="34"/>
      <c r="AC22" s="34"/>
      <c r="AD22" s="34"/>
      <c r="AE22" s="34"/>
      <c r="AF22" s="34"/>
      <c r="AG22" s="6"/>
      <c r="AH22" s="644" t="s">
        <v>52</v>
      </c>
      <c r="AI22" s="644"/>
      <c r="AJ22" s="644"/>
      <c r="AK22" s="644"/>
      <c r="AL22" s="644"/>
      <c r="AM22" s="644"/>
      <c r="AN22" s="13"/>
      <c r="AO22" s="19"/>
      <c r="AP22" s="23">
        <f t="shared" si="12"/>
        <v>0</v>
      </c>
      <c r="AQ22" s="19">
        <f t="shared" si="13"/>
        <v>0</v>
      </c>
      <c r="AS22" s="677" t="s">
        <v>52</v>
      </c>
      <c r="AT22" s="677"/>
      <c r="AU22" s="677"/>
      <c r="AV22" s="677"/>
      <c r="AW22" s="677"/>
      <c r="AX22" s="677"/>
      <c r="AY22" s="28"/>
      <c r="AZ22" s="28"/>
      <c r="BA22" s="28"/>
      <c r="BB22" s="28"/>
      <c r="BC22" s="28"/>
      <c r="BD22" s="30">
        <f t="shared" si="14"/>
        <v>0</v>
      </c>
      <c r="BE22" s="28">
        <f t="shared" si="15"/>
        <v>0</v>
      </c>
      <c r="BF22" s="14"/>
      <c r="BG22" s="677" t="s">
        <v>52</v>
      </c>
      <c r="BH22" s="677"/>
      <c r="BI22" s="677"/>
      <c r="BJ22" s="677"/>
      <c r="BK22" s="677"/>
      <c r="BL22" s="677"/>
      <c r="BM22" s="28"/>
      <c r="BN22" s="28"/>
      <c r="BO22" s="28"/>
      <c r="BP22" s="30">
        <f t="shared" si="16"/>
        <v>0</v>
      </c>
      <c r="BQ22" s="28">
        <f t="shared" si="17"/>
        <v>0</v>
      </c>
      <c r="BR22" s="14"/>
      <c r="BS22" s="677" t="s">
        <v>52</v>
      </c>
      <c r="BT22" s="677"/>
      <c r="BU22" s="677"/>
      <c r="BV22" s="677"/>
      <c r="BW22" s="677"/>
      <c r="BX22" s="677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30">
        <f t="shared" si="18"/>
        <v>0</v>
      </c>
      <c r="CJ22" s="28">
        <f t="shared" si="19"/>
        <v>0</v>
      </c>
      <c r="CK22" s="14"/>
      <c r="CL22" s="677" t="s">
        <v>52</v>
      </c>
      <c r="CM22" s="677"/>
      <c r="CN22" s="677"/>
      <c r="CO22" s="677"/>
      <c r="CP22" s="677"/>
      <c r="CQ22" s="677"/>
      <c r="CR22" s="28"/>
      <c r="CS22" s="28"/>
      <c r="CT22" s="28"/>
      <c r="CU22" s="28"/>
      <c r="CV22" s="28"/>
      <c r="CW22" s="28"/>
      <c r="CX22" s="28"/>
      <c r="CY22" s="28"/>
      <c r="CZ22" s="28"/>
      <c r="DA22" s="30">
        <f t="shared" si="20"/>
        <v>0</v>
      </c>
      <c r="DB22" s="28">
        <f t="shared" si="21"/>
        <v>0</v>
      </c>
      <c r="DC22" s="14"/>
      <c r="DD22" s="677" t="s">
        <v>52</v>
      </c>
      <c r="DE22" s="677"/>
      <c r="DF22" s="677"/>
      <c r="DG22" s="677"/>
      <c r="DH22" s="677"/>
      <c r="DI22" s="677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30">
        <f t="shared" si="22"/>
        <v>0</v>
      </c>
      <c r="DV22" s="28">
        <f t="shared" si="23"/>
        <v>0</v>
      </c>
      <c r="DX22" s="677" t="s">
        <v>52</v>
      </c>
      <c r="DY22" s="677"/>
      <c r="DZ22" s="677"/>
      <c r="EA22" s="677"/>
      <c r="EB22" s="677"/>
      <c r="EC22" s="677"/>
      <c r="ED22" s="28">
        <v>63</v>
      </c>
      <c r="EE22" s="28"/>
      <c r="EF22" s="28"/>
      <c r="EG22" s="28"/>
      <c r="EH22" s="28"/>
      <c r="EI22" s="28"/>
      <c r="EJ22" s="28"/>
      <c r="EK22" s="28"/>
      <c r="EL22" s="28"/>
      <c r="EM22" s="30"/>
      <c r="EN22" s="30"/>
      <c r="EO22" s="30">
        <f t="shared" si="24"/>
        <v>0</v>
      </c>
      <c r="EP22" s="28">
        <f t="shared" si="25"/>
        <v>0</v>
      </c>
      <c r="EQ22" t="str">
        <f t="shared" si="26"/>
        <v>IGUAL</v>
      </c>
      <c r="ER22" s="677" t="s">
        <v>52</v>
      </c>
      <c r="ES22" s="677"/>
      <c r="ET22" s="677"/>
      <c r="EU22" s="677"/>
      <c r="EV22" s="677"/>
      <c r="EW22" s="677"/>
      <c r="EX22" s="28">
        <v>63</v>
      </c>
      <c r="EY22" s="28"/>
      <c r="EZ22" s="28"/>
      <c r="FA22" s="28"/>
      <c r="FB22" s="28">
        <v>1</v>
      </c>
      <c r="FC22" s="28"/>
      <c r="FD22" s="28"/>
      <c r="FE22" s="28"/>
      <c r="FF22" s="28"/>
      <c r="FG22" s="28"/>
      <c r="FH22" s="28"/>
      <c r="FI22" s="30"/>
      <c r="FJ22" s="30"/>
      <c r="FK22" s="30"/>
      <c r="FL22" s="30"/>
      <c r="FM22" s="30"/>
      <c r="FN22" s="30"/>
      <c r="FO22" s="30"/>
      <c r="FP22" s="30"/>
      <c r="FQ22" s="30"/>
      <c r="FR22" s="30"/>
      <c r="FS22" s="30"/>
      <c r="FT22" s="30">
        <f t="shared" si="27"/>
        <v>1</v>
      </c>
      <c r="FU22" s="28">
        <f t="shared" si="28"/>
        <v>63</v>
      </c>
      <c r="FW22" s="677" t="s">
        <v>52</v>
      </c>
      <c r="FX22" s="677"/>
      <c r="FY22" s="677"/>
      <c r="FZ22" s="677"/>
      <c r="GA22" s="677"/>
      <c r="GB22" s="677"/>
      <c r="GC22" s="28">
        <v>63</v>
      </c>
      <c r="GD22" s="30"/>
      <c r="GE22" s="28"/>
      <c r="GF22" s="28"/>
      <c r="GG22" s="28"/>
      <c r="GH22" s="28"/>
      <c r="GI22" s="28"/>
      <c r="GJ22" s="28"/>
      <c r="GK22" s="28"/>
      <c r="GL22" s="28"/>
      <c r="GM22" s="28"/>
      <c r="GN22" s="30"/>
      <c r="GO22" s="30"/>
      <c r="GP22" s="30"/>
      <c r="GQ22" s="30">
        <f t="shared" si="29"/>
        <v>0</v>
      </c>
      <c r="GR22" s="28">
        <f t="shared" si="30"/>
        <v>0</v>
      </c>
      <c r="GT22" s="677" t="s">
        <v>52</v>
      </c>
      <c r="GU22" s="677"/>
      <c r="GV22" s="677"/>
      <c r="GW22" s="677"/>
      <c r="GX22" s="677"/>
      <c r="GY22" s="677"/>
      <c r="GZ22" s="28">
        <v>63</v>
      </c>
      <c r="HA22" s="28"/>
      <c r="HB22" s="28"/>
      <c r="HC22" s="28"/>
      <c r="HD22" s="28"/>
      <c r="HE22" s="28"/>
      <c r="HF22" s="28"/>
      <c r="HG22" s="28"/>
      <c r="HH22" s="28"/>
      <c r="HI22" s="28"/>
      <c r="HJ22" s="30"/>
      <c r="HK22" s="30"/>
      <c r="HL22" s="30">
        <f t="shared" si="31"/>
        <v>0</v>
      </c>
      <c r="HM22" s="28">
        <f t="shared" si="32"/>
        <v>0</v>
      </c>
      <c r="HO22" s="677" t="s">
        <v>52</v>
      </c>
      <c r="HP22" s="677"/>
      <c r="HQ22" s="677"/>
      <c r="HR22" s="677"/>
      <c r="HS22" s="677"/>
      <c r="HT22" s="677"/>
      <c r="HU22" s="28">
        <v>73</v>
      </c>
      <c r="HV22" s="28"/>
      <c r="HW22" s="30">
        <f t="shared" si="33"/>
        <v>0</v>
      </c>
      <c r="HX22" s="28">
        <f t="shared" si="0"/>
        <v>0</v>
      </c>
      <c r="HZ22" s="677" t="s">
        <v>52</v>
      </c>
      <c r="IA22" s="677"/>
      <c r="IB22" s="677"/>
      <c r="IC22" s="677"/>
      <c r="ID22" s="677"/>
      <c r="IE22" s="677"/>
      <c r="IF22" s="28">
        <v>73</v>
      </c>
      <c r="IG22" s="28"/>
      <c r="IH22" s="30"/>
      <c r="II22" s="30"/>
      <c r="IJ22" s="30"/>
      <c r="IK22" s="30"/>
      <c r="IL22" s="30"/>
      <c r="IM22" s="30">
        <f t="shared" si="41"/>
        <v>0</v>
      </c>
      <c r="IN22" s="28">
        <f t="shared" si="1"/>
        <v>0</v>
      </c>
      <c r="IP22" s="677" t="s">
        <v>52</v>
      </c>
      <c r="IQ22" s="677"/>
      <c r="IR22" s="677"/>
      <c r="IS22" s="677"/>
      <c r="IT22" s="677"/>
      <c r="IU22" s="677"/>
      <c r="IV22" s="28">
        <v>73</v>
      </c>
      <c r="IW22" s="28"/>
      <c r="IX22" s="30"/>
      <c r="IY22" s="30">
        <f t="shared" si="2"/>
        <v>0</v>
      </c>
      <c r="IZ22" s="28">
        <f t="shared" si="3"/>
        <v>0</v>
      </c>
      <c r="JB22" s="677" t="s">
        <v>52</v>
      </c>
      <c r="JC22" s="677"/>
      <c r="JD22" s="677"/>
      <c r="JE22" s="677"/>
      <c r="JF22" s="677"/>
      <c r="JG22" s="677"/>
      <c r="JH22" s="28">
        <v>65</v>
      </c>
      <c r="JI22" s="28"/>
      <c r="JJ22" s="30"/>
      <c r="JK22" s="30"/>
      <c r="JL22" s="30"/>
      <c r="JM22" s="30"/>
      <c r="JN22" s="30"/>
      <c r="JO22" s="30"/>
      <c r="JP22" s="30"/>
      <c r="JQ22" s="30"/>
      <c r="JR22" s="30"/>
      <c r="JS22" s="30"/>
      <c r="JT22" s="30"/>
      <c r="JU22" s="30"/>
      <c r="JV22" s="30"/>
      <c r="JW22" s="30"/>
      <c r="JX22" s="30"/>
      <c r="JY22" s="30"/>
      <c r="JZ22" s="30"/>
      <c r="KA22" s="30"/>
      <c r="KB22" s="30"/>
      <c r="KC22" s="30"/>
      <c r="KD22" s="30"/>
      <c r="KE22" s="30">
        <f t="shared" si="34"/>
        <v>0</v>
      </c>
      <c r="KF22" s="28">
        <f t="shared" si="42"/>
        <v>0</v>
      </c>
      <c r="KH22" s="677" t="s">
        <v>52</v>
      </c>
      <c r="KI22" s="677"/>
      <c r="KJ22" s="677"/>
      <c r="KK22" s="677"/>
      <c r="KL22" s="677"/>
      <c r="KM22" s="677"/>
      <c r="KN22" s="28">
        <v>65</v>
      </c>
      <c r="KO22" s="28"/>
      <c r="KP22" s="30"/>
      <c r="KQ22" s="30"/>
      <c r="KR22" s="30"/>
      <c r="KS22" s="30">
        <f t="shared" si="4"/>
        <v>0</v>
      </c>
      <c r="KT22" s="28">
        <f t="shared" si="5"/>
        <v>0</v>
      </c>
      <c r="KV22" s="677" t="s">
        <v>52</v>
      </c>
      <c r="KW22" s="677"/>
      <c r="KX22" s="677"/>
      <c r="KY22" s="677"/>
      <c r="KZ22" s="677"/>
      <c r="LA22" s="677"/>
      <c r="LB22" s="28">
        <v>61</v>
      </c>
      <c r="LC22" s="28"/>
      <c r="LD22" s="30"/>
      <c r="LE22" s="30"/>
      <c r="LF22" s="30">
        <f t="shared" si="6"/>
        <v>0</v>
      </c>
      <c r="LG22" s="28">
        <f t="shared" si="7"/>
        <v>0</v>
      </c>
      <c r="LI22" s="677" t="s">
        <v>52</v>
      </c>
      <c r="LJ22" s="677"/>
      <c r="LK22" s="677"/>
      <c r="LL22" s="677"/>
      <c r="LM22" s="677"/>
      <c r="LN22" s="677"/>
      <c r="LO22" s="28">
        <v>61</v>
      </c>
      <c r="LP22" s="28">
        <v>1</v>
      </c>
      <c r="LQ22" s="30"/>
      <c r="LR22" s="30"/>
      <c r="LS22" s="30"/>
      <c r="LT22" s="30"/>
      <c r="LU22" s="30"/>
      <c r="LV22" s="30"/>
      <c r="LW22" s="30">
        <v>1</v>
      </c>
      <c r="LX22" s="30"/>
      <c r="LY22" s="30"/>
      <c r="LZ22" s="30">
        <v>3</v>
      </c>
      <c r="MA22" s="30"/>
      <c r="MB22" s="30">
        <v>2</v>
      </c>
      <c r="MC22" s="30"/>
      <c r="MD22" s="30"/>
      <c r="ME22" s="30">
        <f t="shared" si="35"/>
        <v>7</v>
      </c>
      <c r="MF22" s="28">
        <f t="shared" si="8"/>
        <v>427</v>
      </c>
      <c r="MH22" s="677" t="s">
        <v>52</v>
      </c>
      <c r="MI22" s="677"/>
      <c r="MJ22" s="677"/>
      <c r="MK22" s="677"/>
      <c r="ML22" s="677"/>
      <c r="MM22" s="677"/>
      <c r="MN22" s="28">
        <v>61</v>
      </c>
      <c r="MO22" s="28"/>
      <c r="MP22" s="30"/>
      <c r="MQ22" s="30"/>
      <c r="MR22" s="30"/>
      <c r="MS22" s="30"/>
      <c r="MT22" s="30">
        <v>1</v>
      </c>
      <c r="MU22" s="30"/>
      <c r="MV22" s="30"/>
      <c r="MW22" s="30"/>
      <c r="MX22" s="30"/>
      <c r="MY22" s="30"/>
      <c r="MZ22" s="30"/>
      <c r="NA22" s="30"/>
      <c r="NB22" s="30"/>
      <c r="NC22" s="30"/>
      <c r="ND22" s="30">
        <f t="shared" si="36"/>
        <v>1</v>
      </c>
      <c r="NE22" s="28">
        <f t="shared" si="37"/>
        <v>61</v>
      </c>
      <c r="NG22" s="677" t="s">
        <v>52</v>
      </c>
      <c r="NH22" s="677"/>
      <c r="NI22" s="677"/>
      <c r="NJ22" s="677"/>
      <c r="NK22" s="677"/>
      <c r="NL22" s="677"/>
      <c r="NM22" s="28">
        <v>61</v>
      </c>
      <c r="NN22" s="30"/>
      <c r="NO22" s="30"/>
      <c r="NP22" s="30"/>
      <c r="NQ22" s="30">
        <v>1</v>
      </c>
      <c r="NR22" s="30"/>
      <c r="NS22" s="30"/>
      <c r="NT22" s="30"/>
      <c r="NU22" s="30"/>
      <c r="NV22" s="30"/>
      <c r="NW22" s="30"/>
      <c r="NX22" s="30"/>
      <c r="NY22" s="30"/>
      <c r="NZ22" s="30"/>
      <c r="OA22" s="30"/>
      <c r="OB22" s="30"/>
      <c r="OC22" s="30">
        <f t="shared" si="38"/>
        <v>1</v>
      </c>
      <c r="OD22" s="28">
        <f t="shared" si="39"/>
        <v>61</v>
      </c>
    </row>
    <row r="23" spans="1:394" ht="14.45" customHeight="1" x14ac:dyDescent="0.25">
      <c r="A23" s="47"/>
      <c r="B23" s="14"/>
      <c r="C23" s="644" t="s">
        <v>12</v>
      </c>
      <c r="D23" s="644"/>
      <c r="E23" s="644"/>
      <c r="F23" s="644"/>
      <c r="G23" s="644"/>
      <c r="H23" s="644"/>
      <c r="I23" s="13">
        <v>26</v>
      </c>
      <c r="J23" s="13"/>
      <c r="K23" s="19"/>
      <c r="L23" s="19"/>
      <c r="M23" s="19">
        <f t="shared" si="40"/>
        <v>0</v>
      </c>
      <c r="N23" s="19">
        <f t="shared" si="9"/>
        <v>0</v>
      </c>
      <c r="O23" s="12"/>
      <c r="P23" s="644" t="s">
        <v>12</v>
      </c>
      <c r="Q23" s="644"/>
      <c r="R23" s="644"/>
      <c r="S23" s="644"/>
      <c r="T23" s="644"/>
      <c r="U23" s="644"/>
      <c r="V23" s="13">
        <v>26</v>
      </c>
      <c r="W23" s="19">
        <v>1</v>
      </c>
      <c r="X23" s="19">
        <v>5</v>
      </c>
      <c r="Y23" s="23">
        <f t="shared" si="10"/>
        <v>6</v>
      </c>
      <c r="Z23" s="19">
        <f t="shared" si="11"/>
        <v>156</v>
      </c>
      <c r="AA23" s="34"/>
      <c r="AB23" s="34"/>
      <c r="AC23" s="34"/>
      <c r="AD23" s="34"/>
      <c r="AE23" s="34"/>
      <c r="AF23" s="34"/>
      <c r="AG23" s="6"/>
      <c r="AH23" s="644" t="s">
        <v>12</v>
      </c>
      <c r="AI23" s="644"/>
      <c r="AJ23" s="644"/>
      <c r="AK23" s="644"/>
      <c r="AL23" s="644"/>
      <c r="AM23" s="644"/>
      <c r="AN23" s="13">
        <v>26</v>
      </c>
      <c r="AO23" s="19"/>
      <c r="AP23" s="23">
        <f t="shared" si="12"/>
        <v>0</v>
      </c>
      <c r="AQ23" s="19">
        <f t="shared" si="13"/>
        <v>0</v>
      </c>
      <c r="AS23" s="644" t="s">
        <v>12</v>
      </c>
      <c r="AT23" s="644"/>
      <c r="AU23" s="644"/>
      <c r="AV23" s="644"/>
      <c r="AW23" s="644"/>
      <c r="AX23" s="644"/>
      <c r="AY23" s="13">
        <v>26</v>
      </c>
      <c r="AZ23" s="19"/>
      <c r="BA23" s="19"/>
      <c r="BB23" s="19"/>
      <c r="BC23" s="19"/>
      <c r="BD23" s="30">
        <f t="shared" si="14"/>
        <v>0</v>
      </c>
      <c r="BE23" s="28">
        <f t="shared" si="15"/>
        <v>0</v>
      </c>
      <c r="BF23" s="14"/>
      <c r="BG23" s="644" t="s">
        <v>12</v>
      </c>
      <c r="BH23" s="644"/>
      <c r="BI23" s="644"/>
      <c r="BJ23" s="644"/>
      <c r="BK23" s="644"/>
      <c r="BL23" s="644"/>
      <c r="BM23" s="13">
        <v>27</v>
      </c>
      <c r="BN23" s="19">
        <v>14</v>
      </c>
      <c r="BO23" s="19"/>
      <c r="BP23" s="30">
        <f t="shared" si="16"/>
        <v>14</v>
      </c>
      <c r="BQ23" s="28">
        <f t="shared" si="17"/>
        <v>378</v>
      </c>
      <c r="BR23" s="14"/>
      <c r="BS23" s="644" t="s">
        <v>12</v>
      </c>
      <c r="BT23" s="644"/>
      <c r="BU23" s="644"/>
      <c r="BV23" s="644"/>
      <c r="BW23" s="644"/>
      <c r="BX23" s="644"/>
      <c r="BY23" s="13">
        <v>27</v>
      </c>
      <c r="BZ23" s="19"/>
      <c r="CA23" s="19"/>
      <c r="CB23" s="19"/>
      <c r="CC23" s="19"/>
      <c r="CD23" s="19"/>
      <c r="CE23" s="19"/>
      <c r="CF23" s="19"/>
      <c r="CG23" s="19"/>
      <c r="CH23" s="19"/>
      <c r="CI23" s="30">
        <f t="shared" si="18"/>
        <v>0</v>
      </c>
      <c r="CJ23" s="28">
        <f t="shared" si="19"/>
        <v>0</v>
      </c>
      <c r="CK23" s="14"/>
      <c r="CL23" s="644" t="s">
        <v>12</v>
      </c>
      <c r="CM23" s="644"/>
      <c r="CN23" s="644"/>
      <c r="CO23" s="644"/>
      <c r="CP23" s="644"/>
      <c r="CQ23" s="644"/>
      <c r="CR23" s="13">
        <v>31</v>
      </c>
      <c r="CS23" s="19"/>
      <c r="CT23" s="19"/>
      <c r="CU23" s="19">
        <v>1</v>
      </c>
      <c r="CV23" s="19">
        <v>10</v>
      </c>
      <c r="CW23" s="19">
        <v>2</v>
      </c>
      <c r="CX23" s="19"/>
      <c r="CY23" s="19"/>
      <c r="CZ23" s="19"/>
      <c r="DA23" s="30">
        <f t="shared" si="20"/>
        <v>13</v>
      </c>
      <c r="DB23" s="28">
        <f t="shared" si="21"/>
        <v>403</v>
      </c>
      <c r="DC23" s="14"/>
      <c r="DD23" s="644" t="s">
        <v>12</v>
      </c>
      <c r="DE23" s="644"/>
      <c r="DF23" s="644"/>
      <c r="DG23" s="644"/>
      <c r="DH23" s="644"/>
      <c r="DI23" s="644"/>
      <c r="DJ23" s="13">
        <v>31</v>
      </c>
      <c r="DK23" s="19"/>
      <c r="DL23" s="19"/>
      <c r="DM23" s="19"/>
      <c r="DN23" s="19"/>
      <c r="DO23" s="19">
        <v>4</v>
      </c>
      <c r="DP23" s="19"/>
      <c r="DQ23" s="19">
        <v>2</v>
      </c>
      <c r="DR23" s="19"/>
      <c r="DS23" s="19"/>
      <c r="DT23" s="19">
        <v>15</v>
      </c>
      <c r="DU23" s="30">
        <f t="shared" si="22"/>
        <v>21</v>
      </c>
      <c r="DV23" s="28">
        <f t="shared" si="23"/>
        <v>651</v>
      </c>
      <c r="DX23" s="644" t="s">
        <v>12</v>
      </c>
      <c r="DY23" s="644"/>
      <c r="DZ23" s="644"/>
      <c r="EA23" s="644"/>
      <c r="EB23" s="644"/>
      <c r="EC23" s="644"/>
      <c r="ED23" s="13">
        <v>31</v>
      </c>
      <c r="EE23" s="19">
        <v>10</v>
      </c>
      <c r="EF23" s="19"/>
      <c r="EG23" s="19"/>
      <c r="EH23" s="19"/>
      <c r="EI23" s="19"/>
      <c r="EJ23" s="19"/>
      <c r="EK23" s="19"/>
      <c r="EL23" s="19"/>
      <c r="EM23" s="23"/>
      <c r="EN23" s="23"/>
      <c r="EO23" s="30">
        <f t="shared" si="24"/>
        <v>10</v>
      </c>
      <c r="EP23" s="28">
        <f t="shared" si="25"/>
        <v>310</v>
      </c>
      <c r="EQ23" t="str">
        <f t="shared" si="26"/>
        <v>IGUAL</v>
      </c>
      <c r="ER23" s="644" t="s">
        <v>12</v>
      </c>
      <c r="ES23" s="644"/>
      <c r="ET23" s="644"/>
      <c r="EU23" s="644"/>
      <c r="EV23" s="644"/>
      <c r="EW23" s="644"/>
      <c r="EX23" s="13">
        <v>31</v>
      </c>
      <c r="EY23" s="19"/>
      <c r="EZ23" s="19"/>
      <c r="FA23" s="19">
        <v>1</v>
      </c>
      <c r="FB23" s="19">
        <v>1</v>
      </c>
      <c r="FC23" s="19"/>
      <c r="FD23" s="19"/>
      <c r="FE23" s="19"/>
      <c r="FF23" s="19"/>
      <c r="FG23" s="19">
        <v>1</v>
      </c>
      <c r="FH23" s="19">
        <v>4</v>
      </c>
      <c r="FI23" s="23"/>
      <c r="FJ23" s="23"/>
      <c r="FK23" s="23"/>
      <c r="FL23" s="23"/>
      <c r="FM23" s="23"/>
      <c r="FN23" s="23">
        <v>1</v>
      </c>
      <c r="FO23" s="23"/>
      <c r="FP23" s="23"/>
      <c r="FQ23" s="23"/>
      <c r="FR23" s="23"/>
      <c r="FS23" s="23"/>
      <c r="FT23" s="30">
        <f t="shared" si="27"/>
        <v>8</v>
      </c>
      <c r="FU23" s="28">
        <f t="shared" si="28"/>
        <v>248</v>
      </c>
      <c r="FW23" s="644" t="s">
        <v>12</v>
      </c>
      <c r="FX23" s="644"/>
      <c r="FY23" s="644"/>
      <c r="FZ23" s="644"/>
      <c r="GA23" s="644"/>
      <c r="GB23" s="644"/>
      <c r="GC23" s="13">
        <v>31</v>
      </c>
      <c r="GD23" s="23"/>
      <c r="GE23" s="19">
        <v>3</v>
      </c>
      <c r="GF23" s="19"/>
      <c r="GG23" s="19"/>
      <c r="GH23" s="19"/>
      <c r="GI23" s="19">
        <v>2</v>
      </c>
      <c r="GJ23" s="19"/>
      <c r="GK23" s="19">
        <v>7</v>
      </c>
      <c r="GL23" s="19">
        <v>2</v>
      </c>
      <c r="GM23" s="19">
        <v>2</v>
      </c>
      <c r="GN23" s="23"/>
      <c r="GO23" s="23">
        <v>10</v>
      </c>
      <c r="GP23" s="23"/>
      <c r="GQ23" s="30">
        <f t="shared" si="29"/>
        <v>26</v>
      </c>
      <c r="GR23" s="28">
        <f t="shared" si="30"/>
        <v>806</v>
      </c>
      <c r="GT23" s="644" t="s">
        <v>12</v>
      </c>
      <c r="GU23" s="644"/>
      <c r="GV23" s="644"/>
      <c r="GW23" s="644"/>
      <c r="GX23" s="644"/>
      <c r="GY23" s="644"/>
      <c r="GZ23" s="13">
        <v>31</v>
      </c>
      <c r="HA23" s="19"/>
      <c r="HB23" s="19">
        <v>2</v>
      </c>
      <c r="HC23" s="19">
        <v>6</v>
      </c>
      <c r="HD23" s="19"/>
      <c r="HE23" s="19">
        <v>4</v>
      </c>
      <c r="HF23" s="19"/>
      <c r="HG23" s="19"/>
      <c r="HH23" s="19"/>
      <c r="HI23" s="19"/>
      <c r="HJ23" s="23"/>
      <c r="HK23" s="23"/>
      <c r="HL23" s="30">
        <f t="shared" si="31"/>
        <v>12</v>
      </c>
      <c r="HM23" s="28">
        <f t="shared" si="32"/>
        <v>372</v>
      </c>
      <c r="HO23" s="644" t="s">
        <v>12</v>
      </c>
      <c r="HP23" s="644"/>
      <c r="HQ23" s="644"/>
      <c r="HR23" s="644"/>
      <c r="HS23" s="644"/>
      <c r="HT23" s="644"/>
      <c r="HU23" s="13">
        <v>36</v>
      </c>
      <c r="HV23" s="19"/>
      <c r="HW23" s="30">
        <f t="shared" si="33"/>
        <v>0</v>
      </c>
      <c r="HX23" s="28">
        <f t="shared" si="0"/>
        <v>0</v>
      </c>
      <c r="HZ23" s="644" t="s">
        <v>12</v>
      </c>
      <c r="IA23" s="644"/>
      <c r="IB23" s="644"/>
      <c r="IC23" s="644"/>
      <c r="ID23" s="644"/>
      <c r="IE23" s="644"/>
      <c r="IF23" s="13">
        <v>36</v>
      </c>
      <c r="IG23" s="19"/>
      <c r="IH23" s="23"/>
      <c r="II23" s="23"/>
      <c r="IJ23" s="23"/>
      <c r="IK23" s="23"/>
      <c r="IL23" s="23"/>
      <c r="IM23" s="30">
        <f t="shared" si="41"/>
        <v>0</v>
      </c>
      <c r="IN23" s="28">
        <f t="shared" si="1"/>
        <v>0</v>
      </c>
      <c r="IP23" s="644" t="s">
        <v>12</v>
      </c>
      <c r="IQ23" s="644"/>
      <c r="IR23" s="644"/>
      <c r="IS23" s="644"/>
      <c r="IT23" s="644"/>
      <c r="IU23" s="644"/>
      <c r="IV23" s="13">
        <v>36</v>
      </c>
      <c r="IW23" s="19"/>
      <c r="IX23" s="23"/>
      <c r="IY23" s="30">
        <f t="shared" si="2"/>
        <v>0</v>
      </c>
      <c r="IZ23" s="28">
        <f t="shared" si="3"/>
        <v>0</v>
      </c>
      <c r="JB23" s="644" t="s">
        <v>12</v>
      </c>
      <c r="JC23" s="644"/>
      <c r="JD23" s="644"/>
      <c r="JE23" s="644"/>
      <c r="JF23" s="644"/>
      <c r="JG23" s="644"/>
      <c r="JH23" s="13">
        <v>35</v>
      </c>
      <c r="JI23" s="19"/>
      <c r="JJ23" s="23"/>
      <c r="JK23" s="23"/>
      <c r="JL23" s="23"/>
      <c r="JM23" s="23"/>
      <c r="JN23" s="23"/>
      <c r="JO23" s="23"/>
      <c r="JP23" s="23"/>
      <c r="JQ23" s="23"/>
      <c r="JR23" s="23"/>
      <c r="JS23" s="23"/>
      <c r="JT23" s="23">
        <v>4</v>
      </c>
      <c r="JU23" s="23"/>
      <c r="JV23" s="23"/>
      <c r="JW23" s="23">
        <v>2</v>
      </c>
      <c r="JX23" s="23"/>
      <c r="JY23" s="23"/>
      <c r="JZ23" s="23">
        <v>1</v>
      </c>
      <c r="KA23" s="23">
        <v>2</v>
      </c>
      <c r="KB23" s="23"/>
      <c r="KC23" s="23">
        <v>6</v>
      </c>
      <c r="KD23" s="23"/>
      <c r="KE23" s="30">
        <f t="shared" si="34"/>
        <v>15</v>
      </c>
      <c r="KF23" s="28">
        <f t="shared" si="42"/>
        <v>525</v>
      </c>
      <c r="KH23" s="644" t="s">
        <v>12</v>
      </c>
      <c r="KI23" s="644"/>
      <c r="KJ23" s="644"/>
      <c r="KK23" s="644"/>
      <c r="KL23" s="644"/>
      <c r="KM23" s="644"/>
      <c r="KN23" s="13">
        <v>31</v>
      </c>
      <c r="KO23" s="19">
        <v>2</v>
      </c>
      <c r="KP23" s="23"/>
      <c r="KQ23" s="23"/>
      <c r="KR23" s="23"/>
      <c r="KS23" s="30">
        <f t="shared" si="4"/>
        <v>2</v>
      </c>
      <c r="KT23" s="28">
        <f t="shared" si="5"/>
        <v>62</v>
      </c>
      <c r="KV23" s="644" t="s">
        <v>12</v>
      </c>
      <c r="KW23" s="644"/>
      <c r="KX23" s="644"/>
      <c r="KY23" s="644"/>
      <c r="KZ23" s="644"/>
      <c r="LA23" s="644"/>
      <c r="LB23" s="13">
        <v>31</v>
      </c>
      <c r="LC23" s="19">
        <v>4</v>
      </c>
      <c r="LD23" s="23">
        <v>3</v>
      </c>
      <c r="LE23" s="23">
        <v>4</v>
      </c>
      <c r="LF23" s="30">
        <f t="shared" si="6"/>
        <v>11</v>
      </c>
      <c r="LG23" s="28">
        <f t="shared" si="7"/>
        <v>341</v>
      </c>
      <c r="LI23" s="644" t="s">
        <v>12</v>
      </c>
      <c r="LJ23" s="644"/>
      <c r="LK23" s="644"/>
      <c r="LL23" s="644"/>
      <c r="LM23" s="644"/>
      <c r="LN23" s="644"/>
      <c r="LO23" s="13">
        <v>31</v>
      </c>
      <c r="LP23" s="19">
        <v>13</v>
      </c>
      <c r="LQ23" s="23"/>
      <c r="LR23" s="23"/>
      <c r="LS23" s="23"/>
      <c r="LT23" s="23"/>
      <c r="LU23" s="23"/>
      <c r="LV23" s="23"/>
      <c r="LW23" s="23"/>
      <c r="LX23" s="23"/>
      <c r="LY23" s="23"/>
      <c r="LZ23" s="23"/>
      <c r="MA23" s="23"/>
      <c r="MB23" s="23"/>
      <c r="MC23" s="23"/>
      <c r="MD23" s="23"/>
      <c r="ME23" s="30">
        <f t="shared" si="35"/>
        <v>13</v>
      </c>
      <c r="MF23" s="28">
        <f t="shared" si="8"/>
        <v>403</v>
      </c>
      <c r="MH23" s="644" t="s">
        <v>12</v>
      </c>
      <c r="MI23" s="644"/>
      <c r="MJ23" s="644"/>
      <c r="MK23" s="644"/>
      <c r="ML23" s="644"/>
      <c r="MM23" s="644"/>
      <c r="MN23" s="13">
        <v>31</v>
      </c>
      <c r="MO23" s="19"/>
      <c r="MP23" s="23"/>
      <c r="MQ23" s="23"/>
      <c r="MR23" s="23"/>
      <c r="MS23" s="23"/>
      <c r="MT23" s="23">
        <v>1</v>
      </c>
      <c r="MU23" s="23"/>
      <c r="MV23" s="23">
        <v>6</v>
      </c>
      <c r="MW23" s="23">
        <v>19</v>
      </c>
      <c r="MX23" s="23">
        <v>9</v>
      </c>
      <c r="MY23" s="23">
        <v>12</v>
      </c>
      <c r="MZ23" s="23">
        <v>4</v>
      </c>
      <c r="NA23" s="23">
        <v>8</v>
      </c>
      <c r="NB23" s="23"/>
      <c r="NC23" s="23"/>
      <c r="ND23" s="30">
        <f t="shared" si="36"/>
        <v>59</v>
      </c>
      <c r="NE23" s="28">
        <f t="shared" si="37"/>
        <v>1829</v>
      </c>
      <c r="NG23" s="644" t="s">
        <v>12</v>
      </c>
      <c r="NH23" s="644"/>
      <c r="NI23" s="644"/>
      <c r="NJ23" s="644"/>
      <c r="NK23" s="644"/>
      <c r="NL23" s="644"/>
      <c r="NM23" s="13">
        <v>31</v>
      </c>
      <c r="NN23" s="23"/>
      <c r="NO23" s="23"/>
      <c r="NP23" s="23"/>
      <c r="NQ23" s="23"/>
      <c r="NR23" s="23"/>
      <c r="NS23" s="23"/>
      <c r="NT23" s="23"/>
      <c r="NU23" s="23"/>
      <c r="NV23" s="23"/>
      <c r="NW23" s="23"/>
      <c r="NX23" s="23"/>
      <c r="NY23" s="23"/>
      <c r="NZ23" s="23"/>
      <c r="OA23" s="23"/>
      <c r="OB23" s="23"/>
      <c r="OC23" s="30">
        <f t="shared" si="38"/>
        <v>0</v>
      </c>
      <c r="OD23" s="28">
        <f t="shared" si="39"/>
        <v>0</v>
      </c>
    </row>
    <row r="24" spans="1:394" ht="14.45" customHeight="1" x14ac:dyDescent="0.25">
      <c r="A24" s="47"/>
      <c r="B24" s="14"/>
      <c r="C24" s="644" t="s">
        <v>13</v>
      </c>
      <c r="D24" s="644"/>
      <c r="E24" s="644"/>
      <c r="F24" s="644"/>
      <c r="G24" s="644"/>
      <c r="H24" s="644"/>
      <c r="I24" s="13">
        <v>28</v>
      </c>
      <c r="J24" s="13">
        <v>2</v>
      </c>
      <c r="K24" s="19">
        <v>2</v>
      </c>
      <c r="L24" s="19">
        <v>27</v>
      </c>
      <c r="M24" s="19">
        <f t="shared" si="40"/>
        <v>31</v>
      </c>
      <c r="N24" s="19">
        <f t="shared" si="9"/>
        <v>868</v>
      </c>
      <c r="O24" s="12"/>
      <c r="P24" s="644" t="s">
        <v>13</v>
      </c>
      <c r="Q24" s="644"/>
      <c r="R24" s="644"/>
      <c r="S24" s="644"/>
      <c r="T24" s="644"/>
      <c r="U24" s="644"/>
      <c r="V24" s="13">
        <v>28</v>
      </c>
      <c r="W24" s="19">
        <v>36</v>
      </c>
      <c r="X24" s="19">
        <v>13</v>
      </c>
      <c r="Y24" s="23">
        <f t="shared" si="10"/>
        <v>49</v>
      </c>
      <c r="Z24" s="19">
        <f t="shared" si="11"/>
        <v>1372</v>
      </c>
      <c r="AA24" s="34"/>
      <c r="AB24" s="34"/>
      <c r="AC24" s="34"/>
      <c r="AD24" s="34"/>
      <c r="AE24" s="34"/>
      <c r="AF24" s="34"/>
      <c r="AG24" s="6"/>
      <c r="AH24" s="644" t="s">
        <v>13</v>
      </c>
      <c r="AI24" s="644"/>
      <c r="AJ24" s="644"/>
      <c r="AK24" s="644"/>
      <c r="AL24" s="644"/>
      <c r="AM24" s="644"/>
      <c r="AN24" s="13">
        <v>30</v>
      </c>
      <c r="AO24" s="19">
        <v>4</v>
      </c>
      <c r="AP24" s="23">
        <f t="shared" si="12"/>
        <v>4</v>
      </c>
      <c r="AQ24" s="19">
        <f t="shared" si="13"/>
        <v>120</v>
      </c>
      <c r="AS24" s="677" t="s">
        <v>13</v>
      </c>
      <c r="AT24" s="677"/>
      <c r="AU24" s="677"/>
      <c r="AV24" s="677"/>
      <c r="AW24" s="677"/>
      <c r="AX24" s="677"/>
      <c r="AY24" s="28">
        <v>29</v>
      </c>
      <c r="AZ24" s="28">
        <v>2</v>
      </c>
      <c r="BA24" s="28"/>
      <c r="BB24" s="28"/>
      <c r="BC24" s="28"/>
      <c r="BD24" s="30">
        <f t="shared" si="14"/>
        <v>2</v>
      </c>
      <c r="BE24" s="28">
        <f t="shared" si="15"/>
        <v>58</v>
      </c>
      <c r="BF24" s="14"/>
      <c r="BG24" s="677" t="s">
        <v>13</v>
      </c>
      <c r="BH24" s="677"/>
      <c r="BI24" s="677"/>
      <c r="BJ24" s="677"/>
      <c r="BK24" s="677"/>
      <c r="BL24" s="677"/>
      <c r="BM24" s="28">
        <v>29</v>
      </c>
      <c r="BN24" s="28">
        <v>8</v>
      </c>
      <c r="BO24" s="28">
        <v>2</v>
      </c>
      <c r="BP24" s="30">
        <f t="shared" si="16"/>
        <v>10</v>
      </c>
      <c r="BQ24" s="28">
        <f t="shared" si="17"/>
        <v>290</v>
      </c>
      <c r="BR24" s="14"/>
      <c r="BS24" s="677" t="s">
        <v>13</v>
      </c>
      <c r="BT24" s="677"/>
      <c r="BU24" s="677"/>
      <c r="BV24" s="677"/>
      <c r="BW24" s="677"/>
      <c r="BX24" s="677"/>
      <c r="BY24" s="28">
        <v>33</v>
      </c>
      <c r="BZ24" s="28">
        <v>9</v>
      </c>
      <c r="CA24" s="28"/>
      <c r="CB24" s="28"/>
      <c r="CC24" s="28">
        <v>1</v>
      </c>
      <c r="CD24" s="28"/>
      <c r="CE24" s="28">
        <v>2</v>
      </c>
      <c r="CF24" s="28">
        <v>12</v>
      </c>
      <c r="CG24" s="28"/>
      <c r="CH24" s="28"/>
      <c r="CI24" s="30">
        <f t="shared" si="18"/>
        <v>24</v>
      </c>
      <c r="CJ24" s="28">
        <f t="shared" si="19"/>
        <v>792</v>
      </c>
      <c r="CK24" s="14"/>
      <c r="CL24" s="677" t="s">
        <v>13</v>
      </c>
      <c r="CM24" s="677"/>
      <c r="CN24" s="677"/>
      <c r="CO24" s="677"/>
      <c r="CP24" s="677"/>
      <c r="CQ24" s="677"/>
      <c r="CR24" s="28">
        <v>33</v>
      </c>
      <c r="CS24" s="28"/>
      <c r="CT24" s="28">
        <v>9</v>
      </c>
      <c r="CU24" s="28">
        <v>33</v>
      </c>
      <c r="CV24" s="28">
        <v>26</v>
      </c>
      <c r="CW24" s="28">
        <v>12</v>
      </c>
      <c r="CX24" s="28">
        <v>3</v>
      </c>
      <c r="CY24" s="28"/>
      <c r="CZ24" s="28"/>
      <c r="DA24" s="30">
        <f t="shared" si="20"/>
        <v>83</v>
      </c>
      <c r="DB24" s="28">
        <f t="shared" si="21"/>
        <v>2739</v>
      </c>
      <c r="DC24" s="14"/>
      <c r="DD24" s="677" t="s">
        <v>13</v>
      </c>
      <c r="DE24" s="677"/>
      <c r="DF24" s="677"/>
      <c r="DG24" s="677"/>
      <c r="DH24" s="677"/>
      <c r="DI24" s="677"/>
      <c r="DJ24" s="28">
        <v>33</v>
      </c>
      <c r="DK24" s="28">
        <v>7</v>
      </c>
      <c r="DL24" s="28">
        <v>1</v>
      </c>
      <c r="DM24" s="28">
        <v>2</v>
      </c>
      <c r="DN24" s="28"/>
      <c r="DO24" s="28">
        <v>1</v>
      </c>
      <c r="DP24" s="28"/>
      <c r="DQ24" s="28">
        <v>1</v>
      </c>
      <c r="DR24" s="28">
        <v>3</v>
      </c>
      <c r="DS24" s="28"/>
      <c r="DT24" s="28">
        <v>3</v>
      </c>
      <c r="DU24" s="30">
        <f t="shared" si="22"/>
        <v>18</v>
      </c>
      <c r="DV24" s="28">
        <f t="shared" si="23"/>
        <v>594</v>
      </c>
      <c r="DX24" s="677" t="s">
        <v>13</v>
      </c>
      <c r="DY24" s="677"/>
      <c r="DZ24" s="677"/>
      <c r="EA24" s="677"/>
      <c r="EB24" s="677"/>
      <c r="EC24" s="677"/>
      <c r="ED24" s="28">
        <v>33</v>
      </c>
      <c r="EE24" s="28">
        <v>4</v>
      </c>
      <c r="EF24" s="28">
        <v>5</v>
      </c>
      <c r="EG24" s="28"/>
      <c r="EH24" s="28">
        <v>21</v>
      </c>
      <c r="EI24" s="28">
        <v>13</v>
      </c>
      <c r="EJ24" s="28">
        <v>3</v>
      </c>
      <c r="EK24" s="28">
        <v>3</v>
      </c>
      <c r="EL24" s="28">
        <v>7</v>
      </c>
      <c r="EM24" s="30">
        <v>5</v>
      </c>
      <c r="EN24" s="30"/>
      <c r="EO24" s="30">
        <f t="shared" si="24"/>
        <v>61</v>
      </c>
      <c r="EP24" s="28">
        <f t="shared" si="25"/>
        <v>2013</v>
      </c>
      <c r="EQ24" t="str">
        <f t="shared" si="26"/>
        <v>IGUAL</v>
      </c>
      <c r="ER24" s="677" t="s">
        <v>13</v>
      </c>
      <c r="ES24" s="677"/>
      <c r="ET24" s="677"/>
      <c r="EU24" s="677"/>
      <c r="EV24" s="677"/>
      <c r="EW24" s="677"/>
      <c r="EX24" s="28">
        <v>33</v>
      </c>
      <c r="EY24" s="28">
        <v>19</v>
      </c>
      <c r="EZ24" s="28">
        <v>2</v>
      </c>
      <c r="FA24" s="28">
        <v>1</v>
      </c>
      <c r="FB24" s="28">
        <v>1</v>
      </c>
      <c r="FC24" s="28">
        <v>14</v>
      </c>
      <c r="FD24" s="28"/>
      <c r="FE24" s="28"/>
      <c r="FF24" s="28"/>
      <c r="FG24" s="28">
        <v>10</v>
      </c>
      <c r="FH24" s="28">
        <v>5</v>
      </c>
      <c r="FI24" s="30"/>
      <c r="FJ24" s="30">
        <v>14</v>
      </c>
      <c r="FK24" s="30">
        <v>6</v>
      </c>
      <c r="FL24" s="30"/>
      <c r="FM24" s="30">
        <v>1</v>
      </c>
      <c r="FN24" s="30">
        <v>1</v>
      </c>
      <c r="FO24" s="30">
        <v>10</v>
      </c>
      <c r="FP24" s="30"/>
      <c r="FQ24" s="30">
        <v>1</v>
      </c>
      <c r="FR24" s="30"/>
      <c r="FS24" s="30"/>
      <c r="FT24" s="30">
        <f t="shared" si="27"/>
        <v>85</v>
      </c>
      <c r="FU24" s="28">
        <f t="shared" si="28"/>
        <v>2805</v>
      </c>
      <c r="FW24" s="677" t="s">
        <v>13</v>
      </c>
      <c r="FX24" s="677"/>
      <c r="FY24" s="677"/>
      <c r="FZ24" s="677"/>
      <c r="GA24" s="677"/>
      <c r="GB24" s="677"/>
      <c r="GC24" s="28">
        <v>33</v>
      </c>
      <c r="GD24" s="30">
        <v>2</v>
      </c>
      <c r="GE24" s="28"/>
      <c r="GF24" s="28">
        <v>5</v>
      </c>
      <c r="GG24" s="28">
        <v>9</v>
      </c>
      <c r="GH24" s="28"/>
      <c r="GI24" s="28">
        <v>7</v>
      </c>
      <c r="GJ24" s="28"/>
      <c r="GK24" s="28">
        <v>6</v>
      </c>
      <c r="GL24" s="28">
        <v>3</v>
      </c>
      <c r="GM24" s="28">
        <v>13</v>
      </c>
      <c r="GN24" s="30"/>
      <c r="GO24" s="30"/>
      <c r="GP24" s="30"/>
      <c r="GQ24" s="30">
        <f t="shared" si="29"/>
        <v>45</v>
      </c>
      <c r="GR24" s="28">
        <f t="shared" si="30"/>
        <v>1485</v>
      </c>
      <c r="GT24" s="677" t="s">
        <v>13</v>
      </c>
      <c r="GU24" s="677"/>
      <c r="GV24" s="677"/>
      <c r="GW24" s="677"/>
      <c r="GX24" s="677"/>
      <c r="GY24" s="677"/>
      <c r="GZ24" s="28">
        <v>34</v>
      </c>
      <c r="HA24" s="28"/>
      <c r="HB24" s="28"/>
      <c r="HC24" s="28">
        <v>10</v>
      </c>
      <c r="HD24" s="28">
        <v>4</v>
      </c>
      <c r="HE24" s="28">
        <v>14</v>
      </c>
      <c r="HF24" s="28">
        <v>4</v>
      </c>
      <c r="HG24" s="28"/>
      <c r="HH24" s="28"/>
      <c r="HI24" s="28">
        <v>3</v>
      </c>
      <c r="HJ24" s="30"/>
      <c r="HK24" s="30"/>
      <c r="HL24" s="30">
        <f t="shared" si="31"/>
        <v>35</v>
      </c>
      <c r="HM24" s="28">
        <f t="shared" si="32"/>
        <v>1190</v>
      </c>
      <c r="HO24" s="677" t="s">
        <v>13</v>
      </c>
      <c r="HP24" s="677"/>
      <c r="HQ24" s="677"/>
      <c r="HR24" s="677"/>
      <c r="HS24" s="677"/>
      <c r="HT24" s="677"/>
      <c r="HU24" s="28">
        <v>39</v>
      </c>
      <c r="HV24" s="28"/>
      <c r="HW24" s="30">
        <f t="shared" si="33"/>
        <v>0</v>
      </c>
      <c r="HX24" s="28">
        <f t="shared" si="0"/>
        <v>0</v>
      </c>
      <c r="HZ24" s="677" t="s">
        <v>13</v>
      </c>
      <c r="IA24" s="677"/>
      <c r="IB24" s="677"/>
      <c r="IC24" s="677"/>
      <c r="ID24" s="677"/>
      <c r="IE24" s="677"/>
      <c r="IF24" s="28">
        <v>38</v>
      </c>
      <c r="IG24" s="28"/>
      <c r="IH24" s="30"/>
      <c r="II24" s="30"/>
      <c r="IJ24" s="30">
        <v>1</v>
      </c>
      <c r="IK24" s="30">
        <v>2</v>
      </c>
      <c r="IL24" s="30">
        <v>13</v>
      </c>
      <c r="IM24" s="30">
        <f t="shared" si="41"/>
        <v>16</v>
      </c>
      <c r="IN24" s="28">
        <f t="shared" si="1"/>
        <v>608</v>
      </c>
      <c r="IP24" s="677" t="s">
        <v>13</v>
      </c>
      <c r="IQ24" s="677"/>
      <c r="IR24" s="677"/>
      <c r="IS24" s="677"/>
      <c r="IT24" s="677"/>
      <c r="IU24" s="677"/>
      <c r="IV24" s="28">
        <v>38</v>
      </c>
      <c r="IW24" s="28"/>
      <c r="IX24" s="30"/>
      <c r="IY24" s="30">
        <f t="shared" si="2"/>
        <v>0</v>
      </c>
      <c r="IZ24" s="28">
        <f t="shared" si="3"/>
        <v>0</v>
      </c>
      <c r="JB24" s="677" t="s">
        <v>13</v>
      </c>
      <c r="JC24" s="677"/>
      <c r="JD24" s="677"/>
      <c r="JE24" s="677"/>
      <c r="JF24" s="677"/>
      <c r="JG24" s="677"/>
      <c r="JH24" s="28">
        <v>37</v>
      </c>
      <c r="JI24" s="28">
        <v>11</v>
      </c>
      <c r="JJ24" s="30"/>
      <c r="JK24" s="30">
        <v>6</v>
      </c>
      <c r="JL24" s="30">
        <v>2</v>
      </c>
      <c r="JM24" s="30">
        <v>2</v>
      </c>
      <c r="JN24" s="30">
        <v>3</v>
      </c>
      <c r="JO24" s="30">
        <v>29</v>
      </c>
      <c r="JP24" s="30">
        <v>2</v>
      </c>
      <c r="JQ24" s="30"/>
      <c r="JR24" s="30"/>
      <c r="JS24" s="30">
        <v>3</v>
      </c>
      <c r="JT24" s="30">
        <v>4</v>
      </c>
      <c r="JU24" s="30">
        <v>1</v>
      </c>
      <c r="JV24" s="30"/>
      <c r="JW24" s="30"/>
      <c r="JX24" s="30"/>
      <c r="JY24" s="30">
        <v>12</v>
      </c>
      <c r="JZ24" s="30">
        <v>1</v>
      </c>
      <c r="KA24" s="30">
        <v>1</v>
      </c>
      <c r="KB24" s="30">
        <v>11</v>
      </c>
      <c r="KC24" s="30">
        <v>11</v>
      </c>
      <c r="KD24" s="30"/>
      <c r="KE24" s="30">
        <f t="shared" si="34"/>
        <v>99</v>
      </c>
      <c r="KF24" s="28">
        <f t="shared" si="42"/>
        <v>3663</v>
      </c>
      <c r="KH24" s="677" t="s">
        <v>13</v>
      </c>
      <c r="KI24" s="677"/>
      <c r="KJ24" s="677"/>
      <c r="KK24" s="677"/>
      <c r="KL24" s="677"/>
      <c r="KM24" s="677"/>
      <c r="KN24" s="28">
        <v>34</v>
      </c>
      <c r="KO24" s="28">
        <v>43</v>
      </c>
      <c r="KP24" s="30"/>
      <c r="KQ24" s="30">
        <v>18</v>
      </c>
      <c r="KR24" s="30">
        <v>19</v>
      </c>
      <c r="KS24" s="30">
        <f t="shared" si="4"/>
        <v>80</v>
      </c>
      <c r="KT24" s="28">
        <f t="shared" si="5"/>
        <v>2720</v>
      </c>
      <c r="KV24" s="677" t="s">
        <v>13</v>
      </c>
      <c r="KW24" s="677"/>
      <c r="KX24" s="677"/>
      <c r="KY24" s="677"/>
      <c r="KZ24" s="677"/>
      <c r="LA24" s="677"/>
      <c r="LB24" s="28">
        <v>34</v>
      </c>
      <c r="LC24" s="28">
        <v>13</v>
      </c>
      <c r="LD24" s="30">
        <v>3</v>
      </c>
      <c r="LE24" s="30">
        <v>1</v>
      </c>
      <c r="LF24" s="30">
        <f t="shared" si="6"/>
        <v>17</v>
      </c>
      <c r="LG24" s="28">
        <f t="shared" si="7"/>
        <v>578</v>
      </c>
      <c r="LI24" s="677" t="s">
        <v>13</v>
      </c>
      <c r="LJ24" s="677"/>
      <c r="LK24" s="677"/>
      <c r="LL24" s="677"/>
      <c r="LM24" s="677"/>
      <c r="LN24" s="677"/>
      <c r="LO24" s="28">
        <v>34</v>
      </c>
      <c r="LP24" s="28">
        <v>14</v>
      </c>
      <c r="LQ24" s="30"/>
      <c r="LR24" s="30">
        <v>10</v>
      </c>
      <c r="LS24" s="30">
        <v>16</v>
      </c>
      <c r="LT24" s="30">
        <v>39</v>
      </c>
      <c r="LU24" s="30">
        <v>40</v>
      </c>
      <c r="LV24" s="30">
        <v>27</v>
      </c>
      <c r="LW24" s="30">
        <v>28</v>
      </c>
      <c r="LX24" s="30"/>
      <c r="LY24" s="30">
        <v>98</v>
      </c>
      <c r="LZ24" s="30">
        <v>45</v>
      </c>
      <c r="MA24" s="30">
        <v>11</v>
      </c>
      <c r="MB24" s="30">
        <v>2</v>
      </c>
      <c r="MC24" s="30">
        <v>29</v>
      </c>
      <c r="MD24" s="30">
        <v>21</v>
      </c>
      <c r="ME24" s="30">
        <f t="shared" si="35"/>
        <v>380</v>
      </c>
      <c r="MF24" s="28">
        <f t="shared" si="8"/>
        <v>12920</v>
      </c>
      <c r="MH24" s="677" t="s">
        <v>13</v>
      </c>
      <c r="MI24" s="677"/>
      <c r="MJ24" s="677"/>
      <c r="MK24" s="677"/>
      <c r="ML24" s="677"/>
      <c r="MM24" s="677"/>
      <c r="MN24" s="28">
        <v>34</v>
      </c>
      <c r="MO24" s="28">
        <v>18</v>
      </c>
      <c r="MP24" s="30"/>
      <c r="MQ24" s="30">
        <v>10</v>
      </c>
      <c r="MR24" s="30"/>
      <c r="MS24" s="30">
        <v>6</v>
      </c>
      <c r="MT24" s="30">
        <v>70</v>
      </c>
      <c r="MU24" s="30"/>
      <c r="MV24" s="30">
        <v>8</v>
      </c>
      <c r="MW24" s="30">
        <v>3</v>
      </c>
      <c r="MX24" s="30"/>
      <c r="MY24" s="30">
        <v>5</v>
      </c>
      <c r="MZ24" s="30">
        <v>17</v>
      </c>
      <c r="NA24" s="30">
        <v>36</v>
      </c>
      <c r="NB24" s="30"/>
      <c r="NC24" s="30">
        <v>59</v>
      </c>
      <c r="ND24" s="30">
        <f t="shared" si="36"/>
        <v>232</v>
      </c>
      <c r="NE24" s="28">
        <f t="shared" si="37"/>
        <v>7888</v>
      </c>
      <c r="NG24" s="677" t="s">
        <v>13</v>
      </c>
      <c r="NH24" s="677"/>
      <c r="NI24" s="677"/>
      <c r="NJ24" s="677"/>
      <c r="NK24" s="677"/>
      <c r="NL24" s="677"/>
      <c r="NM24" s="28">
        <v>34</v>
      </c>
      <c r="NN24" s="30">
        <v>34</v>
      </c>
      <c r="NO24" s="30">
        <v>19</v>
      </c>
      <c r="NP24" s="30">
        <v>9</v>
      </c>
      <c r="NQ24" s="30">
        <v>40</v>
      </c>
      <c r="NR24" s="30">
        <v>43</v>
      </c>
      <c r="NS24" s="30"/>
      <c r="NT24" s="30"/>
      <c r="NU24" s="30"/>
      <c r="NV24" s="30"/>
      <c r="NW24" s="30"/>
      <c r="NX24" s="30"/>
      <c r="NY24" s="30"/>
      <c r="NZ24" s="30"/>
      <c r="OA24" s="30"/>
      <c r="OB24" s="30"/>
      <c r="OC24" s="30">
        <f>SUM(NN24:OB24)</f>
        <v>145</v>
      </c>
      <c r="OD24" s="28">
        <f t="shared" si="39"/>
        <v>4930</v>
      </c>
    </row>
    <row r="25" spans="1:394" ht="14.45" customHeight="1" x14ac:dyDescent="0.25">
      <c r="A25" s="47"/>
      <c r="B25" s="14"/>
      <c r="C25" s="713" t="s">
        <v>67</v>
      </c>
      <c r="D25" s="713"/>
      <c r="E25" s="713"/>
      <c r="F25" s="713"/>
      <c r="G25" s="713"/>
      <c r="H25" s="746"/>
      <c r="I25" s="13"/>
      <c r="J25" s="13"/>
      <c r="K25" s="19"/>
      <c r="L25" s="19"/>
      <c r="M25" s="19"/>
      <c r="N25" s="19">
        <f t="shared" si="9"/>
        <v>0</v>
      </c>
      <c r="O25" s="12"/>
      <c r="P25" s="713" t="s">
        <v>67</v>
      </c>
      <c r="Q25" s="713"/>
      <c r="R25" s="713"/>
      <c r="S25" s="713"/>
      <c r="T25" s="713"/>
      <c r="U25" s="713"/>
      <c r="V25" s="13"/>
      <c r="W25" s="19"/>
      <c r="X25" s="19"/>
      <c r="Y25" s="23"/>
      <c r="Z25" s="19">
        <f t="shared" si="11"/>
        <v>0</v>
      </c>
      <c r="AA25" s="34"/>
      <c r="AB25" s="34"/>
      <c r="AC25" s="34"/>
      <c r="AD25" s="34"/>
      <c r="AE25" s="34"/>
      <c r="AF25" s="34"/>
      <c r="AG25" s="6"/>
      <c r="AH25" s="713" t="s">
        <v>67</v>
      </c>
      <c r="AI25" s="713"/>
      <c r="AJ25" s="713"/>
      <c r="AK25" s="713"/>
      <c r="AL25" s="713"/>
      <c r="AM25" s="713"/>
      <c r="AN25" s="13"/>
      <c r="AO25" s="19"/>
      <c r="AP25" s="23"/>
      <c r="AQ25" s="19">
        <f t="shared" si="13"/>
        <v>0</v>
      </c>
      <c r="AS25" s="713" t="s">
        <v>67</v>
      </c>
      <c r="AT25" s="713"/>
      <c r="AU25" s="713"/>
      <c r="AV25" s="713"/>
      <c r="AW25" s="713"/>
      <c r="AX25" s="713"/>
      <c r="AY25" s="28"/>
      <c r="AZ25" s="28"/>
      <c r="BA25" s="28"/>
      <c r="BB25" s="28"/>
      <c r="BC25" s="28"/>
      <c r="BD25" s="30"/>
      <c r="BE25" s="28">
        <f t="shared" si="15"/>
        <v>0</v>
      </c>
      <c r="BF25" s="14"/>
      <c r="BG25" s="713" t="s">
        <v>67</v>
      </c>
      <c r="BH25" s="713"/>
      <c r="BI25" s="713"/>
      <c r="BJ25" s="713"/>
      <c r="BK25" s="713"/>
      <c r="BL25" s="713"/>
      <c r="BM25" s="28"/>
      <c r="BN25" s="28"/>
      <c r="BO25" s="28"/>
      <c r="BP25" s="30"/>
      <c r="BQ25" s="28">
        <f t="shared" si="17"/>
        <v>0</v>
      </c>
      <c r="BR25" s="14"/>
      <c r="BS25" s="713" t="s">
        <v>67</v>
      </c>
      <c r="BT25" s="713"/>
      <c r="BU25" s="713"/>
      <c r="BV25" s="713"/>
      <c r="BW25" s="713"/>
      <c r="BX25" s="713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30"/>
      <c r="CJ25" s="28">
        <f t="shared" si="19"/>
        <v>0</v>
      </c>
      <c r="CK25" s="14"/>
      <c r="CL25" s="713" t="s">
        <v>67</v>
      </c>
      <c r="CM25" s="713"/>
      <c r="CN25" s="713"/>
      <c r="CO25" s="713"/>
      <c r="CP25" s="713"/>
      <c r="CQ25" s="713"/>
      <c r="CR25" s="1">
        <v>28</v>
      </c>
      <c r="CS25" s="1"/>
      <c r="CT25" s="1"/>
      <c r="CU25" s="1"/>
      <c r="CV25" s="1"/>
      <c r="CW25" s="1">
        <v>2</v>
      </c>
      <c r="CX25" s="1"/>
      <c r="CY25" s="1"/>
      <c r="CZ25" s="1">
        <v>1</v>
      </c>
      <c r="DA25" s="30">
        <f t="shared" si="20"/>
        <v>3</v>
      </c>
      <c r="DB25" s="28">
        <f t="shared" si="21"/>
        <v>84</v>
      </c>
      <c r="DC25" s="3"/>
      <c r="DD25" s="713" t="s">
        <v>67</v>
      </c>
      <c r="DE25" s="713"/>
      <c r="DF25" s="713"/>
      <c r="DG25" s="713"/>
      <c r="DH25" s="713"/>
      <c r="DI25" s="713"/>
      <c r="DJ25" s="1">
        <v>28</v>
      </c>
      <c r="DK25" s="1">
        <v>3</v>
      </c>
      <c r="DL25" s="1">
        <v>1</v>
      </c>
      <c r="DM25" s="1"/>
      <c r="DN25" s="1"/>
      <c r="DO25" s="1"/>
      <c r="DP25" s="1"/>
      <c r="DQ25" s="1">
        <v>1</v>
      </c>
      <c r="DR25" s="1"/>
      <c r="DS25" s="1"/>
      <c r="DT25" s="1"/>
      <c r="DU25" s="30">
        <f t="shared" si="22"/>
        <v>5</v>
      </c>
      <c r="DV25" s="28">
        <f t="shared" si="23"/>
        <v>140</v>
      </c>
      <c r="DX25" s="713" t="s">
        <v>67</v>
      </c>
      <c r="DY25" s="713"/>
      <c r="DZ25" s="713"/>
      <c r="EA25" s="713"/>
      <c r="EB25" s="713"/>
      <c r="EC25" s="713"/>
      <c r="ED25" s="1">
        <v>28</v>
      </c>
      <c r="EE25" s="1">
        <v>1</v>
      </c>
      <c r="EF25" s="1"/>
      <c r="EG25" s="1"/>
      <c r="EH25" s="1"/>
      <c r="EI25" s="1"/>
      <c r="EJ25" s="1"/>
      <c r="EK25" s="1"/>
      <c r="EL25" s="1"/>
      <c r="EM25" s="85"/>
      <c r="EN25" s="85"/>
      <c r="EO25" s="30">
        <f t="shared" si="24"/>
        <v>1</v>
      </c>
      <c r="EP25" s="28">
        <f t="shared" si="25"/>
        <v>28</v>
      </c>
      <c r="EQ25" t="str">
        <f t="shared" si="26"/>
        <v>IGUAL</v>
      </c>
      <c r="ER25" s="713" t="s">
        <v>67</v>
      </c>
      <c r="ES25" s="713"/>
      <c r="ET25" s="713"/>
      <c r="EU25" s="713"/>
      <c r="EV25" s="713"/>
      <c r="EW25" s="713"/>
      <c r="EX25" s="1">
        <v>28</v>
      </c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85"/>
      <c r="FJ25" s="85"/>
      <c r="FK25" s="85"/>
      <c r="FL25" s="85"/>
      <c r="FM25" s="85"/>
      <c r="FN25" s="85"/>
      <c r="FO25" s="85"/>
      <c r="FP25" s="85"/>
      <c r="FQ25" s="85"/>
      <c r="FR25" s="85"/>
      <c r="FS25" s="85"/>
      <c r="FT25" s="30">
        <f t="shared" si="27"/>
        <v>0</v>
      </c>
      <c r="FU25" s="28">
        <f t="shared" si="28"/>
        <v>0</v>
      </c>
      <c r="FW25" s="713" t="s">
        <v>67</v>
      </c>
      <c r="FX25" s="713"/>
      <c r="FY25" s="713"/>
      <c r="FZ25" s="713"/>
      <c r="GA25" s="713"/>
      <c r="GB25" s="713"/>
      <c r="GC25" s="1">
        <v>28</v>
      </c>
      <c r="GD25" s="85"/>
      <c r="GE25" s="1"/>
      <c r="GF25" s="1"/>
      <c r="GG25" s="1"/>
      <c r="GH25" s="1"/>
      <c r="GI25" s="1"/>
      <c r="GJ25" s="1"/>
      <c r="GK25" s="1"/>
      <c r="GL25" s="1"/>
      <c r="GM25" s="1"/>
      <c r="GN25" s="85"/>
      <c r="GO25" s="85"/>
      <c r="GP25" s="85"/>
      <c r="GQ25" s="30">
        <f t="shared" si="29"/>
        <v>0</v>
      </c>
      <c r="GR25" s="28">
        <f t="shared" si="30"/>
        <v>0</v>
      </c>
      <c r="GT25" s="713" t="s">
        <v>67</v>
      </c>
      <c r="GU25" s="713"/>
      <c r="GV25" s="713"/>
      <c r="GW25" s="713"/>
      <c r="GX25" s="713"/>
      <c r="GY25" s="713"/>
      <c r="GZ25" s="1">
        <v>25</v>
      </c>
      <c r="HA25" s="1"/>
      <c r="HB25" s="1">
        <v>2</v>
      </c>
      <c r="HC25" s="1"/>
      <c r="HD25" s="1"/>
      <c r="HE25" s="1"/>
      <c r="HF25" s="1"/>
      <c r="HG25" s="1"/>
      <c r="HH25" s="1"/>
      <c r="HI25" s="1"/>
      <c r="HJ25" s="85"/>
      <c r="HK25" s="85"/>
      <c r="HL25" s="30">
        <f t="shared" si="31"/>
        <v>2</v>
      </c>
      <c r="HM25" s="28">
        <f t="shared" si="32"/>
        <v>50</v>
      </c>
      <c r="HO25" s="713" t="s">
        <v>67</v>
      </c>
      <c r="HP25" s="713"/>
      <c r="HQ25" s="713"/>
      <c r="HR25" s="713"/>
      <c r="HS25" s="713"/>
      <c r="HT25" s="713"/>
      <c r="HV25" s="1"/>
      <c r="HW25" s="30">
        <f t="shared" si="33"/>
        <v>0</v>
      </c>
      <c r="HX25" s="28">
        <f t="shared" si="0"/>
        <v>0</v>
      </c>
      <c r="HZ25" s="713" t="s">
        <v>67</v>
      </c>
      <c r="IA25" s="713"/>
      <c r="IB25" s="713"/>
      <c r="IC25" s="713"/>
      <c r="ID25" s="713"/>
      <c r="IE25" s="713"/>
      <c r="IF25" s="6">
        <v>0</v>
      </c>
      <c r="IG25" s="1"/>
      <c r="IH25" s="85"/>
      <c r="II25" s="85"/>
      <c r="IJ25" s="85"/>
      <c r="IK25" s="85"/>
      <c r="IL25" s="85"/>
      <c r="IM25" s="30">
        <f t="shared" si="41"/>
        <v>0</v>
      </c>
      <c r="IN25" s="28">
        <f t="shared" si="1"/>
        <v>0</v>
      </c>
      <c r="IP25" s="713" t="s">
        <v>67</v>
      </c>
      <c r="IQ25" s="713"/>
      <c r="IR25" s="713"/>
      <c r="IS25" s="713"/>
      <c r="IT25" s="713"/>
      <c r="IU25" s="713"/>
      <c r="IV25" s="6">
        <v>0</v>
      </c>
      <c r="IW25" s="1"/>
      <c r="IX25" s="85"/>
      <c r="IY25" s="30">
        <f t="shared" si="2"/>
        <v>0</v>
      </c>
      <c r="IZ25" s="28">
        <f t="shared" si="3"/>
        <v>0</v>
      </c>
      <c r="JB25" s="713" t="s">
        <v>67</v>
      </c>
      <c r="JC25" s="713"/>
      <c r="JD25" s="713"/>
      <c r="JE25" s="713"/>
      <c r="JF25" s="713"/>
      <c r="JG25" s="713"/>
      <c r="JH25" s="6">
        <v>0</v>
      </c>
      <c r="JI25" s="1"/>
      <c r="JJ25" s="85"/>
      <c r="JK25" s="85"/>
      <c r="JL25" s="85"/>
      <c r="JM25" s="85"/>
      <c r="JN25" s="85"/>
      <c r="JO25" s="85"/>
      <c r="JP25" s="85"/>
      <c r="JQ25" s="85"/>
      <c r="JR25" s="85"/>
      <c r="JS25" s="85"/>
      <c r="JT25" s="85"/>
      <c r="JU25" s="85"/>
      <c r="JV25" s="85"/>
      <c r="JW25" s="85"/>
      <c r="JX25" s="85"/>
      <c r="JY25" s="85"/>
      <c r="JZ25" s="85"/>
      <c r="KA25" s="85"/>
      <c r="KB25" s="85"/>
      <c r="KC25" s="85"/>
      <c r="KD25" s="85"/>
      <c r="KE25" s="30">
        <f t="shared" si="34"/>
        <v>0</v>
      </c>
      <c r="KF25" s="28">
        <f t="shared" si="42"/>
        <v>0</v>
      </c>
      <c r="KH25" s="713" t="s">
        <v>67</v>
      </c>
      <c r="KI25" s="713"/>
      <c r="KJ25" s="713"/>
      <c r="KK25" s="713"/>
      <c r="KL25" s="713"/>
      <c r="KM25" s="713"/>
      <c r="KN25" s="6">
        <v>0</v>
      </c>
      <c r="KO25" s="1"/>
      <c r="KP25" s="85"/>
      <c r="KQ25" s="85"/>
      <c r="KR25" s="85"/>
      <c r="KS25" s="30">
        <f t="shared" si="4"/>
        <v>0</v>
      </c>
      <c r="KT25" s="28">
        <f t="shared" si="5"/>
        <v>0</v>
      </c>
      <c r="KV25" s="713" t="s">
        <v>67</v>
      </c>
      <c r="KW25" s="713"/>
      <c r="KX25" s="713"/>
      <c r="KY25" s="713"/>
      <c r="KZ25" s="713"/>
      <c r="LA25" s="713"/>
      <c r="LB25" s="6">
        <v>0</v>
      </c>
      <c r="LC25" s="1"/>
      <c r="LD25" s="85"/>
      <c r="LE25" s="85"/>
      <c r="LF25" s="30">
        <f t="shared" si="6"/>
        <v>0</v>
      </c>
      <c r="LG25" s="28">
        <f t="shared" si="7"/>
        <v>0</v>
      </c>
      <c r="LI25" s="713" t="s">
        <v>67</v>
      </c>
      <c r="LJ25" s="713"/>
      <c r="LK25" s="713"/>
      <c r="LL25" s="713"/>
      <c r="LM25" s="713"/>
      <c r="LN25" s="713"/>
      <c r="LO25" s="6">
        <v>0</v>
      </c>
      <c r="LP25" s="1"/>
      <c r="LQ25" s="85"/>
      <c r="LR25" s="85"/>
      <c r="LS25" s="85"/>
      <c r="LT25" s="85"/>
      <c r="LU25" s="85"/>
      <c r="LV25" s="85"/>
      <c r="LW25" s="85"/>
      <c r="LX25" s="85"/>
      <c r="LY25" s="85"/>
      <c r="LZ25" s="85"/>
      <c r="MA25" s="85"/>
      <c r="MB25" s="85"/>
      <c r="MC25" s="85"/>
      <c r="MD25" s="85"/>
      <c r="ME25" s="30">
        <f t="shared" si="35"/>
        <v>0</v>
      </c>
      <c r="MF25" s="28">
        <f t="shared" si="8"/>
        <v>0</v>
      </c>
      <c r="MH25" s="713" t="s">
        <v>67</v>
      </c>
      <c r="MI25" s="713"/>
      <c r="MJ25" s="713"/>
      <c r="MK25" s="713"/>
      <c r="ML25" s="713"/>
      <c r="MM25" s="713"/>
      <c r="MN25" s="6">
        <v>0</v>
      </c>
      <c r="MO25" s="1"/>
      <c r="MP25" s="85"/>
      <c r="MQ25" s="85"/>
      <c r="MR25" s="85"/>
      <c r="MS25" s="85"/>
      <c r="MT25" s="85"/>
      <c r="MU25" s="85"/>
      <c r="MV25" s="85"/>
      <c r="MW25" s="85"/>
      <c r="MX25" s="85"/>
      <c r="MY25" s="85"/>
      <c r="MZ25" s="85"/>
      <c r="NA25" s="85"/>
      <c r="NB25" s="85"/>
      <c r="NC25" s="85"/>
      <c r="ND25" s="30">
        <f t="shared" si="36"/>
        <v>0</v>
      </c>
      <c r="NE25" s="28">
        <f t="shared" si="37"/>
        <v>0</v>
      </c>
      <c r="NG25" s="713" t="s">
        <v>67</v>
      </c>
      <c r="NH25" s="713"/>
      <c r="NI25" s="713"/>
      <c r="NJ25" s="713"/>
      <c r="NK25" s="713"/>
      <c r="NL25" s="713"/>
      <c r="NM25" s="6">
        <v>0</v>
      </c>
      <c r="NN25" s="85"/>
      <c r="NO25" s="85"/>
      <c r="NP25" s="85"/>
      <c r="NQ25" s="85"/>
      <c r="NR25" s="85"/>
      <c r="NS25" s="85"/>
      <c r="NT25" s="85"/>
      <c r="NU25" s="85"/>
      <c r="NV25" s="85"/>
      <c r="NW25" s="85"/>
      <c r="NX25" s="85"/>
      <c r="NY25" s="85"/>
      <c r="NZ25" s="85"/>
      <c r="OA25" s="85"/>
      <c r="OB25" s="85"/>
      <c r="OC25" s="30">
        <f t="shared" si="38"/>
        <v>0</v>
      </c>
      <c r="OD25" s="28">
        <f t="shared" si="39"/>
        <v>0</v>
      </c>
    </row>
    <row r="26" spans="1:394" ht="14.45" customHeight="1" x14ac:dyDescent="0.25">
      <c r="A26" s="47"/>
      <c r="B26" s="14"/>
      <c r="C26" s="747" t="s">
        <v>98</v>
      </c>
      <c r="D26" s="643"/>
      <c r="E26" s="643"/>
      <c r="F26" s="643"/>
      <c r="G26" s="705"/>
      <c r="H26" s="88"/>
      <c r="I26" s="13"/>
      <c r="J26" s="13"/>
      <c r="K26" s="19"/>
      <c r="L26" s="19"/>
      <c r="M26" s="19"/>
      <c r="N26" s="19"/>
      <c r="O26" s="12"/>
      <c r="P26" s="644" t="s">
        <v>98</v>
      </c>
      <c r="Q26" s="644"/>
      <c r="R26" s="644"/>
      <c r="S26" s="644"/>
      <c r="T26" s="644"/>
      <c r="U26" s="644"/>
      <c r="V26" s="13"/>
      <c r="W26" s="19"/>
      <c r="X26" s="19"/>
      <c r="Y26" s="23"/>
      <c r="Z26" s="19"/>
      <c r="AA26" s="34"/>
      <c r="AB26" s="34"/>
      <c r="AC26" s="34"/>
      <c r="AD26" s="34"/>
      <c r="AE26" s="34"/>
      <c r="AF26" s="34"/>
      <c r="AG26" s="6"/>
      <c r="AH26" s="644" t="s">
        <v>98</v>
      </c>
      <c r="AI26" s="644"/>
      <c r="AJ26" s="644"/>
      <c r="AK26" s="644"/>
      <c r="AL26" s="644"/>
      <c r="AM26" s="644"/>
      <c r="AN26" s="13"/>
      <c r="AO26" s="19"/>
      <c r="AP26" s="23"/>
      <c r="AQ26" s="19"/>
      <c r="AS26" s="644" t="s">
        <v>98</v>
      </c>
      <c r="AT26" s="644"/>
      <c r="AU26" s="644"/>
      <c r="AV26" s="644"/>
      <c r="AW26" s="644"/>
      <c r="AX26" s="644"/>
      <c r="AY26" s="28"/>
      <c r="AZ26" s="28"/>
      <c r="BA26" s="28"/>
      <c r="BB26" s="28"/>
      <c r="BC26" s="28"/>
      <c r="BD26" s="30"/>
      <c r="BE26" s="28"/>
      <c r="BF26" s="14"/>
      <c r="BG26" s="644" t="s">
        <v>98</v>
      </c>
      <c r="BH26" s="644"/>
      <c r="BI26" s="644"/>
      <c r="BJ26" s="644"/>
      <c r="BK26" s="644"/>
      <c r="BL26" s="644"/>
      <c r="BM26" s="28"/>
      <c r="BN26" s="28"/>
      <c r="BO26" s="28"/>
      <c r="BP26" s="30"/>
      <c r="BQ26" s="28"/>
      <c r="BR26" s="14"/>
      <c r="BS26" s="644" t="s">
        <v>98</v>
      </c>
      <c r="BT26" s="644"/>
      <c r="BU26" s="644"/>
      <c r="BV26" s="644"/>
      <c r="BW26" s="644"/>
      <c r="BX26" s="644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30"/>
      <c r="CJ26" s="28"/>
      <c r="CK26" s="14"/>
      <c r="CL26" s="644" t="s">
        <v>98</v>
      </c>
      <c r="CM26" s="644"/>
      <c r="CN26" s="644"/>
      <c r="CO26" s="644"/>
      <c r="CP26" s="644"/>
      <c r="CQ26" s="644"/>
      <c r="CR26" s="1">
        <v>115</v>
      </c>
      <c r="CS26" s="1"/>
      <c r="CT26" s="1"/>
      <c r="CU26" s="1"/>
      <c r="CV26" s="1"/>
      <c r="CW26" s="1"/>
      <c r="CX26" s="1"/>
      <c r="CY26" s="1"/>
      <c r="CZ26" s="1"/>
      <c r="DA26" s="30"/>
      <c r="DB26" s="28"/>
      <c r="DC26" s="3"/>
      <c r="DD26" s="644" t="s">
        <v>98</v>
      </c>
      <c r="DE26" s="644"/>
      <c r="DF26" s="644"/>
      <c r="DG26" s="644"/>
      <c r="DH26" s="644"/>
      <c r="DI26" s="644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30"/>
      <c r="DV26" s="28"/>
      <c r="DX26" s="677" t="s">
        <v>98</v>
      </c>
      <c r="DY26" s="677"/>
      <c r="DZ26" s="677"/>
      <c r="EA26" s="677"/>
      <c r="EB26" s="677"/>
      <c r="EC26" s="677"/>
      <c r="ED26" s="72">
        <v>115</v>
      </c>
      <c r="EE26" s="72"/>
      <c r="EF26" s="72"/>
      <c r="EG26" s="72"/>
      <c r="EH26" s="72"/>
      <c r="EI26" s="72"/>
      <c r="EJ26" s="72"/>
      <c r="EK26" s="72"/>
      <c r="EL26" s="72"/>
      <c r="EM26" s="91"/>
      <c r="EN26" s="91"/>
      <c r="EO26" s="30">
        <f t="shared" si="24"/>
        <v>0</v>
      </c>
      <c r="EP26" s="28">
        <f t="shared" si="25"/>
        <v>0</v>
      </c>
      <c r="EQ26" t="str">
        <f t="shared" si="26"/>
        <v>IGUAL</v>
      </c>
      <c r="ER26" s="677" t="s">
        <v>98</v>
      </c>
      <c r="ES26" s="677"/>
      <c r="ET26" s="677"/>
      <c r="EU26" s="677"/>
      <c r="EV26" s="677"/>
      <c r="EW26" s="677"/>
      <c r="EX26" s="72">
        <v>115</v>
      </c>
      <c r="EY26" s="72"/>
      <c r="EZ26" s="72"/>
      <c r="FA26" s="72"/>
      <c r="FB26" s="72"/>
      <c r="FC26" s="72"/>
      <c r="FD26" s="72"/>
      <c r="FE26" s="72"/>
      <c r="FF26" s="72"/>
      <c r="FG26" s="72"/>
      <c r="FH26" s="72"/>
      <c r="FI26" s="91"/>
      <c r="FJ26" s="91"/>
      <c r="FK26" s="91"/>
      <c r="FL26" s="91"/>
      <c r="FM26" s="91"/>
      <c r="FN26" s="91"/>
      <c r="FO26" s="91"/>
      <c r="FP26" s="91"/>
      <c r="FQ26" s="91"/>
      <c r="FR26" s="91"/>
      <c r="FS26" s="91"/>
      <c r="FT26" s="30">
        <f t="shared" si="27"/>
        <v>0</v>
      </c>
      <c r="FU26" s="28">
        <f t="shared" si="28"/>
        <v>0</v>
      </c>
      <c r="FW26" s="677" t="s">
        <v>98</v>
      </c>
      <c r="FX26" s="677"/>
      <c r="FY26" s="677"/>
      <c r="FZ26" s="677"/>
      <c r="GA26" s="677"/>
      <c r="GB26" s="677"/>
      <c r="GC26" s="72">
        <v>115</v>
      </c>
      <c r="GD26" s="91"/>
      <c r="GE26" s="72"/>
      <c r="GF26" s="72"/>
      <c r="GG26" s="72"/>
      <c r="GH26" s="72"/>
      <c r="GI26" s="72"/>
      <c r="GJ26" s="72"/>
      <c r="GK26" s="72"/>
      <c r="GL26" s="72"/>
      <c r="GM26" s="72"/>
      <c r="GN26" s="91"/>
      <c r="GO26" s="91"/>
      <c r="GP26" s="91"/>
      <c r="GQ26" s="30">
        <f t="shared" si="29"/>
        <v>0</v>
      </c>
      <c r="GR26" s="28">
        <f t="shared" si="30"/>
        <v>0</v>
      </c>
      <c r="GT26" s="677" t="s">
        <v>98</v>
      </c>
      <c r="GU26" s="677"/>
      <c r="GV26" s="677"/>
      <c r="GW26" s="677"/>
      <c r="GX26" s="677"/>
      <c r="GY26" s="677"/>
      <c r="GZ26" s="72">
        <v>115</v>
      </c>
      <c r="HA26" s="72"/>
      <c r="HB26" s="72"/>
      <c r="HC26" s="72"/>
      <c r="HD26" s="72"/>
      <c r="HE26" s="72"/>
      <c r="HF26" s="72"/>
      <c r="HG26" s="72"/>
      <c r="HH26" s="72"/>
      <c r="HI26" s="72"/>
      <c r="HJ26" s="91"/>
      <c r="HK26" s="91"/>
      <c r="HL26" s="30">
        <f t="shared" si="31"/>
        <v>0</v>
      </c>
      <c r="HM26" s="28">
        <f t="shared" si="32"/>
        <v>0</v>
      </c>
      <c r="HO26" s="677" t="s">
        <v>98</v>
      </c>
      <c r="HP26" s="677"/>
      <c r="HQ26" s="677"/>
      <c r="HR26" s="677"/>
      <c r="HS26" s="677"/>
      <c r="HT26" s="677"/>
      <c r="HU26" s="72">
        <v>130</v>
      </c>
      <c r="HV26" s="72"/>
      <c r="HW26" s="30">
        <f t="shared" si="33"/>
        <v>0</v>
      </c>
      <c r="HX26" s="28">
        <f t="shared" si="0"/>
        <v>0</v>
      </c>
      <c r="HZ26" s="677" t="s">
        <v>98</v>
      </c>
      <c r="IA26" s="677"/>
      <c r="IB26" s="677"/>
      <c r="IC26" s="677"/>
      <c r="ID26" s="677"/>
      <c r="IE26" s="677"/>
      <c r="IF26" s="72">
        <v>130</v>
      </c>
      <c r="IG26" s="72"/>
      <c r="IH26" s="91"/>
      <c r="II26" s="91"/>
      <c r="IJ26" s="91"/>
      <c r="IK26" s="91"/>
      <c r="IL26" s="91"/>
      <c r="IM26" s="30">
        <f t="shared" si="41"/>
        <v>0</v>
      </c>
      <c r="IN26" s="28">
        <f t="shared" si="1"/>
        <v>0</v>
      </c>
      <c r="IP26" s="677" t="s">
        <v>98</v>
      </c>
      <c r="IQ26" s="677"/>
      <c r="IR26" s="677"/>
      <c r="IS26" s="677"/>
      <c r="IT26" s="677"/>
      <c r="IU26" s="677"/>
      <c r="IV26" s="72">
        <v>130</v>
      </c>
      <c r="IW26" s="72"/>
      <c r="IX26" s="91"/>
      <c r="IY26" s="30">
        <f t="shared" si="2"/>
        <v>0</v>
      </c>
      <c r="IZ26" s="28">
        <f t="shared" si="3"/>
        <v>0</v>
      </c>
      <c r="JB26" s="677" t="s">
        <v>98</v>
      </c>
      <c r="JC26" s="677"/>
      <c r="JD26" s="677"/>
      <c r="JE26" s="677"/>
      <c r="JF26" s="677"/>
      <c r="JG26" s="677"/>
      <c r="JH26" s="72">
        <v>125</v>
      </c>
      <c r="JI26" s="72"/>
      <c r="JJ26" s="91"/>
      <c r="JK26" s="91"/>
      <c r="JL26" s="91"/>
      <c r="JM26" s="91"/>
      <c r="JN26" s="91"/>
      <c r="JO26" s="91"/>
      <c r="JP26" s="91"/>
      <c r="JQ26" s="91"/>
      <c r="JR26" s="91"/>
      <c r="JS26" s="91"/>
      <c r="JT26" s="91"/>
      <c r="JU26" s="91"/>
      <c r="JV26" s="91"/>
      <c r="JW26" s="91"/>
      <c r="JX26" s="91"/>
      <c r="JY26" s="91"/>
      <c r="JZ26" s="91"/>
      <c r="KA26" s="91"/>
      <c r="KB26" s="91"/>
      <c r="KC26" s="91"/>
      <c r="KD26" s="91"/>
      <c r="KE26" s="30">
        <f t="shared" si="34"/>
        <v>0</v>
      </c>
      <c r="KF26" s="28">
        <f t="shared" si="42"/>
        <v>0</v>
      </c>
      <c r="KH26" s="677" t="s">
        <v>98</v>
      </c>
      <c r="KI26" s="677"/>
      <c r="KJ26" s="677"/>
      <c r="KK26" s="677"/>
      <c r="KL26" s="677"/>
      <c r="KM26" s="677"/>
      <c r="KN26" s="72">
        <v>125</v>
      </c>
      <c r="KO26" s="72"/>
      <c r="KP26" s="91"/>
      <c r="KQ26" s="91"/>
      <c r="KR26" s="91"/>
      <c r="KS26" s="30">
        <f t="shared" si="4"/>
        <v>0</v>
      </c>
      <c r="KT26" s="28">
        <f t="shared" si="5"/>
        <v>0</v>
      </c>
      <c r="KV26" s="677" t="s">
        <v>98</v>
      </c>
      <c r="KW26" s="677"/>
      <c r="KX26" s="677"/>
      <c r="KY26" s="677"/>
      <c r="KZ26" s="677"/>
      <c r="LA26" s="677"/>
      <c r="LB26" s="72">
        <v>115</v>
      </c>
      <c r="LC26" s="72"/>
      <c r="LD26" s="91"/>
      <c r="LE26" s="91"/>
      <c r="LF26" s="30">
        <f t="shared" si="6"/>
        <v>0</v>
      </c>
      <c r="LG26" s="28">
        <f t="shared" si="7"/>
        <v>0</v>
      </c>
      <c r="LI26" s="677" t="s">
        <v>98</v>
      </c>
      <c r="LJ26" s="677"/>
      <c r="LK26" s="677"/>
      <c r="LL26" s="677"/>
      <c r="LM26" s="677"/>
      <c r="LN26" s="677"/>
      <c r="LO26" s="72">
        <v>115</v>
      </c>
      <c r="LP26" s="72"/>
      <c r="LQ26" s="91"/>
      <c r="LR26" s="91"/>
      <c r="LS26" s="91"/>
      <c r="LT26" s="91"/>
      <c r="LU26" s="91"/>
      <c r="LV26" s="91"/>
      <c r="LW26" s="91"/>
      <c r="LX26" s="91"/>
      <c r="LY26" s="91"/>
      <c r="LZ26" s="91"/>
      <c r="MA26" s="91"/>
      <c r="MB26" s="91"/>
      <c r="MC26" s="91"/>
      <c r="MD26" s="91"/>
      <c r="ME26" s="30">
        <f t="shared" si="35"/>
        <v>0</v>
      </c>
      <c r="MF26" s="28">
        <f t="shared" si="8"/>
        <v>0</v>
      </c>
      <c r="MH26" s="677" t="s">
        <v>98</v>
      </c>
      <c r="MI26" s="677"/>
      <c r="MJ26" s="677"/>
      <c r="MK26" s="677"/>
      <c r="ML26" s="677"/>
      <c r="MM26" s="677"/>
      <c r="MN26" s="72">
        <v>115</v>
      </c>
      <c r="MO26" s="72"/>
      <c r="MP26" s="91"/>
      <c r="MQ26" s="91"/>
      <c r="MR26" s="91"/>
      <c r="MS26" s="91"/>
      <c r="MT26" s="91"/>
      <c r="MU26" s="91"/>
      <c r="MV26" s="91"/>
      <c r="MW26" s="91"/>
      <c r="MX26" s="91"/>
      <c r="MY26" s="91"/>
      <c r="MZ26" s="91"/>
      <c r="NA26" s="91"/>
      <c r="NB26" s="91"/>
      <c r="NC26" s="91"/>
      <c r="ND26" s="30">
        <f t="shared" si="36"/>
        <v>0</v>
      </c>
      <c r="NE26" s="28">
        <f t="shared" si="37"/>
        <v>0</v>
      </c>
      <c r="NG26" s="677" t="s">
        <v>98</v>
      </c>
      <c r="NH26" s="677"/>
      <c r="NI26" s="677"/>
      <c r="NJ26" s="677"/>
      <c r="NK26" s="677"/>
      <c r="NL26" s="677"/>
      <c r="NM26" s="72">
        <v>115</v>
      </c>
      <c r="NN26" s="91"/>
      <c r="NO26" s="91"/>
      <c r="NP26" s="91"/>
      <c r="NQ26" s="91"/>
      <c r="NR26" s="91"/>
      <c r="NS26" s="91"/>
      <c r="NT26" s="91"/>
      <c r="NU26" s="91"/>
      <c r="NV26" s="91"/>
      <c r="NW26" s="91"/>
      <c r="NX26" s="91"/>
      <c r="NY26" s="91"/>
      <c r="NZ26" s="91"/>
      <c r="OA26" s="91"/>
      <c r="OB26" s="91"/>
      <c r="OC26" s="30">
        <f t="shared" si="38"/>
        <v>0</v>
      </c>
      <c r="OD26" s="28">
        <f t="shared" si="39"/>
        <v>0</v>
      </c>
    </row>
    <row r="27" spans="1:394" ht="14.45" customHeight="1" x14ac:dyDescent="0.25">
      <c r="A27" s="47"/>
      <c r="B27" s="14"/>
      <c r="C27" s="747" t="s">
        <v>99</v>
      </c>
      <c r="D27" s="643"/>
      <c r="E27" s="643"/>
      <c r="F27" s="643"/>
      <c r="G27" s="705"/>
      <c r="H27" s="88"/>
      <c r="I27" s="13"/>
      <c r="J27" s="13"/>
      <c r="K27" s="19"/>
      <c r="L27" s="19"/>
      <c r="M27" s="19"/>
      <c r="N27" s="19"/>
      <c r="O27" s="12"/>
      <c r="P27" s="644" t="s">
        <v>99</v>
      </c>
      <c r="Q27" s="644"/>
      <c r="R27" s="644"/>
      <c r="S27" s="644"/>
      <c r="T27" s="644"/>
      <c r="U27" s="644"/>
      <c r="V27" s="13"/>
      <c r="W27" s="19"/>
      <c r="X27" s="19"/>
      <c r="Y27" s="23"/>
      <c r="Z27" s="19"/>
      <c r="AA27" s="34"/>
      <c r="AB27" s="34"/>
      <c r="AC27" s="34"/>
      <c r="AD27" s="34"/>
      <c r="AE27" s="34"/>
      <c r="AF27" s="34"/>
      <c r="AG27" s="6"/>
      <c r="AH27" s="644" t="s">
        <v>99</v>
      </c>
      <c r="AI27" s="644"/>
      <c r="AJ27" s="644"/>
      <c r="AK27" s="644"/>
      <c r="AL27" s="644"/>
      <c r="AM27" s="644"/>
      <c r="AN27" s="13"/>
      <c r="AO27" s="19"/>
      <c r="AP27" s="23"/>
      <c r="AQ27" s="19"/>
      <c r="AS27" s="644" t="s">
        <v>99</v>
      </c>
      <c r="AT27" s="644"/>
      <c r="AU27" s="644"/>
      <c r="AV27" s="644"/>
      <c r="AW27" s="644"/>
      <c r="AX27" s="644"/>
      <c r="AY27" s="28"/>
      <c r="AZ27" s="28"/>
      <c r="BA27" s="28"/>
      <c r="BB27" s="28"/>
      <c r="BC27" s="28"/>
      <c r="BD27" s="30"/>
      <c r="BE27" s="28"/>
      <c r="BF27" s="14"/>
      <c r="BG27" s="644" t="s">
        <v>99</v>
      </c>
      <c r="BH27" s="644"/>
      <c r="BI27" s="644"/>
      <c r="BJ27" s="644"/>
      <c r="BK27" s="644"/>
      <c r="BL27" s="644"/>
      <c r="BM27" s="28"/>
      <c r="BN27" s="28"/>
      <c r="BO27" s="28"/>
      <c r="BP27" s="30"/>
      <c r="BQ27" s="28"/>
      <c r="BR27" s="14"/>
      <c r="BS27" s="644" t="s">
        <v>99</v>
      </c>
      <c r="BT27" s="644"/>
      <c r="BU27" s="644"/>
      <c r="BV27" s="644"/>
      <c r="BW27" s="644"/>
      <c r="BX27" s="644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30"/>
      <c r="CJ27" s="28"/>
      <c r="CK27" s="14"/>
      <c r="CL27" s="644" t="s">
        <v>99</v>
      </c>
      <c r="CM27" s="644"/>
      <c r="CN27" s="644"/>
      <c r="CO27" s="644"/>
      <c r="CP27" s="644"/>
      <c r="CQ27" s="644"/>
      <c r="CR27" s="1">
        <v>125</v>
      </c>
      <c r="CS27" s="1"/>
      <c r="CT27" s="1"/>
      <c r="CU27" s="1"/>
      <c r="CV27" s="1"/>
      <c r="CW27" s="1"/>
      <c r="CX27" s="1"/>
      <c r="CY27" s="1"/>
      <c r="CZ27" s="1"/>
      <c r="DA27" s="30"/>
      <c r="DB27" s="28"/>
      <c r="DC27" s="3"/>
      <c r="DD27" s="644" t="s">
        <v>99</v>
      </c>
      <c r="DE27" s="644"/>
      <c r="DF27" s="644"/>
      <c r="DG27" s="644"/>
      <c r="DH27" s="644"/>
      <c r="DI27" s="644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30"/>
      <c r="DV27" s="28"/>
      <c r="DX27" s="644" t="s">
        <v>99</v>
      </c>
      <c r="DY27" s="644"/>
      <c r="DZ27" s="644"/>
      <c r="EA27" s="644"/>
      <c r="EB27" s="644"/>
      <c r="EC27" s="644"/>
      <c r="ED27" s="1">
        <v>125</v>
      </c>
      <c r="EE27" s="1"/>
      <c r="EF27" s="1"/>
      <c r="EG27" s="1"/>
      <c r="EH27" s="1"/>
      <c r="EI27" s="1"/>
      <c r="EJ27" s="1"/>
      <c r="EK27" s="1"/>
      <c r="EL27" s="1"/>
      <c r="EM27" s="85"/>
      <c r="EN27" s="85"/>
      <c r="EO27" s="30">
        <f t="shared" si="24"/>
        <v>0</v>
      </c>
      <c r="EP27" s="28">
        <f t="shared" si="25"/>
        <v>0</v>
      </c>
      <c r="EQ27" t="str">
        <f t="shared" si="26"/>
        <v>IGUAL</v>
      </c>
      <c r="ER27" s="644" t="s">
        <v>99</v>
      </c>
      <c r="ES27" s="644"/>
      <c r="ET27" s="644"/>
      <c r="EU27" s="644"/>
      <c r="EV27" s="644"/>
      <c r="EW27" s="644"/>
      <c r="EX27" s="1">
        <v>125</v>
      </c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85"/>
      <c r="FJ27" s="85"/>
      <c r="FK27" s="85"/>
      <c r="FL27" s="85"/>
      <c r="FM27" s="85"/>
      <c r="FN27" s="85"/>
      <c r="FO27" s="85"/>
      <c r="FP27" s="85"/>
      <c r="FQ27" s="85"/>
      <c r="FR27" s="85"/>
      <c r="FS27" s="85"/>
      <c r="FT27" s="30">
        <f t="shared" si="27"/>
        <v>0</v>
      </c>
      <c r="FU27" s="28">
        <f t="shared" si="28"/>
        <v>0</v>
      </c>
      <c r="FW27" s="644" t="s">
        <v>99</v>
      </c>
      <c r="FX27" s="644"/>
      <c r="FY27" s="644"/>
      <c r="FZ27" s="644"/>
      <c r="GA27" s="644"/>
      <c r="GB27" s="644"/>
      <c r="GC27" s="1">
        <v>125</v>
      </c>
      <c r="GD27" s="85"/>
      <c r="GE27" s="1"/>
      <c r="GF27" s="1"/>
      <c r="GG27" s="1"/>
      <c r="GH27" s="1"/>
      <c r="GI27" s="1"/>
      <c r="GJ27" s="1"/>
      <c r="GK27" s="1"/>
      <c r="GL27" s="1"/>
      <c r="GM27" s="1"/>
      <c r="GN27" s="85"/>
      <c r="GO27" s="85"/>
      <c r="GP27" s="85"/>
      <c r="GQ27" s="30">
        <f t="shared" si="29"/>
        <v>0</v>
      </c>
      <c r="GR27" s="28">
        <f t="shared" si="30"/>
        <v>0</v>
      </c>
      <c r="GT27" s="644" t="s">
        <v>99</v>
      </c>
      <c r="GU27" s="644"/>
      <c r="GV27" s="644"/>
      <c r="GW27" s="644"/>
      <c r="GX27" s="644"/>
      <c r="GY27" s="644"/>
      <c r="GZ27" s="1">
        <v>125</v>
      </c>
      <c r="HA27" s="1"/>
      <c r="HB27" s="1"/>
      <c r="HC27" s="1"/>
      <c r="HD27" s="1"/>
      <c r="HE27" s="1"/>
      <c r="HF27" s="1"/>
      <c r="HG27" s="1"/>
      <c r="HH27" s="1"/>
      <c r="HI27" s="1"/>
      <c r="HJ27" s="85"/>
      <c r="HK27" s="85"/>
      <c r="HL27" s="30">
        <f t="shared" si="31"/>
        <v>0</v>
      </c>
      <c r="HM27" s="28">
        <f t="shared" si="32"/>
        <v>0</v>
      </c>
      <c r="HO27" s="644" t="s">
        <v>99</v>
      </c>
      <c r="HP27" s="644"/>
      <c r="HQ27" s="644"/>
      <c r="HR27" s="644"/>
      <c r="HS27" s="644"/>
      <c r="HT27" s="644"/>
      <c r="HU27" s="2">
        <v>145</v>
      </c>
      <c r="HV27" s="1"/>
      <c r="HW27" s="30">
        <f t="shared" si="33"/>
        <v>0</v>
      </c>
      <c r="HX27" s="28">
        <f t="shared" si="0"/>
        <v>0</v>
      </c>
      <c r="HZ27" s="644" t="s">
        <v>99</v>
      </c>
      <c r="IA27" s="644"/>
      <c r="IB27" s="644"/>
      <c r="IC27" s="644"/>
      <c r="ID27" s="644"/>
      <c r="IE27" s="644"/>
      <c r="IF27" s="2">
        <v>145</v>
      </c>
      <c r="IG27" s="1"/>
      <c r="IH27" s="85"/>
      <c r="II27" s="85"/>
      <c r="IJ27" s="85"/>
      <c r="IK27" s="85"/>
      <c r="IL27" s="85"/>
      <c r="IM27" s="30">
        <f t="shared" si="41"/>
        <v>0</v>
      </c>
      <c r="IN27" s="28">
        <f t="shared" si="1"/>
        <v>0</v>
      </c>
      <c r="IP27" s="644" t="s">
        <v>99</v>
      </c>
      <c r="IQ27" s="644"/>
      <c r="IR27" s="644"/>
      <c r="IS27" s="644"/>
      <c r="IT27" s="644"/>
      <c r="IU27" s="644"/>
      <c r="IV27" s="2">
        <v>145</v>
      </c>
      <c r="IW27" s="1"/>
      <c r="IX27" s="85"/>
      <c r="IY27" s="30">
        <f t="shared" si="2"/>
        <v>0</v>
      </c>
      <c r="IZ27" s="28">
        <f t="shared" si="3"/>
        <v>0</v>
      </c>
      <c r="JB27" s="644" t="s">
        <v>99</v>
      </c>
      <c r="JC27" s="644"/>
      <c r="JD27" s="644"/>
      <c r="JE27" s="644"/>
      <c r="JF27" s="644"/>
      <c r="JG27" s="644"/>
      <c r="JH27" s="2">
        <v>135</v>
      </c>
      <c r="JI27" s="1"/>
      <c r="JJ27" s="85"/>
      <c r="JK27" s="85"/>
      <c r="JL27" s="85"/>
      <c r="JM27" s="85"/>
      <c r="JN27" s="85"/>
      <c r="JO27" s="85"/>
      <c r="JP27" s="85"/>
      <c r="JQ27" s="85"/>
      <c r="JR27" s="85"/>
      <c r="JS27" s="85">
        <v>1</v>
      </c>
      <c r="JT27" s="85"/>
      <c r="JU27" s="85"/>
      <c r="JV27" s="85"/>
      <c r="JW27" s="85"/>
      <c r="JX27" s="85"/>
      <c r="JY27" s="85"/>
      <c r="JZ27" s="85"/>
      <c r="KA27" s="85"/>
      <c r="KB27" s="85"/>
      <c r="KC27" s="85"/>
      <c r="KD27" s="85"/>
      <c r="KE27" s="30">
        <f t="shared" si="34"/>
        <v>1</v>
      </c>
      <c r="KF27" s="28">
        <f t="shared" si="42"/>
        <v>135</v>
      </c>
      <c r="KH27" s="644" t="s">
        <v>99</v>
      </c>
      <c r="KI27" s="644"/>
      <c r="KJ27" s="644"/>
      <c r="KK27" s="644"/>
      <c r="KL27" s="644"/>
      <c r="KM27" s="644"/>
      <c r="KN27" s="2">
        <v>135</v>
      </c>
      <c r="KO27" s="1"/>
      <c r="KP27" s="85"/>
      <c r="KQ27" s="85"/>
      <c r="KR27" s="85"/>
      <c r="KS27" s="30">
        <f t="shared" si="4"/>
        <v>0</v>
      </c>
      <c r="KT27" s="28">
        <f t="shared" si="5"/>
        <v>0</v>
      </c>
      <c r="KV27" s="644" t="s">
        <v>99</v>
      </c>
      <c r="KW27" s="644"/>
      <c r="KX27" s="644"/>
      <c r="KY27" s="644"/>
      <c r="KZ27" s="644"/>
      <c r="LA27" s="644"/>
      <c r="LB27" s="2">
        <v>125</v>
      </c>
      <c r="LC27" s="1"/>
      <c r="LD27" s="85"/>
      <c r="LE27" s="85"/>
      <c r="LF27" s="30">
        <f t="shared" si="6"/>
        <v>0</v>
      </c>
      <c r="LG27" s="28">
        <f t="shared" si="7"/>
        <v>0</v>
      </c>
      <c r="LI27" s="644" t="s">
        <v>99</v>
      </c>
      <c r="LJ27" s="644"/>
      <c r="LK27" s="644"/>
      <c r="LL27" s="644"/>
      <c r="LM27" s="644"/>
      <c r="LN27" s="644"/>
      <c r="LO27" s="2">
        <v>125</v>
      </c>
      <c r="LP27" s="1"/>
      <c r="LQ27" s="85"/>
      <c r="LR27" s="85"/>
      <c r="LS27" s="85"/>
      <c r="LT27" s="85"/>
      <c r="LU27" s="85"/>
      <c r="LV27" s="85"/>
      <c r="LW27" s="85"/>
      <c r="LX27" s="85"/>
      <c r="LY27" s="85"/>
      <c r="LZ27" s="85"/>
      <c r="MA27" s="85"/>
      <c r="MB27" s="85"/>
      <c r="MC27" s="85"/>
      <c r="MD27" s="85"/>
      <c r="ME27" s="30">
        <f t="shared" si="35"/>
        <v>0</v>
      </c>
      <c r="MF27" s="28">
        <f t="shared" si="8"/>
        <v>0</v>
      </c>
      <c r="MH27" s="644" t="s">
        <v>99</v>
      </c>
      <c r="MI27" s="644"/>
      <c r="MJ27" s="644"/>
      <c r="MK27" s="644"/>
      <c r="ML27" s="644"/>
      <c r="MM27" s="644"/>
      <c r="MN27" s="2">
        <v>125</v>
      </c>
      <c r="MO27" s="1"/>
      <c r="MP27" s="85"/>
      <c r="MQ27" s="85"/>
      <c r="MR27" s="85"/>
      <c r="MS27" s="85"/>
      <c r="MT27" s="85"/>
      <c r="MU27" s="85"/>
      <c r="MV27" s="85"/>
      <c r="MW27" s="85"/>
      <c r="MX27" s="85"/>
      <c r="MY27" s="85"/>
      <c r="MZ27" s="85"/>
      <c r="NA27" s="85"/>
      <c r="NB27" s="85"/>
      <c r="NC27" s="85"/>
      <c r="ND27" s="30">
        <f t="shared" si="36"/>
        <v>0</v>
      </c>
      <c r="NE27" s="28">
        <f t="shared" si="37"/>
        <v>0</v>
      </c>
      <c r="NG27" s="644" t="s">
        <v>99</v>
      </c>
      <c r="NH27" s="644"/>
      <c r="NI27" s="644"/>
      <c r="NJ27" s="644"/>
      <c r="NK27" s="644"/>
      <c r="NL27" s="644"/>
      <c r="NM27" s="2">
        <v>125</v>
      </c>
      <c r="NN27" s="85">
        <v>1</v>
      </c>
      <c r="NO27" s="85"/>
      <c r="NP27" s="85"/>
      <c r="NQ27" s="85"/>
      <c r="NR27" s="85"/>
      <c r="NS27" s="85"/>
      <c r="NT27" s="85"/>
      <c r="NU27" s="85"/>
      <c r="NV27" s="85"/>
      <c r="NW27" s="85"/>
      <c r="NX27" s="85"/>
      <c r="NY27" s="85"/>
      <c r="NZ27" s="85"/>
      <c r="OA27" s="85"/>
      <c r="OB27" s="85"/>
      <c r="OC27" s="30">
        <f t="shared" si="38"/>
        <v>1</v>
      </c>
      <c r="OD27" s="28">
        <f t="shared" si="39"/>
        <v>125</v>
      </c>
    </row>
    <row r="28" spans="1:394" ht="14.45" customHeight="1" x14ac:dyDescent="0.25">
      <c r="A28" s="47"/>
      <c r="B28" s="14"/>
      <c r="C28" s="747" t="s">
        <v>100</v>
      </c>
      <c r="D28" s="643"/>
      <c r="E28" s="643"/>
      <c r="F28" s="643"/>
      <c r="G28" s="705"/>
      <c r="H28" s="88"/>
      <c r="I28" s="13"/>
      <c r="J28" s="13"/>
      <c r="K28" s="19"/>
      <c r="L28" s="19"/>
      <c r="M28" s="19"/>
      <c r="N28" s="19"/>
      <c r="O28" s="12"/>
      <c r="P28" s="644" t="s">
        <v>100</v>
      </c>
      <c r="Q28" s="644"/>
      <c r="R28" s="644"/>
      <c r="S28" s="644"/>
      <c r="T28" s="644"/>
      <c r="U28" s="644"/>
      <c r="V28" s="13"/>
      <c r="W28" s="19"/>
      <c r="X28" s="19"/>
      <c r="Y28" s="23"/>
      <c r="Z28" s="19"/>
      <c r="AA28" s="34"/>
      <c r="AB28" s="34"/>
      <c r="AC28" s="34"/>
      <c r="AD28" s="34"/>
      <c r="AE28" s="34"/>
      <c r="AF28" s="34"/>
      <c r="AG28" s="6"/>
      <c r="AH28" s="644" t="s">
        <v>100</v>
      </c>
      <c r="AI28" s="644"/>
      <c r="AJ28" s="644"/>
      <c r="AK28" s="644"/>
      <c r="AL28" s="644"/>
      <c r="AM28" s="644"/>
      <c r="AN28" s="13"/>
      <c r="AO28" s="19"/>
      <c r="AP28" s="23"/>
      <c r="AQ28" s="19"/>
      <c r="AS28" s="644" t="s">
        <v>100</v>
      </c>
      <c r="AT28" s="644"/>
      <c r="AU28" s="644"/>
      <c r="AV28" s="644"/>
      <c r="AW28" s="644"/>
      <c r="AX28" s="644"/>
      <c r="AY28" s="28"/>
      <c r="AZ28" s="28"/>
      <c r="BA28" s="28"/>
      <c r="BB28" s="28"/>
      <c r="BC28" s="28"/>
      <c r="BD28" s="30"/>
      <c r="BE28" s="28"/>
      <c r="BF28" s="14"/>
      <c r="BG28" s="644" t="s">
        <v>100</v>
      </c>
      <c r="BH28" s="644"/>
      <c r="BI28" s="644"/>
      <c r="BJ28" s="644"/>
      <c r="BK28" s="644"/>
      <c r="BL28" s="644"/>
      <c r="BM28" s="28"/>
      <c r="BN28" s="28"/>
      <c r="BO28" s="28"/>
      <c r="BP28" s="30"/>
      <c r="BQ28" s="28"/>
      <c r="BR28" s="14"/>
      <c r="BS28" s="644" t="s">
        <v>100</v>
      </c>
      <c r="BT28" s="644"/>
      <c r="BU28" s="644"/>
      <c r="BV28" s="644"/>
      <c r="BW28" s="644"/>
      <c r="BX28" s="644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30"/>
      <c r="CJ28" s="28"/>
      <c r="CK28" s="14"/>
      <c r="CL28" s="644" t="s">
        <v>100</v>
      </c>
      <c r="CM28" s="644"/>
      <c r="CN28" s="644"/>
      <c r="CO28" s="644"/>
      <c r="CP28" s="644"/>
      <c r="CQ28" s="644"/>
      <c r="CR28" s="1">
        <v>120</v>
      </c>
      <c r="CS28" s="1"/>
      <c r="CT28" s="1"/>
      <c r="CU28" s="1"/>
      <c r="CV28" s="1"/>
      <c r="CW28" s="1"/>
      <c r="CX28" s="1"/>
      <c r="CY28" s="1"/>
      <c r="CZ28" s="1"/>
      <c r="DA28" s="30"/>
      <c r="DB28" s="28"/>
      <c r="DC28" s="3"/>
      <c r="DD28" s="644" t="s">
        <v>100</v>
      </c>
      <c r="DE28" s="644"/>
      <c r="DF28" s="644"/>
      <c r="DG28" s="644"/>
      <c r="DH28" s="644"/>
      <c r="DI28" s="644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30"/>
      <c r="DV28" s="28"/>
      <c r="DX28" s="677" t="s">
        <v>100</v>
      </c>
      <c r="DY28" s="677"/>
      <c r="DZ28" s="677"/>
      <c r="EA28" s="677"/>
      <c r="EB28" s="677"/>
      <c r="EC28" s="677"/>
      <c r="ED28" s="72">
        <v>120</v>
      </c>
      <c r="EE28" s="72"/>
      <c r="EF28" s="72"/>
      <c r="EG28" s="72"/>
      <c r="EH28" s="72"/>
      <c r="EI28" s="72"/>
      <c r="EJ28" s="72"/>
      <c r="EK28" s="72"/>
      <c r="EL28" s="72"/>
      <c r="EM28" s="91"/>
      <c r="EN28" s="91"/>
      <c r="EO28" s="30">
        <f t="shared" si="24"/>
        <v>0</v>
      </c>
      <c r="EP28" s="28">
        <f t="shared" si="25"/>
        <v>0</v>
      </c>
      <c r="EQ28" t="str">
        <f t="shared" si="26"/>
        <v>IGUAL</v>
      </c>
      <c r="ER28" s="677" t="s">
        <v>100</v>
      </c>
      <c r="ES28" s="677"/>
      <c r="ET28" s="677"/>
      <c r="EU28" s="677"/>
      <c r="EV28" s="677"/>
      <c r="EW28" s="677"/>
      <c r="EX28" s="72">
        <v>120</v>
      </c>
      <c r="EY28" s="72"/>
      <c r="EZ28" s="72"/>
      <c r="FA28" s="72"/>
      <c r="FB28" s="72"/>
      <c r="FC28" s="72"/>
      <c r="FD28" s="72"/>
      <c r="FE28" s="72"/>
      <c r="FF28" s="72"/>
      <c r="FG28" s="72"/>
      <c r="FH28" s="72"/>
      <c r="FI28" s="91"/>
      <c r="FJ28" s="91"/>
      <c r="FK28" s="91"/>
      <c r="FL28" s="91"/>
      <c r="FM28" s="91"/>
      <c r="FN28" s="91"/>
      <c r="FO28" s="91"/>
      <c r="FP28" s="91"/>
      <c r="FQ28" s="91"/>
      <c r="FR28" s="91"/>
      <c r="FS28" s="91"/>
      <c r="FT28" s="30">
        <f t="shared" si="27"/>
        <v>0</v>
      </c>
      <c r="FU28" s="28">
        <f t="shared" si="28"/>
        <v>0</v>
      </c>
      <c r="FW28" s="677" t="s">
        <v>100</v>
      </c>
      <c r="FX28" s="677"/>
      <c r="FY28" s="677"/>
      <c r="FZ28" s="677"/>
      <c r="GA28" s="677"/>
      <c r="GB28" s="677"/>
      <c r="GC28" s="72">
        <v>120</v>
      </c>
      <c r="GD28" s="91"/>
      <c r="GE28" s="72"/>
      <c r="GF28" s="72"/>
      <c r="GG28" s="72"/>
      <c r="GH28" s="72"/>
      <c r="GI28" s="72"/>
      <c r="GJ28" s="72"/>
      <c r="GK28" s="72"/>
      <c r="GL28" s="72"/>
      <c r="GM28" s="72"/>
      <c r="GN28" s="91"/>
      <c r="GO28" s="91"/>
      <c r="GP28" s="91"/>
      <c r="GQ28" s="30">
        <f t="shared" si="29"/>
        <v>0</v>
      </c>
      <c r="GR28" s="28">
        <f t="shared" si="30"/>
        <v>0</v>
      </c>
      <c r="GT28" s="677" t="s">
        <v>100</v>
      </c>
      <c r="GU28" s="677"/>
      <c r="GV28" s="677"/>
      <c r="GW28" s="677"/>
      <c r="GX28" s="677"/>
      <c r="GY28" s="677"/>
      <c r="GZ28" s="72">
        <v>120</v>
      </c>
      <c r="HA28" s="72"/>
      <c r="HB28" s="72"/>
      <c r="HC28" s="72"/>
      <c r="HD28" s="72"/>
      <c r="HE28" s="72"/>
      <c r="HF28" s="72"/>
      <c r="HG28" s="72"/>
      <c r="HH28" s="72"/>
      <c r="HI28" s="72"/>
      <c r="HJ28" s="91"/>
      <c r="HK28" s="91"/>
      <c r="HL28" s="30">
        <f t="shared" si="31"/>
        <v>0</v>
      </c>
      <c r="HM28" s="28">
        <f t="shared" si="32"/>
        <v>0</v>
      </c>
      <c r="HO28" s="677" t="s">
        <v>100</v>
      </c>
      <c r="HP28" s="677"/>
      <c r="HQ28" s="677"/>
      <c r="HR28" s="677"/>
      <c r="HS28" s="677"/>
      <c r="HT28" s="677"/>
      <c r="HU28" s="72">
        <v>140</v>
      </c>
      <c r="HV28" s="72"/>
      <c r="HW28" s="30">
        <f t="shared" si="33"/>
        <v>0</v>
      </c>
      <c r="HX28" s="28">
        <f t="shared" si="0"/>
        <v>0</v>
      </c>
      <c r="HZ28" s="677" t="s">
        <v>100</v>
      </c>
      <c r="IA28" s="677"/>
      <c r="IB28" s="677"/>
      <c r="IC28" s="677"/>
      <c r="ID28" s="677"/>
      <c r="IE28" s="677"/>
      <c r="IF28" s="72">
        <v>140</v>
      </c>
      <c r="IG28" s="72"/>
      <c r="IH28" s="91"/>
      <c r="II28" s="91"/>
      <c r="IJ28" s="91"/>
      <c r="IK28" s="91"/>
      <c r="IL28" s="91"/>
      <c r="IM28" s="30">
        <f t="shared" si="41"/>
        <v>0</v>
      </c>
      <c r="IN28" s="28">
        <f t="shared" si="1"/>
        <v>0</v>
      </c>
      <c r="IP28" s="677" t="s">
        <v>100</v>
      </c>
      <c r="IQ28" s="677"/>
      <c r="IR28" s="677"/>
      <c r="IS28" s="677"/>
      <c r="IT28" s="677"/>
      <c r="IU28" s="677"/>
      <c r="IV28" s="72">
        <v>140</v>
      </c>
      <c r="IW28" s="72"/>
      <c r="IX28" s="91"/>
      <c r="IY28" s="30">
        <f t="shared" si="2"/>
        <v>0</v>
      </c>
      <c r="IZ28" s="28">
        <f t="shared" si="3"/>
        <v>0</v>
      </c>
      <c r="JB28" s="677" t="s">
        <v>100</v>
      </c>
      <c r="JC28" s="677"/>
      <c r="JD28" s="677"/>
      <c r="JE28" s="677"/>
      <c r="JF28" s="677"/>
      <c r="JG28" s="677"/>
      <c r="JH28" s="72">
        <v>130</v>
      </c>
      <c r="JI28" s="72"/>
      <c r="JJ28" s="91"/>
      <c r="JK28" s="91"/>
      <c r="JL28" s="91"/>
      <c r="JM28" s="91"/>
      <c r="JN28" s="91"/>
      <c r="JO28" s="91"/>
      <c r="JP28" s="91"/>
      <c r="JQ28" s="91"/>
      <c r="JR28" s="91"/>
      <c r="JS28" s="91"/>
      <c r="JT28" s="91"/>
      <c r="JU28" s="91"/>
      <c r="JV28" s="91"/>
      <c r="JW28" s="91"/>
      <c r="JX28" s="91"/>
      <c r="JY28" s="91"/>
      <c r="JZ28" s="91"/>
      <c r="KA28" s="91"/>
      <c r="KB28" s="91"/>
      <c r="KC28" s="91"/>
      <c r="KD28" s="91"/>
      <c r="KE28" s="30">
        <f t="shared" si="34"/>
        <v>0</v>
      </c>
      <c r="KF28" s="28">
        <f t="shared" si="42"/>
        <v>0</v>
      </c>
      <c r="KH28" s="677" t="s">
        <v>100</v>
      </c>
      <c r="KI28" s="677"/>
      <c r="KJ28" s="677"/>
      <c r="KK28" s="677"/>
      <c r="KL28" s="677"/>
      <c r="KM28" s="677"/>
      <c r="KN28" s="72">
        <v>130</v>
      </c>
      <c r="KO28" s="72"/>
      <c r="KP28" s="91"/>
      <c r="KQ28" s="91"/>
      <c r="KR28" s="91"/>
      <c r="KS28" s="30">
        <f t="shared" si="4"/>
        <v>0</v>
      </c>
      <c r="KT28" s="28">
        <f t="shared" si="5"/>
        <v>0</v>
      </c>
      <c r="KV28" s="677" t="s">
        <v>100</v>
      </c>
      <c r="KW28" s="677"/>
      <c r="KX28" s="677"/>
      <c r="KY28" s="677"/>
      <c r="KZ28" s="677"/>
      <c r="LA28" s="677"/>
      <c r="LB28" s="72">
        <v>120</v>
      </c>
      <c r="LC28" s="72"/>
      <c r="LD28" s="91"/>
      <c r="LE28" s="91"/>
      <c r="LF28" s="30">
        <f t="shared" si="6"/>
        <v>0</v>
      </c>
      <c r="LG28" s="28">
        <f t="shared" si="7"/>
        <v>0</v>
      </c>
      <c r="LI28" s="677" t="s">
        <v>100</v>
      </c>
      <c r="LJ28" s="677"/>
      <c r="LK28" s="677"/>
      <c r="LL28" s="677"/>
      <c r="LM28" s="677"/>
      <c r="LN28" s="677"/>
      <c r="LO28" s="72">
        <v>120</v>
      </c>
      <c r="LP28" s="72"/>
      <c r="LQ28" s="91"/>
      <c r="LR28" s="91"/>
      <c r="LS28" s="91"/>
      <c r="LT28" s="91"/>
      <c r="LU28" s="91"/>
      <c r="LV28" s="91"/>
      <c r="LW28" s="91"/>
      <c r="LX28" s="91"/>
      <c r="LY28" s="91"/>
      <c r="LZ28" s="91">
        <v>2</v>
      </c>
      <c r="MA28" s="91"/>
      <c r="MB28" s="91"/>
      <c r="MC28" s="91"/>
      <c r="MD28" s="91">
        <v>2</v>
      </c>
      <c r="ME28" s="30">
        <f t="shared" si="35"/>
        <v>4</v>
      </c>
      <c r="MF28" s="28">
        <f t="shared" si="8"/>
        <v>480</v>
      </c>
      <c r="MH28" s="677" t="s">
        <v>100</v>
      </c>
      <c r="MI28" s="677"/>
      <c r="MJ28" s="677"/>
      <c r="MK28" s="677"/>
      <c r="ML28" s="677"/>
      <c r="MM28" s="677"/>
      <c r="MN28" s="72">
        <v>120</v>
      </c>
      <c r="MO28" s="72"/>
      <c r="MP28" s="91"/>
      <c r="MQ28" s="91"/>
      <c r="MR28" s="91"/>
      <c r="MS28" s="91"/>
      <c r="MT28" s="91"/>
      <c r="MU28" s="91"/>
      <c r="MV28" s="91"/>
      <c r="MW28" s="91"/>
      <c r="MX28" s="91"/>
      <c r="MY28" s="91"/>
      <c r="MZ28" s="91"/>
      <c r="NA28" s="91"/>
      <c r="NB28" s="91"/>
      <c r="NC28" s="91"/>
      <c r="ND28" s="30">
        <f t="shared" si="36"/>
        <v>0</v>
      </c>
      <c r="NE28" s="28">
        <f t="shared" si="37"/>
        <v>0</v>
      </c>
      <c r="NG28" s="677" t="s">
        <v>100</v>
      </c>
      <c r="NH28" s="677"/>
      <c r="NI28" s="677"/>
      <c r="NJ28" s="677"/>
      <c r="NK28" s="677"/>
      <c r="NL28" s="677"/>
      <c r="NM28" s="72">
        <v>120</v>
      </c>
      <c r="NN28" s="91"/>
      <c r="NO28" s="91">
        <v>1</v>
      </c>
      <c r="NP28" s="91"/>
      <c r="NQ28" s="91"/>
      <c r="NR28" s="91"/>
      <c r="NS28" s="91"/>
      <c r="NT28" s="91"/>
      <c r="NU28" s="91"/>
      <c r="NV28" s="91"/>
      <c r="NW28" s="91"/>
      <c r="NX28" s="91"/>
      <c r="NY28" s="91"/>
      <c r="NZ28" s="91"/>
      <c r="OA28" s="91"/>
      <c r="OB28" s="91"/>
      <c r="OC28" s="30">
        <f t="shared" si="38"/>
        <v>1</v>
      </c>
      <c r="OD28" s="28">
        <f t="shared" si="39"/>
        <v>120</v>
      </c>
    </row>
    <row r="29" spans="1:394" ht="14.45" customHeight="1" x14ac:dyDescent="0.25">
      <c r="A29" s="47"/>
      <c r="B29" s="14"/>
      <c r="C29" s="747" t="s">
        <v>101</v>
      </c>
      <c r="D29" s="643"/>
      <c r="E29" s="643"/>
      <c r="F29" s="643"/>
      <c r="G29" s="705"/>
      <c r="H29" s="88"/>
      <c r="I29" s="13"/>
      <c r="J29" s="13"/>
      <c r="K29" s="19"/>
      <c r="L29" s="19"/>
      <c r="M29" s="19"/>
      <c r="N29" s="19"/>
      <c r="O29" s="12"/>
      <c r="P29" s="644" t="s">
        <v>101</v>
      </c>
      <c r="Q29" s="644"/>
      <c r="R29" s="644"/>
      <c r="S29" s="644"/>
      <c r="T29" s="644"/>
      <c r="U29" s="644"/>
      <c r="V29" s="13"/>
      <c r="W29" s="19"/>
      <c r="X29" s="19"/>
      <c r="Y29" s="23"/>
      <c r="Z29" s="19"/>
      <c r="AA29" s="34"/>
      <c r="AB29" s="34"/>
      <c r="AC29" s="34"/>
      <c r="AD29" s="34"/>
      <c r="AE29" s="34"/>
      <c r="AF29" s="34"/>
      <c r="AG29" s="6"/>
      <c r="AH29" s="644" t="s">
        <v>101</v>
      </c>
      <c r="AI29" s="644"/>
      <c r="AJ29" s="644"/>
      <c r="AK29" s="644"/>
      <c r="AL29" s="644"/>
      <c r="AM29" s="644"/>
      <c r="AN29" s="13"/>
      <c r="AO29" s="19"/>
      <c r="AP29" s="23"/>
      <c r="AQ29" s="19"/>
      <c r="AS29" s="644" t="s">
        <v>101</v>
      </c>
      <c r="AT29" s="644"/>
      <c r="AU29" s="644"/>
      <c r="AV29" s="644"/>
      <c r="AW29" s="644"/>
      <c r="AX29" s="644"/>
      <c r="AY29" s="28"/>
      <c r="AZ29" s="28"/>
      <c r="BA29" s="28"/>
      <c r="BB29" s="28"/>
      <c r="BC29" s="28"/>
      <c r="BD29" s="30"/>
      <c r="BE29" s="28"/>
      <c r="BF29" s="14"/>
      <c r="BG29" s="644" t="s">
        <v>101</v>
      </c>
      <c r="BH29" s="644"/>
      <c r="BI29" s="644"/>
      <c r="BJ29" s="644"/>
      <c r="BK29" s="644"/>
      <c r="BL29" s="644"/>
      <c r="BM29" s="28"/>
      <c r="BN29" s="28"/>
      <c r="BO29" s="28"/>
      <c r="BP29" s="30"/>
      <c r="BQ29" s="28"/>
      <c r="BR29" s="14"/>
      <c r="BS29" s="644" t="s">
        <v>101</v>
      </c>
      <c r="BT29" s="644"/>
      <c r="BU29" s="644"/>
      <c r="BV29" s="644"/>
      <c r="BW29" s="644"/>
      <c r="BX29" s="644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30"/>
      <c r="CJ29" s="28"/>
      <c r="CK29" s="14"/>
      <c r="CL29" s="644" t="s">
        <v>101</v>
      </c>
      <c r="CM29" s="644"/>
      <c r="CN29" s="644"/>
      <c r="CO29" s="644"/>
      <c r="CP29" s="644"/>
      <c r="CQ29" s="644"/>
      <c r="CR29" s="1">
        <v>115</v>
      </c>
      <c r="CS29" s="1"/>
      <c r="CT29" s="1"/>
      <c r="CU29" s="1"/>
      <c r="CV29" s="1"/>
      <c r="CW29" s="1"/>
      <c r="CX29" s="1"/>
      <c r="CY29" s="1"/>
      <c r="CZ29" s="1"/>
      <c r="DA29" s="30"/>
      <c r="DB29" s="28"/>
      <c r="DC29" s="3"/>
      <c r="DD29" s="644" t="s">
        <v>101</v>
      </c>
      <c r="DE29" s="644"/>
      <c r="DF29" s="644"/>
      <c r="DG29" s="644"/>
      <c r="DH29" s="644"/>
      <c r="DI29" s="644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30"/>
      <c r="DV29" s="28"/>
      <c r="DX29" s="644" t="s">
        <v>101</v>
      </c>
      <c r="DY29" s="644"/>
      <c r="DZ29" s="644"/>
      <c r="EA29" s="644"/>
      <c r="EB29" s="644"/>
      <c r="EC29" s="644"/>
      <c r="ED29" s="1">
        <v>115</v>
      </c>
      <c r="EE29" s="1"/>
      <c r="EF29" s="1"/>
      <c r="EG29" s="1"/>
      <c r="EH29" s="1"/>
      <c r="EI29" s="1"/>
      <c r="EJ29" s="1"/>
      <c r="EK29" s="1"/>
      <c r="EL29" s="1"/>
      <c r="EM29" s="85"/>
      <c r="EN29" s="85"/>
      <c r="EO29" s="30">
        <f t="shared" si="24"/>
        <v>0</v>
      </c>
      <c r="EP29" s="28">
        <f t="shared" si="25"/>
        <v>0</v>
      </c>
      <c r="EQ29" t="str">
        <f t="shared" si="26"/>
        <v>IGUAL</v>
      </c>
      <c r="ER29" s="644" t="s">
        <v>101</v>
      </c>
      <c r="ES29" s="644"/>
      <c r="ET29" s="644"/>
      <c r="EU29" s="644"/>
      <c r="EV29" s="644"/>
      <c r="EW29" s="644"/>
      <c r="EX29" s="1">
        <v>115</v>
      </c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85"/>
      <c r="FJ29" s="85"/>
      <c r="FK29" s="85"/>
      <c r="FL29" s="85"/>
      <c r="FM29" s="85"/>
      <c r="FN29" s="85"/>
      <c r="FO29" s="85"/>
      <c r="FP29" s="85"/>
      <c r="FQ29" s="85"/>
      <c r="FR29" s="85"/>
      <c r="FS29" s="85"/>
      <c r="FT29" s="30">
        <f t="shared" si="27"/>
        <v>0</v>
      </c>
      <c r="FU29" s="28">
        <f t="shared" si="28"/>
        <v>0</v>
      </c>
      <c r="FW29" s="644" t="s">
        <v>101</v>
      </c>
      <c r="FX29" s="644"/>
      <c r="FY29" s="644"/>
      <c r="FZ29" s="644"/>
      <c r="GA29" s="644"/>
      <c r="GB29" s="644"/>
      <c r="GC29" s="1">
        <v>115</v>
      </c>
      <c r="GD29" s="85"/>
      <c r="GE29" s="1"/>
      <c r="GF29" s="1"/>
      <c r="GG29" s="1"/>
      <c r="GH29" s="1"/>
      <c r="GI29" s="1"/>
      <c r="GJ29" s="1"/>
      <c r="GK29" s="1"/>
      <c r="GL29" s="1"/>
      <c r="GM29" s="1"/>
      <c r="GN29" s="85"/>
      <c r="GO29" s="85"/>
      <c r="GP29" s="85"/>
      <c r="GQ29" s="30">
        <f t="shared" si="29"/>
        <v>0</v>
      </c>
      <c r="GR29" s="28">
        <f t="shared" si="30"/>
        <v>0</v>
      </c>
      <c r="GT29" s="644" t="s">
        <v>101</v>
      </c>
      <c r="GU29" s="644"/>
      <c r="GV29" s="644"/>
      <c r="GW29" s="644"/>
      <c r="GX29" s="644"/>
      <c r="GY29" s="644"/>
      <c r="GZ29" s="1">
        <v>115</v>
      </c>
      <c r="HA29" s="1"/>
      <c r="HB29" s="1"/>
      <c r="HC29" s="1"/>
      <c r="HD29" s="1"/>
      <c r="HE29" s="1"/>
      <c r="HF29" s="1"/>
      <c r="HG29" s="1"/>
      <c r="HH29" s="1"/>
      <c r="HI29" s="1"/>
      <c r="HJ29" s="85"/>
      <c r="HK29" s="85"/>
      <c r="HL29" s="30">
        <f t="shared" si="31"/>
        <v>0</v>
      </c>
      <c r="HM29" s="28">
        <f t="shared" si="32"/>
        <v>0</v>
      </c>
      <c r="HO29" s="644" t="s">
        <v>101</v>
      </c>
      <c r="HP29" s="644"/>
      <c r="HQ29" s="644"/>
      <c r="HR29" s="644"/>
      <c r="HS29" s="644"/>
      <c r="HT29" s="644"/>
      <c r="HU29" s="2">
        <v>130</v>
      </c>
      <c r="HV29" s="1"/>
      <c r="HW29" s="30">
        <f t="shared" si="33"/>
        <v>0</v>
      </c>
      <c r="HX29" s="28">
        <f t="shared" si="0"/>
        <v>0</v>
      </c>
      <c r="HZ29" s="644" t="s">
        <v>101</v>
      </c>
      <c r="IA29" s="644"/>
      <c r="IB29" s="644"/>
      <c r="IC29" s="644"/>
      <c r="ID29" s="644"/>
      <c r="IE29" s="644"/>
      <c r="IF29" s="2">
        <v>130</v>
      </c>
      <c r="IG29" s="1"/>
      <c r="IH29" s="85"/>
      <c r="II29" s="85"/>
      <c r="IJ29" s="85"/>
      <c r="IK29" s="85"/>
      <c r="IL29" s="85"/>
      <c r="IM29" s="30">
        <f t="shared" si="41"/>
        <v>0</v>
      </c>
      <c r="IN29" s="28">
        <f t="shared" si="1"/>
        <v>0</v>
      </c>
      <c r="IP29" s="644" t="s">
        <v>101</v>
      </c>
      <c r="IQ29" s="644"/>
      <c r="IR29" s="644"/>
      <c r="IS29" s="644"/>
      <c r="IT29" s="644"/>
      <c r="IU29" s="644"/>
      <c r="IV29" s="2">
        <v>130</v>
      </c>
      <c r="IW29" s="1"/>
      <c r="IX29" s="85"/>
      <c r="IY29" s="30">
        <f t="shared" si="2"/>
        <v>0</v>
      </c>
      <c r="IZ29" s="28">
        <f t="shared" si="3"/>
        <v>0</v>
      </c>
      <c r="JB29" s="644" t="s">
        <v>101</v>
      </c>
      <c r="JC29" s="644"/>
      <c r="JD29" s="644"/>
      <c r="JE29" s="644"/>
      <c r="JF29" s="644"/>
      <c r="JG29" s="644"/>
      <c r="JH29" s="2">
        <v>125</v>
      </c>
      <c r="JI29" s="1"/>
      <c r="JJ29" s="85"/>
      <c r="JK29" s="85"/>
      <c r="JL29" s="85"/>
      <c r="JM29" s="85"/>
      <c r="JN29" s="85"/>
      <c r="JO29" s="85"/>
      <c r="JP29" s="85"/>
      <c r="JQ29" s="85"/>
      <c r="JR29" s="85"/>
      <c r="JS29" s="85"/>
      <c r="JT29" s="85"/>
      <c r="JU29" s="85"/>
      <c r="JV29" s="85"/>
      <c r="JW29" s="85"/>
      <c r="JX29" s="85"/>
      <c r="JY29" s="85"/>
      <c r="JZ29" s="85"/>
      <c r="KA29" s="85"/>
      <c r="KB29" s="85"/>
      <c r="KC29" s="85"/>
      <c r="KD29" s="85"/>
      <c r="KE29" s="30">
        <f t="shared" si="34"/>
        <v>0</v>
      </c>
      <c r="KF29" s="28">
        <f t="shared" si="42"/>
        <v>0</v>
      </c>
      <c r="KH29" s="644" t="s">
        <v>101</v>
      </c>
      <c r="KI29" s="644"/>
      <c r="KJ29" s="644"/>
      <c r="KK29" s="644"/>
      <c r="KL29" s="644"/>
      <c r="KM29" s="644"/>
      <c r="KN29" s="2">
        <v>125</v>
      </c>
      <c r="KO29" s="1"/>
      <c r="KP29" s="85"/>
      <c r="KQ29" s="85"/>
      <c r="KR29" s="85"/>
      <c r="KS29" s="30">
        <f t="shared" si="4"/>
        <v>0</v>
      </c>
      <c r="KT29" s="28">
        <f t="shared" si="5"/>
        <v>0</v>
      </c>
      <c r="KV29" s="644" t="s">
        <v>101</v>
      </c>
      <c r="KW29" s="644"/>
      <c r="KX29" s="644"/>
      <c r="KY29" s="644"/>
      <c r="KZ29" s="644"/>
      <c r="LA29" s="644"/>
      <c r="LB29" s="2">
        <v>115</v>
      </c>
      <c r="LC29" s="1"/>
      <c r="LD29" s="85"/>
      <c r="LE29" s="85"/>
      <c r="LF29" s="30">
        <f t="shared" si="6"/>
        <v>0</v>
      </c>
      <c r="LG29" s="28">
        <f t="shared" si="7"/>
        <v>0</v>
      </c>
      <c r="LI29" s="644" t="s">
        <v>101</v>
      </c>
      <c r="LJ29" s="644"/>
      <c r="LK29" s="644"/>
      <c r="LL29" s="644"/>
      <c r="LM29" s="644"/>
      <c r="LN29" s="644"/>
      <c r="LO29" s="2">
        <v>115</v>
      </c>
      <c r="LP29" s="1"/>
      <c r="LQ29" s="85"/>
      <c r="LR29" s="85"/>
      <c r="LS29" s="85"/>
      <c r="LT29" s="85"/>
      <c r="LU29" s="85"/>
      <c r="LV29" s="85"/>
      <c r="LW29" s="85"/>
      <c r="LX29" s="85"/>
      <c r="LY29" s="85"/>
      <c r="LZ29" s="85"/>
      <c r="MA29" s="85"/>
      <c r="MB29" s="85"/>
      <c r="MC29" s="85"/>
      <c r="MD29" s="85"/>
      <c r="ME29" s="30">
        <f t="shared" si="35"/>
        <v>0</v>
      </c>
      <c r="MF29" s="28">
        <f t="shared" si="8"/>
        <v>0</v>
      </c>
      <c r="MH29" s="644" t="s">
        <v>101</v>
      </c>
      <c r="MI29" s="644"/>
      <c r="MJ29" s="644"/>
      <c r="MK29" s="644"/>
      <c r="ML29" s="644"/>
      <c r="MM29" s="644"/>
      <c r="MN29" s="2">
        <v>115</v>
      </c>
      <c r="MO29" s="1"/>
      <c r="MP29" s="85"/>
      <c r="MQ29" s="85"/>
      <c r="MR29" s="85"/>
      <c r="MS29" s="85"/>
      <c r="MT29" s="85"/>
      <c r="MU29" s="85"/>
      <c r="MV29" s="85"/>
      <c r="MW29" s="85"/>
      <c r="MX29" s="85"/>
      <c r="MY29" s="85">
        <v>1</v>
      </c>
      <c r="MZ29" s="85"/>
      <c r="NA29" s="85"/>
      <c r="NB29" s="85"/>
      <c r="NC29" s="85"/>
      <c r="ND29" s="30">
        <f t="shared" si="36"/>
        <v>1</v>
      </c>
      <c r="NE29" s="28">
        <f t="shared" si="37"/>
        <v>115</v>
      </c>
      <c r="NG29" s="644" t="s">
        <v>101</v>
      </c>
      <c r="NH29" s="644"/>
      <c r="NI29" s="644"/>
      <c r="NJ29" s="644"/>
      <c r="NK29" s="644"/>
      <c r="NL29" s="644"/>
      <c r="NM29" s="2">
        <v>115</v>
      </c>
      <c r="NN29" s="85"/>
      <c r="NO29" s="85">
        <v>1</v>
      </c>
      <c r="NP29" s="85"/>
      <c r="NQ29" s="85"/>
      <c r="NR29" s="85"/>
      <c r="NS29" s="85"/>
      <c r="NT29" s="85"/>
      <c r="NU29" s="85"/>
      <c r="NV29" s="85"/>
      <c r="NW29" s="85"/>
      <c r="NX29" s="85"/>
      <c r="NY29" s="85"/>
      <c r="NZ29" s="85"/>
      <c r="OA29" s="85"/>
      <c r="OB29" s="85"/>
      <c r="OC29" s="30">
        <f t="shared" si="38"/>
        <v>1</v>
      </c>
      <c r="OD29" s="28">
        <f t="shared" si="39"/>
        <v>115</v>
      </c>
    </row>
    <row r="30" spans="1:394" ht="14.45" customHeight="1" x14ac:dyDescent="0.25">
      <c r="A30" s="47"/>
      <c r="B30" s="14"/>
      <c r="C30" s="644" t="s">
        <v>53</v>
      </c>
      <c r="D30" s="644"/>
      <c r="E30" s="644"/>
      <c r="F30" s="644"/>
      <c r="G30" s="644"/>
      <c r="H30" s="644"/>
      <c r="I30" s="13"/>
      <c r="J30" s="13"/>
      <c r="K30" s="19"/>
      <c r="L30" s="19"/>
      <c r="M30" s="19">
        <f t="shared" si="40"/>
        <v>0</v>
      </c>
      <c r="N30" s="19">
        <f t="shared" si="9"/>
        <v>0</v>
      </c>
      <c r="O30" s="12"/>
      <c r="P30" s="644" t="s">
        <v>53</v>
      </c>
      <c r="Q30" s="644"/>
      <c r="R30" s="644"/>
      <c r="S30" s="644"/>
      <c r="T30" s="644"/>
      <c r="U30" s="644"/>
      <c r="V30" s="13"/>
      <c r="W30" s="19"/>
      <c r="X30" s="19"/>
      <c r="Y30" s="23">
        <f t="shared" si="10"/>
        <v>0</v>
      </c>
      <c r="Z30" s="19">
        <f t="shared" si="11"/>
        <v>0</v>
      </c>
      <c r="AA30" s="34"/>
      <c r="AB30" s="34"/>
      <c r="AC30" s="34"/>
      <c r="AD30" s="34"/>
      <c r="AE30" s="34"/>
      <c r="AF30" s="34"/>
      <c r="AG30" s="6"/>
      <c r="AH30" s="644" t="s">
        <v>53</v>
      </c>
      <c r="AI30" s="644"/>
      <c r="AJ30" s="644"/>
      <c r="AK30" s="644"/>
      <c r="AL30" s="644"/>
      <c r="AM30" s="644"/>
      <c r="AN30" s="13"/>
      <c r="AO30" s="19"/>
      <c r="AP30" s="23">
        <f t="shared" si="12"/>
        <v>0</v>
      </c>
      <c r="AQ30" s="19">
        <f t="shared" si="13"/>
        <v>0</v>
      </c>
      <c r="AS30" s="644" t="s">
        <v>53</v>
      </c>
      <c r="AT30" s="644"/>
      <c r="AU30" s="644"/>
      <c r="AV30" s="644"/>
      <c r="AW30" s="644"/>
      <c r="AX30" s="644"/>
      <c r="AY30" s="13"/>
      <c r="AZ30" s="19"/>
      <c r="BA30" s="19"/>
      <c r="BB30" s="19"/>
      <c r="BC30" s="19"/>
      <c r="BD30" s="30">
        <f t="shared" si="14"/>
        <v>0</v>
      </c>
      <c r="BE30" s="28">
        <f t="shared" si="15"/>
        <v>0</v>
      </c>
      <c r="BF30" s="14"/>
      <c r="BG30" s="644" t="s">
        <v>53</v>
      </c>
      <c r="BH30" s="644"/>
      <c r="BI30" s="644"/>
      <c r="BJ30" s="644"/>
      <c r="BK30" s="644"/>
      <c r="BL30" s="644"/>
      <c r="BM30" s="13"/>
      <c r="BN30" s="19"/>
      <c r="BO30" s="19"/>
      <c r="BP30" s="30">
        <f t="shared" si="16"/>
        <v>0</v>
      </c>
      <c r="BQ30" s="28">
        <f t="shared" si="17"/>
        <v>0</v>
      </c>
      <c r="BR30" s="14"/>
      <c r="BS30" s="644" t="s">
        <v>53</v>
      </c>
      <c r="BT30" s="644"/>
      <c r="BU30" s="644"/>
      <c r="BV30" s="644"/>
      <c r="BW30" s="644"/>
      <c r="BX30" s="644"/>
      <c r="BY30" s="13"/>
      <c r="BZ30" s="19"/>
      <c r="CA30" s="19"/>
      <c r="CB30" s="19"/>
      <c r="CC30" s="19"/>
      <c r="CD30" s="19"/>
      <c r="CE30" s="19"/>
      <c r="CF30" s="19"/>
      <c r="CG30" s="19"/>
      <c r="CH30" s="19"/>
      <c r="CI30" s="30">
        <f t="shared" si="18"/>
        <v>0</v>
      </c>
      <c r="CJ30" s="28">
        <f t="shared" si="19"/>
        <v>0</v>
      </c>
      <c r="CK30" s="14"/>
      <c r="CL30" s="644" t="s">
        <v>53</v>
      </c>
      <c r="CM30" s="644"/>
      <c r="CN30" s="644"/>
      <c r="CO30" s="644"/>
      <c r="CP30" s="644"/>
      <c r="CQ30" s="644"/>
      <c r="CR30" s="13"/>
      <c r="CS30" s="19"/>
      <c r="CT30" s="19"/>
      <c r="CU30" s="19"/>
      <c r="CV30" s="19"/>
      <c r="CW30" s="19"/>
      <c r="CX30" s="19"/>
      <c r="CY30" s="19"/>
      <c r="CZ30" s="19"/>
      <c r="DA30" s="30">
        <f t="shared" si="20"/>
        <v>0</v>
      </c>
      <c r="DB30" s="28">
        <f t="shared" si="21"/>
        <v>0</v>
      </c>
      <c r="DC30" s="14"/>
      <c r="DD30" s="644" t="s">
        <v>53</v>
      </c>
      <c r="DE30" s="644"/>
      <c r="DF30" s="644"/>
      <c r="DG30" s="644"/>
      <c r="DH30" s="644"/>
      <c r="DI30" s="644"/>
      <c r="DJ30" s="13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30">
        <f t="shared" si="22"/>
        <v>0</v>
      </c>
      <c r="DV30" s="28">
        <f t="shared" si="23"/>
        <v>0</v>
      </c>
      <c r="DX30" s="644" t="s">
        <v>53</v>
      </c>
      <c r="DY30" s="644"/>
      <c r="DZ30" s="644"/>
      <c r="EA30" s="644"/>
      <c r="EB30" s="644"/>
      <c r="EC30" s="644"/>
      <c r="ED30" s="13">
        <v>25</v>
      </c>
      <c r="EE30" s="19"/>
      <c r="EF30" s="19"/>
      <c r="EG30" s="19"/>
      <c r="EH30" s="19">
        <v>2</v>
      </c>
      <c r="EI30" s="19"/>
      <c r="EJ30" s="19"/>
      <c r="EK30" s="19"/>
      <c r="EL30" s="19"/>
      <c r="EM30" s="23"/>
      <c r="EN30" s="23"/>
      <c r="EO30" s="30">
        <f t="shared" si="24"/>
        <v>2</v>
      </c>
      <c r="EP30" s="28">
        <f t="shared" si="25"/>
        <v>50</v>
      </c>
      <c r="EQ30" t="str">
        <f t="shared" si="26"/>
        <v>IGUAL</v>
      </c>
      <c r="ER30" s="644" t="s">
        <v>53</v>
      </c>
      <c r="ES30" s="644"/>
      <c r="ET30" s="644"/>
      <c r="EU30" s="644"/>
      <c r="EV30" s="644"/>
      <c r="EW30" s="644"/>
      <c r="EX30" s="13">
        <v>25</v>
      </c>
      <c r="EY30" s="19"/>
      <c r="EZ30" s="19"/>
      <c r="FA30" s="19"/>
      <c r="FB30" s="19"/>
      <c r="FC30" s="19"/>
      <c r="FD30" s="19"/>
      <c r="FE30" s="19"/>
      <c r="FF30" s="19"/>
      <c r="FG30" s="19"/>
      <c r="FH30" s="19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30">
        <f t="shared" si="27"/>
        <v>0</v>
      </c>
      <c r="FU30" s="28">
        <f t="shared" si="28"/>
        <v>0</v>
      </c>
      <c r="FW30" s="644" t="s">
        <v>53</v>
      </c>
      <c r="FX30" s="644"/>
      <c r="FY30" s="644"/>
      <c r="FZ30" s="644"/>
      <c r="GA30" s="644"/>
      <c r="GB30" s="644"/>
      <c r="GC30" s="13">
        <v>25</v>
      </c>
      <c r="GD30" s="23"/>
      <c r="GE30" s="19"/>
      <c r="GF30" s="19"/>
      <c r="GG30" s="19"/>
      <c r="GH30" s="19"/>
      <c r="GI30" s="19"/>
      <c r="GJ30" s="19"/>
      <c r="GK30" s="19"/>
      <c r="GL30" s="19">
        <v>2</v>
      </c>
      <c r="GM30" s="19"/>
      <c r="GN30" s="23"/>
      <c r="GO30" s="23"/>
      <c r="GP30" s="23"/>
      <c r="GQ30" s="30">
        <f t="shared" si="29"/>
        <v>2</v>
      </c>
      <c r="GR30" s="28">
        <f t="shared" si="30"/>
        <v>50</v>
      </c>
      <c r="GT30" s="644" t="s">
        <v>53</v>
      </c>
      <c r="GU30" s="644"/>
      <c r="GV30" s="644"/>
      <c r="GW30" s="644"/>
      <c r="GX30" s="644"/>
      <c r="GY30" s="644"/>
      <c r="GZ30" s="13">
        <v>25</v>
      </c>
      <c r="HA30" s="19"/>
      <c r="HB30" s="19"/>
      <c r="HC30" s="19"/>
      <c r="HD30" s="19"/>
      <c r="HE30" s="19"/>
      <c r="HF30" s="19"/>
      <c r="HG30" s="19"/>
      <c r="HH30" s="19"/>
      <c r="HI30" s="19"/>
      <c r="HJ30" s="23"/>
      <c r="HK30" s="23"/>
      <c r="HL30" s="30">
        <f t="shared" si="31"/>
        <v>0</v>
      </c>
      <c r="HM30" s="28">
        <f t="shared" si="32"/>
        <v>0</v>
      </c>
      <c r="HO30" s="644" t="s">
        <v>53</v>
      </c>
      <c r="HP30" s="644"/>
      <c r="HQ30" s="644"/>
      <c r="HR30" s="644"/>
      <c r="HS30" s="644"/>
      <c r="HT30" s="644"/>
      <c r="HU30" s="1">
        <v>29</v>
      </c>
      <c r="HV30" s="19"/>
      <c r="HW30" s="30">
        <f t="shared" si="33"/>
        <v>0</v>
      </c>
      <c r="HX30" s="28">
        <f t="shared" si="0"/>
        <v>0</v>
      </c>
      <c r="HZ30" s="644" t="s">
        <v>53</v>
      </c>
      <c r="IA30" s="644"/>
      <c r="IB30" s="644"/>
      <c r="IC30" s="644"/>
      <c r="ID30" s="644"/>
      <c r="IE30" s="644"/>
      <c r="IF30" s="1">
        <v>29</v>
      </c>
      <c r="IG30" s="19"/>
      <c r="IH30" s="23"/>
      <c r="II30" s="23"/>
      <c r="IJ30" s="23"/>
      <c r="IK30" s="23"/>
      <c r="IL30" s="23"/>
      <c r="IM30" s="30">
        <f t="shared" si="41"/>
        <v>0</v>
      </c>
      <c r="IN30" s="28">
        <f t="shared" si="1"/>
        <v>0</v>
      </c>
      <c r="IP30" s="644" t="s">
        <v>53</v>
      </c>
      <c r="IQ30" s="644"/>
      <c r="IR30" s="644"/>
      <c r="IS30" s="644"/>
      <c r="IT30" s="644"/>
      <c r="IU30" s="644"/>
      <c r="IV30" s="1">
        <v>29</v>
      </c>
      <c r="IW30" s="19"/>
      <c r="IX30" s="23"/>
      <c r="IY30" s="30">
        <f t="shared" si="2"/>
        <v>0</v>
      </c>
      <c r="IZ30" s="28">
        <f t="shared" si="3"/>
        <v>0</v>
      </c>
      <c r="JB30" s="644" t="s">
        <v>53</v>
      </c>
      <c r="JC30" s="644"/>
      <c r="JD30" s="644"/>
      <c r="JE30" s="644"/>
      <c r="JF30" s="644"/>
      <c r="JG30" s="644"/>
      <c r="JH30" s="1">
        <v>26</v>
      </c>
      <c r="JI30" s="19"/>
      <c r="JJ30" s="23"/>
      <c r="JK30" s="23"/>
      <c r="JL30" s="23"/>
      <c r="JM30" s="23"/>
      <c r="JN30" s="23"/>
      <c r="JO30" s="23"/>
      <c r="JP30" s="23"/>
      <c r="JQ30" s="23"/>
      <c r="JR30" s="23"/>
      <c r="JS30" s="23"/>
      <c r="JT30" s="23"/>
      <c r="JU30" s="23"/>
      <c r="JV30" s="23"/>
      <c r="JW30" s="23"/>
      <c r="JX30" s="23"/>
      <c r="JY30" s="23"/>
      <c r="JZ30" s="23"/>
      <c r="KA30" s="23"/>
      <c r="KB30" s="23"/>
      <c r="KC30" s="23"/>
      <c r="KD30" s="23"/>
      <c r="KE30" s="30">
        <f t="shared" si="34"/>
        <v>0</v>
      </c>
      <c r="KF30" s="28">
        <f t="shared" si="42"/>
        <v>0</v>
      </c>
      <c r="KH30" s="644" t="s">
        <v>53</v>
      </c>
      <c r="KI30" s="644"/>
      <c r="KJ30" s="644"/>
      <c r="KK30" s="644"/>
      <c r="KL30" s="644"/>
      <c r="KM30" s="644"/>
      <c r="KN30" s="1">
        <v>26</v>
      </c>
      <c r="KO30" s="19"/>
      <c r="KP30" s="23"/>
      <c r="KQ30" s="23"/>
      <c r="KR30" s="23"/>
      <c r="KS30" s="30">
        <f t="shared" si="4"/>
        <v>0</v>
      </c>
      <c r="KT30" s="28">
        <f t="shared" si="5"/>
        <v>0</v>
      </c>
      <c r="KV30" s="644" t="s">
        <v>53</v>
      </c>
      <c r="KW30" s="644"/>
      <c r="KX30" s="644"/>
      <c r="KY30" s="644"/>
      <c r="KZ30" s="644"/>
      <c r="LA30" s="644"/>
      <c r="LB30" s="1">
        <v>25</v>
      </c>
      <c r="LC30" s="19"/>
      <c r="LD30" s="23"/>
      <c r="LE30" s="23"/>
      <c r="LF30" s="30">
        <f t="shared" si="6"/>
        <v>0</v>
      </c>
      <c r="LG30" s="28">
        <f t="shared" si="7"/>
        <v>0</v>
      </c>
      <c r="LI30" s="644" t="s">
        <v>53</v>
      </c>
      <c r="LJ30" s="644"/>
      <c r="LK30" s="644"/>
      <c r="LL30" s="644"/>
      <c r="LM30" s="644"/>
      <c r="LN30" s="644"/>
      <c r="LO30" s="1">
        <v>25</v>
      </c>
      <c r="LP30" s="19"/>
      <c r="LQ30" s="23"/>
      <c r="LR30" s="23"/>
      <c r="LS30" s="23"/>
      <c r="LT30" s="23"/>
      <c r="LU30" s="23"/>
      <c r="LV30" s="23"/>
      <c r="LW30" s="23"/>
      <c r="LX30" s="23"/>
      <c r="LY30" s="23"/>
      <c r="LZ30" s="23"/>
      <c r="MA30" s="23"/>
      <c r="MB30" s="23"/>
      <c r="MC30" s="23"/>
      <c r="MD30" s="23"/>
      <c r="ME30" s="30">
        <f t="shared" si="35"/>
        <v>0</v>
      </c>
      <c r="MF30" s="28">
        <f t="shared" si="8"/>
        <v>0</v>
      </c>
      <c r="MH30" s="644" t="s">
        <v>53</v>
      </c>
      <c r="MI30" s="644"/>
      <c r="MJ30" s="644"/>
      <c r="MK30" s="644"/>
      <c r="ML30" s="644"/>
      <c r="MM30" s="644"/>
      <c r="MN30" s="1">
        <v>25</v>
      </c>
      <c r="MO30" s="19"/>
      <c r="MP30" s="23"/>
      <c r="MQ30" s="23"/>
      <c r="MR30" s="23"/>
      <c r="MS30" s="23"/>
      <c r="MT30" s="23"/>
      <c r="MU30" s="23"/>
      <c r="MV30" s="23"/>
      <c r="MW30" s="23"/>
      <c r="MX30" s="23"/>
      <c r="MY30" s="23"/>
      <c r="MZ30" s="23"/>
      <c r="NA30" s="23"/>
      <c r="NB30" s="23"/>
      <c r="NC30" s="23"/>
      <c r="ND30" s="30">
        <f t="shared" si="36"/>
        <v>0</v>
      </c>
      <c r="NE30" s="28">
        <f t="shared" si="37"/>
        <v>0</v>
      </c>
      <c r="NG30" s="644" t="s">
        <v>53</v>
      </c>
      <c r="NH30" s="644"/>
      <c r="NI30" s="644"/>
      <c r="NJ30" s="644"/>
      <c r="NK30" s="644"/>
      <c r="NL30" s="644"/>
      <c r="NM30" s="1">
        <v>25</v>
      </c>
      <c r="NN30" s="23"/>
      <c r="NO30" s="23"/>
      <c r="NP30" s="23"/>
      <c r="NQ30" s="23"/>
      <c r="NR30" s="23"/>
      <c r="NS30" s="23"/>
      <c r="NT30" s="23"/>
      <c r="NU30" s="23"/>
      <c r="NV30" s="23"/>
      <c r="NW30" s="23"/>
      <c r="NX30" s="23"/>
      <c r="NY30" s="23"/>
      <c r="NZ30" s="23"/>
      <c r="OA30" s="23"/>
      <c r="OB30" s="23"/>
      <c r="OC30" s="30">
        <f t="shared" si="38"/>
        <v>0</v>
      </c>
      <c r="OD30" s="28">
        <f t="shared" si="39"/>
        <v>0</v>
      </c>
    </row>
    <row r="31" spans="1:394" ht="14.45" customHeight="1" x14ac:dyDescent="0.25">
      <c r="A31" s="47"/>
      <c r="B31" s="12"/>
      <c r="C31" s="709" t="s">
        <v>14</v>
      </c>
      <c r="D31" s="709"/>
      <c r="E31" s="709"/>
      <c r="F31" s="709"/>
      <c r="G31" s="709"/>
      <c r="H31" s="709"/>
      <c r="I31" s="13">
        <v>90</v>
      </c>
      <c r="J31" s="13">
        <v>1</v>
      </c>
      <c r="K31" s="19"/>
      <c r="L31" s="19"/>
      <c r="M31" s="19">
        <f t="shared" si="40"/>
        <v>1</v>
      </c>
      <c r="N31" s="19">
        <f t="shared" si="9"/>
        <v>90</v>
      </c>
      <c r="O31" s="12"/>
      <c r="P31" s="709" t="s">
        <v>14</v>
      </c>
      <c r="Q31" s="709"/>
      <c r="R31" s="709"/>
      <c r="S31" s="709"/>
      <c r="T31" s="709"/>
      <c r="U31" s="709"/>
      <c r="V31" s="13"/>
      <c r="W31" s="19"/>
      <c r="X31" s="19"/>
      <c r="Y31" s="23">
        <f t="shared" si="10"/>
        <v>0</v>
      </c>
      <c r="Z31" s="19">
        <f t="shared" si="11"/>
        <v>0</v>
      </c>
      <c r="AA31" s="34"/>
      <c r="AB31" s="34"/>
      <c r="AC31" s="34"/>
      <c r="AD31" s="34"/>
      <c r="AE31" s="34"/>
      <c r="AF31" s="34"/>
      <c r="AG31" s="6"/>
      <c r="AH31" s="709" t="s">
        <v>14</v>
      </c>
      <c r="AI31" s="709"/>
      <c r="AJ31" s="709"/>
      <c r="AK31" s="709"/>
      <c r="AL31" s="709"/>
      <c r="AM31" s="709"/>
      <c r="AN31" s="13"/>
      <c r="AO31" s="19"/>
      <c r="AP31" s="23">
        <f t="shared" si="12"/>
        <v>0</v>
      </c>
      <c r="AQ31" s="19">
        <f t="shared" si="13"/>
        <v>0</v>
      </c>
      <c r="AS31" s="677" t="s">
        <v>14</v>
      </c>
      <c r="AT31" s="677"/>
      <c r="AU31" s="677"/>
      <c r="AV31" s="677"/>
      <c r="AW31" s="677"/>
      <c r="AX31" s="677"/>
      <c r="AY31" s="28"/>
      <c r="AZ31" s="28"/>
      <c r="BA31" s="28"/>
      <c r="BB31" s="28"/>
      <c r="BC31" s="28"/>
      <c r="BD31" s="30">
        <f t="shared" si="14"/>
        <v>0</v>
      </c>
      <c r="BE31" s="28">
        <f t="shared" si="15"/>
        <v>0</v>
      </c>
      <c r="BF31" s="14"/>
      <c r="BG31" s="677" t="s">
        <v>14</v>
      </c>
      <c r="BH31" s="677"/>
      <c r="BI31" s="677"/>
      <c r="BJ31" s="677"/>
      <c r="BK31" s="677"/>
      <c r="BL31" s="677"/>
      <c r="BM31" s="28"/>
      <c r="BN31" s="28"/>
      <c r="BO31" s="28"/>
      <c r="BP31" s="30">
        <f t="shared" si="16"/>
        <v>0</v>
      </c>
      <c r="BQ31" s="28">
        <f t="shared" si="17"/>
        <v>0</v>
      </c>
      <c r="BR31" s="14"/>
      <c r="BS31" s="677" t="s">
        <v>14</v>
      </c>
      <c r="BT31" s="677"/>
      <c r="BU31" s="677"/>
      <c r="BV31" s="677"/>
      <c r="BW31" s="677"/>
      <c r="BX31" s="677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30">
        <f t="shared" si="18"/>
        <v>0</v>
      </c>
      <c r="CJ31" s="28">
        <f t="shared" si="19"/>
        <v>0</v>
      </c>
      <c r="CK31" s="14"/>
      <c r="CL31" s="677" t="s">
        <v>14</v>
      </c>
      <c r="CM31" s="677"/>
      <c r="CN31" s="677"/>
      <c r="CO31" s="677"/>
      <c r="CP31" s="677"/>
      <c r="CQ31" s="677"/>
      <c r="CR31" s="28"/>
      <c r="CS31" s="28"/>
      <c r="CT31" s="28"/>
      <c r="CU31" s="28"/>
      <c r="CV31" s="28"/>
      <c r="CW31" s="28"/>
      <c r="CX31" s="28"/>
      <c r="CY31" s="28"/>
      <c r="CZ31" s="28"/>
      <c r="DA31" s="30">
        <f t="shared" si="20"/>
        <v>0</v>
      </c>
      <c r="DB31" s="28">
        <f t="shared" si="21"/>
        <v>0</v>
      </c>
      <c r="DC31" s="14"/>
      <c r="DD31" s="677" t="s">
        <v>14</v>
      </c>
      <c r="DE31" s="677"/>
      <c r="DF31" s="677"/>
      <c r="DG31" s="677"/>
      <c r="DH31" s="677"/>
      <c r="DI31" s="677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30">
        <f t="shared" si="22"/>
        <v>0</v>
      </c>
      <c r="DV31" s="28">
        <f t="shared" si="23"/>
        <v>0</v>
      </c>
      <c r="DX31" s="677" t="s">
        <v>14</v>
      </c>
      <c r="DY31" s="677"/>
      <c r="DZ31" s="677"/>
      <c r="EA31" s="677"/>
      <c r="EB31" s="677"/>
      <c r="EC31" s="677"/>
      <c r="ED31" s="28">
        <v>105</v>
      </c>
      <c r="EE31" s="28"/>
      <c r="EF31" s="28"/>
      <c r="EG31" s="28"/>
      <c r="EH31" s="28"/>
      <c r="EI31" s="28"/>
      <c r="EJ31" s="28">
        <v>1</v>
      </c>
      <c r="EK31" s="28"/>
      <c r="EL31" s="28"/>
      <c r="EM31" s="30"/>
      <c r="EN31" s="30"/>
      <c r="EO31" s="30">
        <f t="shared" si="24"/>
        <v>1</v>
      </c>
      <c r="EP31" s="28">
        <f t="shared" si="25"/>
        <v>105</v>
      </c>
      <c r="EQ31" t="str">
        <f t="shared" si="26"/>
        <v>DIFERENTE</v>
      </c>
      <c r="ER31" s="677" t="s">
        <v>14</v>
      </c>
      <c r="ES31" s="677"/>
      <c r="ET31" s="677"/>
      <c r="EU31" s="677"/>
      <c r="EV31" s="677"/>
      <c r="EW31" s="677"/>
      <c r="EX31" s="28">
        <v>95</v>
      </c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30"/>
      <c r="FJ31" s="30"/>
      <c r="FK31" s="30"/>
      <c r="FL31" s="30"/>
      <c r="FM31" s="30"/>
      <c r="FN31" s="30"/>
      <c r="FO31" s="30"/>
      <c r="FP31" s="30"/>
      <c r="FQ31" s="30"/>
      <c r="FR31" s="30"/>
      <c r="FS31" s="30"/>
      <c r="FT31" s="30">
        <f t="shared" si="27"/>
        <v>0</v>
      </c>
      <c r="FU31" s="28">
        <f t="shared" si="28"/>
        <v>0</v>
      </c>
      <c r="FW31" s="677" t="s">
        <v>14</v>
      </c>
      <c r="FX31" s="677"/>
      <c r="FY31" s="677"/>
      <c r="FZ31" s="677"/>
      <c r="GA31" s="677"/>
      <c r="GB31" s="677"/>
      <c r="GC31" s="28">
        <v>95</v>
      </c>
      <c r="GD31" s="30"/>
      <c r="GE31" s="28"/>
      <c r="GF31" s="28"/>
      <c r="GG31" s="28"/>
      <c r="GH31" s="28"/>
      <c r="GI31" s="28"/>
      <c r="GJ31" s="28"/>
      <c r="GK31" s="28"/>
      <c r="GL31" s="28"/>
      <c r="GM31" s="28"/>
      <c r="GN31" s="30"/>
      <c r="GO31" s="30"/>
      <c r="GP31" s="30"/>
      <c r="GQ31" s="30">
        <f t="shared" si="29"/>
        <v>0</v>
      </c>
      <c r="GR31" s="28">
        <f t="shared" si="30"/>
        <v>0</v>
      </c>
      <c r="GT31" s="677" t="s">
        <v>14</v>
      </c>
      <c r="GU31" s="677"/>
      <c r="GV31" s="677"/>
      <c r="GW31" s="677"/>
      <c r="GX31" s="677"/>
      <c r="GY31" s="677"/>
      <c r="GZ31" s="28">
        <v>95</v>
      </c>
      <c r="HA31" s="28"/>
      <c r="HB31" s="28"/>
      <c r="HC31" s="28"/>
      <c r="HD31" s="28"/>
      <c r="HE31" s="28">
        <v>1</v>
      </c>
      <c r="HF31" s="28"/>
      <c r="HG31" s="28"/>
      <c r="HH31" s="28"/>
      <c r="HI31" s="28"/>
      <c r="HJ31" s="30"/>
      <c r="HK31" s="30"/>
      <c r="HL31" s="30">
        <f t="shared" si="31"/>
        <v>1</v>
      </c>
      <c r="HM31" s="28">
        <f t="shared" si="32"/>
        <v>95</v>
      </c>
      <c r="HO31" s="677" t="s">
        <v>14</v>
      </c>
      <c r="HP31" s="677"/>
      <c r="HQ31" s="677"/>
      <c r="HR31" s="677"/>
      <c r="HS31" s="677"/>
      <c r="HT31" s="677"/>
      <c r="HU31" s="28">
        <v>95</v>
      </c>
      <c r="HV31" s="28"/>
      <c r="HW31" s="30">
        <f t="shared" si="33"/>
        <v>0</v>
      </c>
      <c r="HX31" s="28">
        <f t="shared" si="0"/>
        <v>0</v>
      </c>
      <c r="HZ31" s="677" t="s">
        <v>14</v>
      </c>
      <c r="IA31" s="677"/>
      <c r="IB31" s="677"/>
      <c r="IC31" s="677"/>
      <c r="ID31" s="677"/>
      <c r="IE31" s="677"/>
      <c r="IF31" s="28">
        <v>95</v>
      </c>
      <c r="IG31" s="28"/>
      <c r="IH31" s="30"/>
      <c r="II31" s="30"/>
      <c r="IJ31" s="30"/>
      <c r="IK31" s="30"/>
      <c r="IL31" s="30"/>
      <c r="IM31" s="30">
        <f t="shared" si="41"/>
        <v>0</v>
      </c>
      <c r="IN31" s="28">
        <f t="shared" si="1"/>
        <v>0</v>
      </c>
      <c r="IP31" s="677" t="s">
        <v>14</v>
      </c>
      <c r="IQ31" s="677"/>
      <c r="IR31" s="677"/>
      <c r="IS31" s="677"/>
      <c r="IT31" s="677"/>
      <c r="IU31" s="677"/>
      <c r="IV31" s="28">
        <v>90</v>
      </c>
      <c r="IW31" s="28"/>
      <c r="IX31" s="30"/>
      <c r="IY31" s="30">
        <f t="shared" si="2"/>
        <v>0</v>
      </c>
      <c r="IZ31" s="28">
        <f t="shared" si="3"/>
        <v>0</v>
      </c>
      <c r="JB31" s="677" t="s">
        <v>14</v>
      </c>
      <c r="JC31" s="677"/>
      <c r="JD31" s="677"/>
      <c r="JE31" s="677"/>
      <c r="JF31" s="677"/>
      <c r="JG31" s="677"/>
      <c r="JH31" s="28">
        <v>90</v>
      </c>
      <c r="JI31" s="28"/>
      <c r="JJ31" s="30"/>
      <c r="JK31" s="30"/>
      <c r="JL31" s="30"/>
      <c r="JM31" s="30"/>
      <c r="JN31" s="30"/>
      <c r="JO31" s="30"/>
      <c r="JP31" s="30"/>
      <c r="JQ31" s="30"/>
      <c r="JR31" s="30"/>
      <c r="JS31" s="30"/>
      <c r="JT31" s="30"/>
      <c r="JU31" s="30"/>
      <c r="JV31" s="30">
        <v>1</v>
      </c>
      <c r="JW31" s="30">
        <v>1</v>
      </c>
      <c r="JX31" s="30"/>
      <c r="JY31" s="30"/>
      <c r="JZ31" s="30"/>
      <c r="KA31" s="30"/>
      <c r="KB31" s="30"/>
      <c r="KC31" s="30"/>
      <c r="KD31" s="30"/>
      <c r="KE31" s="30">
        <f t="shared" si="34"/>
        <v>2</v>
      </c>
      <c r="KF31" s="28">
        <f t="shared" si="42"/>
        <v>180</v>
      </c>
      <c r="KH31" s="677" t="s">
        <v>14</v>
      </c>
      <c r="KI31" s="677"/>
      <c r="KJ31" s="677"/>
      <c r="KK31" s="677"/>
      <c r="KL31" s="677"/>
      <c r="KM31" s="677"/>
      <c r="KN31" s="28">
        <v>90</v>
      </c>
      <c r="KO31" s="28"/>
      <c r="KP31" s="30"/>
      <c r="KQ31" s="30">
        <v>1</v>
      </c>
      <c r="KR31" s="30"/>
      <c r="KS31" s="30">
        <f t="shared" si="4"/>
        <v>1</v>
      </c>
      <c r="KT31" s="28">
        <f t="shared" si="5"/>
        <v>90</v>
      </c>
      <c r="KV31" s="677" t="s">
        <v>14</v>
      </c>
      <c r="KW31" s="677"/>
      <c r="KX31" s="677"/>
      <c r="KY31" s="677"/>
      <c r="KZ31" s="677"/>
      <c r="LA31" s="677"/>
      <c r="LB31" s="28">
        <v>90</v>
      </c>
      <c r="LC31" s="28"/>
      <c r="LD31" s="30"/>
      <c r="LE31" s="30"/>
      <c r="LF31" s="30">
        <f t="shared" si="6"/>
        <v>0</v>
      </c>
      <c r="LG31" s="28">
        <f t="shared" si="7"/>
        <v>0</v>
      </c>
      <c r="LI31" s="677" t="s">
        <v>14</v>
      </c>
      <c r="LJ31" s="677"/>
      <c r="LK31" s="677"/>
      <c r="LL31" s="677"/>
      <c r="LM31" s="677"/>
      <c r="LN31" s="677"/>
      <c r="LO31" s="28">
        <v>90</v>
      </c>
      <c r="LP31" s="28"/>
      <c r="LQ31" s="30"/>
      <c r="LR31" s="30"/>
      <c r="LS31" s="30"/>
      <c r="LT31" s="30"/>
      <c r="LU31" s="30"/>
      <c r="LV31" s="30"/>
      <c r="LW31" s="30"/>
      <c r="LX31" s="30"/>
      <c r="LY31" s="30"/>
      <c r="LZ31" s="30"/>
      <c r="MA31" s="30"/>
      <c r="MB31" s="30">
        <v>1</v>
      </c>
      <c r="MC31" s="30"/>
      <c r="MD31" s="30"/>
      <c r="ME31" s="30">
        <f t="shared" si="35"/>
        <v>1</v>
      </c>
      <c r="MF31" s="28">
        <f t="shared" si="8"/>
        <v>90</v>
      </c>
      <c r="MH31" s="677" t="s">
        <v>14</v>
      </c>
      <c r="MI31" s="677"/>
      <c r="MJ31" s="677"/>
      <c r="MK31" s="677"/>
      <c r="ML31" s="677"/>
      <c r="MM31" s="677"/>
      <c r="MN31" s="28">
        <v>90</v>
      </c>
      <c r="MO31" s="28"/>
      <c r="MP31" s="30"/>
      <c r="MQ31" s="30"/>
      <c r="MR31" s="30"/>
      <c r="MS31" s="30"/>
      <c r="MT31" s="30"/>
      <c r="MU31" s="30"/>
      <c r="MV31" s="30"/>
      <c r="MW31" s="30"/>
      <c r="MX31" s="30"/>
      <c r="MY31" s="30"/>
      <c r="MZ31" s="30"/>
      <c r="NA31" s="30"/>
      <c r="NB31" s="30"/>
      <c r="NC31" s="30"/>
      <c r="ND31" s="30">
        <f t="shared" si="36"/>
        <v>0</v>
      </c>
      <c r="NE31" s="28">
        <f t="shared" si="37"/>
        <v>0</v>
      </c>
      <c r="NG31" s="677" t="s">
        <v>14</v>
      </c>
      <c r="NH31" s="677"/>
      <c r="NI31" s="677"/>
      <c r="NJ31" s="677"/>
      <c r="NK31" s="677"/>
      <c r="NL31" s="677"/>
      <c r="NM31" s="28">
        <v>90</v>
      </c>
      <c r="NN31" s="30"/>
      <c r="NO31" s="30"/>
      <c r="NP31" s="30"/>
      <c r="NQ31" s="30">
        <v>1</v>
      </c>
      <c r="NR31" s="30"/>
      <c r="NS31" s="30"/>
      <c r="NT31" s="30"/>
      <c r="NU31" s="30"/>
      <c r="NV31" s="30"/>
      <c r="NW31" s="30"/>
      <c r="NX31" s="30"/>
      <c r="NY31" s="30"/>
      <c r="NZ31" s="30"/>
      <c r="OA31" s="30"/>
      <c r="OB31" s="30"/>
      <c r="OC31" s="30">
        <f t="shared" si="38"/>
        <v>1</v>
      </c>
      <c r="OD31" s="28">
        <f t="shared" si="39"/>
        <v>90</v>
      </c>
    </row>
    <row r="32" spans="1:394" ht="14.45" customHeight="1" x14ac:dyDescent="0.25">
      <c r="A32" s="47"/>
      <c r="B32" s="12"/>
      <c r="C32" s="709" t="s">
        <v>15</v>
      </c>
      <c r="D32" s="709"/>
      <c r="E32" s="709"/>
      <c r="F32" s="709"/>
      <c r="G32" s="709"/>
      <c r="H32" s="709"/>
      <c r="I32" s="13">
        <v>95</v>
      </c>
      <c r="J32" s="13">
        <v>1</v>
      </c>
      <c r="K32" s="19"/>
      <c r="L32" s="19"/>
      <c r="M32" s="19">
        <f t="shared" si="40"/>
        <v>1</v>
      </c>
      <c r="N32" s="19">
        <f t="shared" si="9"/>
        <v>95</v>
      </c>
      <c r="O32" s="12"/>
      <c r="P32" s="709" t="s">
        <v>15</v>
      </c>
      <c r="Q32" s="709"/>
      <c r="R32" s="709"/>
      <c r="S32" s="709"/>
      <c r="T32" s="709"/>
      <c r="U32" s="709"/>
      <c r="V32" s="13"/>
      <c r="W32" s="19"/>
      <c r="X32" s="19"/>
      <c r="Y32" s="23">
        <f t="shared" si="10"/>
        <v>0</v>
      </c>
      <c r="Z32" s="19">
        <f t="shared" si="11"/>
        <v>0</v>
      </c>
      <c r="AA32" s="34"/>
      <c r="AB32" s="34"/>
      <c r="AC32" s="34"/>
      <c r="AD32" s="34"/>
      <c r="AE32" s="34"/>
      <c r="AF32" s="34"/>
      <c r="AG32" s="6"/>
      <c r="AH32" s="709" t="s">
        <v>15</v>
      </c>
      <c r="AI32" s="709"/>
      <c r="AJ32" s="709"/>
      <c r="AK32" s="709"/>
      <c r="AL32" s="709"/>
      <c r="AM32" s="709"/>
      <c r="AN32" s="13"/>
      <c r="AO32" s="19"/>
      <c r="AP32" s="23">
        <f t="shared" si="12"/>
        <v>0</v>
      </c>
      <c r="AQ32" s="19">
        <f t="shared" si="13"/>
        <v>0</v>
      </c>
      <c r="AS32" s="709" t="s">
        <v>15</v>
      </c>
      <c r="AT32" s="709"/>
      <c r="AU32" s="709"/>
      <c r="AV32" s="709"/>
      <c r="AW32" s="709"/>
      <c r="AX32" s="709"/>
      <c r="AY32" s="13">
        <v>95</v>
      </c>
      <c r="AZ32" s="19"/>
      <c r="BA32" s="19"/>
      <c r="BB32" s="19">
        <v>1</v>
      </c>
      <c r="BC32" s="19"/>
      <c r="BD32" s="30">
        <f t="shared" si="14"/>
        <v>1</v>
      </c>
      <c r="BE32" s="28">
        <f t="shared" si="15"/>
        <v>95</v>
      </c>
      <c r="BF32" s="14"/>
      <c r="BG32" s="709" t="s">
        <v>15</v>
      </c>
      <c r="BH32" s="709"/>
      <c r="BI32" s="709"/>
      <c r="BJ32" s="709"/>
      <c r="BK32" s="709"/>
      <c r="BL32" s="709"/>
      <c r="BM32" s="13">
        <v>95</v>
      </c>
      <c r="BN32" s="19"/>
      <c r="BO32" s="19">
        <v>1</v>
      </c>
      <c r="BP32" s="30">
        <f t="shared" si="16"/>
        <v>1</v>
      </c>
      <c r="BQ32" s="28">
        <f t="shared" si="17"/>
        <v>95</v>
      </c>
      <c r="BR32" s="14"/>
      <c r="BS32" s="709" t="s">
        <v>15</v>
      </c>
      <c r="BT32" s="709"/>
      <c r="BU32" s="709"/>
      <c r="BV32" s="709"/>
      <c r="BW32" s="709"/>
      <c r="BX32" s="709"/>
      <c r="BY32" s="13">
        <v>95</v>
      </c>
      <c r="BZ32" s="19"/>
      <c r="CA32" s="19"/>
      <c r="CB32" s="19"/>
      <c r="CC32" s="19"/>
      <c r="CD32" s="19"/>
      <c r="CE32" s="19"/>
      <c r="CF32" s="19"/>
      <c r="CG32" s="19"/>
      <c r="CH32" s="19"/>
      <c r="CI32" s="30">
        <f t="shared" si="18"/>
        <v>0</v>
      </c>
      <c r="CJ32" s="28">
        <f t="shared" si="19"/>
        <v>0</v>
      </c>
      <c r="CK32" s="14"/>
      <c r="CL32" s="709" t="s">
        <v>15</v>
      </c>
      <c r="CM32" s="709"/>
      <c r="CN32" s="709"/>
      <c r="CO32" s="709"/>
      <c r="CP32" s="709"/>
      <c r="CQ32" s="709"/>
      <c r="CR32" s="13">
        <v>95</v>
      </c>
      <c r="CS32" s="19"/>
      <c r="CT32" s="19"/>
      <c r="CU32" s="19"/>
      <c r="CV32" s="19"/>
      <c r="CW32" s="19"/>
      <c r="CX32" s="19"/>
      <c r="CY32" s="19"/>
      <c r="CZ32" s="19"/>
      <c r="DA32" s="30">
        <f t="shared" si="20"/>
        <v>0</v>
      </c>
      <c r="DB32" s="28">
        <f t="shared" si="21"/>
        <v>0</v>
      </c>
      <c r="DC32" s="14"/>
      <c r="DD32" s="709" t="s">
        <v>15</v>
      </c>
      <c r="DE32" s="709"/>
      <c r="DF32" s="709"/>
      <c r="DG32" s="709"/>
      <c r="DH32" s="709"/>
      <c r="DI32" s="709"/>
      <c r="DJ32" s="13">
        <v>110</v>
      </c>
      <c r="DK32" s="19"/>
      <c r="DL32" s="19"/>
      <c r="DM32" s="19"/>
      <c r="DN32" s="19"/>
      <c r="DO32" s="19"/>
      <c r="DP32" s="19"/>
      <c r="DQ32" s="19"/>
      <c r="DR32" s="19">
        <v>1</v>
      </c>
      <c r="DS32" s="19"/>
      <c r="DT32" s="19">
        <v>1</v>
      </c>
      <c r="DU32" s="30">
        <f t="shared" si="22"/>
        <v>2</v>
      </c>
      <c r="DV32" s="28">
        <f t="shared" si="23"/>
        <v>220</v>
      </c>
      <c r="DX32" s="709" t="s">
        <v>15</v>
      </c>
      <c r="DY32" s="709"/>
      <c r="DZ32" s="709"/>
      <c r="EA32" s="709"/>
      <c r="EB32" s="709"/>
      <c r="EC32" s="709"/>
      <c r="ED32" s="13">
        <v>110</v>
      </c>
      <c r="EE32" s="19"/>
      <c r="EF32" s="19"/>
      <c r="EG32" s="19"/>
      <c r="EH32" s="19"/>
      <c r="EI32" s="19"/>
      <c r="EJ32" s="19"/>
      <c r="EK32" s="19"/>
      <c r="EL32" s="19"/>
      <c r="EM32" s="23"/>
      <c r="EN32" s="23"/>
      <c r="EO32" s="30">
        <f t="shared" si="24"/>
        <v>0</v>
      </c>
      <c r="EP32" s="28">
        <f t="shared" si="25"/>
        <v>0</v>
      </c>
      <c r="EQ32" t="str">
        <f t="shared" si="26"/>
        <v>DIFERENTE</v>
      </c>
      <c r="ER32" s="709" t="s">
        <v>15</v>
      </c>
      <c r="ES32" s="709"/>
      <c r="ET32" s="709"/>
      <c r="EU32" s="709"/>
      <c r="EV32" s="709"/>
      <c r="EW32" s="709"/>
      <c r="EX32" s="13">
        <v>100</v>
      </c>
      <c r="EY32" s="19"/>
      <c r="EZ32" s="19"/>
      <c r="FA32" s="19"/>
      <c r="FB32" s="19"/>
      <c r="FC32" s="19">
        <v>1</v>
      </c>
      <c r="FD32" s="19"/>
      <c r="FE32" s="19"/>
      <c r="FF32" s="19"/>
      <c r="FG32" s="19"/>
      <c r="FH32" s="19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30">
        <f t="shared" si="27"/>
        <v>1</v>
      </c>
      <c r="FU32" s="28">
        <f t="shared" si="28"/>
        <v>100</v>
      </c>
      <c r="FW32" s="709" t="s">
        <v>15</v>
      </c>
      <c r="FX32" s="709"/>
      <c r="FY32" s="709"/>
      <c r="FZ32" s="709"/>
      <c r="GA32" s="709"/>
      <c r="GB32" s="709"/>
      <c r="GC32" s="13">
        <v>100</v>
      </c>
      <c r="GD32" s="23"/>
      <c r="GE32" s="19"/>
      <c r="GF32" s="19"/>
      <c r="GG32" s="19"/>
      <c r="GH32" s="19"/>
      <c r="GI32" s="19"/>
      <c r="GJ32" s="19"/>
      <c r="GK32" s="19"/>
      <c r="GL32" s="19"/>
      <c r="GM32" s="19"/>
      <c r="GN32" s="23"/>
      <c r="GO32" s="23"/>
      <c r="GP32" s="23"/>
      <c r="GQ32" s="30">
        <f t="shared" si="29"/>
        <v>0</v>
      </c>
      <c r="GR32" s="28">
        <f t="shared" si="30"/>
        <v>0</v>
      </c>
      <c r="GT32" s="709" t="s">
        <v>15</v>
      </c>
      <c r="GU32" s="709"/>
      <c r="GV32" s="709"/>
      <c r="GW32" s="709"/>
      <c r="GX32" s="709"/>
      <c r="GY32" s="709"/>
      <c r="GZ32" s="13">
        <v>100</v>
      </c>
      <c r="HA32" s="19"/>
      <c r="HB32" s="19"/>
      <c r="HC32" s="19"/>
      <c r="HD32" s="19"/>
      <c r="HE32" s="19"/>
      <c r="HF32" s="19"/>
      <c r="HG32" s="19"/>
      <c r="HH32" s="19"/>
      <c r="HI32" s="19"/>
      <c r="HJ32" s="23"/>
      <c r="HK32" s="23"/>
      <c r="HL32" s="30">
        <f t="shared" si="31"/>
        <v>0</v>
      </c>
      <c r="HM32" s="28">
        <f t="shared" si="32"/>
        <v>0</v>
      </c>
      <c r="HO32" s="709" t="s">
        <v>15</v>
      </c>
      <c r="HP32" s="709"/>
      <c r="HQ32" s="709"/>
      <c r="HR32" s="709"/>
      <c r="HS32" s="709"/>
      <c r="HT32" s="709"/>
      <c r="HU32" s="13">
        <v>100</v>
      </c>
      <c r="HV32" s="19"/>
      <c r="HW32" s="30">
        <f t="shared" si="33"/>
        <v>0</v>
      </c>
      <c r="HX32" s="28">
        <f t="shared" si="0"/>
        <v>0</v>
      </c>
      <c r="HZ32" s="709" t="s">
        <v>15</v>
      </c>
      <c r="IA32" s="709"/>
      <c r="IB32" s="709"/>
      <c r="IC32" s="709"/>
      <c r="ID32" s="709"/>
      <c r="IE32" s="709"/>
      <c r="IF32" s="13">
        <v>95</v>
      </c>
      <c r="IG32" s="19"/>
      <c r="IH32" s="23"/>
      <c r="II32" s="23"/>
      <c r="IJ32" s="23"/>
      <c r="IK32" s="23"/>
      <c r="IL32" s="23"/>
      <c r="IM32" s="30">
        <f t="shared" si="41"/>
        <v>0</v>
      </c>
      <c r="IN32" s="28">
        <f t="shared" si="1"/>
        <v>0</v>
      </c>
      <c r="IP32" s="709" t="s">
        <v>15</v>
      </c>
      <c r="IQ32" s="709"/>
      <c r="IR32" s="709"/>
      <c r="IS32" s="709"/>
      <c r="IT32" s="709"/>
      <c r="IU32" s="709"/>
      <c r="IV32" s="13">
        <v>95</v>
      </c>
      <c r="IW32" s="19"/>
      <c r="IX32" s="23">
        <v>1</v>
      </c>
      <c r="IY32" s="30">
        <f t="shared" si="2"/>
        <v>1</v>
      </c>
      <c r="IZ32" s="28">
        <f t="shared" si="3"/>
        <v>95</v>
      </c>
      <c r="JB32" s="709" t="s">
        <v>15</v>
      </c>
      <c r="JC32" s="709"/>
      <c r="JD32" s="709"/>
      <c r="JE32" s="709"/>
      <c r="JF32" s="709"/>
      <c r="JG32" s="709"/>
      <c r="JH32" s="13">
        <v>95</v>
      </c>
      <c r="JI32" s="19"/>
      <c r="JJ32" s="23"/>
      <c r="JK32" s="23"/>
      <c r="JL32" s="23"/>
      <c r="JM32" s="23"/>
      <c r="JN32" s="23"/>
      <c r="JO32" s="23"/>
      <c r="JP32" s="23"/>
      <c r="JQ32" s="23"/>
      <c r="JR32" s="23"/>
      <c r="JS32" s="23"/>
      <c r="JT32" s="23"/>
      <c r="JU32" s="23"/>
      <c r="JV32" s="23"/>
      <c r="JW32" s="23"/>
      <c r="JX32" s="23"/>
      <c r="JY32" s="23"/>
      <c r="JZ32" s="23"/>
      <c r="KA32" s="23"/>
      <c r="KB32" s="23"/>
      <c r="KC32" s="23"/>
      <c r="KD32" s="23"/>
      <c r="KE32" s="30">
        <f t="shared" si="34"/>
        <v>0</v>
      </c>
      <c r="KF32" s="28">
        <f t="shared" si="42"/>
        <v>0</v>
      </c>
      <c r="KH32" s="709" t="s">
        <v>15</v>
      </c>
      <c r="KI32" s="709"/>
      <c r="KJ32" s="709"/>
      <c r="KK32" s="709"/>
      <c r="KL32" s="709"/>
      <c r="KM32" s="709"/>
      <c r="KN32" s="13">
        <v>95</v>
      </c>
      <c r="KO32" s="19"/>
      <c r="KP32" s="23"/>
      <c r="KQ32" s="23"/>
      <c r="KR32" s="23"/>
      <c r="KS32" s="30">
        <f t="shared" si="4"/>
        <v>0</v>
      </c>
      <c r="KT32" s="28">
        <f t="shared" si="5"/>
        <v>0</v>
      </c>
      <c r="KV32" s="709" t="s">
        <v>15</v>
      </c>
      <c r="KW32" s="709"/>
      <c r="KX32" s="709"/>
      <c r="KY32" s="709"/>
      <c r="KZ32" s="709"/>
      <c r="LA32" s="709"/>
      <c r="LB32" s="13">
        <v>95</v>
      </c>
      <c r="LC32" s="19"/>
      <c r="LD32" s="23">
        <v>1</v>
      </c>
      <c r="LE32" s="23"/>
      <c r="LF32" s="30">
        <f t="shared" si="6"/>
        <v>1</v>
      </c>
      <c r="LG32" s="28">
        <f t="shared" si="7"/>
        <v>95</v>
      </c>
      <c r="LI32" s="709" t="s">
        <v>15</v>
      </c>
      <c r="LJ32" s="709"/>
      <c r="LK32" s="709"/>
      <c r="LL32" s="709"/>
      <c r="LM32" s="709"/>
      <c r="LN32" s="709"/>
      <c r="LO32" s="13">
        <v>95</v>
      </c>
      <c r="LP32" s="19"/>
      <c r="LQ32" s="23"/>
      <c r="LR32" s="23"/>
      <c r="LS32" s="23"/>
      <c r="LT32" s="23"/>
      <c r="LU32" s="23"/>
      <c r="LV32" s="23"/>
      <c r="LW32" s="23"/>
      <c r="LX32" s="23"/>
      <c r="LY32" s="23"/>
      <c r="LZ32" s="23"/>
      <c r="MA32" s="23"/>
      <c r="MB32" s="23"/>
      <c r="MC32" s="23"/>
      <c r="MD32" s="23"/>
      <c r="ME32" s="30">
        <f t="shared" si="35"/>
        <v>0</v>
      </c>
      <c r="MF32" s="28">
        <f t="shared" si="8"/>
        <v>0</v>
      </c>
      <c r="MH32" s="709" t="s">
        <v>15</v>
      </c>
      <c r="MI32" s="709"/>
      <c r="MJ32" s="709"/>
      <c r="MK32" s="709"/>
      <c r="ML32" s="709"/>
      <c r="MM32" s="709"/>
      <c r="MN32" s="13">
        <v>95</v>
      </c>
      <c r="MO32" s="19"/>
      <c r="MP32" s="23"/>
      <c r="MQ32" s="23"/>
      <c r="MR32" s="23"/>
      <c r="MS32" s="23"/>
      <c r="MT32" s="23"/>
      <c r="MU32" s="23"/>
      <c r="MV32" s="23"/>
      <c r="MW32" s="23"/>
      <c r="MX32" s="23"/>
      <c r="MY32" s="23"/>
      <c r="MZ32" s="23"/>
      <c r="NA32" s="23"/>
      <c r="NB32" s="23"/>
      <c r="NC32" s="23"/>
      <c r="ND32" s="30">
        <f t="shared" si="36"/>
        <v>0</v>
      </c>
      <c r="NE32" s="28">
        <f t="shared" si="37"/>
        <v>0</v>
      </c>
      <c r="NG32" s="709" t="s">
        <v>15</v>
      </c>
      <c r="NH32" s="709"/>
      <c r="NI32" s="709"/>
      <c r="NJ32" s="709"/>
      <c r="NK32" s="709"/>
      <c r="NL32" s="709"/>
      <c r="NM32" s="13">
        <v>95</v>
      </c>
      <c r="NN32" s="23"/>
      <c r="NO32" s="23"/>
      <c r="NP32" s="23"/>
      <c r="NQ32" s="23"/>
      <c r="NR32" s="23"/>
      <c r="NS32" s="23"/>
      <c r="NT32" s="23"/>
      <c r="NU32" s="23"/>
      <c r="NV32" s="23"/>
      <c r="NW32" s="23"/>
      <c r="NX32" s="23"/>
      <c r="NY32" s="23"/>
      <c r="NZ32" s="23"/>
      <c r="OA32" s="23"/>
      <c r="OB32" s="23"/>
      <c r="OC32" s="30">
        <f t="shared" si="38"/>
        <v>0</v>
      </c>
      <c r="OD32" s="28">
        <f t="shared" si="39"/>
        <v>0</v>
      </c>
    </row>
    <row r="33" spans="1:394" ht="14.45" customHeight="1" x14ac:dyDescent="0.25">
      <c r="A33" s="47"/>
      <c r="B33" s="12"/>
      <c r="C33" s="709" t="s">
        <v>16</v>
      </c>
      <c r="D33" s="709"/>
      <c r="E33" s="709"/>
      <c r="F33" s="709"/>
      <c r="G33" s="709"/>
      <c r="H33" s="709"/>
      <c r="I33" s="13">
        <v>135</v>
      </c>
      <c r="J33" s="13">
        <v>3</v>
      </c>
      <c r="K33" s="19"/>
      <c r="L33" s="19"/>
      <c r="M33" s="19">
        <f t="shared" si="40"/>
        <v>3</v>
      </c>
      <c r="N33" s="19">
        <f t="shared" si="9"/>
        <v>405</v>
      </c>
      <c r="O33" s="12"/>
      <c r="P33" s="709" t="s">
        <v>16</v>
      </c>
      <c r="Q33" s="709"/>
      <c r="R33" s="709"/>
      <c r="S33" s="709"/>
      <c r="T33" s="709"/>
      <c r="U33" s="709"/>
      <c r="V33" s="13"/>
      <c r="W33" s="19"/>
      <c r="X33" s="19"/>
      <c r="Y33" s="23">
        <f t="shared" si="10"/>
        <v>0</v>
      </c>
      <c r="Z33" s="19">
        <f t="shared" si="11"/>
        <v>0</v>
      </c>
      <c r="AA33" s="34"/>
      <c r="AB33" s="34"/>
      <c r="AC33" s="34"/>
      <c r="AD33" s="34"/>
      <c r="AE33" s="34"/>
      <c r="AF33" s="34"/>
      <c r="AG33" s="6"/>
      <c r="AH33" s="709" t="s">
        <v>16</v>
      </c>
      <c r="AI33" s="709"/>
      <c r="AJ33" s="709"/>
      <c r="AK33" s="709"/>
      <c r="AL33" s="709"/>
      <c r="AM33" s="709"/>
      <c r="AN33" s="13"/>
      <c r="AO33" s="19"/>
      <c r="AP33" s="23">
        <f t="shared" si="12"/>
        <v>0</v>
      </c>
      <c r="AQ33" s="19">
        <f t="shared" si="13"/>
        <v>0</v>
      </c>
      <c r="AS33" s="677" t="s">
        <v>16</v>
      </c>
      <c r="AT33" s="677"/>
      <c r="AU33" s="677"/>
      <c r="AV33" s="677"/>
      <c r="AW33" s="677"/>
      <c r="AX33" s="677"/>
      <c r="AY33" s="28"/>
      <c r="AZ33" s="28"/>
      <c r="BA33" s="28"/>
      <c r="BB33" s="28"/>
      <c r="BC33" s="28"/>
      <c r="BD33" s="30">
        <f t="shared" si="14"/>
        <v>0</v>
      </c>
      <c r="BE33" s="28">
        <f t="shared" si="15"/>
        <v>0</v>
      </c>
      <c r="BF33" s="14"/>
      <c r="BG33" s="677" t="s">
        <v>16</v>
      </c>
      <c r="BH33" s="677"/>
      <c r="BI33" s="677"/>
      <c r="BJ33" s="677"/>
      <c r="BK33" s="677"/>
      <c r="BL33" s="677"/>
      <c r="BM33" s="28"/>
      <c r="BN33" s="28"/>
      <c r="BO33" s="28"/>
      <c r="BP33" s="30">
        <f>SUM(BN33:BO33)</f>
        <v>0</v>
      </c>
      <c r="BQ33" s="28">
        <f t="shared" si="17"/>
        <v>0</v>
      </c>
      <c r="BR33" s="14"/>
      <c r="BS33" s="677" t="s">
        <v>16</v>
      </c>
      <c r="BT33" s="677"/>
      <c r="BU33" s="677"/>
      <c r="BV33" s="677"/>
      <c r="BW33" s="677"/>
      <c r="BX33" s="677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30">
        <f t="shared" si="18"/>
        <v>0</v>
      </c>
      <c r="CJ33" s="28">
        <f t="shared" si="19"/>
        <v>0</v>
      </c>
      <c r="CK33" s="14"/>
      <c r="CL33" s="677" t="s">
        <v>16</v>
      </c>
      <c r="CM33" s="677"/>
      <c r="CN33" s="677"/>
      <c r="CO33" s="677"/>
      <c r="CP33" s="677"/>
      <c r="CQ33" s="677"/>
      <c r="CR33" s="28"/>
      <c r="CS33" s="28"/>
      <c r="CT33" s="28"/>
      <c r="CU33" s="28"/>
      <c r="CV33" s="28"/>
      <c r="CW33" s="28"/>
      <c r="CX33" s="28"/>
      <c r="CY33" s="28"/>
      <c r="CZ33" s="28"/>
      <c r="DA33" s="30">
        <f t="shared" si="20"/>
        <v>0</v>
      </c>
      <c r="DB33" s="28">
        <f t="shared" si="21"/>
        <v>0</v>
      </c>
      <c r="DC33" s="14"/>
      <c r="DD33" s="677" t="s">
        <v>16</v>
      </c>
      <c r="DE33" s="677"/>
      <c r="DF33" s="677"/>
      <c r="DG33" s="677"/>
      <c r="DH33" s="677"/>
      <c r="DI33" s="677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30">
        <f t="shared" si="22"/>
        <v>0</v>
      </c>
      <c r="DV33" s="28">
        <f t="shared" si="23"/>
        <v>0</v>
      </c>
      <c r="DX33" s="677" t="s">
        <v>16</v>
      </c>
      <c r="DY33" s="677"/>
      <c r="DZ33" s="677"/>
      <c r="EA33" s="677"/>
      <c r="EB33" s="677"/>
      <c r="EC33" s="677"/>
      <c r="ED33" s="28"/>
      <c r="EE33" s="28"/>
      <c r="EF33" s="28"/>
      <c r="EG33" s="28"/>
      <c r="EH33" s="28"/>
      <c r="EI33" s="28"/>
      <c r="EJ33" s="28"/>
      <c r="EK33" s="28"/>
      <c r="EL33" s="28"/>
      <c r="EM33" s="30"/>
      <c r="EN33" s="30"/>
      <c r="EO33" s="30">
        <f t="shared" si="24"/>
        <v>0</v>
      </c>
      <c r="EP33" s="28">
        <f t="shared" si="25"/>
        <v>0</v>
      </c>
      <c r="EQ33" t="str">
        <f t="shared" si="26"/>
        <v>IGUAL</v>
      </c>
      <c r="ER33" s="677" t="s">
        <v>16</v>
      </c>
      <c r="ES33" s="677"/>
      <c r="ET33" s="677"/>
      <c r="EU33" s="677"/>
      <c r="EV33" s="677"/>
      <c r="EW33" s="677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30"/>
      <c r="FJ33" s="30"/>
      <c r="FK33" s="30"/>
      <c r="FL33" s="30"/>
      <c r="FM33" s="30"/>
      <c r="FN33" s="30"/>
      <c r="FO33" s="30"/>
      <c r="FP33" s="30"/>
      <c r="FQ33" s="30"/>
      <c r="FR33" s="30"/>
      <c r="FS33" s="30"/>
      <c r="FT33" s="30">
        <f t="shared" si="27"/>
        <v>0</v>
      </c>
      <c r="FU33" s="28">
        <f t="shared" si="28"/>
        <v>0</v>
      </c>
      <c r="FW33" s="677" t="s">
        <v>16</v>
      </c>
      <c r="FX33" s="677"/>
      <c r="FY33" s="677"/>
      <c r="FZ33" s="677"/>
      <c r="GA33" s="677"/>
      <c r="GB33" s="677"/>
      <c r="GC33" s="28"/>
      <c r="GD33" s="30"/>
      <c r="GE33" s="28"/>
      <c r="GF33" s="28"/>
      <c r="GG33" s="28"/>
      <c r="GH33" s="28"/>
      <c r="GI33" s="28"/>
      <c r="GJ33" s="28"/>
      <c r="GK33" s="28"/>
      <c r="GL33" s="28"/>
      <c r="GM33" s="28"/>
      <c r="GN33" s="30"/>
      <c r="GO33" s="30"/>
      <c r="GP33" s="30"/>
      <c r="GQ33" s="30">
        <f t="shared" si="29"/>
        <v>0</v>
      </c>
      <c r="GR33" s="28">
        <f t="shared" si="30"/>
        <v>0</v>
      </c>
      <c r="GT33" s="677" t="s">
        <v>16</v>
      </c>
      <c r="GU33" s="677"/>
      <c r="GV33" s="677"/>
      <c r="GW33" s="677"/>
      <c r="GX33" s="677"/>
      <c r="GY33" s="677"/>
      <c r="GZ33" s="28"/>
      <c r="HA33" s="28"/>
      <c r="HB33" s="28"/>
      <c r="HC33" s="28"/>
      <c r="HD33" s="28"/>
      <c r="HE33" s="28"/>
      <c r="HF33" s="28"/>
      <c r="HG33" s="28"/>
      <c r="HH33" s="28"/>
      <c r="HI33" s="28"/>
      <c r="HJ33" s="30"/>
      <c r="HK33" s="30"/>
      <c r="HL33" s="30">
        <f t="shared" si="31"/>
        <v>0</v>
      </c>
      <c r="HM33" s="28">
        <f t="shared" si="32"/>
        <v>0</v>
      </c>
      <c r="HO33" s="677" t="s">
        <v>16</v>
      </c>
      <c r="HP33" s="677"/>
      <c r="HQ33" s="677"/>
      <c r="HR33" s="677"/>
      <c r="HS33" s="677"/>
      <c r="HT33" s="677"/>
      <c r="HU33" s="28"/>
      <c r="HV33" s="28"/>
      <c r="HW33" s="30">
        <f t="shared" si="33"/>
        <v>0</v>
      </c>
      <c r="HX33" s="28">
        <f t="shared" si="0"/>
        <v>0</v>
      </c>
      <c r="HZ33" s="677" t="s">
        <v>16</v>
      </c>
      <c r="IA33" s="677"/>
      <c r="IB33" s="677"/>
      <c r="IC33" s="677"/>
      <c r="ID33" s="677"/>
      <c r="IE33" s="677"/>
      <c r="IF33" s="28"/>
      <c r="IG33" s="28"/>
      <c r="IH33" s="30"/>
      <c r="II33" s="30"/>
      <c r="IJ33" s="30"/>
      <c r="IK33" s="30"/>
      <c r="IL33" s="30"/>
      <c r="IM33" s="30">
        <f t="shared" si="41"/>
        <v>0</v>
      </c>
      <c r="IN33" s="28">
        <f t="shared" si="1"/>
        <v>0</v>
      </c>
      <c r="IP33" s="677" t="s">
        <v>16</v>
      </c>
      <c r="IQ33" s="677"/>
      <c r="IR33" s="677"/>
      <c r="IS33" s="677"/>
      <c r="IT33" s="677"/>
      <c r="IU33" s="677"/>
      <c r="IV33" s="28"/>
      <c r="IW33" s="28"/>
      <c r="IX33" s="30"/>
      <c r="IY33" s="30">
        <f t="shared" si="2"/>
        <v>0</v>
      </c>
      <c r="IZ33" s="28">
        <f t="shared" si="3"/>
        <v>0</v>
      </c>
      <c r="JB33" s="677" t="s">
        <v>16</v>
      </c>
      <c r="JC33" s="677"/>
      <c r="JD33" s="677"/>
      <c r="JE33" s="677"/>
      <c r="JF33" s="677"/>
      <c r="JG33" s="677"/>
      <c r="JH33" s="28">
        <v>160</v>
      </c>
      <c r="JI33" s="28"/>
      <c r="JJ33" s="30"/>
      <c r="JK33" s="30"/>
      <c r="JL33" s="30"/>
      <c r="JM33" s="30"/>
      <c r="JN33" s="30"/>
      <c r="JO33" s="30"/>
      <c r="JP33" s="30"/>
      <c r="JQ33" s="30"/>
      <c r="JR33" s="30"/>
      <c r="JS33" s="30"/>
      <c r="JT33" s="30"/>
      <c r="JU33" s="30"/>
      <c r="JV33" s="30"/>
      <c r="JW33" s="30"/>
      <c r="JX33" s="30"/>
      <c r="JY33" s="30"/>
      <c r="JZ33" s="30"/>
      <c r="KA33" s="30"/>
      <c r="KB33" s="30"/>
      <c r="KC33" s="30"/>
      <c r="KD33" s="30"/>
      <c r="KE33" s="30">
        <f t="shared" si="34"/>
        <v>0</v>
      </c>
      <c r="KF33" s="28">
        <f t="shared" si="42"/>
        <v>0</v>
      </c>
      <c r="KH33" s="677" t="s">
        <v>16</v>
      </c>
      <c r="KI33" s="677"/>
      <c r="KJ33" s="677"/>
      <c r="KK33" s="677"/>
      <c r="KL33" s="677"/>
      <c r="KM33" s="677"/>
      <c r="KN33" s="28">
        <v>160</v>
      </c>
      <c r="KO33" s="28"/>
      <c r="KP33" s="30"/>
      <c r="KQ33" s="30"/>
      <c r="KR33" s="30"/>
      <c r="KS33" s="30">
        <f t="shared" si="4"/>
        <v>0</v>
      </c>
      <c r="KT33" s="28">
        <f t="shared" si="5"/>
        <v>0</v>
      </c>
      <c r="KV33" s="677" t="s">
        <v>16</v>
      </c>
      <c r="KW33" s="677"/>
      <c r="KX33" s="677"/>
      <c r="KY33" s="677"/>
      <c r="KZ33" s="677"/>
      <c r="LA33" s="677"/>
      <c r="LB33" s="28">
        <v>160</v>
      </c>
      <c r="LC33" s="28"/>
      <c r="LD33" s="30"/>
      <c r="LE33" s="30"/>
      <c r="LF33" s="30">
        <f t="shared" si="6"/>
        <v>0</v>
      </c>
      <c r="LG33" s="28">
        <f t="shared" si="7"/>
        <v>0</v>
      </c>
      <c r="LI33" s="677" t="s">
        <v>16</v>
      </c>
      <c r="LJ33" s="677"/>
      <c r="LK33" s="677"/>
      <c r="LL33" s="677"/>
      <c r="LM33" s="677"/>
      <c r="LN33" s="677"/>
      <c r="LO33" s="28">
        <v>160</v>
      </c>
      <c r="LP33" s="28"/>
      <c r="LQ33" s="30"/>
      <c r="LR33" s="30"/>
      <c r="LS33" s="30"/>
      <c r="LT33" s="30"/>
      <c r="LU33" s="30"/>
      <c r="LV33" s="30"/>
      <c r="LW33" s="30"/>
      <c r="LX33" s="30"/>
      <c r="LY33" s="30"/>
      <c r="LZ33" s="30"/>
      <c r="MA33" s="30"/>
      <c r="MB33" s="30"/>
      <c r="MC33" s="30"/>
      <c r="MD33" s="30"/>
      <c r="ME33" s="30">
        <f t="shared" si="35"/>
        <v>0</v>
      </c>
      <c r="MF33" s="28">
        <f t="shared" si="8"/>
        <v>0</v>
      </c>
      <c r="MH33" s="677" t="s">
        <v>16</v>
      </c>
      <c r="MI33" s="677"/>
      <c r="MJ33" s="677"/>
      <c r="MK33" s="677"/>
      <c r="ML33" s="677"/>
      <c r="MM33" s="677"/>
      <c r="MN33" s="28">
        <v>145</v>
      </c>
      <c r="MO33" s="28"/>
      <c r="MP33" s="30"/>
      <c r="MQ33" s="30"/>
      <c r="MR33" s="30"/>
      <c r="MS33" s="30"/>
      <c r="MT33" s="30"/>
      <c r="MU33" s="30"/>
      <c r="MV33" s="30"/>
      <c r="MW33" s="30"/>
      <c r="MX33" s="30"/>
      <c r="MY33" s="30">
        <v>1</v>
      </c>
      <c r="MZ33" s="30"/>
      <c r="NA33" s="30"/>
      <c r="NB33" s="30"/>
      <c r="NC33" s="30"/>
      <c r="ND33" s="30">
        <f t="shared" si="36"/>
        <v>1</v>
      </c>
      <c r="NE33" s="28">
        <f t="shared" si="37"/>
        <v>145</v>
      </c>
      <c r="NG33" s="677" t="s">
        <v>16</v>
      </c>
      <c r="NH33" s="677"/>
      <c r="NI33" s="677"/>
      <c r="NJ33" s="677"/>
      <c r="NK33" s="677"/>
      <c r="NL33" s="677"/>
      <c r="NM33" s="28">
        <v>145</v>
      </c>
      <c r="NN33" s="30"/>
      <c r="NO33" s="30"/>
      <c r="NP33" s="30"/>
      <c r="NQ33" s="30"/>
      <c r="NR33" s="30"/>
      <c r="NS33" s="30"/>
      <c r="NT33" s="30"/>
      <c r="NU33" s="30"/>
      <c r="NV33" s="30"/>
      <c r="NW33" s="30"/>
      <c r="NX33" s="30"/>
      <c r="NY33" s="30"/>
      <c r="NZ33" s="30"/>
      <c r="OA33" s="30"/>
      <c r="OB33" s="30"/>
      <c r="OC33" s="30">
        <f t="shared" si="38"/>
        <v>0</v>
      </c>
      <c r="OD33" s="28">
        <f t="shared" si="39"/>
        <v>0</v>
      </c>
    </row>
    <row r="34" spans="1:394" ht="14.45" customHeight="1" x14ac:dyDescent="0.25">
      <c r="A34" s="47"/>
      <c r="B34" s="12"/>
      <c r="C34" s="709" t="s">
        <v>54</v>
      </c>
      <c r="D34" s="709"/>
      <c r="E34" s="709"/>
      <c r="F34" s="709"/>
      <c r="G34" s="709"/>
      <c r="H34" s="709"/>
      <c r="I34" s="13"/>
      <c r="J34" s="13"/>
      <c r="K34" s="19"/>
      <c r="L34" s="19"/>
      <c r="M34" s="19">
        <f t="shared" si="40"/>
        <v>0</v>
      </c>
      <c r="N34" s="19">
        <f t="shared" si="9"/>
        <v>0</v>
      </c>
      <c r="O34" s="12"/>
      <c r="P34" s="709" t="s">
        <v>54</v>
      </c>
      <c r="Q34" s="709"/>
      <c r="R34" s="709"/>
      <c r="S34" s="709"/>
      <c r="T34" s="709"/>
      <c r="U34" s="709"/>
      <c r="V34" s="13"/>
      <c r="W34" s="19"/>
      <c r="X34" s="19"/>
      <c r="Y34" s="23">
        <f t="shared" si="10"/>
        <v>0</v>
      </c>
      <c r="Z34" s="19">
        <f t="shared" si="11"/>
        <v>0</v>
      </c>
      <c r="AA34" s="34"/>
      <c r="AB34" s="34"/>
      <c r="AC34" s="34"/>
      <c r="AD34" s="34"/>
      <c r="AE34" s="34"/>
      <c r="AF34" s="34"/>
      <c r="AG34" s="6"/>
      <c r="AH34" s="709" t="s">
        <v>54</v>
      </c>
      <c r="AI34" s="709"/>
      <c r="AJ34" s="709"/>
      <c r="AK34" s="709"/>
      <c r="AL34" s="709"/>
      <c r="AM34" s="709"/>
      <c r="AN34" s="13"/>
      <c r="AO34" s="19"/>
      <c r="AP34" s="23">
        <f t="shared" si="12"/>
        <v>0</v>
      </c>
      <c r="AQ34" s="19">
        <f t="shared" si="13"/>
        <v>0</v>
      </c>
      <c r="AS34" s="709" t="s">
        <v>54</v>
      </c>
      <c r="AT34" s="709"/>
      <c r="AU34" s="709"/>
      <c r="AV34" s="709"/>
      <c r="AW34" s="709"/>
      <c r="AX34" s="709"/>
      <c r="AY34" s="13"/>
      <c r="AZ34" s="19"/>
      <c r="BA34" s="19"/>
      <c r="BB34" s="19"/>
      <c r="BC34" s="19"/>
      <c r="BD34" s="30">
        <f t="shared" si="14"/>
        <v>0</v>
      </c>
      <c r="BE34" s="28">
        <f t="shared" si="15"/>
        <v>0</v>
      </c>
      <c r="BF34" s="14"/>
      <c r="BG34" s="709" t="s">
        <v>54</v>
      </c>
      <c r="BH34" s="709"/>
      <c r="BI34" s="709"/>
      <c r="BJ34" s="709"/>
      <c r="BK34" s="709"/>
      <c r="BL34" s="709"/>
      <c r="BM34" s="13"/>
      <c r="BN34" s="19"/>
      <c r="BO34" s="19"/>
      <c r="BP34" s="30">
        <f t="shared" si="16"/>
        <v>0</v>
      </c>
      <c r="BQ34" s="28">
        <f t="shared" si="17"/>
        <v>0</v>
      </c>
      <c r="BR34" s="14"/>
      <c r="BS34" s="709" t="s">
        <v>54</v>
      </c>
      <c r="BT34" s="709"/>
      <c r="BU34" s="709"/>
      <c r="BV34" s="709"/>
      <c r="BW34" s="709"/>
      <c r="BX34" s="709"/>
      <c r="BY34" s="13">
        <v>100</v>
      </c>
      <c r="BZ34" s="19"/>
      <c r="CA34" s="19"/>
      <c r="CB34" s="19"/>
      <c r="CC34" s="19">
        <v>1</v>
      </c>
      <c r="CD34" s="19"/>
      <c r="CE34" s="19"/>
      <c r="CF34" s="19"/>
      <c r="CG34" s="19"/>
      <c r="CH34" s="19"/>
      <c r="CI34" s="30">
        <f t="shared" si="18"/>
        <v>1</v>
      </c>
      <c r="CJ34" s="28">
        <f t="shared" si="19"/>
        <v>100</v>
      </c>
      <c r="CK34" s="14"/>
      <c r="CL34" s="709" t="s">
        <v>54</v>
      </c>
      <c r="CM34" s="709"/>
      <c r="CN34" s="709"/>
      <c r="CO34" s="709"/>
      <c r="CP34" s="709"/>
      <c r="CQ34" s="709"/>
      <c r="CR34" s="13">
        <v>100</v>
      </c>
      <c r="CS34" s="19"/>
      <c r="CT34" s="19"/>
      <c r="CU34" s="19"/>
      <c r="CV34" s="19"/>
      <c r="CW34" s="19"/>
      <c r="CX34" s="19"/>
      <c r="CY34" s="19"/>
      <c r="CZ34" s="19"/>
      <c r="DA34" s="30">
        <f t="shared" si="20"/>
        <v>0</v>
      </c>
      <c r="DB34" s="28">
        <f t="shared" si="21"/>
        <v>0</v>
      </c>
      <c r="DC34" s="14"/>
      <c r="DD34" s="709" t="s">
        <v>54</v>
      </c>
      <c r="DE34" s="709"/>
      <c r="DF34" s="709"/>
      <c r="DG34" s="709"/>
      <c r="DH34" s="709"/>
      <c r="DI34" s="709"/>
      <c r="DJ34" s="13">
        <v>100</v>
      </c>
      <c r="DK34" s="19"/>
      <c r="DL34" s="19"/>
      <c r="DM34" s="19"/>
      <c r="DN34" s="19"/>
      <c r="DO34" s="19"/>
      <c r="DP34" s="19"/>
      <c r="DQ34" s="19"/>
      <c r="DR34" s="19">
        <v>1</v>
      </c>
      <c r="DS34" s="19">
        <v>3</v>
      </c>
      <c r="DT34" s="19"/>
      <c r="DU34" s="30">
        <f t="shared" si="22"/>
        <v>4</v>
      </c>
      <c r="DV34" s="28">
        <f t="shared" si="23"/>
        <v>400</v>
      </c>
      <c r="DX34" s="709" t="s">
        <v>54</v>
      </c>
      <c r="DY34" s="709"/>
      <c r="DZ34" s="709"/>
      <c r="EA34" s="709"/>
      <c r="EB34" s="709"/>
      <c r="EC34" s="709"/>
      <c r="ED34" s="13">
        <v>100</v>
      </c>
      <c r="EE34" s="19"/>
      <c r="EF34" s="19"/>
      <c r="EG34" s="19"/>
      <c r="EH34" s="19"/>
      <c r="EI34" s="19"/>
      <c r="EJ34" s="19"/>
      <c r="EK34" s="19"/>
      <c r="EL34" s="19"/>
      <c r="EM34" s="23"/>
      <c r="EN34" s="23"/>
      <c r="EO34" s="30">
        <f t="shared" si="24"/>
        <v>0</v>
      </c>
      <c r="EP34" s="28">
        <f t="shared" si="25"/>
        <v>0</v>
      </c>
      <c r="EQ34" t="str">
        <f t="shared" si="26"/>
        <v>IGUAL</v>
      </c>
      <c r="ER34" s="709" t="s">
        <v>54</v>
      </c>
      <c r="ES34" s="709"/>
      <c r="ET34" s="709"/>
      <c r="EU34" s="709"/>
      <c r="EV34" s="709"/>
      <c r="EW34" s="709"/>
      <c r="EX34" s="13">
        <v>100</v>
      </c>
      <c r="EY34" s="19"/>
      <c r="EZ34" s="19">
        <v>1</v>
      </c>
      <c r="FA34" s="19"/>
      <c r="FB34" s="19"/>
      <c r="FC34" s="19"/>
      <c r="FD34" s="19"/>
      <c r="FE34" s="19"/>
      <c r="FF34" s="19"/>
      <c r="FG34" s="19"/>
      <c r="FH34" s="19"/>
      <c r="FI34" s="23"/>
      <c r="FJ34" s="23"/>
      <c r="FK34" s="23"/>
      <c r="FL34" s="23"/>
      <c r="FM34" s="23"/>
      <c r="FN34" s="23"/>
      <c r="FO34" s="23">
        <v>1</v>
      </c>
      <c r="FP34" s="23"/>
      <c r="FQ34" s="23"/>
      <c r="FR34" s="23">
        <v>3</v>
      </c>
      <c r="FS34" s="23"/>
      <c r="FT34" s="30">
        <f t="shared" si="27"/>
        <v>5</v>
      </c>
      <c r="FU34" s="28">
        <f t="shared" si="28"/>
        <v>500</v>
      </c>
      <c r="FW34" s="709" t="s">
        <v>54</v>
      </c>
      <c r="FX34" s="709"/>
      <c r="FY34" s="709"/>
      <c r="FZ34" s="709"/>
      <c r="GA34" s="709"/>
      <c r="GB34" s="709"/>
      <c r="GC34" s="13">
        <v>100</v>
      </c>
      <c r="GD34" s="23"/>
      <c r="GE34" s="19"/>
      <c r="GF34" s="19"/>
      <c r="GG34" s="19"/>
      <c r="GH34" s="19"/>
      <c r="GI34" s="19"/>
      <c r="GJ34" s="19"/>
      <c r="GK34" s="19"/>
      <c r="GL34" s="19">
        <v>1</v>
      </c>
      <c r="GM34" s="19"/>
      <c r="GN34" s="23"/>
      <c r="GO34" s="23"/>
      <c r="GP34" s="23"/>
      <c r="GQ34" s="30">
        <f t="shared" si="29"/>
        <v>1</v>
      </c>
      <c r="GR34" s="28">
        <f t="shared" si="30"/>
        <v>100</v>
      </c>
      <c r="GT34" s="709" t="s">
        <v>54</v>
      </c>
      <c r="GU34" s="709"/>
      <c r="GV34" s="709"/>
      <c r="GW34" s="709"/>
      <c r="GX34" s="709"/>
      <c r="GY34" s="709"/>
      <c r="GZ34" s="13">
        <v>100</v>
      </c>
      <c r="HA34" s="19"/>
      <c r="HB34" s="19"/>
      <c r="HC34" s="19"/>
      <c r="HD34" s="19"/>
      <c r="HE34" s="19">
        <v>2</v>
      </c>
      <c r="HF34" s="19"/>
      <c r="HG34" s="19"/>
      <c r="HH34" s="19"/>
      <c r="HI34" s="19">
        <v>1</v>
      </c>
      <c r="HJ34" s="23"/>
      <c r="HK34" s="23"/>
      <c r="HL34" s="30">
        <f t="shared" si="31"/>
        <v>3</v>
      </c>
      <c r="HM34" s="28">
        <f t="shared" si="32"/>
        <v>300</v>
      </c>
      <c r="HO34" s="709" t="s">
        <v>54</v>
      </c>
      <c r="HP34" s="709"/>
      <c r="HQ34" s="709"/>
      <c r="HR34" s="709"/>
      <c r="HS34" s="709"/>
      <c r="HT34" s="709"/>
      <c r="HU34" s="13">
        <v>100</v>
      </c>
      <c r="HV34" s="19">
        <v>1</v>
      </c>
      <c r="HW34" s="30">
        <f t="shared" si="33"/>
        <v>1</v>
      </c>
      <c r="HX34" s="28">
        <f t="shared" si="0"/>
        <v>100</v>
      </c>
      <c r="HZ34" s="709" t="s">
        <v>54</v>
      </c>
      <c r="IA34" s="709"/>
      <c r="IB34" s="709"/>
      <c r="IC34" s="709"/>
      <c r="ID34" s="709"/>
      <c r="IE34" s="709"/>
      <c r="IF34" s="13">
        <v>100</v>
      </c>
      <c r="IG34" s="19">
        <v>1</v>
      </c>
      <c r="IH34" s="23"/>
      <c r="II34" s="23"/>
      <c r="IJ34" s="23"/>
      <c r="IK34" s="23"/>
      <c r="IL34" s="23"/>
      <c r="IM34" s="30">
        <f t="shared" si="41"/>
        <v>1</v>
      </c>
      <c r="IN34" s="28">
        <f t="shared" si="1"/>
        <v>100</v>
      </c>
      <c r="IP34" s="709" t="s">
        <v>54</v>
      </c>
      <c r="IQ34" s="709"/>
      <c r="IR34" s="709"/>
      <c r="IS34" s="709"/>
      <c r="IT34" s="709"/>
      <c r="IU34" s="709"/>
      <c r="IV34" s="13">
        <v>100</v>
      </c>
      <c r="IW34" s="19"/>
      <c r="IX34" s="23"/>
      <c r="IY34" s="30">
        <f t="shared" si="2"/>
        <v>0</v>
      </c>
      <c r="IZ34" s="28">
        <f t="shared" si="3"/>
        <v>0</v>
      </c>
      <c r="JB34" s="709" t="s">
        <v>237</v>
      </c>
      <c r="JC34" s="709"/>
      <c r="JD34" s="709"/>
      <c r="JE34" s="709"/>
      <c r="JF34" s="709"/>
      <c r="JG34" s="709"/>
      <c r="JH34" s="13">
        <v>100</v>
      </c>
      <c r="JI34" s="19"/>
      <c r="JJ34" s="23"/>
      <c r="JK34" s="23"/>
      <c r="JL34" s="23">
        <v>1</v>
      </c>
      <c r="JM34" s="23"/>
      <c r="JN34" s="23"/>
      <c r="JO34" s="23"/>
      <c r="JP34" s="23">
        <v>2</v>
      </c>
      <c r="JQ34" s="23"/>
      <c r="JR34" s="23"/>
      <c r="JS34" s="23"/>
      <c r="JT34" s="23">
        <v>1</v>
      </c>
      <c r="JU34" s="23"/>
      <c r="JV34" s="23"/>
      <c r="JW34" s="23"/>
      <c r="JX34" s="23"/>
      <c r="JY34" s="23"/>
      <c r="JZ34" s="23"/>
      <c r="KA34" s="23"/>
      <c r="KB34" s="23"/>
      <c r="KC34" s="23"/>
      <c r="KD34" s="23"/>
      <c r="KE34" s="30">
        <f t="shared" si="34"/>
        <v>4</v>
      </c>
      <c r="KF34" s="28">
        <f t="shared" si="42"/>
        <v>400</v>
      </c>
      <c r="KH34" s="709" t="s">
        <v>237</v>
      </c>
      <c r="KI34" s="709"/>
      <c r="KJ34" s="709"/>
      <c r="KK34" s="709"/>
      <c r="KL34" s="709"/>
      <c r="KM34" s="709"/>
      <c r="KN34" s="13">
        <v>100</v>
      </c>
      <c r="KO34" s="19">
        <v>2</v>
      </c>
      <c r="KP34" s="23"/>
      <c r="KQ34" s="23"/>
      <c r="KR34" s="23"/>
      <c r="KS34" s="30">
        <f t="shared" si="4"/>
        <v>2</v>
      </c>
      <c r="KT34" s="28">
        <f t="shared" si="5"/>
        <v>200</v>
      </c>
      <c r="KV34" s="709" t="s">
        <v>237</v>
      </c>
      <c r="KW34" s="709"/>
      <c r="KX34" s="709"/>
      <c r="KY34" s="709"/>
      <c r="KZ34" s="709"/>
      <c r="LA34" s="709"/>
      <c r="LB34" s="13">
        <v>100</v>
      </c>
      <c r="LC34" s="19"/>
      <c r="LD34" s="23"/>
      <c r="LE34" s="23"/>
      <c r="LF34" s="30">
        <f t="shared" si="6"/>
        <v>0</v>
      </c>
      <c r="LG34" s="28">
        <f t="shared" si="7"/>
        <v>0</v>
      </c>
      <c r="LI34" s="709" t="s">
        <v>237</v>
      </c>
      <c r="LJ34" s="709"/>
      <c r="LK34" s="709"/>
      <c r="LL34" s="709"/>
      <c r="LM34" s="709"/>
      <c r="LN34" s="709"/>
      <c r="LO34" s="13">
        <v>100</v>
      </c>
      <c r="LP34" s="19">
        <v>1</v>
      </c>
      <c r="LQ34" s="23"/>
      <c r="LR34" s="23"/>
      <c r="LS34" s="23"/>
      <c r="LT34" s="23"/>
      <c r="LU34" s="23"/>
      <c r="LV34" s="23"/>
      <c r="LW34" s="23">
        <v>1</v>
      </c>
      <c r="LX34" s="23"/>
      <c r="LY34" s="23"/>
      <c r="LZ34" s="23"/>
      <c r="MA34" s="23"/>
      <c r="MB34" s="23"/>
      <c r="MC34" s="23"/>
      <c r="MD34" s="23"/>
      <c r="ME34" s="30">
        <f t="shared" si="35"/>
        <v>2</v>
      </c>
      <c r="MF34" s="28">
        <f t="shared" si="8"/>
        <v>200</v>
      </c>
      <c r="MH34" s="709" t="s">
        <v>237</v>
      </c>
      <c r="MI34" s="709"/>
      <c r="MJ34" s="709"/>
      <c r="MK34" s="709"/>
      <c r="ML34" s="709"/>
      <c r="MM34" s="709"/>
      <c r="MN34" s="13">
        <v>100</v>
      </c>
      <c r="MO34" s="19"/>
      <c r="MP34" s="23"/>
      <c r="MQ34" s="23"/>
      <c r="MR34" s="23"/>
      <c r="MS34" s="23"/>
      <c r="MT34" s="23">
        <v>1</v>
      </c>
      <c r="MU34" s="23"/>
      <c r="MV34" s="23"/>
      <c r="MW34" s="23"/>
      <c r="MX34" s="23"/>
      <c r="MY34" s="23"/>
      <c r="MZ34" s="23"/>
      <c r="NA34" s="23"/>
      <c r="NB34" s="23"/>
      <c r="NC34" s="23">
        <v>1</v>
      </c>
      <c r="ND34" s="30">
        <f t="shared" si="36"/>
        <v>2</v>
      </c>
      <c r="NE34" s="28">
        <f t="shared" si="37"/>
        <v>200</v>
      </c>
      <c r="NG34" s="709" t="s">
        <v>237</v>
      </c>
      <c r="NH34" s="709"/>
      <c r="NI34" s="709"/>
      <c r="NJ34" s="709"/>
      <c r="NK34" s="709"/>
      <c r="NL34" s="709"/>
      <c r="NM34" s="13">
        <v>100</v>
      </c>
      <c r="NN34" s="23"/>
      <c r="NO34" s="23"/>
      <c r="NP34" s="23"/>
      <c r="NQ34" s="23"/>
      <c r="NR34" s="23">
        <v>2</v>
      </c>
      <c r="NS34" s="23"/>
      <c r="NT34" s="23"/>
      <c r="NU34" s="23"/>
      <c r="NV34" s="23"/>
      <c r="NW34" s="23"/>
      <c r="NX34" s="23"/>
      <c r="NY34" s="23"/>
      <c r="NZ34" s="23"/>
      <c r="OA34" s="23"/>
      <c r="OB34" s="23"/>
      <c r="OC34" s="30">
        <f t="shared" si="38"/>
        <v>2</v>
      </c>
      <c r="OD34" s="28">
        <f t="shared" si="39"/>
        <v>200</v>
      </c>
    </row>
    <row r="35" spans="1:394" ht="14.45" customHeight="1" x14ac:dyDescent="0.25">
      <c r="A35" s="47"/>
      <c r="B35" s="12"/>
      <c r="C35" s="709" t="s">
        <v>17</v>
      </c>
      <c r="D35" s="709"/>
      <c r="E35" s="709"/>
      <c r="F35" s="709"/>
      <c r="G35" s="709"/>
      <c r="H35" s="709"/>
      <c r="I35" s="13"/>
      <c r="J35" s="13"/>
      <c r="K35" s="19"/>
      <c r="L35" s="19"/>
      <c r="M35" s="19">
        <f t="shared" si="40"/>
        <v>0</v>
      </c>
      <c r="N35" s="19">
        <f t="shared" si="9"/>
        <v>0</v>
      </c>
      <c r="O35" s="12"/>
      <c r="P35" s="709" t="s">
        <v>17</v>
      </c>
      <c r="Q35" s="709"/>
      <c r="R35" s="709"/>
      <c r="S35" s="709"/>
      <c r="T35" s="709"/>
      <c r="U35" s="709"/>
      <c r="V35" s="13"/>
      <c r="W35" s="19"/>
      <c r="X35" s="19"/>
      <c r="Y35" s="23">
        <f t="shared" si="10"/>
        <v>0</v>
      </c>
      <c r="Z35" s="19">
        <f t="shared" si="11"/>
        <v>0</v>
      </c>
      <c r="AA35" s="34"/>
      <c r="AB35" s="34"/>
      <c r="AC35" s="34"/>
      <c r="AD35" s="34"/>
      <c r="AE35" s="34"/>
      <c r="AF35" s="34"/>
      <c r="AG35" s="6"/>
      <c r="AH35" s="709" t="s">
        <v>17</v>
      </c>
      <c r="AI35" s="709"/>
      <c r="AJ35" s="709"/>
      <c r="AK35" s="709"/>
      <c r="AL35" s="709"/>
      <c r="AM35" s="709"/>
      <c r="AN35" s="13"/>
      <c r="AO35" s="19"/>
      <c r="AP35" s="23">
        <f t="shared" si="12"/>
        <v>0</v>
      </c>
      <c r="AQ35" s="19">
        <f t="shared" si="13"/>
        <v>0</v>
      </c>
      <c r="AS35" s="677" t="s">
        <v>17</v>
      </c>
      <c r="AT35" s="677"/>
      <c r="AU35" s="677"/>
      <c r="AV35" s="677"/>
      <c r="AW35" s="677"/>
      <c r="AX35" s="677"/>
      <c r="AY35" s="28"/>
      <c r="AZ35" s="28"/>
      <c r="BA35" s="28"/>
      <c r="BB35" s="28"/>
      <c r="BC35" s="28"/>
      <c r="BD35" s="30">
        <f t="shared" si="14"/>
        <v>0</v>
      </c>
      <c r="BE35" s="28">
        <f t="shared" si="15"/>
        <v>0</v>
      </c>
      <c r="BF35" s="14"/>
      <c r="BG35" s="677" t="s">
        <v>17</v>
      </c>
      <c r="BH35" s="677"/>
      <c r="BI35" s="677"/>
      <c r="BJ35" s="677"/>
      <c r="BK35" s="677"/>
      <c r="BL35" s="677"/>
      <c r="BM35" s="28"/>
      <c r="BN35" s="28"/>
      <c r="BO35" s="28"/>
      <c r="BP35" s="30">
        <f t="shared" si="16"/>
        <v>0</v>
      </c>
      <c r="BQ35" s="28">
        <f t="shared" si="17"/>
        <v>0</v>
      </c>
      <c r="BR35" s="14"/>
      <c r="BS35" s="677" t="s">
        <v>17</v>
      </c>
      <c r="BT35" s="677"/>
      <c r="BU35" s="677"/>
      <c r="BV35" s="677"/>
      <c r="BW35" s="677"/>
      <c r="BX35" s="677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30">
        <f t="shared" si="18"/>
        <v>0</v>
      </c>
      <c r="CJ35" s="28">
        <f t="shared" si="19"/>
        <v>0</v>
      </c>
      <c r="CK35" s="14"/>
      <c r="CL35" s="677" t="s">
        <v>17</v>
      </c>
      <c r="CM35" s="677"/>
      <c r="CN35" s="677"/>
      <c r="CO35" s="677"/>
      <c r="CP35" s="677"/>
      <c r="CQ35" s="677"/>
      <c r="CR35" s="28"/>
      <c r="CS35" s="28"/>
      <c r="CT35" s="28"/>
      <c r="CU35" s="28"/>
      <c r="CV35" s="28"/>
      <c r="CW35" s="28"/>
      <c r="CX35" s="28"/>
      <c r="CY35" s="28"/>
      <c r="CZ35" s="28"/>
      <c r="DA35" s="30">
        <f t="shared" si="20"/>
        <v>0</v>
      </c>
      <c r="DB35" s="28">
        <f t="shared" si="21"/>
        <v>0</v>
      </c>
      <c r="DC35" s="14"/>
      <c r="DD35" s="677" t="s">
        <v>17</v>
      </c>
      <c r="DE35" s="677"/>
      <c r="DF35" s="677"/>
      <c r="DG35" s="677"/>
      <c r="DH35" s="677"/>
      <c r="DI35" s="677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30">
        <f t="shared" si="22"/>
        <v>0</v>
      </c>
      <c r="DV35" s="28">
        <f t="shared" si="23"/>
        <v>0</v>
      </c>
      <c r="DX35" s="677" t="s">
        <v>17</v>
      </c>
      <c r="DY35" s="677"/>
      <c r="DZ35" s="677"/>
      <c r="EA35" s="677"/>
      <c r="EB35" s="677"/>
      <c r="EC35" s="677"/>
      <c r="ED35" s="28"/>
      <c r="EE35" s="28"/>
      <c r="EF35" s="28"/>
      <c r="EG35" s="28"/>
      <c r="EH35" s="28"/>
      <c r="EI35" s="28"/>
      <c r="EJ35" s="28"/>
      <c r="EK35" s="28"/>
      <c r="EL35" s="28"/>
      <c r="EM35" s="30"/>
      <c r="EN35" s="30"/>
      <c r="EO35" s="30">
        <f t="shared" si="24"/>
        <v>0</v>
      </c>
      <c r="EP35" s="28">
        <f t="shared" si="25"/>
        <v>0</v>
      </c>
      <c r="EQ35" t="str">
        <f t="shared" si="26"/>
        <v>IGUAL</v>
      </c>
      <c r="ER35" s="677" t="s">
        <v>17</v>
      </c>
      <c r="ES35" s="677"/>
      <c r="ET35" s="677"/>
      <c r="EU35" s="677"/>
      <c r="EV35" s="677"/>
      <c r="EW35" s="677"/>
      <c r="EX35" s="28"/>
      <c r="EY35" s="28"/>
      <c r="EZ35" s="96"/>
      <c r="FA35" s="28"/>
      <c r="FB35" s="28"/>
      <c r="FC35" s="28"/>
      <c r="FD35" s="28"/>
      <c r="FE35" s="28"/>
      <c r="FF35" s="28"/>
      <c r="FG35" s="28"/>
      <c r="FH35" s="28"/>
      <c r="FI35" s="30"/>
      <c r="FJ35" s="30"/>
      <c r="FK35" s="30"/>
      <c r="FL35" s="30"/>
      <c r="FM35" s="30"/>
      <c r="FN35" s="30"/>
      <c r="FO35" s="30"/>
      <c r="FP35" s="30"/>
      <c r="FQ35" s="30"/>
      <c r="FR35" s="30"/>
      <c r="FS35" s="30"/>
      <c r="FT35" s="30">
        <f t="shared" si="27"/>
        <v>0</v>
      </c>
      <c r="FU35" s="28">
        <f t="shared" si="28"/>
        <v>0</v>
      </c>
      <c r="FW35" s="677" t="s">
        <v>17</v>
      </c>
      <c r="FX35" s="677"/>
      <c r="FY35" s="677"/>
      <c r="FZ35" s="677"/>
      <c r="GA35" s="677"/>
      <c r="GB35" s="677"/>
      <c r="GC35" s="28"/>
      <c r="GD35" s="30"/>
      <c r="GE35" s="96"/>
      <c r="GF35" s="28"/>
      <c r="GG35" s="28"/>
      <c r="GH35" s="28"/>
      <c r="GI35" s="28"/>
      <c r="GJ35" s="28"/>
      <c r="GK35" s="28"/>
      <c r="GL35" s="28"/>
      <c r="GM35" s="28"/>
      <c r="GN35" s="30"/>
      <c r="GO35" s="30"/>
      <c r="GP35" s="30"/>
      <c r="GQ35" s="30">
        <f t="shared" si="29"/>
        <v>0</v>
      </c>
      <c r="GR35" s="28">
        <f t="shared" si="30"/>
        <v>0</v>
      </c>
      <c r="GT35" s="677" t="s">
        <v>17</v>
      </c>
      <c r="GU35" s="677"/>
      <c r="GV35" s="677"/>
      <c r="GW35" s="677"/>
      <c r="GX35" s="677"/>
      <c r="GY35" s="677"/>
      <c r="GZ35" s="28"/>
      <c r="HA35" s="96"/>
      <c r="HB35" s="28"/>
      <c r="HC35" s="28"/>
      <c r="HD35" s="28"/>
      <c r="HE35" s="28"/>
      <c r="HF35" s="28"/>
      <c r="HG35" s="28"/>
      <c r="HH35" s="28"/>
      <c r="HI35" s="28"/>
      <c r="HJ35" s="30"/>
      <c r="HK35" s="30"/>
      <c r="HL35" s="30">
        <f t="shared" si="31"/>
        <v>0</v>
      </c>
      <c r="HM35" s="28">
        <f t="shared" si="32"/>
        <v>0</v>
      </c>
      <c r="HO35" s="677" t="s">
        <v>17</v>
      </c>
      <c r="HP35" s="677"/>
      <c r="HQ35" s="677"/>
      <c r="HR35" s="677"/>
      <c r="HS35" s="677"/>
      <c r="HT35" s="677"/>
      <c r="HU35" s="28"/>
      <c r="HV35" s="96"/>
      <c r="HW35" s="30">
        <f t="shared" si="33"/>
        <v>0</v>
      </c>
      <c r="HX35" s="28">
        <f t="shared" si="0"/>
        <v>0</v>
      </c>
      <c r="HZ35" s="677" t="s">
        <v>17</v>
      </c>
      <c r="IA35" s="677"/>
      <c r="IB35" s="677"/>
      <c r="IC35" s="677"/>
      <c r="ID35" s="677"/>
      <c r="IE35" s="677"/>
      <c r="IF35" s="28"/>
      <c r="IG35" s="96"/>
      <c r="IH35" s="151"/>
      <c r="II35" s="151"/>
      <c r="IJ35" s="151"/>
      <c r="IK35" s="151"/>
      <c r="IL35" s="151"/>
      <c r="IM35" s="30">
        <f t="shared" si="41"/>
        <v>0</v>
      </c>
      <c r="IN35" s="28">
        <f t="shared" si="1"/>
        <v>0</v>
      </c>
      <c r="IP35" s="677" t="s">
        <v>17</v>
      </c>
      <c r="IQ35" s="677"/>
      <c r="IR35" s="677"/>
      <c r="IS35" s="677"/>
      <c r="IT35" s="677"/>
      <c r="IU35" s="677"/>
      <c r="IV35" s="28"/>
      <c r="IW35" s="96"/>
      <c r="IX35" s="151"/>
      <c r="IY35" s="30">
        <f t="shared" si="2"/>
        <v>0</v>
      </c>
      <c r="IZ35" s="28">
        <f t="shared" si="3"/>
        <v>0</v>
      </c>
      <c r="JB35" s="677" t="s">
        <v>17</v>
      </c>
      <c r="JC35" s="677"/>
      <c r="JD35" s="677"/>
      <c r="JE35" s="677"/>
      <c r="JF35" s="677"/>
      <c r="JG35" s="677"/>
      <c r="JH35" s="28">
        <v>100</v>
      </c>
      <c r="JI35" s="96"/>
      <c r="JJ35" s="151"/>
      <c r="JK35" s="151"/>
      <c r="JL35" s="151"/>
      <c r="JM35" s="151"/>
      <c r="JN35" s="151"/>
      <c r="JO35" s="151"/>
      <c r="JP35" s="151"/>
      <c r="JQ35" s="151"/>
      <c r="JR35" s="151"/>
      <c r="JS35" s="151"/>
      <c r="JT35" s="151"/>
      <c r="JU35" s="151"/>
      <c r="JV35" s="151"/>
      <c r="JW35" s="151"/>
      <c r="JX35" s="151"/>
      <c r="JY35" s="151"/>
      <c r="JZ35" s="151"/>
      <c r="KA35" s="151"/>
      <c r="KB35" s="151"/>
      <c r="KC35" s="151"/>
      <c r="KD35" s="151"/>
      <c r="KE35" s="30">
        <f t="shared" si="34"/>
        <v>0</v>
      </c>
      <c r="KF35" s="28">
        <f t="shared" si="42"/>
        <v>0</v>
      </c>
      <c r="KH35" s="677" t="s">
        <v>17</v>
      </c>
      <c r="KI35" s="677"/>
      <c r="KJ35" s="677"/>
      <c r="KK35" s="677"/>
      <c r="KL35" s="677"/>
      <c r="KM35" s="677"/>
      <c r="KN35" s="28">
        <v>100</v>
      </c>
      <c r="KO35" s="96"/>
      <c r="KP35" s="151"/>
      <c r="KQ35" s="151"/>
      <c r="KR35" s="151"/>
      <c r="KS35" s="30">
        <f t="shared" si="4"/>
        <v>0</v>
      </c>
      <c r="KT35" s="28">
        <f t="shared" si="5"/>
        <v>0</v>
      </c>
      <c r="KV35" s="677" t="s">
        <v>17</v>
      </c>
      <c r="KW35" s="677"/>
      <c r="KX35" s="677"/>
      <c r="KY35" s="677"/>
      <c r="KZ35" s="677"/>
      <c r="LA35" s="677"/>
      <c r="LB35" s="28">
        <v>100</v>
      </c>
      <c r="LC35" s="96"/>
      <c r="LD35" s="151"/>
      <c r="LE35" s="151"/>
      <c r="LF35" s="30">
        <f t="shared" si="6"/>
        <v>0</v>
      </c>
      <c r="LG35" s="28">
        <f t="shared" si="7"/>
        <v>0</v>
      </c>
      <c r="LI35" s="677" t="s">
        <v>17</v>
      </c>
      <c r="LJ35" s="677"/>
      <c r="LK35" s="677"/>
      <c r="LL35" s="677"/>
      <c r="LM35" s="677"/>
      <c r="LN35" s="677"/>
      <c r="LO35" s="28">
        <v>100</v>
      </c>
      <c r="LP35" s="96"/>
      <c r="LQ35" s="151"/>
      <c r="LR35" s="151"/>
      <c r="LS35" s="151"/>
      <c r="LT35" s="151"/>
      <c r="LU35" s="151"/>
      <c r="LV35" s="151"/>
      <c r="LW35" s="151"/>
      <c r="LX35" s="151"/>
      <c r="LY35" s="151"/>
      <c r="LZ35" s="151"/>
      <c r="MA35" s="151"/>
      <c r="MB35" s="151"/>
      <c r="MC35" s="151"/>
      <c r="MD35" s="151"/>
      <c r="ME35" s="30">
        <f t="shared" si="35"/>
        <v>0</v>
      </c>
      <c r="MF35" s="28">
        <f t="shared" si="8"/>
        <v>0</v>
      </c>
      <c r="MH35" s="677" t="s">
        <v>17</v>
      </c>
      <c r="MI35" s="677"/>
      <c r="MJ35" s="677"/>
      <c r="MK35" s="677"/>
      <c r="ML35" s="677"/>
      <c r="MM35" s="677"/>
      <c r="MN35" s="28">
        <v>100</v>
      </c>
      <c r="MO35" s="96"/>
      <c r="MP35" s="151"/>
      <c r="MQ35" s="151"/>
      <c r="MR35" s="151"/>
      <c r="MS35" s="151"/>
      <c r="MT35" s="151"/>
      <c r="MU35" s="151"/>
      <c r="MV35" s="151"/>
      <c r="MW35" s="151"/>
      <c r="MX35" s="151"/>
      <c r="MY35" s="151"/>
      <c r="MZ35" s="151"/>
      <c r="NA35" s="151"/>
      <c r="NB35" s="151"/>
      <c r="NC35" s="151"/>
      <c r="ND35" s="30">
        <f t="shared" si="36"/>
        <v>0</v>
      </c>
      <c r="NE35" s="28">
        <f t="shared" si="37"/>
        <v>0</v>
      </c>
      <c r="NG35" s="677" t="s">
        <v>17</v>
      </c>
      <c r="NH35" s="677"/>
      <c r="NI35" s="677"/>
      <c r="NJ35" s="677"/>
      <c r="NK35" s="677"/>
      <c r="NL35" s="677"/>
      <c r="NM35" s="28">
        <v>100</v>
      </c>
      <c r="NN35" s="151"/>
      <c r="NO35" s="151"/>
      <c r="NP35" s="151"/>
      <c r="NQ35" s="151"/>
      <c r="NR35" s="151"/>
      <c r="NS35" s="151"/>
      <c r="NT35" s="151"/>
      <c r="NU35" s="151"/>
      <c r="NV35" s="151"/>
      <c r="NW35" s="151"/>
      <c r="NX35" s="151"/>
      <c r="NY35" s="151"/>
      <c r="NZ35" s="151"/>
      <c r="OA35" s="151"/>
      <c r="OB35" s="151"/>
      <c r="OC35" s="30">
        <f t="shared" si="38"/>
        <v>0</v>
      </c>
      <c r="OD35" s="28">
        <f t="shared" si="39"/>
        <v>0</v>
      </c>
    </row>
    <row r="36" spans="1:394" ht="14.45" customHeight="1" x14ac:dyDescent="0.25">
      <c r="A36" s="47"/>
      <c r="B36" s="12"/>
      <c r="C36" s="709" t="s">
        <v>59</v>
      </c>
      <c r="D36" s="709"/>
      <c r="E36" s="709"/>
      <c r="F36" s="709"/>
      <c r="G36" s="709"/>
      <c r="H36" s="709"/>
      <c r="I36" s="13"/>
      <c r="J36" s="13"/>
      <c r="K36" s="19"/>
      <c r="L36" s="19"/>
      <c r="M36" s="19">
        <f t="shared" si="40"/>
        <v>0</v>
      </c>
      <c r="N36" s="19">
        <f t="shared" si="9"/>
        <v>0</v>
      </c>
      <c r="O36" s="12"/>
      <c r="P36" s="709" t="s">
        <v>59</v>
      </c>
      <c r="Q36" s="709"/>
      <c r="R36" s="709"/>
      <c r="S36" s="709"/>
      <c r="T36" s="709"/>
      <c r="U36" s="709"/>
      <c r="V36" s="13"/>
      <c r="W36" s="19"/>
      <c r="X36" s="19"/>
      <c r="Y36" s="23">
        <f t="shared" si="10"/>
        <v>0</v>
      </c>
      <c r="Z36" s="19">
        <f t="shared" si="11"/>
        <v>0</v>
      </c>
      <c r="AA36" s="34"/>
      <c r="AB36" s="34"/>
      <c r="AC36" s="34"/>
      <c r="AD36" s="34"/>
      <c r="AE36" s="34"/>
      <c r="AF36" s="34"/>
      <c r="AG36" s="6"/>
      <c r="AH36" s="709" t="s">
        <v>59</v>
      </c>
      <c r="AI36" s="709"/>
      <c r="AJ36" s="709"/>
      <c r="AK36" s="709"/>
      <c r="AL36" s="709"/>
      <c r="AM36" s="709"/>
      <c r="AN36" s="13"/>
      <c r="AO36" s="19"/>
      <c r="AP36" s="23">
        <f t="shared" si="12"/>
        <v>0</v>
      </c>
      <c r="AQ36" s="19">
        <f t="shared" si="13"/>
        <v>0</v>
      </c>
      <c r="AS36" s="709" t="s">
        <v>59</v>
      </c>
      <c r="AT36" s="709"/>
      <c r="AU36" s="709"/>
      <c r="AV36" s="709"/>
      <c r="AW36" s="709"/>
      <c r="AX36" s="709"/>
      <c r="AY36" s="13"/>
      <c r="AZ36" s="19"/>
      <c r="BA36" s="19"/>
      <c r="BB36" s="19"/>
      <c r="BC36" s="19"/>
      <c r="BD36" s="30">
        <f t="shared" si="14"/>
        <v>0</v>
      </c>
      <c r="BE36" s="28">
        <f t="shared" si="15"/>
        <v>0</v>
      </c>
      <c r="BF36" s="14"/>
      <c r="BG36" s="709" t="s">
        <v>59</v>
      </c>
      <c r="BH36" s="709"/>
      <c r="BI36" s="709"/>
      <c r="BJ36" s="709"/>
      <c r="BK36" s="709"/>
      <c r="BL36" s="709"/>
      <c r="BM36" s="13"/>
      <c r="BN36" s="19"/>
      <c r="BO36" s="19"/>
      <c r="BP36" s="30">
        <f t="shared" si="16"/>
        <v>0</v>
      </c>
      <c r="BQ36" s="28">
        <f t="shared" si="17"/>
        <v>0</v>
      </c>
      <c r="BR36" s="14"/>
      <c r="BS36" s="709" t="s">
        <v>59</v>
      </c>
      <c r="BT36" s="709"/>
      <c r="BU36" s="709"/>
      <c r="BV36" s="709"/>
      <c r="BW36" s="709"/>
      <c r="BX36" s="709"/>
      <c r="BY36" s="13">
        <v>100</v>
      </c>
      <c r="BZ36" s="19"/>
      <c r="CA36" s="19"/>
      <c r="CB36" s="19"/>
      <c r="CC36" s="19"/>
      <c r="CD36" s="19"/>
      <c r="CE36" s="19"/>
      <c r="CF36" s="19"/>
      <c r="CG36" s="19"/>
      <c r="CH36" s="19"/>
      <c r="CI36" s="30">
        <f t="shared" si="18"/>
        <v>0</v>
      </c>
      <c r="CJ36" s="28">
        <f t="shared" si="19"/>
        <v>0</v>
      </c>
      <c r="CK36" s="14"/>
      <c r="CL36" s="709" t="s">
        <v>59</v>
      </c>
      <c r="CM36" s="709"/>
      <c r="CN36" s="709"/>
      <c r="CO36" s="709"/>
      <c r="CP36" s="709"/>
      <c r="CQ36" s="709"/>
      <c r="CR36" s="13">
        <v>100</v>
      </c>
      <c r="CS36" s="19"/>
      <c r="CT36" s="19">
        <v>1</v>
      </c>
      <c r="CU36" s="19"/>
      <c r="CV36" s="19"/>
      <c r="CW36" s="19">
        <v>1</v>
      </c>
      <c r="CX36" s="19"/>
      <c r="CY36" s="19"/>
      <c r="CZ36" s="19"/>
      <c r="DA36" s="30">
        <f t="shared" si="20"/>
        <v>2</v>
      </c>
      <c r="DB36" s="28">
        <f t="shared" si="21"/>
        <v>200</v>
      </c>
      <c r="DC36" s="14"/>
      <c r="DD36" s="709" t="s">
        <v>59</v>
      </c>
      <c r="DE36" s="709"/>
      <c r="DF36" s="709"/>
      <c r="DG36" s="709"/>
      <c r="DH36" s="709"/>
      <c r="DI36" s="709"/>
      <c r="DJ36" s="13">
        <v>100</v>
      </c>
      <c r="DK36" s="19"/>
      <c r="DL36" s="19"/>
      <c r="DM36" s="19">
        <v>1</v>
      </c>
      <c r="DN36" s="19"/>
      <c r="DO36" s="19"/>
      <c r="DP36" s="19"/>
      <c r="DQ36" s="19"/>
      <c r="DR36" s="19"/>
      <c r="DS36" s="19"/>
      <c r="DT36" s="19"/>
      <c r="DU36" s="30">
        <f t="shared" si="22"/>
        <v>1</v>
      </c>
      <c r="DV36" s="28">
        <f t="shared" si="23"/>
        <v>100</v>
      </c>
      <c r="DX36" s="709" t="s">
        <v>59</v>
      </c>
      <c r="DY36" s="709"/>
      <c r="DZ36" s="709"/>
      <c r="EA36" s="709"/>
      <c r="EB36" s="709"/>
      <c r="EC36" s="709"/>
      <c r="ED36" s="13">
        <v>100</v>
      </c>
      <c r="EE36" s="19"/>
      <c r="EF36" s="19"/>
      <c r="EG36" s="19"/>
      <c r="EH36" s="19"/>
      <c r="EI36" s="19"/>
      <c r="EJ36" s="19"/>
      <c r="EK36" s="19">
        <v>1</v>
      </c>
      <c r="EL36" s="19"/>
      <c r="EM36" s="23"/>
      <c r="EN36" s="23"/>
      <c r="EO36" s="30">
        <f t="shared" si="24"/>
        <v>1</v>
      </c>
      <c r="EP36" s="28">
        <f t="shared" si="25"/>
        <v>100</v>
      </c>
      <c r="EQ36" t="str">
        <f t="shared" si="26"/>
        <v>IGUAL</v>
      </c>
      <c r="ER36" s="709" t="s">
        <v>59</v>
      </c>
      <c r="ES36" s="709"/>
      <c r="ET36" s="709"/>
      <c r="EU36" s="709"/>
      <c r="EV36" s="709"/>
      <c r="EW36" s="709"/>
      <c r="EX36" s="13">
        <v>100</v>
      </c>
      <c r="EY36" s="19"/>
      <c r="EZ36" s="19"/>
      <c r="FA36" s="19"/>
      <c r="FB36" s="19"/>
      <c r="FC36" s="19"/>
      <c r="FD36" s="19"/>
      <c r="FE36" s="19"/>
      <c r="FF36" s="19"/>
      <c r="FG36" s="19"/>
      <c r="FH36" s="19"/>
      <c r="FI36" s="23"/>
      <c r="FJ36" s="23"/>
      <c r="FK36" s="23">
        <v>1</v>
      </c>
      <c r="FL36" s="23"/>
      <c r="FM36" s="23"/>
      <c r="FN36" s="23"/>
      <c r="FO36" s="23">
        <v>1</v>
      </c>
      <c r="FP36" s="23">
        <v>1</v>
      </c>
      <c r="FQ36" s="23">
        <v>1</v>
      </c>
      <c r="FR36" s="23"/>
      <c r="FS36" s="23"/>
      <c r="FT36" s="30">
        <f t="shared" si="27"/>
        <v>4</v>
      </c>
      <c r="FU36" s="28">
        <f t="shared" si="28"/>
        <v>400</v>
      </c>
      <c r="FW36" s="709" t="s">
        <v>59</v>
      </c>
      <c r="FX36" s="709"/>
      <c r="FY36" s="709"/>
      <c r="FZ36" s="709"/>
      <c r="GA36" s="709"/>
      <c r="GB36" s="709"/>
      <c r="GC36" s="13">
        <v>100</v>
      </c>
      <c r="GD36" s="23"/>
      <c r="GE36" s="19"/>
      <c r="GF36" s="19"/>
      <c r="GG36" s="19"/>
      <c r="GH36" s="19">
        <v>1</v>
      </c>
      <c r="GI36" s="19"/>
      <c r="GJ36" s="19"/>
      <c r="GK36" s="19"/>
      <c r="GL36" s="19"/>
      <c r="GM36" s="19"/>
      <c r="GN36" s="23"/>
      <c r="GO36" s="23"/>
      <c r="GP36" s="23"/>
      <c r="GQ36" s="30">
        <f t="shared" si="29"/>
        <v>1</v>
      </c>
      <c r="GR36" s="28">
        <f t="shared" si="30"/>
        <v>100</v>
      </c>
      <c r="GT36" s="709" t="s">
        <v>59</v>
      </c>
      <c r="GU36" s="709"/>
      <c r="GV36" s="709"/>
      <c r="GW36" s="709"/>
      <c r="GX36" s="709"/>
      <c r="GY36" s="709"/>
      <c r="GZ36" s="13">
        <v>100</v>
      </c>
      <c r="HA36" s="19"/>
      <c r="HB36" s="19"/>
      <c r="HC36" s="19"/>
      <c r="HD36" s="19"/>
      <c r="HE36" s="19">
        <v>1</v>
      </c>
      <c r="HF36" s="19"/>
      <c r="HG36" s="19"/>
      <c r="HH36" s="19"/>
      <c r="HI36" s="19">
        <v>1</v>
      </c>
      <c r="HJ36" s="23"/>
      <c r="HK36" s="23"/>
      <c r="HL36" s="30">
        <f t="shared" si="31"/>
        <v>2</v>
      </c>
      <c r="HM36" s="28">
        <f t="shared" si="32"/>
        <v>200</v>
      </c>
      <c r="HO36" s="709" t="s">
        <v>59</v>
      </c>
      <c r="HP36" s="709"/>
      <c r="HQ36" s="709"/>
      <c r="HR36" s="709"/>
      <c r="HS36" s="709"/>
      <c r="HT36" s="709"/>
      <c r="HU36" s="13">
        <v>100</v>
      </c>
      <c r="HV36" s="19"/>
      <c r="HW36" s="30">
        <f t="shared" si="33"/>
        <v>0</v>
      </c>
      <c r="HX36" s="28">
        <f t="shared" si="0"/>
        <v>0</v>
      </c>
      <c r="HZ36" s="709" t="s">
        <v>59</v>
      </c>
      <c r="IA36" s="709"/>
      <c r="IB36" s="709"/>
      <c r="IC36" s="709"/>
      <c r="ID36" s="709"/>
      <c r="IE36" s="709"/>
      <c r="IF36" s="13">
        <v>100</v>
      </c>
      <c r="IG36" s="19"/>
      <c r="IH36" s="23"/>
      <c r="II36" s="23"/>
      <c r="IJ36" s="23">
        <v>1</v>
      </c>
      <c r="IK36" s="23"/>
      <c r="IL36" s="23">
        <v>1</v>
      </c>
      <c r="IM36" s="30">
        <f t="shared" si="41"/>
        <v>2</v>
      </c>
      <c r="IN36" s="28">
        <f t="shared" si="1"/>
        <v>200</v>
      </c>
      <c r="IP36" s="709" t="s">
        <v>59</v>
      </c>
      <c r="IQ36" s="709"/>
      <c r="IR36" s="709"/>
      <c r="IS36" s="709"/>
      <c r="IT36" s="709"/>
      <c r="IU36" s="709"/>
      <c r="IV36" s="13">
        <v>100</v>
      </c>
      <c r="IW36" s="19"/>
      <c r="IX36" s="23">
        <v>1</v>
      </c>
      <c r="IY36" s="30">
        <f t="shared" si="2"/>
        <v>1</v>
      </c>
      <c r="IZ36" s="28">
        <f t="shared" si="3"/>
        <v>100</v>
      </c>
      <c r="JB36" s="709" t="s">
        <v>59</v>
      </c>
      <c r="JC36" s="709"/>
      <c r="JD36" s="709"/>
      <c r="JE36" s="709"/>
      <c r="JF36" s="709"/>
      <c r="JG36" s="709"/>
      <c r="JH36" s="13">
        <v>100</v>
      </c>
      <c r="JI36" s="19"/>
      <c r="JJ36" s="23"/>
      <c r="JK36" s="23">
        <v>1</v>
      </c>
      <c r="JL36" s="23"/>
      <c r="JM36" s="23">
        <v>1</v>
      </c>
      <c r="JN36" s="23"/>
      <c r="JO36" s="23"/>
      <c r="JP36" s="23"/>
      <c r="JQ36" s="23"/>
      <c r="JR36" s="23"/>
      <c r="JS36" s="23">
        <v>1</v>
      </c>
      <c r="JT36" s="23"/>
      <c r="JU36" s="23"/>
      <c r="JV36" s="23"/>
      <c r="JW36" s="23"/>
      <c r="JX36" s="23"/>
      <c r="JY36" s="23"/>
      <c r="JZ36" s="23"/>
      <c r="KA36" s="23"/>
      <c r="KB36" s="23">
        <v>1</v>
      </c>
      <c r="KC36" s="23"/>
      <c r="KD36" s="23"/>
      <c r="KE36" s="30">
        <f t="shared" si="34"/>
        <v>4</v>
      </c>
      <c r="KF36" s="28">
        <f t="shared" si="42"/>
        <v>400</v>
      </c>
      <c r="KH36" s="709" t="s">
        <v>59</v>
      </c>
      <c r="KI36" s="709"/>
      <c r="KJ36" s="709"/>
      <c r="KK36" s="709"/>
      <c r="KL36" s="709"/>
      <c r="KM36" s="709"/>
      <c r="KN36" s="13">
        <v>90</v>
      </c>
      <c r="KO36" s="19">
        <v>1</v>
      </c>
      <c r="KP36" s="23"/>
      <c r="KQ36" s="23"/>
      <c r="KR36" s="23"/>
      <c r="KS36" s="30">
        <f t="shared" si="4"/>
        <v>1</v>
      </c>
      <c r="KT36" s="28">
        <f t="shared" si="5"/>
        <v>90</v>
      </c>
      <c r="KV36" s="709" t="s">
        <v>59</v>
      </c>
      <c r="KW36" s="709"/>
      <c r="KX36" s="709"/>
      <c r="KY36" s="709"/>
      <c r="KZ36" s="709"/>
      <c r="LA36" s="709"/>
      <c r="LB36" s="13">
        <v>90</v>
      </c>
      <c r="LC36" s="19"/>
      <c r="LD36" s="23"/>
      <c r="LE36" s="23"/>
      <c r="LF36" s="30">
        <f t="shared" si="6"/>
        <v>0</v>
      </c>
      <c r="LG36" s="28">
        <f t="shared" si="7"/>
        <v>0</v>
      </c>
      <c r="LI36" s="709" t="s">
        <v>59</v>
      </c>
      <c r="LJ36" s="709"/>
      <c r="LK36" s="709"/>
      <c r="LL36" s="709"/>
      <c r="LM36" s="709"/>
      <c r="LN36" s="709"/>
      <c r="LO36" s="13">
        <v>90</v>
      </c>
      <c r="LP36" s="19"/>
      <c r="LQ36" s="23"/>
      <c r="LR36" s="23"/>
      <c r="LS36" s="23"/>
      <c r="LT36" s="23"/>
      <c r="LU36" s="23"/>
      <c r="LV36" s="23"/>
      <c r="LW36" s="23"/>
      <c r="LX36" s="23"/>
      <c r="LY36" s="23"/>
      <c r="LZ36" s="23"/>
      <c r="MA36" s="23"/>
      <c r="MB36" s="23">
        <v>1</v>
      </c>
      <c r="MC36" s="23"/>
      <c r="MD36" s="23"/>
      <c r="ME36" s="30">
        <f t="shared" si="35"/>
        <v>1</v>
      </c>
      <c r="MF36" s="28">
        <f t="shared" si="8"/>
        <v>90</v>
      </c>
      <c r="MH36" s="709" t="s">
        <v>59</v>
      </c>
      <c r="MI36" s="709"/>
      <c r="MJ36" s="709"/>
      <c r="MK36" s="709"/>
      <c r="ML36" s="709"/>
      <c r="MM36" s="709"/>
      <c r="MN36" s="13">
        <v>100</v>
      </c>
      <c r="MO36" s="19"/>
      <c r="MP36" s="23"/>
      <c r="MQ36" s="23"/>
      <c r="MR36" s="23"/>
      <c r="MS36" s="23"/>
      <c r="MT36" s="23">
        <v>0</v>
      </c>
      <c r="MU36" s="23"/>
      <c r="MV36" s="23">
        <v>1</v>
      </c>
      <c r="MW36" s="23"/>
      <c r="MX36" s="23"/>
      <c r="MY36" s="23"/>
      <c r="MZ36" s="23"/>
      <c r="NA36" s="23"/>
      <c r="NB36" s="23"/>
      <c r="NC36" s="23"/>
      <c r="ND36" s="30">
        <f t="shared" si="36"/>
        <v>1</v>
      </c>
      <c r="NE36" s="28">
        <f t="shared" si="37"/>
        <v>100</v>
      </c>
      <c r="NG36" s="709" t="s">
        <v>59</v>
      </c>
      <c r="NH36" s="709"/>
      <c r="NI36" s="709"/>
      <c r="NJ36" s="709"/>
      <c r="NK36" s="709"/>
      <c r="NL36" s="709"/>
      <c r="NM36" s="13">
        <v>90</v>
      </c>
      <c r="NN36" s="23">
        <v>1</v>
      </c>
      <c r="NO36" s="23">
        <v>1</v>
      </c>
      <c r="NP36" s="23"/>
      <c r="NQ36" s="23">
        <v>1</v>
      </c>
      <c r="NR36" s="23">
        <v>1</v>
      </c>
      <c r="NS36" s="23"/>
      <c r="NT36" s="23"/>
      <c r="NU36" s="23"/>
      <c r="NV36" s="23"/>
      <c r="NW36" s="23"/>
      <c r="NX36" s="23"/>
      <c r="NY36" s="23"/>
      <c r="NZ36" s="23"/>
      <c r="OA36" s="23"/>
      <c r="OB36" s="23"/>
      <c r="OC36" s="30">
        <f t="shared" si="38"/>
        <v>4</v>
      </c>
      <c r="OD36" s="28">
        <f t="shared" si="39"/>
        <v>360</v>
      </c>
    </row>
    <row r="37" spans="1:394" ht="14.45" customHeight="1" x14ac:dyDescent="0.25">
      <c r="A37" s="47"/>
      <c r="B37" s="12"/>
      <c r="C37" s="709" t="s">
        <v>18</v>
      </c>
      <c r="D37" s="709"/>
      <c r="E37" s="709"/>
      <c r="F37" s="709"/>
      <c r="G37" s="709"/>
      <c r="H37" s="709"/>
      <c r="I37" s="13"/>
      <c r="J37" s="13"/>
      <c r="K37" s="19"/>
      <c r="L37" s="19"/>
      <c r="M37" s="19">
        <f t="shared" si="40"/>
        <v>0</v>
      </c>
      <c r="N37" s="19">
        <f t="shared" si="9"/>
        <v>0</v>
      </c>
      <c r="O37" s="12"/>
      <c r="P37" s="709" t="s">
        <v>18</v>
      </c>
      <c r="Q37" s="709"/>
      <c r="R37" s="709"/>
      <c r="S37" s="709"/>
      <c r="T37" s="709"/>
      <c r="U37" s="709"/>
      <c r="V37" s="13"/>
      <c r="W37" s="19"/>
      <c r="X37" s="19"/>
      <c r="Y37" s="23">
        <f t="shared" si="10"/>
        <v>0</v>
      </c>
      <c r="Z37" s="19">
        <f t="shared" si="11"/>
        <v>0</v>
      </c>
      <c r="AA37" s="34"/>
      <c r="AB37" s="34"/>
      <c r="AC37" s="34"/>
      <c r="AD37" s="34"/>
      <c r="AE37" s="34"/>
      <c r="AF37" s="34"/>
      <c r="AG37" s="6"/>
      <c r="AH37" s="709" t="s">
        <v>18</v>
      </c>
      <c r="AI37" s="709"/>
      <c r="AJ37" s="709"/>
      <c r="AK37" s="709"/>
      <c r="AL37" s="709"/>
      <c r="AM37" s="709"/>
      <c r="AN37" s="13"/>
      <c r="AO37" s="19"/>
      <c r="AP37" s="23">
        <f t="shared" si="12"/>
        <v>0</v>
      </c>
      <c r="AQ37" s="19">
        <f t="shared" si="13"/>
        <v>0</v>
      </c>
      <c r="AS37" s="677" t="s">
        <v>18</v>
      </c>
      <c r="AT37" s="677"/>
      <c r="AU37" s="677"/>
      <c r="AV37" s="677"/>
      <c r="AW37" s="677"/>
      <c r="AX37" s="677"/>
      <c r="AY37" s="28"/>
      <c r="AZ37" s="28"/>
      <c r="BA37" s="28"/>
      <c r="BB37" s="28"/>
      <c r="BC37" s="28"/>
      <c r="BD37" s="30">
        <f t="shared" si="14"/>
        <v>0</v>
      </c>
      <c r="BE37" s="28">
        <f t="shared" si="15"/>
        <v>0</v>
      </c>
      <c r="BF37" s="14"/>
      <c r="BG37" s="677" t="s">
        <v>18</v>
      </c>
      <c r="BH37" s="677"/>
      <c r="BI37" s="677"/>
      <c r="BJ37" s="677"/>
      <c r="BK37" s="677"/>
      <c r="BL37" s="677"/>
      <c r="BM37" s="28">
        <v>240</v>
      </c>
      <c r="BN37" s="28"/>
      <c r="BO37" s="28"/>
      <c r="BP37" s="30">
        <f t="shared" si="16"/>
        <v>0</v>
      </c>
      <c r="BQ37" s="28">
        <f t="shared" si="17"/>
        <v>0</v>
      </c>
      <c r="BR37" s="14"/>
      <c r="BS37" s="677" t="s">
        <v>18</v>
      </c>
      <c r="BT37" s="677"/>
      <c r="BU37" s="677"/>
      <c r="BV37" s="677"/>
      <c r="BW37" s="677"/>
      <c r="BX37" s="677"/>
      <c r="BY37" s="28">
        <v>240</v>
      </c>
      <c r="BZ37" s="28">
        <v>1</v>
      </c>
      <c r="CA37" s="28"/>
      <c r="CB37" s="28"/>
      <c r="CC37" s="28"/>
      <c r="CD37" s="28"/>
      <c r="CE37" s="28"/>
      <c r="CF37" s="28"/>
      <c r="CG37" s="28"/>
      <c r="CH37" s="28"/>
      <c r="CI37" s="30">
        <f t="shared" si="18"/>
        <v>1</v>
      </c>
      <c r="CJ37" s="28">
        <f t="shared" si="19"/>
        <v>240</v>
      </c>
      <c r="CK37" s="14"/>
      <c r="CL37" s="677" t="s">
        <v>18</v>
      </c>
      <c r="CM37" s="677"/>
      <c r="CN37" s="677"/>
      <c r="CO37" s="677"/>
      <c r="CP37" s="677"/>
      <c r="CQ37" s="677"/>
      <c r="CR37" s="28">
        <v>240</v>
      </c>
      <c r="CS37" s="28"/>
      <c r="CT37" s="28"/>
      <c r="CU37" s="28"/>
      <c r="CV37" s="28"/>
      <c r="CW37" s="28"/>
      <c r="CX37" s="28"/>
      <c r="CY37" s="28"/>
      <c r="CZ37" s="28"/>
      <c r="DA37" s="30">
        <f t="shared" si="20"/>
        <v>0</v>
      </c>
      <c r="DB37" s="28">
        <f t="shared" si="21"/>
        <v>0</v>
      </c>
      <c r="DC37" s="14"/>
      <c r="DD37" s="677" t="s">
        <v>18</v>
      </c>
      <c r="DE37" s="677"/>
      <c r="DF37" s="677"/>
      <c r="DG37" s="677"/>
      <c r="DH37" s="677"/>
      <c r="DI37" s="677"/>
      <c r="DJ37" s="28">
        <v>240</v>
      </c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30">
        <f t="shared" si="22"/>
        <v>0</v>
      </c>
      <c r="DV37" s="28">
        <f t="shared" si="23"/>
        <v>0</v>
      </c>
      <c r="DX37" s="677" t="s">
        <v>18</v>
      </c>
      <c r="DY37" s="677"/>
      <c r="DZ37" s="677"/>
      <c r="EA37" s="677"/>
      <c r="EB37" s="677"/>
      <c r="EC37" s="677"/>
      <c r="ED37" s="28">
        <v>250</v>
      </c>
      <c r="EE37" s="28"/>
      <c r="EF37" s="28"/>
      <c r="EG37" s="28"/>
      <c r="EH37" s="28"/>
      <c r="EI37" s="28"/>
      <c r="EJ37" s="28"/>
      <c r="EK37" s="28"/>
      <c r="EL37" s="28"/>
      <c r="EM37" s="30"/>
      <c r="EN37" s="30"/>
      <c r="EO37" s="30">
        <f t="shared" si="24"/>
        <v>0</v>
      </c>
      <c r="EP37" s="28">
        <f t="shared" si="25"/>
        <v>0</v>
      </c>
      <c r="EQ37" t="str">
        <f t="shared" si="26"/>
        <v>IGUAL</v>
      </c>
      <c r="ER37" s="677" t="s">
        <v>18</v>
      </c>
      <c r="ES37" s="677"/>
      <c r="ET37" s="677"/>
      <c r="EU37" s="677"/>
      <c r="EV37" s="677"/>
      <c r="EW37" s="677"/>
      <c r="EX37" s="28">
        <v>250</v>
      </c>
      <c r="EY37" s="28"/>
      <c r="EZ37" s="28"/>
      <c r="FA37" s="28"/>
      <c r="FB37" s="28"/>
      <c r="FC37" s="28"/>
      <c r="FD37" s="28"/>
      <c r="FE37" s="28"/>
      <c r="FF37" s="28"/>
      <c r="FG37" s="28"/>
      <c r="FH37" s="28"/>
      <c r="FI37" s="30"/>
      <c r="FJ37" s="30"/>
      <c r="FK37" s="30"/>
      <c r="FL37" s="30"/>
      <c r="FM37" s="30"/>
      <c r="FN37" s="30"/>
      <c r="FO37" s="30"/>
      <c r="FP37" s="30"/>
      <c r="FQ37" s="30"/>
      <c r="FR37" s="30"/>
      <c r="FS37" s="30"/>
      <c r="FT37" s="30">
        <f t="shared" si="27"/>
        <v>0</v>
      </c>
      <c r="FU37" s="28">
        <f t="shared" si="28"/>
        <v>0</v>
      </c>
      <c r="FW37" s="677" t="s">
        <v>18</v>
      </c>
      <c r="FX37" s="677"/>
      <c r="FY37" s="677"/>
      <c r="FZ37" s="677"/>
      <c r="GA37" s="677"/>
      <c r="GB37" s="677"/>
      <c r="GC37" s="28">
        <v>250</v>
      </c>
      <c r="GD37" s="30"/>
      <c r="GE37" s="28"/>
      <c r="GF37" s="28"/>
      <c r="GG37" s="28"/>
      <c r="GH37" s="28"/>
      <c r="GI37" s="28"/>
      <c r="GJ37" s="28"/>
      <c r="GK37" s="28"/>
      <c r="GL37" s="28"/>
      <c r="GM37" s="28"/>
      <c r="GN37" s="30"/>
      <c r="GO37" s="30"/>
      <c r="GP37" s="30"/>
      <c r="GQ37" s="30">
        <f t="shared" si="29"/>
        <v>0</v>
      </c>
      <c r="GR37" s="28">
        <f t="shared" si="30"/>
        <v>0</v>
      </c>
      <c r="GT37" s="677" t="s">
        <v>18</v>
      </c>
      <c r="GU37" s="677"/>
      <c r="GV37" s="677"/>
      <c r="GW37" s="677"/>
      <c r="GX37" s="677"/>
      <c r="GY37" s="677"/>
      <c r="GZ37" s="28">
        <v>250</v>
      </c>
      <c r="HA37" s="28"/>
      <c r="HB37" s="28"/>
      <c r="HC37" s="28"/>
      <c r="HD37" s="28"/>
      <c r="HE37" s="28"/>
      <c r="HF37" s="28"/>
      <c r="HG37" s="28"/>
      <c r="HH37" s="28"/>
      <c r="HI37" s="28"/>
      <c r="HJ37" s="30"/>
      <c r="HK37" s="30"/>
      <c r="HL37" s="30">
        <f t="shared" si="31"/>
        <v>0</v>
      </c>
      <c r="HM37" s="28">
        <f t="shared" si="32"/>
        <v>0</v>
      </c>
      <c r="HO37" s="677" t="s">
        <v>18</v>
      </c>
      <c r="HP37" s="677"/>
      <c r="HQ37" s="677"/>
      <c r="HR37" s="677"/>
      <c r="HS37" s="677"/>
      <c r="HT37" s="677"/>
      <c r="HU37" s="28">
        <v>250</v>
      </c>
      <c r="HV37" s="28"/>
      <c r="HW37" s="30">
        <f t="shared" si="33"/>
        <v>0</v>
      </c>
      <c r="HX37" s="28">
        <f t="shared" si="0"/>
        <v>0</v>
      </c>
      <c r="HZ37" s="677" t="s">
        <v>18</v>
      </c>
      <c r="IA37" s="677"/>
      <c r="IB37" s="677"/>
      <c r="IC37" s="677"/>
      <c r="ID37" s="677"/>
      <c r="IE37" s="677"/>
      <c r="IF37" s="28">
        <v>250</v>
      </c>
      <c r="IG37" s="28"/>
      <c r="IH37" s="30"/>
      <c r="II37" s="30"/>
      <c r="IJ37" s="30"/>
      <c r="IK37" s="30"/>
      <c r="IL37" s="30"/>
      <c r="IM37" s="30">
        <f t="shared" si="41"/>
        <v>0</v>
      </c>
      <c r="IN37" s="28">
        <f t="shared" si="1"/>
        <v>0</v>
      </c>
      <c r="IP37" s="677" t="s">
        <v>18</v>
      </c>
      <c r="IQ37" s="677"/>
      <c r="IR37" s="677"/>
      <c r="IS37" s="677"/>
      <c r="IT37" s="677"/>
      <c r="IU37" s="677"/>
      <c r="IV37" s="28">
        <v>250</v>
      </c>
      <c r="IW37" s="28"/>
      <c r="IX37" s="30"/>
      <c r="IY37" s="30">
        <f t="shared" si="2"/>
        <v>0</v>
      </c>
      <c r="IZ37" s="28">
        <f t="shared" si="3"/>
        <v>0</v>
      </c>
      <c r="JB37" s="677" t="s">
        <v>18</v>
      </c>
      <c r="JC37" s="677"/>
      <c r="JD37" s="677"/>
      <c r="JE37" s="677"/>
      <c r="JF37" s="677"/>
      <c r="JG37" s="677"/>
      <c r="JH37" s="28">
        <v>265</v>
      </c>
      <c r="JI37" s="28"/>
      <c r="JJ37" s="30"/>
      <c r="JK37" s="30"/>
      <c r="JL37" s="30"/>
      <c r="JM37" s="30"/>
      <c r="JN37" s="30"/>
      <c r="JO37" s="30"/>
      <c r="JP37" s="30"/>
      <c r="JQ37" s="30"/>
      <c r="JR37" s="30"/>
      <c r="JS37" s="30"/>
      <c r="JT37" s="30"/>
      <c r="JU37" s="30"/>
      <c r="JV37" s="30"/>
      <c r="JW37" s="30"/>
      <c r="JX37" s="30"/>
      <c r="JY37" s="30"/>
      <c r="JZ37" s="30"/>
      <c r="KA37" s="30"/>
      <c r="KB37" s="30"/>
      <c r="KC37" s="30"/>
      <c r="KD37" s="30"/>
      <c r="KE37" s="30">
        <f t="shared" si="34"/>
        <v>0</v>
      </c>
      <c r="KF37" s="28">
        <f t="shared" si="42"/>
        <v>0</v>
      </c>
      <c r="KH37" s="677" t="s">
        <v>18</v>
      </c>
      <c r="KI37" s="677"/>
      <c r="KJ37" s="677"/>
      <c r="KK37" s="677"/>
      <c r="KL37" s="677"/>
      <c r="KM37" s="677"/>
      <c r="KN37" s="28">
        <v>265</v>
      </c>
      <c r="KO37" s="28"/>
      <c r="KP37" s="30"/>
      <c r="KQ37" s="30"/>
      <c r="KR37" s="30"/>
      <c r="KS37" s="30">
        <f t="shared" si="4"/>
        <v>0</v>
      </c>
      <c r="KT37" s="28">
        <f t="shared" si="5"/>
        <v>0</v>
      </c>
      <c r="KV37" s="677" t="s">
        <v>18</v>
      </c>
      <c r="KW37" s="677"/>
      <c r="KX37" s="677"/>
      <c r="KY37" s="677"/>
      <c r="KZ37" s="677"/>
      <c r="LA37" s="677"/>
      <c r="LB37" s="28">
        <v>265</v>
      </c>
      <c r="LC37" s="28"/>
      <c r="LD37" s="30"/>
      <c r="LE37" s="30"/>
      <c r="LF37" s="30">
        <f t="shared" si="6"/>
        <v>0</v>
      </c>
      <c r="LG37" s="28">
        <f t="shared" si="7"/>
        <v>0</v>
      </c>
      <c r="LI37" s="677" t="s">
        <v>18</v>
      </c>
      <c r="LJ37" s="677"/>
      <c r="LK37" s="677"/>
      <c r="LL37" s="677"/>
      <c r="LM37" s="677"/>
      <c r="LN37" s="677"/>
      <c r="LO37" s="28">
        <v>265</v>
      </c>
      <c r="LP37" s="28"/>
      <c r="LQ37" s="30"/>
      <c r="LR37" s="30"/>
      <c r="LS37" s="30"/>
      <c r="LT37" s="30"/>
      <c r="LU37" s="30"/>
      <c r="LV37" s="30"/>
      <c r="LW37" s="30"/>
      <c r="LX37" s="30"/>
      <c r="LY37" s="30"/>
      <c r="LZ37" s="30"/>
      <c r="MA37" s="30"/>
      <c r="MB37" s="30"/>
      <c r="MC37" s="30"/>
      <c r="MD37" s="30"/>
      <c r="ME37" s="30">
        <f t="shared" si="35"/>
        <v>0</v>
      </c>
      <c r="MF37" s="28">
        <f t="shared" si="8"/>
        <v>0</v>
      </c>
      <c r="MH37" s="677" t="s">
        <v>18</v>
      </c>
      <c r="MI37" s="677"/>
      <c r="MJ37" s="677"/>
      <c r="MK37" s="677"/>
      <c r="ML37" s="677"/>
      <c r="MM37" s="677"/>
      <c r="MN37" s="28">
        <v>265</v>
      </c>
      <c r="MO37" s="28"/>
      <c r="MP37" s="30"/>
      <c r="MQ37" s="30"/>
      <c r="MR37" s="30"/>
      <c r="MS37" s="30"/>
      <c r="MT37" s="30"/>
      <c r="MU37" s="30"/>
      <c r="MV37" s="30"/>
      <c r="MW37" s="30"/>
      <c r="MX37" s="30"/>
      <c r="MY37" s="30"/>
      <c r="MZ37" s="30"/>
      <c r="NA37" s="30"/>
      <c r="NB37" s="30"/>
      <c r="NC37" s="30"/>
      <c r="ND37" s="30">
        <f t="shared" si="36"/>
        <v>0</v>
      </c>
      <c r="NE37" s="28">
        <f t="shared" si="37"/>
        <v>0</v>
      </c>
      <c r="NG37" s="677" t="s">
        <v>18</v>
      </c>
      <c r="NH37" s="677"/>
      <c r="NI37" s="677"/>
      <c r="NJ37" s="677"/>
      <c r="NK37" s="677"/>
      <c r="NL37" s="677"/>
      <c r="NM37" s="28">
        <v>265</v>
      </c>
      <c r="NN37" s="30"/>
      <c r="NO37" s="30"/>
      <c r="NP37" s="30"/>
      <c r="NQ37" s="30"/>
      <c r="NR37" s="30"/>
      <c r="NS37" s="30"/>
      <c r="NT37" s="30"/>
      <c r="NU37" s="30"/>
      <c r="NV37" s="30"/>
      <c r="NW37" s="30"/>
      <c r="NX37" s="30"/>
      <c r="NY37" s="30"/>
      <c r="NZ37" s="30"/>
      <c r="OA37" s="30"/>
      <c r="OB37" s="30"/>
      <c r="OC37" s="30">
        <f t="shared" si="38"/>
        <v>0</v>
      </c>
      <c r="OD37" s="28">
        <f t="shared" si="39"/>
        <v>0</v>
      </c>
    </row>
    <row r="38" spans="1:394" ht="14.45" customHeight="1" x14ac:dyDescent="0.25">
      <c r="A38" s="47"/>
      <c r="B38" s="12"/>
      <c r="C38" s="709" t="s">
        <v>19</v>
      </c>
      <c r="D38" s="709"/>
      <c r="E38" s="709"/>
      <c r="F38" s="709"/>
      <c r="G38" s="709"/>
      <c r="H38" s="709"/>
      <c r="I38" s="13"/>
      <c r="J38" s="13"/>
      <c r="K38" s="19"/>
      <c r="L38" s="19"/>
      <c r="M38" s="19">
        <f t="shared" si="40"/>
        <v>0</v>
      </c>
      <c r="N38" s="19">
        <f t="shared" si="9"/>
        <v>0</v>
      </c>
      <c r="O38" s="12"/>
      <c r="P38" s="709" t="s">
        <v>19</v>
      </c>
      <c r="Q38" s="709"/>
      <c r="R38" s="709"/>
      <c r="S38" s="709"/>
      <c r="T38" s="709"/>
      <c r="U38" s="709"/>
      <c r="V38" s="13"/>
      <c r="W38" s="19"/>
      <c r="X38" s="19"/>
      <c r="Y38" s="23">
        <f t="shared" si="10"/>
        <v>0</v>
      </c>
      <c r="Z38" s="19">
        <f t="shared" si="11"/>
        <v>0</v>
      </c>
      <c r="AA38" s="34"/>
      <c r="AB38" s="34"/>
      <c r="AC38" s="34"/>
      <c r="AD38" s="34"/>
      <c r="AE38" s="34"/>
      <c r="AF38" s="34"/>
      <c r="AG38" s="6"/>
      <c r="AH38" s="709" t="s">
        <v>19</v>
      </c>
      <c r="AI38" s="709"/>
      <c r="AJ38" s="709"/>
      <c r="AK38" s="709"/>
      <c r="AL38" s="709"/>
      <c r="AM38" s="709"/>
      <c r="AN38" s="13"/>
      <c r="AO38" s="19"/>
      <c r="AP38" s="23">
        <f t="shared" si="12"/>
        <v>0</v>
      </c>
      <c r="AQ38" s="19">
        <f t="shared" si="13"/>
        <v>0</v>
      </c>
      <c r="AS38" s="709" t="s">
        <v>19</v>
      </c>
      <c r="AT38" s="709"/>
      <c r="AU38" s="709"/>
      <c r="AV38" s="709"/>
      <c r="AW38" s="709"/>
      <c r="AX38" s="709"/>
      <c r="AY38" s="13"/>
      <c r="AZ38" s="19"/>
      <c r="BA38" s="19"/>
      <c r="BB38" s="19"/>
      <c r="BC38" s="19"/>
      <c r="BD38" s="30">
        <f t="shared" si="14"/>
        <v>0</v>
      </c>
      <c r="BE38" s="28">
        <f t="shared" si="15"/>
        <v>0</v>
      </c>
      <c r="BF38" s="14"/>
      <c r="BG38" s="709" t="s">
        <v>19</v>
      </c>
      <c r="BH38" s="709"/>
      <c r="BI38" s="709"/>
      <c r="BJ38" s="709"/>
      <c r="BK38" s="709"/>
      <c r="BL38" s="709"/>
      <c r="BM38" s="13"/>
      <c r="BN38" s="19"/>
      <c r="BO38" s="19"/>
      <c r="BP38" s="30">
        <f t="shared" si="16"/>
        <v>0</v>
      </c>
      <c r="BQ38" s="28">
        <f t="shared" si="17"/>
        <v>0</v>
      </c>
      <c r="BR38" s="14"/>
      <c r="BS38" s="709" t="s">
        <v>19</v>
      </c>
      <c r="BT38" s="709"/>
      <c r="BU38" s="709"/>
      <c r="BV38" s="709"/>
      <c r="BW38" s="709"/>
      <c r="BX38" s="709"/>
      <c r="BY38" s="13"/>
      <c r="BZ38" s="19"/>
      <c r="CA38" s="19"/>
      <c r="CB38" s="19"/>
      <c r="CC38" s="19"/>
      <c r="CD38" s="19"/>
      <c r="CE38" s="19"/>
      <c r="CF38" s="19"/>
      <c r="CG38" s="19"/>
      <c r="CH38" s="19"/>
      <c r="CI38" s="30">
        <f t="shared" si="18"/>
        <v>0</v>
      </c>
      <c r="CJ38" s="28">
        <f t="shared" si="19"/>
        <v>0</v>
      </c>
      <c r="CK38" s="14"/>
      <c r="CL38" s="709" t="s">
        <v>19</v>
      </c>
      <c r="CM38" s="709"/>
      <c r="CN38" s="709"/>
      <c r="CO38" s="709"/>
      <c r="CP38" s="709"/>
      <c r="CQ38" s="709"/>
      <c r="CR38" s="13"/>
      <c r="CS38" s="19"/>
      <c r="CT38" s="19"/>
      <c r="CU38" s="19"/>
      <c r="CV38" s="19"/>
      <c r="CW38" s="19"/>
      <c r="CX38" s="19"/>
      <c r="CY38" s="19"/>
      <c r="CZ38" s="19"/>
      <c r="DA38" s="30">
        <f t="shared" si="20"/>
        <v>0</v>
      </c>
      <c r="DB38" s="28">
        <f t="shared" si="21"/>
        <v>0</v>
      </c>
      <c r="DC38" s="14"/>
      <c r="DD38" s="709" t="s">
        <v>19</v>
      </c>
      <c r="DE38" s="709"/>
      <c r="DF38" s="709"/>
      <c r="DG38" s="709"/>
      <c r="DH38" s="709"/>
      <c r="DI38" s="709"/>
      <c r="DJ38" s="13"/>
      <c r="DK38" s="19"/>
      <c r="DL38" s="19"/>
      <c r="DM38" s="19"/>
      <c r="DN38" s="19"/>
      <c r="DO38" s="19"/>
      <c r="DP38" s="19"/>
      <c r="DQ38" s="19"/>
      <c r="DR38" s="19"/>
      <c r="DS38" s="19"/>
      <c r="DT38" s="19"/>
      <c r="DU38" s="30">
        <f t="shared" si="22"/>
        <v>0</v>
      </c>
      <c r="DV38" s="28">
        <f t="shared" si="23"/>
        <v>0</v>
      </c>
      <c r="DX38" s="709" t="s">
        <v>19</v>
      </c>
      <c r="DY38" s="709"/>
      <c r="DZ38" s="709"/>
      <c r="EA38" s="709"/>
      <c r="EB38" s="709"/>
      <c r="EC38" s="709"/>
      <c r="ED38" s="13"/>
      <c r="EE38" s="19"/>
      <c r="EF38" s="19"/>
      <c r="EG38" s="19"/>
      <c r="EH38" s="19"/>
      <c r="EI38" s="19"/>
      <c r="EJ38" s="19"/>
      <c r="EK38" s="19"/>
      <c r="EL38" s="19"/>
      <c r="EM38" s="23"/>
      <c r="EN38" s="23"/>
      <c r="EO38" s="30">
        <f t="shared" si="24"/>
        <v>0</v>
      </c>
      <c r="EP38" s="28">
        <f t="shared" si="25"/>
        <v>0</v>
      </c>
      <c r="EQ38" t="str">
        <f t="shared" si="26"/>
        <v>IGUAL</v>
      </c>
      <c r="ER38" s="709" t="s">
        <v>19</v>
      </c>
      <c r="ES38" s="709"/>
      <c r="ET38" s="709"/>
      <c r="EU38" s="709"/>
      <c r="EV38" s="709"/>
      <c r="EW38" s="709"/>
      <c r="EX38" s="13"/>
      <c r="EY38" s="19"/>
      <c r="EZ38" s="19"/>
      <c r="FA38" s="19"/>
      <c r="FB38" s="19"/>
      <c r="FC38" s="19"/>
      <c r="FD38" s="19"/>
      <c r="FE38" s="19"/>
      <c r="FF38" s="19"/>
      <c r="FG38" s="19"/>
      <c r="FH38" s="19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30">
        <f t="shared" si="27"/>
        <v>0</v>
      </c>
      <c r="FU38" s="28">
        <f t="shared" si="28"/>
        <v>0</v>
      </c>
      <c r="FW38" s="709" t="s">
        <v>19</v>
      </c>
      <c r="FX38" s="709"/>
      <c r="FY38" s="709"/>
      <c r="FZ38" s="709"/>
      <c r="GA38" s="709"/>
      <c r="GB38" s="709"/>
      <c r="GC38" s="13"/>
      <c r="GD38" s="23"/>
      <c r="GE38" s="19"/>
      <c r="GF38" s="19"/>
      <c r="GG38" s="19"/>
      <c r="GH38" s="19"/>
      <c r="GI38" s="19"/>
      <c r="GJ38" s="19"/>
      <c r="GK38" s="19"/>
      <c r="GL38" s="19"/>
      <c r="GM38" s="19"/>
      <c r="GN38" s="23"/>
      <c r="GO38" s="23"/>
      <c r="GP38" s="23"/>
      <c r="GQ38" s="30">
        <f t="shared" si="29"/>
        <v>0</v>
      </c>
      <c r="GR38" s="28">
        <f t="shared" si="30"/>
        <v>0</v>
      </c>
      <c r="GT38" s="709" t="s">
        <v>19</v>
      </c>
      <c r="GU38" s="709"/>
      <c r="GV38" s="709"/>
      <c r="GW38" s="709"/>
      <c r="GX38" s="709"/>
      <c r="GY38" s="709"/>
      <c r="GZ38" s="13"/>
      <c r="HA38" s="19"/>
      <c r="HB38" s="19"/>
      <c r="HC38" s="19"/>
      <c r="HD38" s="19"/>
      <c r="HE38" s="19"/>
      <c r="HF38" s="19"/>
      <c r="HG38" s="19"/>
      <c r="HH38" s="19"/>
      <c r="HI38" s="19"/>
      <c r="HJ38" s="23"/>
      <c r="HK38" s="23"/>
      <c r="HL38" s="30">
        <f t="shared" si="31"/>
        <v>0</v>
      </c>
      <c r="HM38" s="28">
        <f t="shared" si="32"/>
        <v>0</v>
      </c>
      <c r="HO38" s="709" t="s">
        <v>19</v>
      </c>
      <c r="HP38" s="709"/>
      <c r="HQ38" s="709"/>
      <c r="HR38" s="709"/>
      <c r="HS38" s="709"/>
      <c r="HT38" s="709"/>
      <c r="HU38" s="13"/>
      <c r="HV38" s="19"/>
      <c r="HW38" s="30">
        <f t="shared" si="33"/>
        <v>0</v>
      </c>
      <c r="HX38" s="28">
        <f t="shared" si="0"/>
        <v>0</v>
      </c>
      <c r="HZ38" s="709" t="s">
        <v>19</v>
      </c>
      <c r="IA38" s="709"/>
      <c r="IB38" s="709"/>
      <c r="IC38" s="709"/>
      <c r="ID38" s="709"/>
      <c r="IE38" s="709"/>
      <c r="IF38" s="13"/>
      <c r="IG38" s="19"/>
      <c r="IH38" s="23"/>
      <c r="II38" s="23"/>
      <c r="IJ38" s="23"/>
      <c r="IK38" s="23"/>
      <c r="IL38" s="23"/>
      <c r="IM38" s="30">
        <f t="shared" si="41"/>
        <v>0</v>
      </c>
      <c r="IN38" s="28">
        <f t="shared" si="1"/>
        <v>0</v>
      </c>
      <c r="IP38" s="709" t="s">
        <v>19</v>
      </c>
      <c r="IQ38" s="709"/>
      <c r="IR38" s="709"/>
      <c r="IS38" s="709"/>
      <c r="IT38" s="709"/>
      <c r="IU38" s="709"/>
      <c r="IV38" s="13"/>
      <c r="IW38" s="19"/>
      <c r="IX38" s="23"/>
      <c r="IY38" s="30">
        <f t="shared" si="2"/>
        <v>0</v>
      </c>
      <c r="IZ38" s="28">
        <f t="shared" si="3"/>
        <v>0</v>
      </c>
      <c r="JB38" s="709" t="s">
        <v>19</v>
      </c>
      <c r="JC38" s="709"/>
      <c r="JD38" s="709"/>
      <c r="JE38" s="709"/>
      <c r="JF38" s="709"/>
      <c r="JG38" s="709"/>
      <c r="JH38" s="13">
        <v>330</v>
      </c>
      <c r="JI38" s="19"/>
      <c r="JJ38" s="23"/>
      <c r="JK38" s="23"/>
      <c r="JL38" s="23"/>
      <c r="JM38" s="23"/>
      <c r="JN38" s="23"/>
      <c r="JO38" s="23"/>
      <c r="JP38" s="23"/>
      <c r="JQ38" s="23"/>
      <c r="JR38" s="23"/>
      <c r="JS38" s="23"/>
      <c r="JT38" s="23"/>
      <c r="JU38" s="23"/>
      <c r="JV38" s="23"/>
      <c r="JW38" s="23"/>
      <c r="JX38" s="23"/>
      <c r="JY38" s="23"/>
      <c r="JZ38" s="23"/>
      <c r="KA38" s="23"/>
      <c r="KB38" s="23"/>
      <c r="KC38" s="23"/>
      <c r="KD38" s="23"/>
      <c r="KE38" s="30">
        <f t="shared" si="34"/>
        <v>0</v>
      </c>
      <c r="KF38" s="28">
        <f t="shared" si="42"/>
        <v>0</v>
      </c>
      <c r="KH38" s="709" t="s">
        <v>19</v>
      </c>
      <c r="KI38" s="709"/>
      <c r="KJ38" s="709"/>
      <c r="KK38" s="709"/>
      <c r="KL38" s="709"/>
      <c r="KM38" s="709"/>
      <c r="KN38" s="13">
        <v>330</v>
      </c>
      <c r="KO38" s="19"/>
      <c r="KP38" s="23"/>
      <c r="KQ38" s="23"/>
      <c r="KR38" s="23"/>
      <c r="KS38" s="30">
        <f t="shared" si="4"/>
        <v>0</v>
      </c>
      <c r="KT38" s="28">
        <f t="shared" si="5"/>
        <v>0</v>
      </c>
      <c r="KV38" s="709" t="s">
        <v>19</v>
      </c>
      <c r="KW38" s="709"/>
      <c r="KX38" s="709"/>
      <c r="KY38" s="709"/>
      <c r="KZ38" s="709"/>
      <c r="LA38" s="709"/>
      <c r="LB38" s="13">
        <v>330</v>
      </c>
      <c r="LC38" s="19"/>
      <c r="LD38" s="23"/>
      <c r="LE38" s="23"/>
      <c r="LF38" s="30">
        <f t="shared" si="6"/>
        <v>0</v>
      </c>
      <c r="LG38" s="28">
        <f t="shared" si="7"/>
        <v>0</v>
      </c>
      <c r="LI38" s="709" t="s">
        <v>19</v>
      </c>
      <c r="LJ38" s="709"/>
      <c r="LK38" s="709"/>
      <c r="LL38" s="709"/>
      <c r="LM38" s="709"/>
      <c r="LN38" s="709"/>
      <c r="LO38" s="13">
        <v>330</v>
      </c>
      <c r="LP38" s="19"/>
      <c r="LQ38" s="23"/>
      <c r="LR38" s="23"/>
      <c r="LS38" s="23"/>
      <c r="LT38" s="23"/>
      <c r="LU38" s="23"/>
      <c r="LV38" s="23"/>
      <c r="LW38" s="23"/>
      <c r="LX38" s="23"/>
      <c r="LY38" s="23"/>
      <c r="LZ38" s="23"/>
      <c r="MA38" s="23"/>
      <c r="MB38" s="23"/>
      <c r="MC38" s="23"/>
      <c r="MD38" s="23"/>
      <c r="ME38" s="30">
        <f t="shared" si="35"/>
        <v>0</v>
      </c>
      <c r="MF38" s="28">
        <f t="shared" si="8"/>
        <v>0</v>
      </c>
      <c r="MH38" s="709" t="s">
        <v>19</v>
      </c>
      <c r="MI38" s="709"/>
      <c r="MJ38" s="709"/>
      <c r="MK38" s="709"/>
      <c r="ML38" s="709"/>
      <c r="MM38" s="709"/>
      <c r="MN38" s="13">
        <v>330</v>
      </c>
      <c r="MO38" s="19"/>
      <c r="MP38" s="23"/>
      <c r="MQ38" s="23"/>
      <c r="MR38" s="23"/>
      <c r="MS38" s="23"/>
      <c r="MT38" s="23"/>
      <c r="MU38" s="23"/>
      <c r="MV38" s="23"/>
      <c r="MW38" s="23"/>
      <c r="MX38" s="23"/>
      <c r="MY38" s="23"/>
      <c r="MZ38" s="23"/>
      <c r="NA38" s="23"/>
      <c r="NB38" s="23"/>
      <c r="NC38" s="23"/>
      <c r="ND38" s="30">
        <f t="shared" si="36"/>
        <v>0</v>
      </c>
      <c r="NE38" s="28">
        <f t="shared" si="37"/>
        <v>0</v>
      </c>
      <c r="NG38" s="709" t="s">
        <v>19</v>
      </c>
      <c r="NH38" s="709"/>
      <c r="NI38" s="709"/>
      <c r="NJ38" s="709"/>
      <c r="NK38" s="709"/>
      <c r="NL38" s="709"/>
      <c r="NM38" s="13">
        <v>330</v>
      </c>
      <c r="NN38" s="23"/>
      <c r="NO38" s="23"/>
      <c r="NP38" s="23"/>
      <c r="NQ38" s="23"/>
      <c r="NR38" s="23"/>
      <c r="NS38" s="23"/>
      <c r="NT38" s="23"/>
      <c r="NU38" s="23"/>
      <c r="NV38" s="23"/>
      <c r="NW38" s="23"/>
      <c r="NX38" s="23"/>
      <c r="NY38" s="23"/>
      <c r="NZ38" s="23"/>
      <c r="OA38" s="23"/>
      <c r="OB38" s="23"/>
      <c r="OC38" s="30">
        <f t="shared" si="38"/>
        <v>0</v>
      </c>
      <c r="OD38" s="28">
        <f t="shared" si="39"/>
        <v>0</v>
      </c>
    </row>
    <row r="39" spans="1:394" ht="14.45" customHeight="1" x14ac:dyDescent="0.25">
      <c r="A39" s="47"/>
      <c r="B39" s="12"/>
      <c r="C39" s="709" t="s">
        <v>20</v>
      </c>
      <c r="D39" s="709"/>
      <c r="E39" s="709"/>
      <c r="F39" s="709"/>
      <c r="G39" s="709"/>
      <c r="H39" s="709"/>
      <c r="I39" s="13"/>
      <c r="J39" s="13"/>
      <c r="K39" s="19"/>
      <c r="L39" s="19"/>
      <c r="M39" s="19">
        <f t="shared" si="40"/>
        <v>0</v>
      </c>
      <c r="N39" s="19">
        <f t="shared" si="9"/>
        <v>0</v>
      </c>
      <c r="O39" s="12"/>
      <c r="P39" s="709" t="s">
        <v>20</v>
      </c>
      <c r="Q39" s="709"/>
      <c r="R39" s="709"/>
      <c r="S39" s="709"/>
      <c r="T39" s="709"/>
      <c r="U39" s="709"/>
      <c r="V39" s="13"/>
      <c r="W39" s="19"/>
      <c r="X39" s="19"/>
      <c r="Y39" s="23">
        <f t="shared" si="10"/>
        <v>0</v>
      </c>
      <c r="Z39" s="19">
        <f t="shared" si="11"/>
        <v>0</v>
      </c>
      <c r="AA39" s="34"/>
      <c r="AB39" s="34"/>
      <c r="AC39" s="34"/>
      <c r="AD39" s="34"/>
      <c r="AE39" s="34"/>
      <c r="AF39" s="34"/>
      <c r="AG39" s="6"/>
      <c r="AH39" s="709" t="s">
        <v>20</v>
      </c>
      <c r="AI39" s="709"/>
      <c r="AJ39" s="709"/>
      <c r="AK39" s="709"/>
      <c r="AL39" s="709"/>
      <c r="AM39" s="709"/>
      <c r="AN39" s="13"/>
      <c r="AO39" s="19"/>
      <c r="AP39" s="23">
        <f t="shared" si="12"/>
        <v>0</v>
      </c>
      <c r="AQ39" s="19">
        <f t="shared" si="13"/>
        <v>0</v>
      </c>
      <c r="AS39" s="677" t="s">
        <v>20</v>
      </c>
      <c r="AT39" s="677"/>
      <c r="AU39" s="677"/>
      <c r="AV39" s="677"/>
      <c r="AW39" s="677"/>
      <c r="AX39" s="677"/>
      <c r="AY39" s="28"/>
      <c r="AZ39" s="28"/>
      <c r="BA39" s="28"/>
      <c r="BB39" s="28"/>
      <c r="BC39" s="28"/>
      <c r="BD39" s="30">
        <f t="shared" si="14"/>
        <v>0</v>
      </c>
      <c r="BE39" s="28">
        <f t="shared" si="15"/>
        <v>0</v>
      </c>
      <c r="BF39" s="14"/>
      <c r="BG39" s="677" t="s">
        <v>20</v>
      </c>
      <c r="BH39" s="677"/>
      <c r="BI39" s="677"/>
      <c r="BJ39" s="677"/>
      <c r="BK39" s="677"/>
      <c r="BL39" s="677"/>
      <c r="BM39" s="28"/>
      <c r="BN39" s="28"/>
      <c r="BO39" s="28"/>
      <c r="BP39" s="30">
        <f t="shared" si="16"/>
        <v>0</v>
      </c>
      <c r="BQ39" s="28">
        <f t="shared" si="17"/>
        <v>0</v>
      </c>
      <c r="BR39" s="14"/>
      <c r="BS39" s="677" t="s">
        <v>20</v>
      </c>
      <c r="BT39" s="677"/>
      <c r="BU39" s="677"/>
      <c r="BV39" s="677"/>
      <c r="BW39" s="677"/>
      <c r="BX39" s="677"/>
      <c r="BY39" s="28">
        <v>5.5</v>
      </c>
      <c r="BZ39" s="28"/>
      <c r="CA39" s="28"/>
      <c r="CB39" s="28"/>
      <c r="CC39" s="28"/>
      <c r="CD39" s="28"/>
      <c r="CE39" s="28"/>
      <c r="CF39" s="28"/>
      <c r="CG39" s="28">
        <v>1</v>
      </c>
      <c r="CH39" s="28"/>
      <c r="CI39" s="30">
        <f t="shared" si="18"/>
        <v>1</v>
      </c>
      <c r="CJ39" s="28">
        <f t="shared" si="19"/>
        <v>5.5</v>
      </c>
      <c r="CK39" s="14"/>
      <c r="CL39" s="677" t="s">
        <v>20</v>
      </c>
      <c r="CM39" s="677"/>
      <c r="CN39" s="677"/>
      <c r="CO39" s="677"/>
      <c r="CP39" s="677"/>
      <c r="CQ39" s="677"/>
      <c r="CR39" s="28">
        <v>5.5</v>
      </c>
      <c r="CS39" s="28"/>
      <c r="CT39" s="28"/>
      <c r="CU39" s="28"/>
      <c r="CV39" s="28"/>
      <c r="CW39" s="28"/>
      <c r="CX39" s="28"/>
      <c r="CY39" s="28"/>
      <c r="CZ39" s="28"/>
      <c r="DA39" s="30">
        <f t="shared" si="20"/>
        <v>0</v>
      </c>
      <c r="DB39" s="28">
        <f t="shared" si="21"/>
        <v>0</v>
      </c>
      <c r="DC39" s="14"/>
      <c r="DD39" s="677" t="s">
        <v>20</v>
      </c>
      <c r="DE39" s="677"/>
      <c r="DF39" s="677"/>
      <c r="DG39" s="677"/>
      <c r="DH39" s="677"/>
      <c r="DI39" s="677"/>
      <c r="DJ39" s="28">
        <v>5.5</v>
      </c>
      <c r="DK39" s="28"/>
      <c r="DL39" s="28"/>
      <c r="DM39" s="28"/>
      <c r="DN39" s="28"/>
      <c r="DO39" s="28"/>
      <c r="DP39" s="28"/>
      <c r="DQ39" s="28"/>
      <c r="DR39" s="28">
        <v>1</v>
      </c>
      <c r="DS39" s="28"/>
      <c r="DT39" s="28"/>
      <c r="DU39" s="30">
        <f t="shared" si="22"/>
        <v>1</v>
      </c>
      <c r="DV39" s="28">
        <f t="shared" si="23"/>
        <v>5.5</v>
      </c>
      <c r="DX39" s="677" t="s">
        <v>20</v>
      </c>
      <c r="DY39" s="677"/>
      <c r="DZ39" s="677"/>
      <c r="EA39" s="677"/>
      <c r="EB39" s="677"/>
      <c r="EC39" s="677"/>
      <c r="ED39" s="28">
        <v>5.5</v>
      </c>
      <c r="EE39" s="28"/>
      <c r="EF39" s="28"/>
      <c r="EG39" s="28"/>
      <c r="EH39" s="28"/>
      <c r="EI39" s="28">
        <v>1</v>
      </c>
      <c r="EJ39" s="28"/>
      <c r="EK39" s="28"/>
      <c r="EL39" s="28"/>
      <c r="EM39" s="30"/>
      <c r="EN39" s="30"/>
      <c r="EO39" s="30">
        <f t="shared" si="24"/>
        <v>1</v>
      </c>
      <c r="EP39" s="28">
        <f t="shared" si="25"/>
        <v>5.5</v>
      </c>
      <c r="EQ39" t="str">
        <f t="shared" si="26"/>
        <v>IGUAL</v>
      </c>
      <c r="ER39" s="677" t="s">
        <v>20</v>
      </c>
      <c r="ES39" s="677"/>
      <c r="ET39" s="677"/>
      <c r="EU39" s="677"/>
      <c r="EV39" s="677"/>
      <c r="EW39" s="677"/>
      <c r="EX39" s="28">
        <v>5.5</v>
      </c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30"/>
      <c r="FJ39" s="30"/>
      <c r="FK39" s="30"/>
      <c r="FL39" s="30"/>
      <c r="FM39" s="30">
        <v>1</v>
      </c>
      <c r="FN39" s="30"/>
      <c r="FO39" s="30"/>
      <c r="FP39" s="30"/>
      <c r="FQ39" s="30"/>
      <c r="FR39" s="30"/>
      <c r="FS39" s="30"/>
      <c r="FT39" s="30">
        <f t="shared" si="27"/>
        <v>1</v>
      </c>
      <c r="FU39" s="28">
        <f t="shared" si="28"/>
        <v>5.5</v>
      </c>
      <c r="FW39" s="677" t="s">
        <v>20</v>
      </c>
      <c r="FX39" s="677"/>
      <c r="FY39" s="677"/>
      <c r="FZ39" s="677"/>
      <c r="GA39" s="677"/>
      <c r="GB39" s="677"/>
      <c r="GC39" s="28">
        <v>5.5</v>
      </c>
      <c r="GD39" s="30">
        <v>1</v>
      </c>
      <c r="GE39" s="28"/>
      <c r="GF39" s="28"/>
      <c r="GG39" s="28"/>
      <c r="GH39" s="28"/>
      <c r="GI39" s="28"/>
      <c r="GJ39" s="28"/>
      <c r="GK39" s="28"/>
      <c r="GL39" s="28"/>
      <c r="GM39" s="28">
        <v>2</v>
      </c>
      <c r="GN39" s="30">
        <v>2</v>
      </c>
      <c r="GO39" s="30"/>
      <c r="GP39" s="30"/>
      <c r="GQ39" s="30">
        <f t="shared" si="29"/>
        <v>5</v>
      </c>
      <c r="GR39" s="28">
        <f t="shared" si="30"/>
        <v>27.5</v>
      </c>
      <c r="GT39" s="677" t="s">
        <v>20</v>
      </c>
      <c r="GU39" s="677"/>
      <c r="GV39" s="677"/>
      <c r="GW39" s="677"/>
      <c r="GX39" s="677"/>
      <c r="GY39" s="677"/>
      <c r="GZ39" s="28">
        <v>5.5</v>
      </c>
      <c r="HA39" s="28"/>
      <c r="HB39" s="28"/>
      <c r="HC39" s="28"/>
      <c r="HD39" s="28"/>
      <c r="HE39" s="28">
        <v>6</v>
      </c>
      <c r="HF39" s="28"/>
      <c r="HG39" s="28"/>
      <c r="HH39" s="28"/>
      <c r="HI39" s="28"/>
      <c r="HJ39" s="30"/>
      <c r="HK39" s="30"/>
      <c r="HL39" s="30">
        <f t="shared" si="31"/>
        <v>6</v>
      </c>
      <c r="HM39" s="28">
        <f t="shared" si="32"/>
        <v>33</v>
      </c>
      <c r="HO39" s="677" t="s">
        <v>20</v>
      </c>
      <c r="HP39" s="677"/>
      <c r="HQ39" s="677"/>
      <c r="HR39" s="677"/>
      <c r="HS39" s="677"/>
      <c r="HT39" s="677"/>
      <c r="HU39" s="28">
        <v>5.5</v>
      </c>
      <c r="HV39" s="28"/>
      <c r="HW39" s="30">
        <f t="shared" si="33"/>
        <v>0</v>
      </c>
      <c r="HX39" s="28">
        <f t="shared" si="0"/>
        <v>0</v>
      </c>
      <c r="HZ39" s="677" t="s">
        <v>20</v>
      </c>
      <c r="IA39" s="677"/>
      <c r="IB39" s="677"/>
      <c r="IC39" s="677"/>
      <c r="ID39" s="677"/>
      <c r="IE39" s="677"/>
      <c r="IF39" s="28">
        <v>5.5</v>
      </c>
      <c r="IG39" s="28"/>
      <c r="IH39" s="30"/>
      <c r="II39" s="30"/>
      <c r="IJ39" s="30">
        <v>6</v>
      </c>
      <c r="IK39" s="30"/>
      <c r="IL39" s="30"/>
      <c r="IM39" s="30">
        <f t="shared" si="41"/>
        <v>6</v>
      </c>
      <c r="IN39" s="28">
        <f t="shared" si="1"/>
        <v>33</v>
      </c>
      <c r="IP39" s="677" t="s">
        <v>20</v>
      </c>
      <c r="IQ39" s="677"/>
      <c r="IR39" s="677"/>
      <c r="IS39" s="677"/>
      <c r="IT39" s="677"/>
      <c r="IU39" s="677"/>
      <c r="IV39" s="28">
        <v>5.5</v>
      </c>
      <c r="IW39" s="28"/>
      <c r="IX39" s="30"/>
      <c r="IY39" s="30">
        <f t="shared" si="2"/>
        <v>0</v>
      </c>
      <c r="IZ39" s="28">
        <f t="shared" si="3"/>
        <v>0</v>
      </c>
      <c r="JB39" s="677" t="s">
        <v>20</v>
      </c>
      <c r="JC39" s="677"/>
      <c r="JD39" s="677"/>
      <c r="JE39" s="677"/>
      <c r="JF39" s="677"/>
      <c r="JG39" s="677"/>
      <c r="JH39" s="28">
        <v>5.5</v>
      </c>
      <c r="JI39" s="28"/>
      <c r="JJ39" s="30"/>
      <c r="JK39" s="30"/>
      <c r="JL39" s="30"/>
      <c r="JM39" s="30"/>
      <c r="JN39" s="30"/>
      <c r="JO39" s="30"/>
      <c r="JP39" s="30"/>
      <c r="JQ39" s="30"/>
      <c r="JR39" s="30"/>
      <c r="JS39" s="30"/>
      <c r="JT39" s="30"/>
      <c r="JU39" s="30"/>
      <c r="JV39" s="30">
        <v>1</v>
      </c>
      <c r="JW39" s="30"/>
      <c r="JX39" s="30"/>
      <c r="JY39" s="30"/>
      <c r="JZ39" s="30"/>
      <c r="KA39" s="30"/>
      <c r="KB39" s="30"/>
      <c r="KC39" s="30"/>
      <c r="KD39" s="30"/>
      <c r="KE39" s="30">
        <f t="shared" si="34"/>
        <v>1</v>
      </c>
      <c r="KF39" s="28">
        <f t="shared" si="42"/>
        <v>5.5</v>
      </c>
      <c r="KH39" s="677" t="s">
        <v>20</v>
      </c>
      <c r="KI39" s="677"/>
      <c r="KJ39" s="677"/>
      <c r="KK39" s="677"/>
      <c r="KL39" s="677"/>
      <c r="KM39" s="677"/>
      <c r="KN39" s="28">
        <v>5.5</v>
      </c>
      <c r="KO39" s="28"/>
      <c r="KP39" s="30"/>
      <c r="KQ39" s="30"/>
      <c r="KR39" s="30"/>
      <c r="KS39" s="30">
        <f t="shared" si="4"/>
        <v>0</v>
      </c>
      <c r="KT39" s="28">
        <f t="shared" si="5"/>
        <v>0</v>
      </c>
      <c r="KV39" s="677" t="s">
        <v>20</v>
      </c>
      <c r="KW39" s="677"/>
      <c r="KX39" s="677"/>
      <c r="KY39" s="677"/>
      <c r="KZ39" s="677"/>
      <c r="LA39" s="677"/>
      <c r="LB39" s="28">
        <v>6</v>
      </c>
      <c r="LC39" s="28"/>
      <c r="LD39" s="30"/>
      <c r="LE39" s="30"/>
      <c r="LF39" s="30">
        <f t="shared" si="6"/>
        <v>0</v>
      </c>
      <c r="LG39" s="28">
        <f t="shared" si="7"/>
        <v>0</v>
      </c>
      <c r="LI39" s="677" t="s">
        <v>20</v>
      </c>
      <c r="LJ39" s="677"/>
      <c r="LK39" s="677"/>
      <c r="LL39" s="677"/>
      <c r="LM39" s="677"/>
      <c r="LN39" s="677"/>
      <c r="LO39" s="28">
        <v>6</v>
      </c>
      <c r="LP39" s="28"/>
      <c r="LQ39" s="30"/>
      <c r="LR39" s="30"/>
      <c r="LS39" s="30"/>
      <c r="LT39" s="30">
        <v>2</v>
      </c>
      <c r="LU39" s="30"/>
      <c r="LV39" s="30"/>
      <c r="LW39" s="30"/>
      <c r="LX39" s="30"/>
      <c r="LY39" s="30">
        <v>3</v>
      </c>
      <c r="LZ39" s="30">
        <v>1</v>
      </c>
      <c r="MA39" s="30"/>
      <c r="MB39" s="30"/>
      <c r="MC39" s="30"/>
      <c r="MD39" s="30">
        <v>2</v>
      </c>
      <c r="ME39" s="30">
        <f t="shared" si="35"/>
        <v>8</v>
      </c>
      <c r="MF39" s="28">
        <f t="shared" si="8"/>
        <v>48</v>
      </c>
      <c r="MH39" s="677" t="s">
        <v>20</v>
      </c>
      <c r="MI39" s="677"/>
      <c r="MJ39" s="677"/>
      <c r="MK39" s="677"/>
      <c r="ML39" s="677"/>
      <c r="MM39" s="677"/>
      <c r="MN39" s="28">
        <v>5</v>
      </c>
      <c r="MO39" s="28">
        <v>10</v>
      </c>
      <c r="MP39" s="30">
        <v>2</v>
      </c>
      <c r="MQ39" s="30"/>
      <c r="MR39" s="30"/>
      <c r="MS39" s="30"/>
      <c r="MT39" s="30"/>
      <c r="MU39" s="30"/>
      <c r="MV39" s="30"/>
      <c r="MW39" s="30">
        <v>4</v>
      </c>
      <c r="MX39" s="30"/>
      <c r="MY39" s="30">
        <v>2</v>
      </c>
      <c r="MZ39" s="30"/>
      <c r="NA39" s="30"/>
      <c r="NB39" s="30"/>
      <c r="NC39" s="30">
        <v>1</v>
      </c>
      <c r="ND39" s="30">
        <f t="shared" si="36"/>
        <v>19</v>
      </c>
      <c r="NE39" s="28">
        <f t="shared" si="37"/>
        <v>95</v>
      </c>
      <c r="NG39" s="677" t="s">
        <v>20</v>
      </c>
      <c r="NH39" s="677"/>
      <c r="NI39" s="677"/>
      <c r="NJ39" s="677"/>
      <c r="NK39" s="677"/>
      <c r="NL39" s="677"/>
      <c r="NM39" s="28">
        <v>5</v>
      </c>
      <c r="NN39" s="30"/>
      <c r="NO39" s="30"/>
      <c r="NP39" s="30"/>
      <c r="NQ39" s="30"/>
      <c r="NR39" s="30"/>
      <c r="NS39" s="30"/>
      <c r="NT39" s="30"/>
      <c r="NU39" s="30"/>
      <c r="NV39" s="30"/>
      <c r="NW39" s="30"/>
      <c r="NX39" s="30"/>
      <c r="NY39" s="30"/>
      <c r="NZ39" s="30"/>
      <c r="OA39" s="30"/>
      <c r="OB39" s="30"/>
      <c r="OC39" s="30">
        <f t="shared" si="38"/>
        <v>0</v>
      </c>
      <c r="OD39" s="28">
        <f t="shared" si="39"/>
        <v>0</v>
      </c>
    </row>
    <row r="40" spans="1:394" ht="14.45" customHeight="1" x14ac:dyDescent="0.25">
      <c r="A40" s="47"/>
      <c r="B40" s="12"/>
      <c r="C40" s="709" t="s">
        <v>21</v>
      </c>
      <c r="D40" s="709"/>
      <c r="E40" s="709"/>
      <c r="F40" s="709"/>
      <c r="G40" s="709"/>
      <c r="H40" s="709"/>
      <c r="I40" s="13"/>
      <c r="J40" s="13"/>
      <c r="K40" s="19"/>
      <c r="L40" s="19"/>
      <c r="M40" s="19">
        <f t="shared" si="40"/>
        <v>0</v>
      </c>
      <c r="N40" s="19">
        <f t="shared" si="9"/>
        <v>0</v>
      </c>
      <c r="O40" s="12"/>
      <c r="P40" s="709" t="s">
        <v>21</v>
      </c>
      <c r="Q40" s="709"/>
      <c r="R40" s="709"/>
      <c r="S40" s="709"/>
      <c r="T40" s="709"/>
      <c r="U40" s="709"/>
      <c r="V40" s="13"/>
      <c r="W40" s="19"/>
      <c r="X40" s="19"/>
      <c r="Y40" s="23">
        <f t="shared" si="10"/>
        <v>0</v>
      </c>
      <c r="Z40" s="19">
        <f t="shared" si="11"/>
        <v>0</v>
      </c>
      <c r="AA40" s="34"/>
      <c r="AB40" s="34"/>
      <c r="AC40" s="34"/>
      <c r="AD40" s="34"/>
      <c r="AE40" s="34"/>
      <c r="AF40" s="34"/>
      <c r="AG40" s="6"/>
      <c r="AH40" s="709" t="s">
        <v>21</v>
      </c>
      <c r="AI40" s="709"/>
      <c r="AJ40" s="709"/>
      <c r="AK40" s="709"/>
      <c r="AL40" s="709"/>
      <c r="AM40" s="709"/>
      <c r="AN40" s="13"/>
      <c r="AO40" s="19"/>
      <c r="AP40" s="23">
        <f t="shared" si="12"/>
        <v>0</v>
      </c>
      <c r="AQ40" s="19">
        <f t="shared" si="13"/>
        <v>0</v>
      </c>
      <c r="AS40" s="709" t="s">
        <v>21</v>
      </c>
      <c r="AT40" s="709"/>
      <c r="AU40" s="709"/>
      <c r="AV40" s="709"/>
      <c r="AW40" s="709"/>
      <c r="AX40" s="709"/>
      <c r="AY40" s="13"/>
      <c r="AZ40" s="19"/>
      <c r="BA40" s="19"/>
      <c r="BB40" s="19"/>
      <c r="BC40" s="19"/>
      <c r="BD40" s="30">
        <f t="shared" si="14"/>
        <v>0</v>
      </c>
      <c r="BE40" s="28">
        <f t="shared" si="15"/>
        <v>0</v>
      </c>
      <c r="BF40" s="14"/>
      <c r="BG40" s="709" t="s">
        <v>21</v>
      </c>
      <c r="BH40" s="709"/>
      <c r="BI40" s="709"/>
      <c r="BJ40" s="709"/>
      <c r="BK40" s="709"/>
      <c r="BL40" s="709"/>
      <c r="BM40" s="13"/>
      <c r="BN40" s="19"/>
      <c r="BO40" s="19"/>
      <c r="BP40" s="30">
        <f t="shared" si="16"/>
        <v>0</v>
      </c>
      <c r="BQ40" s="28">
        <f t="shared" si="17"/>
        <v>0</v>
      </c>
      <c r="BR40" s="14"/>
      <c r="BS40" s="709" t="s">
        <v>21</v>
      </c>
      <c r="BT40" s="709"/>
      <c r="BU40" s="709"/>
      <c r="BV40" s="709"/>
      <c r="BW40" s="709"/>
      <c r="BX40" s="709"/>
      <c r="BY40" s="13">
        <v>13</v>
      </c>
      <c r="BZ40" s="19"/>
      <c r="CA40" s="19"/>
      <c r="CB40" s="19"/>
      <c r="CC40" s="19"/>
      <c r="CD40" s="19"/>
      <c r="CE40" s="19">
        <v>1</v>
      </c>
      <c r="CF40" s="19"/>
      <c r="CG40" s="19"/>
      <c r="CH40" s="19"/>
      <c r="CI40" s="30">
        <f t="shared" si="18"/>
        <v>1</v>
      </c>
      <c r="CJ40" s="28">
        <f t="shared" si="19"/>
        <v>13</v>
      </c>
      <c r="CK40" s="14"/>
      <c r="CL40" s="709" t="s">
        <v>21</v>
      </c>
      <c r="CM40" s="709"/>
      <c r="CN40" s="709"/>
      <c r="CO40" s="709"/>
      <c r="CP40" s="709"/>
      <c r="CQ40" s="709"/>
      <c r="CR40" s="13">
        <v>13</v>
      </c>
      <c r="CS40" s="19"/>
      <c r="CT40" s="19"/>
      <c r="CU40" s="19"/>
      <c r="CV40" s="19"/>
      <c r="CW40" s="19"/>
      <c r="CX40" s="19"/>
      <c r="CY40" s="19"/>
      <c r="CZ40" s="19"/>
      <c r="DA40" s="30">
        <f t="shared" si="20"/>
        <v>0</v>
      </c>
      <c r="DB40" s="28">
        <f t="shared" si="21"/>
        <v>0</v>
      </c>
      <c r="DC40" s="14"/>
      <c r="DD40" s="709" t="s">
        <v>21</v>
      </c>
      <c r="DE40" s="709"/>
      <c r="DF40" s="709"/>
      <c r="DG40" s="709"/>
      <c r="DH40" s="709"/>
      <c r="DI40" s="709"/>
      <c r="DJ40" s="13">
        <v>13</v>
      </c>
      <c r="DK40" s="19"/>
      <c r="DL40" s="19"/>
      <c r="DM40" s="19"/>
      <c r="DN40" s="19"/>
      <c r="DO40" s="19"/>
      <c r="DP40" s="19"/>
      <c r="DQ40" s="19"/>
      <c r="DR40" s="19"/>
      <c r="DS40" s="19"/>
      <c r="DT40" s="19"/>
      <c r="DU40" s="30">
        <f t="shared" si="22"/>
        <v>0</v>
      </c>
      <c r="DV40" s="28">
        <f t="shared" si="23"/>
        <v>0</v>
      </c>
      <c r="DX40" s="709" t="s">
        <v>21</v>
      </c>
      <c r="DY40" s="709"/>
      <c r="DZ40" s="709"/>
      <c r="EA40" s="709"/>
      <c r="EB40" s="709"/>
      <c r="EC40" s="709"/>
      <c r="ED40" s="13">
        <v>13</v>
      </c>
      <c r="EE40" s="19"/>
      <c r="EF40" s="19"/>
      <c r="EG40" s="19"/>
      <c r="EH40" s="19"/>
      <c r="EI40" s="19">
        <v>1</v>
      </c>
      <c r="EJ40" s="19"/>
      <c r="EK40" s="19"/>
      <c r="EL40" s="19"/>
      <c r="EM40" s="23"/>
      <c r="EN40" s="23"/>
      <c r="EO40" s="30">
        <f t="shared" si="24"/>
        <v>1</v>
      </c>
      <c r="EP40" s="28">
        <f t="shared" si="25"/>
        <v>13</v>
      </c>
      <c r="EQ40" t="str">
        <f t="shared" si="26"/>
        <v>IGUAL</v>
      </c>
      <c r="ER40" s="709" t="s">
        <v>21</v>
      </c>
      <c r="ES40" s="709"/>
      <c r="ET40" s="709"/>
      <c r="EU40" s="709"/>
      <c r="EV40" s="709"/>
      <c r="EW40" s="709"/>
      <c r="EX40" s="13">
        <v>13</v>
      </c>
      <c r="EY40" s="19"/>
      <c r="EZ40" s="19"/>
      <c r="FA40" s="19"/>
      <c r="FB40" s="19"/>
      <c r="FC40" s="19"/>
      <c r="FD40" s="19"/>
      <c r="FE40" s="19"/>
      <c r="FF40" s="19"/>
      <c r="FG40" s="19"/>
      <c r="FH40" s="19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30">
        <f t="shared" si="27"/>
        <v>0</v>
      </c>
      <c r="FU40" s="28">
        <f t="shared" si="28"/>
        <v>0</v>
      </c>
      <c r="FW40" s="709" t="s">
        <v>21</v>
      </c>
      <c r="FX40" s="709"/>
      <c r="FY40" s="709"/>
      <c r="FZ40" s="709"/>
      <c r="GA40" s="709"/>
      <c r="GB40" s="709"/>
      <c r="GC40" s="13">
        <v>13</v>
      </c>
      <c r="GD40" s="23"/>
      <c r="GE40" s="19"/>
      <c r="GF40" s="19"/>
      <c r="GG40" s="19"/>
      <c r="GH40" s="19"/>
      <c r="GI40" s="19"/>
      <c r="GJ40" s="19"/>
      <c r="GK40" s="19"/>
      <c r="GL40" s="19"/>
      <c r="GM40" s="19"/>
      <c r="GN40" s="23"/>
      <c r="GO40" s="23"/>
      <c r="GP40" s="23"/>
      <c r="GQ40" s="30">
        <f t="shared" si="29"/>
        <v>0</v>
      </c>
      <c r="GR40" s="28">
        <f t="shared" si="30"/>
        <v>0</v>
      </c>
      <c r="GT40" s="709" t="s">
        <v>21</v>
      </c>
      <c r="GU40" s="709"/>
      <c r="GV40" s="709"/>
      <c r="GW40" s="709"/>
      <c r="GX40" s="709"/>
      <c r="GY40" s="709"/>
      <c r="GZ40" s="13">
        <v>13</v>
      </c>
      <c r="HA40" s="19"/>
      <c r="HB40" s="19"/>
      <c r="HC40" s="19"/>
      <c r="HD40" s="19"/>
      <c r="HE40" s="19"/>
      <c r="HF40" s="19"/>
      <c r="HG40" s="19"/>
      <c r="HH40" s="19"/>
      <c r="HI40" s="19"/>
      <c r="HJ40" s="23"/>
      <c r="HK40" s="23"/>
      <c r="HL40" s="30">
        <f t="shared" ref="HL40:HL71" si="43">SUM(HA40:HK40)</f>
        <v>0</v>
      </c>
      <c r="HM40" s="28">
        <f t="shared" si="32"/>
        <v>0</v>
      </c>
      <c r="HO40" s="709" t="s">
        <v>21</v>
      </c>
      <c r="HP40" s="709"/>
      <c r="HQ40" s="709"/>
      <c r="HR40" s="709"/>
      <c r="HS40" s="709"/>
      <c r="HT40" s="709"/>
      <c r="HU40" s="13">
        <v>13</v>
      </c>
      <c r="HV40" s="19"/>
      <c r="HW40" s="30">
        <f t="shared" ref="HW40:HW71" si="44">SUM(HV40:HV40)</f>
        <v>0</v>
      </c>
      <c r="HX40" s="28">
        <f t="shared" ref="HX40:HX71" si="45">HW40*HU40</f>
        <v>0</v>
      </c>
      <c r="HZ40" s="709" t="s">
        <v>21</v>
      </c>
      <c r="IA40" s="709"/>
      <c r="IB40" s="709"/>
      <c r="IC40" s="709"/>
      <c r="ID40" s="709"/>
      <c r="IE40" s="709"/>
      <c r="IF40" s="13">
        <v>13</v>
      </c>
      <c r="IG40" s="19"/>
      <c r="IH40" s="23"/>
      <c r="II40" s="23"/>
      <c r="IJ40" s="23">
        <v>3</v>
      </c>
      <c r="IK40" s="23"/>
      <c r="IL40" s="23"/>
      <c r="IM40" s="30">
        <f t="shared" si="41"/>
        <v>3</v>
      </c>
      <c r="IN40" s="28">
        <f t="shared" ref="IN40:IN71" si="46">IM40*IF40</f>
        <v>39</v>
      </c>
      <c r="IP40" s="709" t="s">
        <v>21</v>
      </c>
      <c r="IQ40" s="709"/>
      <c r="IR40" s="709"/>
      <c r="IS40" s="709"/>
      <c r="IT40" s="709"/>
      <c r="IU40" s="709"/>
      <c r="IV40" s="13">
        <v>13</v>
      </c>
      <c r="IW40" s="19"/>
      <c r="IX40" s="23">
        <v>1</v>
      </c>
      <c r="IY40" s="30">
        <f t="shared" ref="IY40:IY71" si="47">SUM(IW40:IX40)</f>
        <v>1</v>
      </c>
      <c r="IZ40" s="28">
        <f t="shared" ref="IZ40:IZ71" si="48">IY40*IV40</f>
        <v>13</v>
      </c>
      <c r="JB40" s="709" t="s">
        <v>21</v>
      </c>
      <c r="JC40" s="709"/>
      <c r="JD40" s="709"/>
      <c r="JE40" s="709"/>
      <c r="JF40" s="709"/>
      <c r="JG40" s="709"/>
      <c r="JH40" s="13">
        <v>13</v>
      </c>
      <c r="JI40" s="19"/>
      <c r="JJ40" s="23"/>
      <c r="JK40" s="23"/>
      <c r="JL40" s="23">
        <v>3</v>
      </c>
      <c r="JM40" s="23"/>
      <c r="JN40" s="23"/>
      <c r="JO40" s="23"/>
      <c r="JP40" s="23"/>
      <c r="JQ40" s="23"/>
      <c r="JR40" s="23"/>
      <c r="JS40" s="23"/>
      <c r="JT40" s="23"/>
      <c r="JU40" s="23"/>
      <c r="JV40" s="23"/>
      <c r="JW40" s="23"/>
      <c r="JX40" s="23"/>
      <c r="JY40" s="23"/>
      <c r="JZ40" s="23"/>
      <c r="KA40" s="23"/>
      <c r="KB40" s="23"/>
      <c r="KC40" s="23"/>
      <c r="KD40" s="23"/>
      <c r="KE40" s="30">
        <f t="shared" si="34"/>
        <v>3</v>
      </c>
      <c r="KF40" s="28">
        <f t="shared" ref="KF40:KF71" si="49">KE40*JH40</f>
        <v>39</v>
      </c>
      <c r="KH40" s="709" t="s">
        <v>21</v>
      </c>
      <c r="KI40" s="709"/>
      <c r="KJ40" s="709"/>
      <c r="KK40" s="709"/>
      <c r="KL40" s="709"/>
      <c r="KM40" s="709"/>
      <c r="KN40" s="13">
        <v>13</v>
      </c>
      <c r="KO40" s="19"/>
      <c r="KP40" s="23"/>
      <c r="KQ40" s="23"/>
      <c r="KR40" s="23"/>
      <c r="KS40" s="30">
        <f t="shared" ref="KS40:KS71" si="50">SUM(KO40:KR40)</f>
        <v>0</v>
      </c>
      <c r="KT40" s="28">
        <f t="shared" ref="KT40:KT71" si="51">KS40*KN40</f>
        <v>0</v>
      </c>
      <c r="KV40" s="709" t="s">
        <v>21</v>
      </c>
      <c r="KW40" s="709"/>
      <c r="KX40" s="709"/>
      <c r="KY40" s="709"/>
      <c r="KZ40" s="709"/>
      <c r="LA40" s="709"/>
      <c r="LB40" s="13">
        <v>13</v>
      </c>
      <c r="LC40" s="19"/>
      <c r="LD40" s="23"/>
      <c r="LE40" s="23"/>
      <c r="LF40" s="30">
        <f t="shared" ref="LF40:LF71" si="52">SUM(LC40:LE40)</f>
        <v>0</v>
      </c>
      <c r="LG40" s="28">
        <f t="shared" ref="LG40:LG71" si="53">LF40*LB40</f>
        <v>0</v>
      </c>
      <c r="LI40" s="709" t="s">
        <v>21</v>
      </c>
      <c r="LJ40" s="709"/>
      <c r="LK40" s="709"/>
      <c r="LL40" s="709"/>
      <c r="LM40" s="709"/>
      <c r="LN40" s="709"/>
      <c r="LO40" s="13">
        <v>13</v>
      </c>
      <c r="LP40" s="19"/>
      <c r="LQ40" s="23"/>
      <c r="LR40" s="23"/>
      <c r="LS40" s="23"/>
      <c r="LT40" s="23">
        <v>1</v>
      </c>
      <c r="LU40" s="23"/>
      <c r="LV40" s="23"/>
      <c r="LW40" s="23"/>
      <c r="LX40" s="23"/>
      <c r="LY40" s="23">
        <v>1</v>
      </c>
      <c r="LZ40" s="23"/>
      <c r="MA40" s="23"/>
      <c r="MB40" s="23">
        <v>5</v>
      </c>
      <c r="MC40" s="23"/>
      <c r="MD40" s="23"/>
      <c r="ME40" s="30">
        <f t="shared" si="35"/>
        <v>7</v>
      </c>
      <c r="MF40" s="28">
        <f t="shared" si="8"/>
        <v>91</v>
      </c>
      <c r="MH40" s="709" t="s">
        <v>21</v>
      </c>
      <c r="MI40" s="709"/>
      <c r="MJ40" s="709"/>
      <c r="MK40" s="709"/>
      <c r="ML40" s="709"/>
      <c r="MM40" s="709"/>
      <c r="MN40" s="13">
        <v>13</v>
      </c>
      <c r="MO40" s="19"/>
      <c r="MP40" s="23"/>
      <c r="MQ40" s="23"/>
      <c r="MR40" s="23"/>
      <c r="MS40" s="23"/>
      <c r="MT40" s="23"/>
      <c r="MU40" s="23"/>
      <c r="MV40" s="23"/>
      <c r="MW40" s="23"/>
      <c r="MX40" s="23"/>
      <c r="MY40" s="23"/>
      <c r="MZ40" s="23"/>
      <c r="NA40" s="23"/>
      <c r="NB40" s="23"/>
      <c r="NC40" s="23"/>
      <c r="ND40" s="30">
        <f t="shared" si="36"/>
        <v>0</v>
      </c>
      <c r="NE40" s="28">
        <f t="shared" si="37"/>
        <v>0</v>
      </c>
      <c r="NG40" s="709" t="s">
        <v>21</v>
      </c>
      <c r="NH40" s="709"/>
      <c r="NI40" s="709"/>
      <c r="NJ40" s="709"/>
      <c r="NK40" s="709"/>
      <c r="NL40" s="709"/>
      <c r="NM40" s="13">
        <v>11</v>
      </c>
      <c r="NN40" s="23"/>
      <c r="NO40" s="23"/>
      <c r="NP40" s="23"/>
      <c r="NQ40" s="23"/>
      <c r="NR40" s="23"/>
      <c r="NS40" s="23"/>
      <c r="NT40" s="23">
        <v>2</v>
      </c>
      <c r="NU40" s="23"/>
      <c r="NV40" s="23"/>
      <c r="NW40" s="23"/>
      <c r="NX40" s="23"/>
      <c r="NY40" s="23"/>
      <c r="NZ40" s="23"/>
      <c r="OA40" s="23"/>
      <c r="OB40" s="23"/>
      <c r="OC40" s="30">
        <f t="shared" si="38"/>
        <v>2</v>
      </c>
      <c r="OD40" s="28">
        <f t="shared" si="39"/>
        <v>22</v>
      </c>
    </row>
    <row r="41" spans="1:394" ht="14.45" customHeight="1" x14ac:dyDescent="0.25">
      <c r="A41" s="47"/>
      <c r="B41" s="12"/>
      <c r="C41" s="709" t="s">
        <v>22</v>
      </c>
      <c r="D41" s="709"/>
      <c r="E41" s="709"/>
      <c r="F41" s="709"/>
      <c r="G41" s="709"/>
      <c r="H41" s="709"/>
      <c r="I41" s="13">
        <v>11</v>
      </c>
      <c r="J41" s="13">
        <v>4</v>
      </c>
      <c r="K41" s="19"/>
      <c r="L41" s="19"/>
      <c r="M41" s="19">
        <f t="shared" si="40"/>
        <v>4</v>
      </c>
      <c r="N41" s="19">
        <f t="shared" si="9"/>
        <v>44</v>
      </c>
      <c r="O41" s="12"/>
      <c r="P41" s="709" t="s">
        <v>22</v>
      </c>
      <c r="Q41" s="709"/>
      <c r="R41" s="709"/>
      <c r="S41" s="709"/>
      <c r="T41" s="709"/>
      <c r="U41" s="709"/>
      <c r="V41" s="13"/>
      <c r="W41" s="19"/>
      <c r="X41" s="19"/>
      <c r="Y41" s="23">
        <f t="shared" si="10"/>
        <v>0</v>
      </c>
      <c r="Z41" s="19">
        <f t="shared" si="11"/>
        <v>0</v>
      </c>
      <c r="AA41" s="34"/>
      <c r="AB41" s="34"/>
      <c r="AC41" s="34"/>
      <c r="AD41" s="34"/>
      <c r="AE41" s="34"/>
      <c r="AF41" s="34"/>
      <c r="AG41" s="6"/>
      <c r="AH41" s="709" t="s">
        <v>22</v>
      </c>
      <c r="AI41" s="709"/>
      <c r="AJ41" s="709"/>
      <c r="AK41" s="709"/>
      <c r="AL41" s="709"/>
      <c r="AM41" s="709"/>
      <c r="AN41" s="13"/>
      <c r="AO41" s="19"/>
      <c r="AP41" s="23">
        <f t="shared" si="12"/>
        <v>0</v>
      </c>
      <c r="AQ41" s="19">
        <f t="shared" si="13"/>
        <v>0</v>
      </c>
      <c r="AS41" s="677" t="s">
        <v>22</v>
      </c>
      <c r="AT41" s="677"/>
      <c r="AU41" s="677"/>
      <c r="AV41" s="677"/>
      <c r="AW41" s="677"/>
      <c r="AX41" s="677"/>
      <c r="AY41" s="28"/>
      <c r="AZ41" s="28"/>
      <c r="BA41" s="28"/>
      <c r="BB41" s="28"/>
      <c r="BC41" s="28"/>
      <c r="BD41" s="30">
        <f t="shared" si="14"/>
        <v>0</v>
      </c>
      <c r="BE41" s="28">
        <f t="shared" si="15"/>
        <v>0</v>
      </c>
      <c r="BF41" s="14"/>
      <c r="BG41" s="677" t="s">
        <v>22</v>
      </c>
      <c r="BH41" s="677"/>
      <c r="BI41" s="677"/>
      <c r="BJ41" s="677"/>
      <c r="BK41" s="677"/>
      <c r="BL41" s="677"/>
      <c r="BM41" s="28"/>
      <c r="BN41" s="28"/>
      <c r="BO41" s="28"/>
      <c r="BP41" s="30">
        <f t="shared" si="16"/>
        <v>0</v>
      </c>
      <c r="BQ41" s="28">
        <f t="shared" si="17"/>
        <v>0</v>
      </c>
      <c r="BR41" s="14"/>
      <c r="BS41" s="677" t="s">
        <v>22</v>
      </c>
      <c r="BT41" s="677"/>
      <c r="BU41" s="677"/>
      <c r="BV41" s="677"/>
      <c r="BW41" s="677"/>
      <c r="BX41" s="677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30">
        <f t="shared" si="18"/>
        <v>0</v>
      </c>
      <c r="CJ41" s="28">
        <f t="shared" si="19"/>
        <v>0</v>
      </c>
      <c r="CK41" s="14"/>
      <c r="CL41" s="677" t="s">
        <v>22</v>
      </c>
      <c r="CM41" s="677"/>
      <c r="CN41" s="677"/>
      <c r="CO41" s="677"/>
      <c r="CP41" s="677"/>
      <c r="CQ41" s="677"/>
      <c r="CR41" s="28"/>
      <c r="CS41" s="28"/>
      <c r="CT41" s="28"/>
      <c r="CU41" s="28"/>
      <c r="CV41" s="28"/>
      <c r="CW41" s="28"/>
      <c r="CX41" s="28"/>
      <c r="CY41" s="28"/>
      <c r="CZ41" s="28"/>
      <c r="DA41" s="30">
        <f t="shared" si="20"/>
        <v>0</v>
      </c>
      <c r="DB41" s="28">
        <f t="shared" si="21"/>
        <v>0</v>
      </c>
      <c r="DC41" s="14"/>
      <c r="DD41" s="677" t="s">
        <v>22</v>
      </c>
      <c r="DE41" s="677"/>
      <c r="DF41" s="677"/>
      <c r="DG41" s="677"/>
      <c r="DH41" s="677"/>
      <c r="DI41" s="677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30">
        <f t="shared" si="22"/>
        <v>0</v>
      </c>
      <c r="DV41" s="28">
        <f t="shared" si="23"/>
        <v>0</v>
      </c>
      <c r="DX41" s="677" t="s">
        <v>22</v>
      </c>
      <c r="DY41" s="677"/>
      <c r="DZ41" s="677"/>
      <c r="EA41" s="677"/>
      <c r="EB41" s="677"/>
      <c r="EC41" s="677"/>
      <c r="ED41" s="28"/>
      <c r="EE41" s="28"/>
      <c r="EF41" s="28"/>
      <c r="EG41" s="28"/>
      <c r="EH41" s="28"/>
      <c r="EI41" s="28"/>
      <c r="EJ41" s="28"/>
      <c r="EK41" s="28"/>
      <c r="EL41" s="28"/>
      <c r="EM41" s="30"/>
      <c r="EN41" s="30"/>
      <c r="EO41" s="30">
        <f t="shared" si="24"/>
        <v>0</v>
      </c>
      <c r="EP41" s="28">
        <f t="shared" si="25"/>
        <v>0</v>
      </c>
      <c r="EQ41" t="str">
        <f t="shared" si="26"/>
        <v>IGUAL</v>
      </c>
      <c r="ER41" s="677" t="s">
        <v>22</v>
      </c>
      <c r="ES41" s="677"/>
      <c r="ET41" s="677"/>
      <c r="EU41" s="677"/>
      <c r="EV41" s="677"/>
      <c r="EW41" s="677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30"/>
      <c r="FJ41" s="30"/>
      <c r="FK41" s="30"/>
      <c r="FL41" s="30"/>
      <c r="FM41" s="30"/>
      <c r="FN41" s="30"/>
      <c r="FO41" s="30"/>
      <c r="FP41" s="30"/>
      <c r="FQ41" s="30"/>
      <c r="FR41" s="30"/>
      <c r="FS41" s="30"/>
      <c r="FT41" s="30">
        <f t="shared" si="27"/>
        <v>0</v>
      </c>
      <c r="FU41" s="28">
        <f t="shared" si="28"/>
        <v>0</v>
      </c>
      <c r="FW41" s="677" t="s">
        <v>22</v>
      </c>
      <c r="FX41" s="677"/>
      <c r="FY41" s="677"/>
      <c r="FZ41" s="677"/>
      <c r="GA41" s="677"/>
      <c r="GB41" s="677"/>
      <c r="GC41" s="28"/>
      <c r="GD41" s="30"/>
      <c r="GE41" s="28"/>
      <c r="GF41" s="28"/>
      <c r="GG41" s="28"/>
      <c r="GH41" s="28"/>
      <c r="GI41" s="28"/>
      <c r="GJ41" s="28"/>
      <c r="GK41" s="28"/>
      <c r="GL41" s="28"/>
      <c r="GM41" s="28"/>
      <c r="GN41" s="30"/>
      <c r="GO41" s="30"/>
      <c r="GP41" s="30"/>
      <c r="GQ41" s="30">
        <f t="shared" si="29"/>
        <v>0</v>
      </c>
      <c r="GR41" s="28">
        <f t="shared" si="30"/>
        <v>0</v>
      </c>
      <c r="GT41" s="677" t="s">
        <v>22</v>
      </c>
      <c r="GU41" s="677"/>
      <c r="GV41" s="677"/>
      <c r="GW41" s="677"/>
      <c r="GX41" s="677"/>
      <c r="GY41" s="677"/>
      <c r="GZ41" s="28"/>
      <c r="HA41" s="28"/>
      <c r="HB41" s="28"/>
      <c r="HC41" s="28"/>
      <c r="HD41" s="28"/>
      <c r="HE41" s="28"/>
      <c r="HF41" s="28"/>
      <c r="HG41" s="28"/>
      <c r="HH41" s="28"/>
      <c r="HI41" s="28"/>
      <c r="HJ41" s="30"/>
      <c r="HK41" s="30"/>
      <c r="HL41" s="30">
        <f t="shared" si="43"/>
        <v>0</v>
      </c>
      <c r="HM41" s="28">
        <f t="shared" si="32"/>
        <v>0</v>
      </c>
      <c r="HO41" s="677" t="s">
        <v>22</v>
      </c>
      <c r="HP41" s="677"/>
      <c r="HQ41" s="677"/>
      <c r="HR41" s="677"/>
      <c r="HS41" s="677"/>
      <c r="HT41" s="677"/>
      <c r="HU41" s="28"/>
      <c r="HV41" s="28"/>
      <c r="HW41" s="30">
        <f t="shared" si="44"/>
        <v>0</v>
      </c>
      <c r="HX41" s="28">
        <f t="shared" si="45"/>
        <v>0</v>
      </c>
      <c r="HZ41" s="677" t="s">
        <v>22</v>
      </c>
      <c r="IA41" s="677"/>
      <c r="IB41" s="677"/>
      <c r="IC41" s="677"/>
      <c r="ID41" s="677"/>
      <c r="IE41" s="677"/>
      <c r="IF41" s="28">
        <v>11.5</v>
      </c>
      <c r="IG41" s="28"/>
      <c r="IH41" s="30"/>
      <c r="II41" s="30"/>
      <c r="IJ41" s="30">
        <v>6</v>
      </c>
      <c r="IK41" s="30"/>
      <c r="IL41" s="30"/>
      <c r="IM41" s="30">
        <f t="shared" si="41"/>
        <v>6</v>
      </c>
      <c r="IN41" s="28">
        <f t="shared" si="46"/>
        <v>69</v>
      </c>
      <c r="IP41" s="677" t="s">
        <v>22</v>
      </c>
      <c r="IQ41" s="677"/>
      <c r="IR41" s="677"/>
      <c r="IS41" s="677"/>
      <c r="IT41" s="677"/>
      <c r="IU41" s="677"/>
      <c r="IV41" s="28">
        <v>11.5</v>
      </c>
      <c r="IW41" s="28"/>
      <c r="IX41" s="30"/>
      <c r="IY41" s="30">
        <f t="shared" si="47"/>
        <v>0</v>
      </c>
      <c r="IZ41" s="28">
        <f t="shared" si="48"/>
        <v>0</v>
      </c>
      <c r="JB41" s="677" t="s">
        <v>22</v>
      </c>
      <c r="JC41" s="677"/>
      <c r="JD41" s="677"/>
      <c r="JE41" s="677"/>
      <c r="JF41" s="677"/>
      <c r="JG41" s="677"/>
      <c r="JH41" s="28">
        <v>11.5</v>
      </c>
      <c r="JI41" s="28"/>
      <c r="JJ41" s="30"/>
      <c r="JK41" s="30"/>
      <c r="JL41" s="30"/>
      <c r="JM41" s="30"/>
      <c r="JN41" s="30"/>
      <c r="JO41" s="30"/>
      <c r="JP41" s="30"/>
      <c r="JQ41" s="30"/>
      <c r="JR41" s="30"/>
      <c r="JS41" s="30"/>
      <c r="JT41" s="30"/>
      <c r="JU41" s="30"/>
      <c r="JV41" s="30"/>
      <c r="JW41" s="30"/>
      <c r="JX41" s="30"/>
      <c r="JY41" s="30"/>
      <c r="JZ41" s="30"/>
      <c r="KA41" s="30"/>
      <c r="KB41" s="30"/>
      <c r="KC41" s="30"/>
      <c r="KD41" s="30"/>
      <c r="KE41" s="30">
        <f t="shared" si="34"/>
        <v>0</v>
      </c>
      <c r="KF41" s="28">
        <f t="shared" si="49"/>
        <v>0</v>
      </c>
      <c r="KH41" s="677" t="s">
        <v>22</v>
      </c>
      <c r="KI41" s="677"/>
      <c r="KJ41" s="677"/>
      <c r="KK41" s="677"/>
      <c r="KL41" s="677"/>
      <c r="KM41" s="677"/>
      <c r="KN41" s="28">
        <v>11.5</v>
      </c>
      <c r="KO41" s="28"/>
      <c r="KP41" s="30"/>
      <c r="KQ41" s="30"/>
      <c r="KR41" s="30"/>
      <c r="KS41" s="30">
        <f t="shared" si="50"/>
        <v>0</v>
      </c>
      <c r="KT41" s="28">
        <f t="shared" si="51"/>
        <v>0</v>
      </c>
      <c r="KV41" s="677" t="s">
        <v>22</v>
      </c>
      <c r="KW41" s="677"/>
      <c r="KX41" s="677"/>
      <c r="KY41" s="677"/>
      <c r="KZ41" s="677"/>
      <c r="LA41" s="677"/>
      <c r="LB41" s="28">
        <v>11.5</v>
      </c>
      <c r="LC41" s="28"/>
      <c r="LD41" s="30"/>
      <c r="LE41" s="30"/>
      <c r="LF41" s="30">
        <f t="shared" si="52"/>
        <v>0</v>
      </c>
      <c r="LG41" s="28">
        <f t="shared" si="53"/>
        <v>0</v>
      </c>
      <c r="LI41" s="677" t="s">
        <v>22</v>
      </c>
      <c r="LJ41" s="677"/>
      <c r="LK41" s="677"/>
      <c r="LL41" s="677"/>
      <c r="LM41" s="677"/>
      <c r="LN41" s="677"/>
      <c r="LO41" s="28">
        <v>11.5</v>
      </c>
      <c r="LP41" s="28"/>
      <c r="LQ41" s="30"/>
      <c r="LR41" s="30"/>
      <c r="LS41" s="30"/>
      <c r="LT41" s="30"/>
      <c r="LU41" s="30"/>
      <c r="LV41" s="30"/>
      <c r="LW41" s="30"/>
      <c r="LX41" s="30"/>
      <c r="LY41" s="30"/>
      <c r="LZ41" s="30"/>
      <c r="MA41" s="30"/>
      <c r="MB41" s="30">
        <v>2</v>
      </c>
      <c r="MC41" s="30"/>
      <c r="MD41" s="30">
        <v>1</v>
      </c>
      <c r="ME41" s="30">
        <f t="shared" si="35"/>
        <v>3</v>
      </c>
      <c r="MF41" s="28">
        <f t="shared" si="8"/>
        <v>34.5</v>
      </c>
      <c r="MH41" s="677" t="s">
        <v>22</v>
      </c>
      <c r="MI41" s="677"/>
      <c r="MJ41" s="677"/>
      <c r="MK41" s="677"/>
      <c r="ML41" s="677"/>
      <c r="MM41" s="677"/>
      <c r="MN41" s="28">
        <v>11</v>
      </c>
      <c r="MO41" s="28"/>
      <c r="MP41" s="30"/>
      <c r="MQ41" s="30"/>
      <c r="MR41" s="30"/>
      <c r="MS41" s="30"/>
      <c r="MT41" s="30"/>
      <c r="MU41" s="30"/>
      <c r="MV41" s="30"/>
      <c r="MW41" s="30">
        <v>1</v>
      </c>
      <c r="MX41" s="30"/>
      <c r="MY41" s="30"/>
      <c r="MZ41" s="30">
        <v>1</v>
      </c>
      <c r="NA41" s="30">
        <v>1</v>
      </c>
      <c r="NB41" s="30"/>
      <c r="NC41" s="30">
        <v>1</v>
      </c>
      <c r="ND41" s="30">
        <f t="shared" si="36"/>
        <v>4</v>
      </c>
      <c r="NE41" s="28">
        <f t="shared" si="37"/>
        <v>44</v>
      </c>
      <c r="NG41" s="677" t="s">
        <v>22</v>
      </c>
      <c r="NH41" s="677"/>
      <c r="NI41" s="677"/>
      <c r="NJ41" s="677"/>
      <c r="NK41" s="677"/>
      <c r="NL41" s="677"/>
      <c r="NM41" s="28">
        <v>11</v>
      </c>
      <c r="NN41" s="30"/>
      <c r="NO41" s="30">
        <v>1</v>
      </c>
      <c r="NP41" s="30"/>
      <c r="NQ41" s="30"/>
      <c r="NR41" s="30"/>
      <c r="NS41" s="30"/>
      <c r="NT41" s="30"/>
      <c r="NU41" s="30"/>
      <c r="NV41" s="30"/>
      <c r="NW41" s="30"/>
      <c r="NX41" s="30"/>
      <c r="NY41" s="30"/>
      <c r="NZ41" s="30"/>
      <c r="OA41" s="30"/>
      <c r="OB41" s="30"/>
      <c r="OC41" s="30">
        <f t="shared" si="38"/>
        <v>1</v>
      </c>
      <c r="OD41" s="28">
        <f t="shared" si="39"/>
        <v>11</v>
      </c>
    </row>
    <row r="42" spans="1:394" ht="14.45" customHeight="1" x14ac:dyDescent="0.25">
      <c r="A42" s="47"/>
      <c r="B42" s="12"/>
      <c r="C42" s="709" t="s">
        <v>23</v>
      </c>
      <c r="D42" s="709"/>
      <c r="E42" s="709"/>
      <c r="F42" s="709"/>
      <c r="G42" s="709"/>
      <c r="H42" s="709"/>
      <c r="I42" s="13"/>
      <c r="J42" s="13"/>
      <c r="K42" s="19"/>
      <c r="L42" s="19"/>
      <c r="M42" s="19">
        <f t="shared" si="40"/>
        <v>0</v>
      </c>
      <c r="N42" s="19">
        <f t="shared" si="9"/>
        <v>0</v>
      </c>
      <c r="O42" s="12"/>
      <c r="P42" s="709" t="s">
        <v>23</v>
      </c>
      <c r="Q42" s="709"/>
      <c r="R42" s="709"/>
      <c r="S42" s="709"/>
      <c r="T42" s="709"/>
      <c r="U42" s="709"/>
      <c r="V42" s="13"/>
      <c r="W42" s="19"/>
      <c r="X42" s="19"/>
      <c r="Y42" s="23">
        <f t="shared" si="10"/>
        <v>0</v>
      </c>
      <c r="Z42" s="19">
        <f t="shared" si="11"/>
        <v>0</v>
      </c>
      <c r="AA42" s="34"/>
      <c r="AB42" s="34"/>
      <c r="AC42" s="34"/>
      <c r="AD42" s="34"/>
      <c r="AE42" s="34"/>
      <c r="AF42" s="34"/>
      <c r="AG42" s="6"/>
      <c r="AH42" s="709" t="s">
        <v>23</v>
      </c>
      <c r="AI42" s="709"/>
      <c r="AJ42" s="709"/>
      <c r="AK42" s="709"/>
      <c r="AL42" s="709"/>
      <c r="AM42" s="709"/>
      <c r="AN42" s="13"/>
      <c r="AO42" s="19"/>
      <c r="AP42" s="23">
        <f t="shared" si="12"/>
        <v>0</v>
      </c>
      <c r="AQ42" s="19">
        <f t="shared" si="13"/>
        <v>0</v>
      </c>
      <c r="AS42" s="709" t="s">
        <v>23</v>
      </c>
      <c r="AT42" s="709"/>
      <c r="AU42" s="709"/>
      <c r="AV42" s="709"/>
      <c r="AW42" s="709"/>
      <c r="AX42" s="709"/>
      <c r="AY42" s="13"/>
      <c r="AZ42" s="19"/>
      <c r="BA42" s="19"/>
      <c r="BB42" s="19"/>
      <c r="BC42" s="19"/>
      <c r="BD42" s="30">
        <f t="shared" si="14"/>
        <v>0</v>
      </c>
      <c r="BE42" s="28">
        <f t="shared" si="15"/>
        <v>0</v>
      </c>
      <c r="BF42" s="14"/>
      <c r="BG42" s="709" t="s">
        <v>23</v>
      </c>
      <c r="BH42" s="709"/>
      <c r="BI42" s="709"/>
      <c r="BJ42" s="709"/>
      <c r="BK42" s="709"/>
      <c r="BL42" s="709"/>
      <c r="BM42" s="13"/>
      <c r="BN42" s="19"/>
      <c r="BO42" s="19"/>
      <c r="BP42" s="30">
        <f t="shared" si="16"/>
        <v>0</v>
      </c>
      <c r="BQ42" s="28">
        <f t="shared" si="17"/>
        <v>0</v>
      </c>
      <c r="BR42" s="14"/>
      <c r="BS42" s="709" t="s">
        <v>23</v>
      </c>
      <c r="BT42" s="709"/>
      <c r="BU42" s="709"/>
      <c r="BV42" s="709"/>
      <c r="BW42" s="709"/>
      <c r="BX42" s="709"/>
      <c r="BY42" s="13"/>
      <c r="BZ42" s="19"/>
      <c r="CA42" s="19"/>
      <c r="CB42" s="19"/>
      <c r="CC42" s="19"/>
      <c r="CD42" s="19"/>
      <c r="CE42" s="19"/>
      <c r="CF42" s="19"/>
      <c r="CG42" s="19"/>
      <c r="CH42" s="19"/>
      <c r="CI42" s="30">
        <f t="shared" si="18"/>
        <v>0</v>
      </c>
      <c r="CJ42" s="28">
        <f t="shared" si="19"/>
        <v>0</v>
      </c>
      <c r="CK42" s="14"/>
      <c r="CL42" s="709" t="s">
        <v>23</v>
      </c>
      <c r="CM42" s="709"/>
      <c r="CN42" s="709"/>
      <c r="CO42" s="709"/>
      <c r="CP42" s="709"/>
      <c r="CQ42" s="709"/>
      <c r="CR42" s="13"/>
      <c r="CS42" s="19"/>
      <c r="CT42" s="19"/>
      <c r="CU42" s="19"/>
      <c r="CV42" s="19"/>
      <c r="CW42" s="19"/>
      <c r="CX42" s="19"/>
      <c r="CY42" s="19"/>
      <c r="CZ42" s="19"/>
      <c r="DA42" s="30">
        <f t="shared" si="20"/>
        <v>0</v>
      </c>
      <c r="DB42" s="28">
        <f t="shared" si="21"/>
        <v>0</v>
      </c>
      <c r="DC42" s="14"/>
      <c r="DD42" s="709" t="s">
        <v>23</v>
      </c>
      <c r="DE42" s="709"/>
      <c r="DF42" s="709"/>
      <c r="DG42" s="709"/>
      <c r="DH42" s="709"/>
      <c r="DI42" s="709"/>
      <c r="DJ42" s="13"/>
      <c r="DK42" s="19"/>
      <c r="DL42" s="19"/>
      <c r="DM42" s="19"/>
      <c r="DN42" s="19"/>
      <c r="DO42" s="19"/>
      <c r="DP42" s="19"/>
      <c r="DQ42" s="19"/>
      <c r="DR42" s="19"/>
      <c r="DS42" s="19"/>
      <c r="DT42" s="19"/>
      <c r="DU42" s="30">
        <f t="shared" si="22"/>
        <v>0</v>
      </c>
      <c r="DV42" s="28">
        <f t="shared" si="23"/>
        <v>0</v>
      </c>
      <c r="DX42" s="709" t="s">
        <v>23</v>
      </c>
      <c r="DY42" s="709"/>
      <c r="DZ42" s="709"/>
      <c r="EA42" s="709"/>
      <c r="EB42" s="709"/>
      <c r="EC42" s="709"/>
      <c r="ED42" s="13"/>
      <c r="EE42" s="19"/>
      <c r="EF42" s="19"/>
      <c r="EG42" s="19"/>
      <c r="EH42" s="19"/>
      <c r="EI42" s="19"/>
      <c r="EJ42" s="19"/>
      <c r="EK42" s="19"/>
      <c r="EL42" s="19"/>
      <c r="EM42" s="23"/>
      <c r="EN42" s="23"/>
      <c r="EO42" s="30">
        <f t="shared" si="24"/>
        <v>0</v>
      </c>
      <c r="EP42" s="28">
        <f t="shared" si="25"/>
        <v>0</v>
      </c>
      <c r="EQ42" t="str">
        <f t="shared" si="26"/>
        <v>IGUAL</v>
      </c>
      <c r="ER42" s="709" t="s">
        <v>23</v>
      </c>
      <c r="ES42" s="709"/>
      <c r="ET42" s="709"/>
      <c r="EU42" s="709"/>
      <c r="EV42" s="709"/>
      <c r="EW42" s="709"/>
      <c r="EX42" s="13"/>
      <c r="EY42" s="19"/>
      <c r="EZ42" s="19"/>
      <c r="FA42" s="19"/>
      <c r="FB42" s="19"/>
      <c r="FC42" s="19"/>
      <c r="FD42" s="19"/>
      <c r="FE42" s="19"/>
      <c r="FF42" s="19"/>
      <c r="FG42" s="19"/>
      <c r="FH42" s="19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30">
        <f t="shared" si="27"/>
        <v>0</v>
      </c>
      <c r="FU42" s="28">
        <f t="shared" si="28"/>
        <v>0</v>
      </c>
      <c r="FW42" s="709" t="s">
        <v>23</v>
      </c>
      <c r="FX42" s="709"/>
      <c r="FY42" s="709"/>
      <c r="FZ42" s="709"/>
      <c r="GA42" s="709"/>
      <c r="GB42" s="709"/>
      <c r="GC42" s="13"/>
      <c r="GD42" s="23"/>
      <c r="GE42" s="19"/>
      <c r="GF42" s="19"/>
      <c r="GG42" s="19"/>
      <c r="GH42" s="19"/>
      <c r="GI42" s="19"/>
      <c r="GJ42" s="19"/>
      <c r="GK42" s="19"/>
      <c r="GL42" s="19"/>
      <c r="GM42" s="19"/>
      <c r="GN42" s="23"/>
      <c r="GO42" s="23"/>
      <c r="GP42" s="23"/>
      <c r="GQ42" s="30">
        <f t="shared" si="29"/>
        <v>0</v>
      </c>
      <c r="GR42" s="28">
        <f t="shared" si="30"/>
        <v>0</v>
      </c>
      <c r="GT42" s="709" t="s">
        <v>23</v>
      </c>
      <c r="GU42" s="709"/>
      <c r="GV42" s="709"/>
      <c r="GW42" s="709"/>
      <c r="GX42" s="709"/>
      <c r="GY42" s="709"/>
      <c r="GZ42" s="13"/>
      <c r="HA42" s="19"/>
      <c r="HB42" s="19"/>
      <c r="HC42" s="19"/>
      <c r="HD42" s="19"/>
      <c r="HE42" s="19"/>
      <c r="HF42" s="19"/>
      <c r="HG42" s="19"/>
      <c r="HH42" s="19"/>
      <c r="HI42" s="19"/>
      <c r="HJ42" s="23"/>
      <c r="HK42" s="23"/>
      <c r="HL42" s="30">
        <f t="shared" si="43"/>
        <v>0</v>
      </c>
      <c r="HM42" s="28">
        <f t="shared" si="32"/>
        <v>0</v>
      </c>
      <c r="HO42" s="709" t="s">
        <v>23</v>
      </c>
      <c r="HP42" s="709"/>
      <c r="HQ42" s="709"/>
      <c r="HR42" s="709"/>
      <c r="HS42" s="709"/>
      <c r="HT42" s="709"/>
      <c r="HU42" s="13"/>
      <c r="HV42" s="19"/>
      <c r="HW42" s="30">
        <f t="shared" si="44"/>
        <v>0</v>
      </c>
      <c r="HX42" s="28">
        <f t="shared" si="45"/>
        <v>0</v>
      </c>
      <c r="HZ42" s="709" t="s">
        <v>23</v>
      </c>
      <c r="IA42" s="709"/>
      <c r="IB42" s="709"/>
      <c r="IC42" s="709"/>
      <c r="ID42" s="709"/>
      <c r="IE42" s="709"/>
      <c r="IF42" s="13">
        <v>4</v>
      </c>
      <c r="IG42" s="19"/>
      <c r="IH42" s="23"/>
      <c r="II42" s="23"/>
      <c r="IJ42" s="23">
        <v>10</v>
      </c>
      <c r="IK42" s="23"/>
      <c r="IL42" s="23">
        <v>1</v>
      </c>
      <c r="IM42" s="30">
        <f t="shared" si="41"/>
        <v>11</v>
      </c>
      <c r="IN42" s="28">
        <f t="shared" si="46"/>
        <v>44</v>
      </c>
      <c r="IP42" s="709" t="s">
        <v>23</v>
      </c>
      <c r="IQ42" s="709"/>
      <c r="IR42" s="709"/>
      <c r="IS42" s="709"/>
      <c r="IT42" s="709"/>
      <c r="IU42" s="709"/>
      <c r="IV42" s="13">
        <v>4</v>
      </c>
      <c r="IW42" s="19"/>
      <c r="IX42" s="23"/>
      <c r="IY42" s="30">
        <f t="shared" si="47"/>
        <v>0</v>
      </c>
      <c r="IZ42" s="28">
        <f t="shared" si="48"/>
        <v>0</v>
      </c>
      <c r="JB42" s="709" t="s">
        <v>23</v>
      </c>
      <c r="JC42" s="709"/>
      <c r="JD42" s="709"/>
      <c r="JE42" s="709"/>
      <c r="JF42" s="709"/>
      <c r="JG42" s="709"/>
      <c r="JH42" s="13">
        <v>4</v>
      </c>
      <c r="JI42" s="19"/>
      <c r="JJ42" s="23"/>
      <c r="JK42" s="23"/>
      <c r="JL42" s="23"/>
      <c r="JM42" s="23"/>
      <c r="JN42" s="23"/>
      <c r="JO42" s="23"/>
      <c r="JP42" s="23"/>
      <c r="JQ42" s="23"/>
      <c r="JR42" s="23"/>
      <c r="JS42" s="23"/>
      <c r="JT42" s="23"/>
      <c r="JU42" s="23"/>
      <c r="JV42" s="23"/>
      <c r="JW42" s="23"/>
      <c r="JX42" s="23"/>
      <c r="JY42" s="23"/>
      <c r="JZ42" s="23"/>
      <c r="KA42" s="23"/>
      <c r="KB42" s="23"/>
      <c r="KC42" s="23"/>
      <c r="KD42" s="23"/>
      <c r="KE42" s="30">
        <f t="shared" si="34"/>
        <v>0</v>
      </c>
      <c r="KF42" s="28">
        <f t="shared" si="49"/>
        <v>0</v>
      </c>
      <c r="KH42" s="709" t="s">
        <v>23</v>
      </c>
      <c r="KI42" s="709"/>
      <c r="KJ42" s="709"/>
      <c r="KK42" s="709"/>
      <c r="KL42" s="709"/>
      <c r="KM42" s="709"/>
      <c r="KN42" s="13">
        <v>4</v>
      </c>
      <c r="KO42" s="19"/>
      <c r="KP42" s="23"/>
      <c r="KQ42" s="23"/>
      <c r="KR42" s="23"/>
      <c r="KS42" s="30">
        <f t="shared" si="50"/>
        <v>0</v>
      </c>
      <c r="KT42" s="28">
        <f t="shared" si="51"/>
        <v>0</v>
      </c>
      <c r="KV42" s="709" t="s">
        <v>23</v>
      </c>
      <c r="KW42" s="709"/>
      <c r="KX42" s="709"/>
      <c r="KY42" s="709"/>
      <c r="KZ42" s="709"/>
      <c r="LA42" s="709"/>
      <c r="LB42" s="13">
        <v>4</v>
      </c>
      <c r="LC42" s="19"/>
      <c r="LD42" s="23"/>
      <c r="LE42" s="23"/>
      <c r="LF42" s="30">
        <f t="shared" si="52"/>
        <v>0</v>
      </c>
      <c r="LG42" s="28">
        <f t="shared" si="53"/>
        <v>0</v>
      </c>
      <c r="LI42" s="709" t="s">
        <v>23</v>
      </c>
      <c r="LJ42" s="709"/>
      <c r="LK42" s="709"/>
      <c r="LL42" s="709"/>
      <c r="LM42" s="709"/>
      <c r="LN42" s="709"/>
      <c r="LO42" s="13">
        <v>4</v>
      </c>
      <c r="LP42" s="19"/>
      <c r="LQ42" s="23"/>
      <c r="LR42" s="23"/>
      <c r="LS42" s="23"/>
      <c r="LT42" s="23"/>
      <c r="LU42" s="23"/>
      <c r="LV42" s="23"/>
      <c r="LW42" s="23"/>
      <c r="LX42" s="23"/>
      <c r="LY42" s="23"/>
      <c r="LZ42" s="23"/>
      <c r="MA42" s="23"/>
      <c r="MB42" s="23"/>
      <c r="MC42" s="23"/>
      <c r="MD42" s="23"/>
      <c r="ME42" s="30">
        <f t="shared" si="35"/>
        <v>0</v>
      </c>
      <c r="MF42" s="28">
        <f t="shared" si="8"/>
        <v>0</v>
      </c>
      <c r="MH42" s="709" t="s">
        <v>23</v>
      </c>
      <c r="MI42" s="709"/>
      <c r="MJ42" s="709"/>
      <c r="MK42" s="709"/>
      <c r="ML42" s="709"/>
      <c r="MM42" s="709"/>
      <c r="MN42" s="13">
        <v>4</v>
      </c>
      <c r="MO42" s="19"/>
      <c r="MP42" s="23"/>
      <c r="MQ42" s="23"/>
      <c r="MR42" s="23"/>
      <c r="MS42" s="23"/>
      <c r="MT42" s="23"/>
      <c r="MU42" s="23"/>
      <c r="MV42" s="23"/>
      <c r="MW42" s="23"/>
      <c r="MX42" s="23"/>
      <c r="MY42" s="23"/>
      <c r="MZ42" s="23"/>
      <c r="NA42" s="23"/>
      <c r="NB42" s="23"/>
      <c r="NC42" s="23"/>
      <c r="ND42" s="30">
        <f t="shared" si="36"/>
        <v>0</v>
      </c>
      <c r="NE42" s="28">
        <f t="shared" si="37"/>
        <v>0</v>
      </c>
      <c r="NG42" s="709" t="s">
        <v>23</v>
      </c>
      <c r="NH42" s="709"/>
      <c r="NI42" s="709"/>
      <c r="NJ42" s="709"/>
      <c r="NK42" s="709"/>
      <c r="NL42" s="709"/>
      <c r="NM42" s="13">
        <v>4</v>
      </c>
      <c r="NN42" s="23"/>
      <c r="NO42" s="23"/>
      <c r="NP42" s="23"/>
      <c r="NQ42" s="23"/>
      <c r="NR42" s="23"/>
      <c r="NS42" s="23"/>
      <c r="NT42" s="23"/>
      <c r="NU42" s="23"/>
      <c r="NV42" s="23"/>
      <c r="NW42" s="23"/>
      <c r="NX42" s="23"/>
      <c r="NY42" s="23"/>
      <c r="NZ42" s="23"/>
      <c r="OA42" s="23"/>
      <c r="OB42" s="23"/>
      <c r="OC42" s="30">
        <f t="shared" si="38"/>
        <v>0</v>
      </c>
      <c r="OD42" s="28">
        <f t="shared" si="39"/>
        <v>0</v>
      </c>
    </row>
    <row r="43" spans="1:394" ht="14.45" customHeight="1" x14ac:dyDescent="0.25">
      <c r="A43" s="47"/>
      <c r="B43" s="12"/>
      <c r="C43" s="709" t="s">
        <v>24</v>
      </c>
      <c r="D43" s="709"/>
      <c r="E43" s="709"/>
      <c r="F43" s="709"/>
      <c r="G43" s="709"/>
      <c r="H43" s="709"/>
      <c r="I43" s="13">
        <v>6</v>
      </c>
      <c r="J43" s="13">
        <v>1</v>
      </c>
      <c r="K43" s="19"/>
      <c r="L43" s="19"/>
      <c r="M43" s="19">
        <f t="shared" si="40"/>
        <v>1</v>
      </c>
      <c r="N43" s="19">
        <f t="shared" si="9"/>
        <v>6</v>
      </c>
      <c r="O43" s="12"/>
      <c r="P43" s="709" t="s">
        <v>24</v>
      </c>
      <c r="Q43" s="709"/>
      <c r="R43" s="709"/>
      <c r="S43" s="709"/>
      <c r="T43" s="709"/>
      <c r="U43" s="709"/>
      <c r="V43" s="13"/>
      <c r="W43" s="19"/>
      <c r="X43" s="19"/>
      <c r="Y43" s="23">
        <f t="shared" si="10"/>
        <v>0</v>
      </c>
      <c r="Z43" s="19">
        <f t="shared" si="11"/>
        <v>0</v>
      </c>
      <c r="AA43" s="34"/>
      <c r="AB43" s="34"/>
      <c r="AC43" s="34"/>
      <c r="AD43" s="34"/>
      <c r="AE43" s="34"/>
      <c r="AF43" s="34"/>
      <c r="AG43" s="6"/>
      <c r="AH43" s="709" t="s">
        <v>24</v>
      </c>
      <c r="AI43" s="709"/>
      <c r="AJ43" s="709"/>
      <c r="AK43" s="709"/>
      <c r="AL43" s="709"/>
      <c r="AM43" s="709"/>
      <c r="AN43" s="13"/>
      <c r="AO43" s="19"/>
      <c r="AP43" s="23">
        <f t="shared" si="12"/>
        <v>0</v>
      </c>
      <c r="AQ43" s="19">
        <f t="shared" si="13"/>
        <v>0</v>
      </c>
      <c r="AS43" s="677" t="s">
        <v>24</v>
      </c>
      <c r="AT43" s="677"/>
      <c r="AU43" s="677"/>
      <c r="AV43" s="677"/>
      <c r="AW43" s="677"/>
      <c r="AX43" s="677"/>
      <c r="AY43" s="28"/>
      <c r="AZ43" s="28"/>
      <c r="BA43" s="28"/>
      <c r="BB43" s="28"/>
      <c r="BC43" s="28"/>
      <c r="BD43" s="30">
        <f t="shared" si="14"/>
        <v>0</v>
      </c>
      <c r="BE43" s="28">
        <f t="shared" si="15"/>
        <v>0</v>
      </c>
      <c r="BF43" s="14"/>
      <c r="BG43" s="677" t="s">
        <v>24</v>
      </c>
      <c r="BH43" s="677"/>
      <c r="BI43" s="677"/>
      <c r="BJ43" s="677"/>
      <c r="BK43" s="677"/>
      <c r="BL43" s="677"/>
      <c r="BM43" s="28"/>
      <c r="BN43" s="28"/>
      <c r="BO43" s="28"/>
      <c r="BP43" s="30">
        <f t="shared" si="16"/>
        <v>0</v>
      </c>
      <c r="BQ43" s="28">
        <f t="shared" si="17"/>
        <v>0</v>
      </c>
      <c r="BR43" s="14"/>
      <c r="BS43" s="677" t="s">
        <v>24</v>
      </c>
      <c r="BT43" s="677"/>
      <c r="BU43" s="677"/>
      <c r="BV43" s="677"/>
      <c r="BW43" s="677"/>
      <c r="BX43" s="677"/>
      <c r="BY43" s="28">
        <v>8.5</v>
      </c>
      <c r="BZ43" s="28"/>
      <c r="CA43" s="28"/>
      <c r="CB43" s="28"/>
      <c r="CC43" s="28"/>
      <c r="CD43" s="28"/>
      <c r="CE43" s="28">
        <v>1</v>
      </c>
      <c r="CF43" s="28"/>
      <c r="CG43" s="28"/>
      <c r="CH43" s="28"/>
      <c r="CI43" s="30">
        <f t="shared" si="18"/>
        <v>1</v>
      </c>
      <c r="CJ43" s="28">
        <f t="shared" si="19"/>
        <v>8.5</v>
      </c>
      <c r="CK43" s="14"/>
      <c r="CL43" s="677" t="s">
        <v>24</v>
      </c>
      <c r="CM43" s="677"/>
      <c r="CN43" s="677"/>
      <c r="CO43" s="677"/>
      <c r="CP43" s="677"/>
      <c r="CQ43" s="677"/>
      <c r="CR43" s="28"/>
      <c r="CS43" s="28"/>
      <c r="CT43" s="28"/>
      <c r="CU43" s="28"/>
      <c r="CV43" s="28"/>
      <c r="CW43" s="28"/>
      <c r="CX43" s="28"/>
      <c r="CY43" s="28"/>
      <c r="CZ43" s="28"/>
      <c r="DA43" s="30">
        <f t="shared" si="20"/>
        <v>0</v>
      </c>
      <c r="DB43" s="28">
        <f t="shared" si="21"/>
        <v>0</v>
      </c>
      <c r="DC43" s="14"/>
      <c r="DD43" s="677" t="s">
        <v>24</v>
      </c>
      <c r="DE43" s="677"/>
      <c r="DF43" s="677"/>
      <c r="DG43" s="677"/>
      <c r="DH43" s="677"/>
      <c r="DI43" s="677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30">
        <f t="shared" si="22"/>
        <v>0</v>
      </c>
      <c r="DV43" s="28">
        <f t="shared" si="23"/>
        <v>0</v>
      </c>
      <c r="DX43" s="677" t="s">
        <v>24</v>
      </c>
      <c r="DY43" s="677"/>
      <c r="DZ43" s="677"/>
      <c r="EA43" s="677"/>
      <c r="EB43" s="677"/>
      <c r="EC43" s="677"/>
      <c r="ED43" s="28">
        <v>8.5</v>
      </c>
      <c r="EE43" s="28"/>
      <c r="EF43" s="28"/>
      <c r="EG43" s="28"/>
      <c r="EH43" s="28"/>
      <c r="EI43" s="28"/>
      <c r="EJ43" s="28"/>
      <c r="EK43" s="28"/>
      <c r="EL43" s="28"/>
      <c r="EM43" s="30"/>
      <c r="EN43" s="30"/>
      <c r="EO43" s="30">
        <f t="shared" si="24"/>
        <v>0</v>
      </c>
      <c r="EP43" s="28">
        <f t="shared" si="25"/>
        <v>0</v>
      </c>
      <c r="EQ43" t="str">
        <f t="shared" si="26"/>
        <v>IGUAL</v>
      </c>
      <c r="ER43" s="677" t="s">
        <v>24</v>
      </c>
      <c r="ES43" s="677"/>
      <c r="ET43" s="677"/>
      <c r="EU43" s="677"/>
      <c r="EV43" s="677"/>
      <c r="EW43" s="677"/>
      <c r="EX43" s="28">
        <v>8.5</v>
      </c>
      <c r="EY43" s="28"/>
      <c r="EZ43" s="28"/>
      <c r="FA43" s="28"/>
      <c r="FB43" s="28"/>
      <c r="FC43" s="28"/>
      <c r="FD43" s="28"/>
      <c r="FE43" s="28"/>
      <c r="FF43" s="28"/>
      <c r="FG43" s="28"/>
      <c r="FH43" s="28">
        <v>1</v>
      </c>
      <c r="FI43" s="30"/>
      <c r="FJ43" s="30"/>
      <c r="FK43" s="30"/>
      <c r="FL43" s="30"/>
      <c r="FM43" s="30"/>
      <c r="FN43" s="30"/>
      <c r="FO43" s="30"/>
      <c r="FP43" s="30"/>
      <c r="FQ43" s="30"/>
      <c r="FR43" s="30"/>
      <c r="FS43" s="30"/>
      <c r="FT43" s="30">
        <f t="shared" si="27"/>
        <v>1</v>
      </c>
      <c r="FU43" s="28">
        <f t="shared" si="28"/>
        <v>8.5</v>
      </c>
      <c r="FW43" s="677" t="s">
        <v>24</v>
      </c>
      <c r="FX43" s="677"/>
      <c r="FY43" s="677"/>
      <c r="FZ43" s="677"/>
      <c r="GA43" s="677"/>
      <c r="GB43" s="677"/>
      <c r="GC43" s="28">
        <v>8.5</v>
      </c>
      <c r="GD43" s="30"/>
      <c r="GE43" s="28"/>
      <c r="GF43" s="28"/>
      <c r="GG43" s="28"/>
      <c r="GH43" s="28"/>
      <c r="GI43" s="28"/>
      <c r="GJ43" s="28"/>
      <c r="GK43" s="28"/>
      <c r="GL43" s="28"/>
      <c r="GM43" s="28">
        <v>1</v>
      </c>
      <c r="GN43" s="30"/>
      <c r="GO43" s="30"/>
      <c r="GP43" s="30"/>
      <c r="GQ43" s="30">
        <f t="shared" si="29"/>
        <v>1</v>
      </c>
      <c r="GR43" s="28">
        <f t="shared" si="30"/>
        <v>8.5</v>
      </c>
      <c r="GT43" s="677" t="s">
        <v>24</v>
      </c>
      <c r="GU43" s="677"/>
      <c r="GV43" s="677"/>
      <c r="GW43" s="677"/>
      <c r="GX43" s="677"/>
      <c r="GY43" s="677"/>
      <c r="GZ43" s="28">
        <v>8.5</v>
      </c>
      <c r="HA43" s="28"/>
      <c r="HB43" s="28"/>
      <c r="HC43" s="28"/>
      <c r="HD43" s="28"/>
      <c r="HE43" s="28"/>
      <c r="HF43" s="28"/>
      <c r="HG43" s="28"/>
      <c r="HH43" s="28"/>
      <c r="HI43" s="28"/>
      <c r="HJ43" s="30"/>
      <c r="HK43" s="30"/>
      <c r="HL43" s="30">
        <f t="shared" si="43"/>
        <v>0</v>
      </c>
      <c r="HM43" s="28">
        <f t="shared" si="32"/>
        <v>0</v>
      </c>
      <c r="HO43" s="677" t="s">
        <v>24</v>
      </c>
      <c r="HP43" s="677"/>
      <c r="HQ43" s="677"/>
      <c r="HR43" s="677"/>
      <c r="HS43" s="677"/>
      <c r="HT43" s="677"/>
      <c r="HU43" s="28">
        <v>8.5</v>
      </c>
      <c r="HV43" s="28"/>
      <c r="HW43" s="30">
        <f t="shared" si="44"/>
        <v>0</v>
      </c>
      <c r="HX43" s="28">
        <f t="shared" si="45"/>
        <v>0</v>
      </c>
      <c r="HZ43" s="677" t="s">
        <v>24</v>
      </c>
      <c r="IA43" s="677"/>
      <c r="IB43" s="677"/>
      <c r="IC43" s="677"/>
      <c r="ID43" s="677"/>
      <c r="IE43" s="677"/>
      <c r="IF43" s="28">
        <v>8.5</v>
      </c>
      <c r="IG43" s="28"/>
      <c r="IH43" s="30"/>
      <c r="II43" s="30"/>
      <c r="IJ43" s="30">
        <v>2</v>
      </c>
      <c r="IK43" s="30"/>
      <c r="IL43" s="30"/>
      <c r="IM43" s="30">
        <f t="shared" si="41"/>
        <v>2</v>
      </c>
      <c r="IN43" s="28">
        <f t="shared" si="46"/>
        <v>17</v>
      </c>
      <c r="IP43" s="677" t="s">
        <v>24</v>
      </c>
      <c r="IQ43" s="677"/>
      <c r="IR43" s="677"/>
      <c r="IS43" s="677"/>
      <c r="IT43" s="677"/>
      <c r="IU43" s="677"/>
      <c r="IV43" s="28">
        <v>8.5</v>
      </c>
      <c r="IW43" s="28"/>
      <c r="IX43" s="30"/>
      <c r="IY43" s="30">
        <f t="shared" si="47"/>
        <v>0</v>
      </c>
      <c r="IZ43" s="28">
        <f t="shared" si="48"/>
        <v>0</v>
      </c>
      <c r="JB43" s="677" t="s">
        <v>24</v>
      </c>
      <c r="JC43" s="677"/>
      <c r="JD43" s="677"/>
      <c r="JE43" s="677"/>
      <c r="JF43" s="677"/>
      <c r="JG43" s="677"/>
      <c r="JH43" s="28">
        <v>8.5</v>
      </c>
      <c r="JI43" s="28"/>
      <c r="JJ43" s="30"/>
      <c r="JK43" s="30"/>
      <c r="JL43" s="30"/>
      <c r="JM43" s="30">
        <v>1</v>
      </c>
      <c r="JN43" s="30"/>
      <c r="JO43" s="30"/>
      <c r="JP43" s="30"/>
      <c r="JQ43" s="30"/>
      <c r="JR43" s="30"/>
      <c r="JS43" s="30"/>
      <c r="JT43" s="30"/>
      <c r="JU43" s="30"/>
      <c r="JV43" s="30"/>
      <c r="JW43" s="30"/>
      <c r="JX43" s="30"/>
      <c r="JY43" s="30"/>
      <c r="JZ43" s="30"/>
      <c r="KA43" s="30"/>
      <c r="KB43" s="30"/>
      <c r="KC43" s="30"/>
      <c r="KD43" s="30"/>
      <c r="KE43" s="30">
        <f t="shared" si="34"/>
        <v>1</v>
      </c>
      <c r="KF43" s="28">
        <f t="shared" si="49"/>
        <v>8.5</v>
      </c>
      <c r="KH43" s="677" t="s">
        <v>24</v>
      </c>
      <c r="KI43" s="677"/>
      <c r="KJ43" s="677"/>
      <c r="KK43" s="677"/>
      <c r="KL43" s="677"/>
      <c r="KM43" s="677"/>
      <c r="KN43" s="28">
        <v>8.5</v>
      </c>
      <c r="KO43" s="28"/>
      <c r="KP43" s="30"/>
      <c r="KQ43" s="30"/>
      <c r="KR43" s="30"/>
      <c r="KS43" s="30">
        <f t="shared" si="50"/>
        <v>0</v>
      </c>
      <c r="KT43" s="28">
        <f t="shared" si="51"/>
        <v>0</v>
      </c>
      <c r="KV43" s="677" t="s">
        <v>24</v>
      </c>
      <c r="KW43" s="677"/>
      <c r="KX43" s="677"/>
      <c r="KY43" s="677"/>
      <c r="KZ43" s="677"/>
      <c r="LA43" s="677"/>
      <c r="LB43" s="28">
        <v>8.5</v>
      </c>
      <c r="LC43" s="28"/>
      <c r="LD43" s="30"/>
      <c r="LE43" s="30"/>
      <c r="LF43" s="30">
        <f t="shared" si="52"/>
        <v>0</v>
      </c>
      <c r="LG43" s="28">
        <f t="shared" si="53"/>
        <v>0</v>
      </c>
      <c r="LI43" s="677" t="s">
        <v>24</v>
      </c>
      <c r="LJ43" s="677"/>
      <c r="LK43" s="677"/>
      <c r="LL43" s="677"/>
      <c r="LM43" s="677"/>
      <c r="LN43" s="677"/>
      <c r="LO43" s="28">
        <v>8.5</v>
      </c>
      <c r="LP43" s="28"/>
      <c r="LQ43" s="30"/>
      <c r="LR43" s="30"/>
      <c r="LS43" s="30"/>
      <c r="LT43" s="30"/>
      <c r="LU43" s="30"/>
      <c r="LV43" s="30"/>
      <c r="LW43" s="30"/>
      <c r="LX43" s="30"/>
      <c r="LY43" s="30"/>
      <c r="LZ43" s="30"/>
      <c r="MA43" s="30">
        <v>1</v>
      </c>
      <c r="MB43" s="30"/>
      <c r="MC43" s="30">
        <v>2</v>
      </c>
      <c r="MD43" s="30"/>
      <c r="ME43" s="30">
        <f t="shared" si="35"/>
        <v>3</v>
      </c>
      <c r="MF43" s="28">
        <f t="shared" si="8"/>
        <v>25.5</v>
      </c>
      <c r="MH43" s="677" t="s">
        <v>24</v>
      </c>
      <c r="MI43" s="677"/>
      <c r="MJ43" s="677"/>
      <c r="MK43" s="677"/>
      <c r="ML43" s="677"/>
      <c r="MM43" s="677"/>
      <c r="MN43" s="28">
        <v>6</v>
      </c>
      <c r="MO43" s="28">
        <v>4</v>
      </c>
      <c r="MP43" s="30"/>
      <c r="MQ43" s="30"/>
      <c r="MR43" s="30"/>
      <c r="MS43" s="30"/>
      <c r="MT43" s="30"/>
      <c r="MU43" s="30"/>
      <c r="MV43" s="30"/>
      <c r="MW43" s="30"/>
      <c r="MX43" s="30"/>
      <c r="MY43" s="30">
        <v>10</v>
      </c>
      <c r="MZ43" s="30"/>
      <c r="NA43" s="30"/>
      <c r="NB43" s="30"/>
      <c r="NC43" s="30"/>
      <c r="ND43" s="30">
        <f t="shared" si="36"/>
        <v>14</v>
      </c>
      <c r="NE43" s="28">
        <f t="shared" si="37"/>
        <v>84</v>
      </c>
      <c r="NG43" s="677" t="s">
        <v>24</v>
      </c>
      <c r="NH43" s="677"/>
      <c r="NI43" s="677"/>
      <c r="NJ43" s="677"/>
      <c r="NK43" s="677"/>
      <c r="NL43" s="677"/>
      <c r="NM43" s="28">
        <v>6</v>
      </c>
      <c r="NN43" s="30"/>
      <c r="NO43" s="30"/>
      <c r="NP43" s="30"/>
      <c r="NQ43" s="30"/>
      <c r="NR43" s="30"/>
      <c r="NS43" s="30"/>
      <c r="NT43" s="30"/>
      <c r="NU43" s="30"/>
      <c r="NV43" s="30"/>
      <c r="NW43" s="30"/>
      <c r="NX43" s="30"/>
      <c r="NY43" s="30"/>
      <c r="NZ43" s="30"/>
      <c r="OA43" s="30"/>
      <c r="OB43" s="30"/>
      <c r="OC43" s="30">
        <f t="shared" si="38"/>
        <v>0</v>
      </c>
      <c r="OD43" s="28">
        <f t="shared" si="39"/>
        <v>0</v>
      </c>
    </row>
    <row r="44" spans="1:394" ht="14.45" customHeight="1" x14ac:dyDescent="0.25">
      <c r="A44" s="47"/>
      <c r="B44" s="12"/>
      <c r="C44" s="709" t="s">
        <v>25</v>
      </c>
      <c r="D44" s="709"/>
      <c r="E44" s="709"/>
      <c r="F44" s="709"/>
      <c r="G44" s="709"/>
      <c r="H44" s="709"/>
      <c r="I44" s="13"/>
      <c r="J44" s="13"/>
      <c r="K44" s="19"/>
      <c r="L44" s="19"/>
      <c r="M44" s="19">
        <f t="shared" si="40"/>
        <v>0</v>
      </c>
      <c r="N44" s="19">
        <f t="shared" si="9"/>
        <v>0</v>
      </c>
      <c r="O44" s="12"/>
      <c r="P44" s="709" t="s">
        <v>25</v>
      </c>
      <c r="Q44" s="709"/>
      <c r="R44" s="709"/>
      <c r="S44" s="709"/>
      <c r="T44" s="709"/>
      <c r="U44" s="709"/>
      <c r="V44" s="13"/>
      <c r="W44" s="19"/>
      <c r="X44" s="19"/>
      <c r="Y44" s="23">
        <f t="shared" si="10"/>
        <v>0</v>
      </c>
      <c r="Z44" s="19">
        <f t="shared" si="11"/>
        <v>0</v>
      </c>
      <c r="AA44" s="34"/>
      <c r="AB44" s="34"/>
      <c r="AC44" s="34"/>
      <c r="AD44" s="34"/>
      <c r="AE44" s="34"/>
      <c r="AF44" s="34"/>
      <c r="AG44" s="6"/>
      <c r="AH44" s="709" t="s">
        <v>25</v>
      </c>
      <c r="AI44" s="709"/>
      <c r="AJ44" s="709"/>
      <c r="AK44" s="709"/>
      <c r="AL44" s="709"/>
      <c r="AM44" s="709"/>
      <c r="AN44" s="13"/>
      <c r="AO44" s="19"/>
      <c r="AP44" s="23">
        <f t="shared" si="12"/>
        <v>0</v>
      </c>
      <c r="AQ44" s="19">
        <f t="shared" si="13"/>
        <v>0</v>
      </c>
      <c r="AS44" s="709" t="s">
        <v>25</v>
      </c>
      <c r="AT44" s="709"/>
      <c r="AU44" s="709"/>
      <c r="AV44" s="709"/>
      <c r="AW44" s="709"/>
      <c r="AX44" s="709"/>
      <c r="AY44" s="13"/>
      <c r="AZ44" s="19"/>
      <c r="BA44" s="19"/>
      <c r="BB44" s="19"/>
      <c r="BC44" s="19"/>
      <c r="BD44" s="30">
        <f t="shared" si="14"/>
        <v>0</v>
      </c>
      <c r="BE44" s="28">
        <f t="shared" si="15"/>
        <v>0</v>
      </c>
      <c r="BF44" s="14"/>
      <c r="BG44" s="709" t="s">
        <v>25</v>
      </c>
      <c r="BH44" s="709"/>
      <c r="BI44" s="709"/>
      <c r="BJ44" s="709"/>
      <c r="BK44" s="709"/>
      <c r="BL44" s="709"/>
      <c r="BM44" s="13"/>
      <c r="BN44" s="19"/>
      <c r="BO44" s="19"/>
      <c r="BP44" s="30">
        <f t="shared" si="16"/>
        <v>0</v>
      </c>
      <c r="BQ44" s="28">
        <f t="shared" si="17"/>
        <v>0</v>
      </c>
      <c r="BR44" s="14"/>
      <c r="BS44" s="709" t="s">
        <v>25</v>
      </c>
      <c r="BT44" s="709"/>
      <c r="BU44" s="709"/>
      <c r="BV44" s="709"/>
      <c r="BW44" s="709"/>
      <c r="BX44" s="709"/>
      <c r="BY44" s="13"/>
      <c r="BZ44" s="19"/>
      <c r="CA44" s="19"/>
      <c r="CB44" s="19"/>
      <c r="CC44" s="19"/>
      <c r="CD44" s="19"/>
      <c r="CE44" s="19"/>
      <c r="CF44" s="19"/>
      <c r="CG44" s="19"/>
      <c r="CH44" s="19"/>
      <c r="CI44" s="30">
        <f t="shared" si="18"/>
        <v>0</v>
      </c>
      <c r="CJ44" s="28">
        <f t="shared" si="19"/>
        <v>0</v>
      </c>
      <c r="CK44" s="14"/>
      <c r="CL44" s="709" t="s">
        <v>25</v>
      </c>
      <c r="CM44" s="709"/>
      <c r="CN44" s="709"/>
      <c r="CO44" s="709"/>
      <c r="CP44" s="709"/>
      <c r="CQ44" s="709"/>
      <c r="CR44" s="13"/>
      <c r="CS44" s="19"/>
      <c r="CT44" s="19"/>
      <c r="CU44" s="19"/>
      <c r="CV44" s="19"/>
      <c r="CW44" s="19"/>
      <c r="CX44" s="19"/>
      <c r="CY44" s="19"/>
      <c r="CZ44" s="19"/>
      <c r="DA44" s="30">
        <f t="shared" si="20"/>
        <v>0</v>
      </c>
      <c r="DB44" s="28">
        <f t="shared" si="21"/>
        <v>0</v>
      </c>
      <c r="DC44" s="14"/>
      <c r="DD44" s="709" t="s">
        <v>25</v>
      </c>
      <c r="DE44" s="709"/>
      <c r="DF44" s="709"/>
      <c r="DG44" s="709"/>
      <c r="DH44" s="709"/>
      <c r="DI44" s="709"/>
      <c r="DJ44" s="13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30">
        <f t="shared" si="22"/>
        <v>0</v>
      </c>
      <c r="DV44" s="28">
        <f t="shared" si="23"/>
        <v>0</v>
      </c>
      <c r="DX44" s="709" t="s">
        <v>25</v>
      </c>
      <c r="DY44" s="709"/>
      <c r="DZ44" s="709"/>
      <c r="EA44" s="709"/>
      <c r="EB44" s="709"/>
      <c r="EC44" s="709"/>
      <c r="ED44" s="13"/>
      <c r="EE44" s="19"/>
      <c r="EF44" s="19"/>
      <c r="EG44" s="19"/>
      <c r="EH44" s="19"/>
      <c r="EI44" s="19"/>
      <c r="EJ44" s="19"/>
      <c r="EK44" s="19"/>
      <c r="EL44" s="19"/>
      <c r="EM44" s="23"/>
      <c r="EN44" s="23"/>
      <c r="EO44" s="30">
        <f t="shared" si="24"/>
        <v>0</v>
      </c>
      <c r="EP44" s="28">
        <f t="shared" si="25"/>
        <v>0</v>
      </c>
      <c r="EQ44" t="str">
        <f t="shared" si="26"/>
        <v>IGUAL</v>
      </c>
      <c r="ER44" s="709" t="s">
        <v>25</v>
      </c>
      <c r="ES44" s="709"/>
      <c r="ET44" s="709"/>
      <c r="EU44" s="709"/>
      <c r="EV44" s="709"/>
      <c r="EW44" s="709"/>
      <c r="EX44" s="13"/>
      <c r="EY44" s="19"/>
      <c r="EZ44" s="19"/>
      <c r="FA44" s="19"/>
      <c r="FB44" s="19"/>
      <c r="FC44" s="19"/>
      <c r="FD44" s="19"/>
      <c r="FE44" s="19"/>
      <c r="FF44" s="19"/>
      <c r="FG44" s="19"/>
      <c r="FH44" s="19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30">
        <f t="shared" si="27"/>
        <v>0</v>
      </c>
      <c r="FU44" s="28">
        <f t="shared" si="28"/>
        <v>0</v>
      </c>
      <c r="FW44" s="709" t="s">
        <v>25</v>
      </c>
      <c r="FX44" s="709"/>
      <c r="FY44" s="709"/>
      <c r="FZ44" s="709"/>
      <c r="GA44" s="709"/>
      <c r="GB44" s="709"/>
      <c r="GC44" s="13"/>
      <c r="GD44" s="23"/>
      <c r="GE44" s="19"/>
      <c r="GF44" s="19"/>
      <c r="GG44" s="19"/>
      <c r="GH44" s="19"/>
      <c r="GI44" s="19"/>
      <c r="GJ44" s="19"/>
      <c r="GK44" s="19"/>
      <c r="GL44" s="19"/>
      <c r="GM44" s="19"/>
      <c r="GN44" s="23"/>
      <c r="GO44" s="23"/>
      <c r="GP44" s="23"/>
      <c r="GQ44" s="30">
        <f t="shared" si="29"/>
        <v>0</v>
      </c>
      <c r="GR44" s="28">
        <f t="shared" si="30"/>
        <v>0</v>
      </c>
      <c r="GT44" s="709" t="s">
        <v>25</v>
      </c>
      <c r="GU44" s="709"/>
      <c r="GV44" s="709"/>
      <c r="GW44" s="709"/>
      <c r="GX44" s="709"/>
      <c r="GY44" s="709"/>
      <c r="GZ44" s="13"/>
      <c r="HA44" s="19"/>
      <c r="HB44" s="19"/>
      <c r="HC44" s="19"/>
      <c r="HD44" s="19"/>
      <c r="HE44" s="19"/>
      <c r="HF44" s="19"/>
      <c r="HG44" s="19"/>
      <c r="HH44" s="19"/>
      <c r="HI44" s="19"/>
      <c r="HJ44" s="23"/>
      <c r="HK44" s="23"/>
      <c r="HL44" s="30">
        <f t="shared" si="43"/>
        <v>0</v>
      </c>
      <c r="HM44" s="28">
        <f t="shared" si="32"/>
        <v>0</v>
      </c>
      <c r="HO44" s="709" t="s">
        <v>25</v>
      </c>
      <c r="HP44" s="709"/>
      <c r="HQ44" s="709"/>
      <c r="HR44" s="709"/>
      <c r="HS44" s="709"/>
      <c r="HT44" s="709"/>
      <c r="HU44" s="13"/>
      <c r="HV44" s="19"/>
      <c r="HW44" s="30">
        <f t="shared" si="44"/>
        <v>0</v>
      </c>
      <c r="HX44" s="28">
        <f t="shared" si="45"/>
        <v>0</v>
      </c>
      <c r="HZ44" s="709" t="s">
        <v>25</v>
      </c>
      <c r="IA44" s="709"/>
      <c r="IB44" s="709"/>
      <c r="IC44" s="709"/>
      <c r="ID44" s="709"/>
      <c r="IE44" s="709"/>
      <c r="IF44" s="13">
        <v>26</v>
      </c>
      <c r="IG44" s="19"/>
      <c r="IH44" s="23"/>
      <c r="II44" s="23"/>
      <c r="IJ44" s="23">
        <v>2</v>
      </c>
      <c r="IK44" s="23"/>
      <c r="IL44" s="23"/>
      <c r="IM44" s="30">
        <f t="shared" si="41"/>
        <v>2</v>
      </c>
      <c r="IN44" s="28">
        <f t="shared" si="46"/>
        <v>52</v>
      </c>
      <c r="IP44" s="709" t="s">
        <v>25</v>
      </c>
      <c r="IQ44" s="709"/>
      <c r="IR44" s="709"/>
      <c r="IS44" s="709"/>
      <c r="IT44" s="709"/>
      <c r="IU44" s="709"/>
      <c r="IV44" s="13">
        <v>26</v>
      </c>
      <c r="IW44" s="19"/>
      <c r="IX44" s="23"/>
      <c r="IY44" s="30">
        <f t="shared" si="47"/>
        <v>0</v>
      </c>
      <c r="IZ44" s="28">
        <f t="shared" si="48"/>
        <v>0</v>
      </c>
      <c r="JB44" s="709" t="s">
        <v>25</v>
      </c>
      <c r="JC44" s="709"/>
      <c r="JD44" s="709"/>
      <c r="JE44" s="709"/>
      <c r="JF44" s="709"/>
      <c r="JG44" s="709"/>
      <c r="JH44" s="13">
        <v>26</v>
      </c>
      <c r="JI44" s="19"/>
      <c r="JJ44" s="23"/>
      <c r="JK44" s="23"/>
      <c r="JL44" s="23"/>
      <c r="JM44" s="23"/>
      <c r="JN44" s="23"/>
      <c r="JO44" s="23"/>
      <c r="JP44" s="23"/>
      <c r="JQ44" s="23"/>
      <c r="JR44" s="23"/>
      <c r="JS44" s="23"/>
      <c r="JT44" s="23"/>
      <c r="JU44" s="23"/>
      <c r="JV44" s="23"/>
      <c r="JW44" s="23"/>
      <c r="JX44" s="23"/>
      <c r="JY44" s="23"/>
      <c r="JZ44" s="23"/>
      <c r="KA44" s="23"/>
      <c r="KB44" s="23"/>
      <c r="KC44" s="23"/>
      <c r="KD44" s="23"/>
      <c r="KE44" s="30">
        <f t="shared" si="34"/>
        <v>0</v>
      </c>
      <c r="KF44" s="28">
        <f t="shared" si="49"/>
        <v>0</v>
      </c>
      <c r="KH44" s="709" t="s">
        <v>25</v>
      </c>
      <c r="KI44" s="709"/>
      <c r="KJ44" s="709"/>
      <c r="KK44" s="709"/>
      <c r="KL44" s="709"/>
      <c r="KM44" s="709"/>
      <c r="KN44" s="13">
        <v>26</v>
      </c>
      <c r="KO44" s="19"/>
      <c r="KP44" s="23"/>
      <c r="KQ44" s="23"/>
      <c r="KR44" s="23"/>
      <c r="KS44" s="30">
        <f t="shared" si="50"/>
        <v>0</v>
      </c>
      <c r="KT44" s="28">
        <f t="shared" si="51"/>
        <v>0</v>
      </c>
      <c r="KV44" s="709" t="s">
        <v>25</v>
      </c>
      <c r="KW44" s="709"/>
      <c r="KX44" s="709"/>
      <c r="KY44" s="709"/>
      <c r="KZ44" s="709"/>
      <c r="LA44" s="709"/>
      <c r="LB44" s="13">
        <v>26</v>
      </c>
      <c r="LC44" s="19"/>
      <c r="LD44" s="23"/>
      <c r="LE44" s="23"/>
      <c r="LF44" s="30">
        <f t="shared" si="52"/>
        <v>0</v>
      </c>
      <c r="LG44" s="28">
        <f t="shared" si="53"/>
        <v>0</v>
      </c>
      <c r="LI44" s="709" t="s">
        <v>25</v>
      </c>
      <c r="LJ44" s="709"/>
      <c r="LK44" s="709"/>
      <c r="LL44" s="709"/>
      <c r="LM44" s="709"/>
      <c r="LN44" s="709"/>
      <c r="LO44" s="13">
        <v>26</v>
      </c>
      <c r="LP44" s="19"/>
      <c r="LQ44" s="23"/>
      <c r="LR44" s="23"/>
      <c r="LS44" s="23"/>
      <c r="LT44" s="23"/>
      <c r="LU44" s="23"/>
      <c r="LV44" s="23"/>
      <c r="LW44" s="23"/>
      <c r="LX44" s="23"/>
      <c r="LY44" s="23"/>
      <c r="LZ44" s="23"/>
      <c r="MA44" s="23"/>
      <c r="MB44" s="23"/>
      <c r="MC44" s="23"/>
      <c r="MD44" s="23"/>
      <c r="ME44" s="30">
        <f t="shared" si="35"/>
        <v>0</v>
      </c>
      <c r="MF44" s="28">
        <f t="shared" si="8"/>
        <v>0</v>
      </c>
      <c r="MH44" s="709" t="s">
        <v>25</v>
      </c>
      <c r="MI44" s="709"/>
      <c r="MJ44" s="709"/>
      <c r="MK44" s="709"/>
      <c r="ML44" s="709"/>
      <c r="MM44" s="709"/>
      <c r="MN44" s="13">
        <v>26</v>
      </c>
      <c r="MO44" s="19"/>
      <c r="MP44" s="23"/>
      <c r="MQ44" s="23"/>
      <c r="MR44" s="23"/>
      <c r="MS44" s="23"/>
      <c r="MT44" s="23"/>
      <c r="MU44" s="23"/>
      <c r="MV44" s="23"/>
      <c r="MW44" s="23"/>
      <c r="MX44" s="23"/>
      <c r="MY44" s="23"/>
      <c r="MZ44" s="23"/>
      <c r="NA44" s="23"/>
      <c r="NB44" s="23"/>
      <c r="NC44" s="23"/>
      <c r="ND44" s="30">
        <f t="shared" si="36"/>
        <v>0</v>
      </c>
      <c r="NE44" s="28">
        <f t="shared" si="37"/>
        <v>0</v>
      </c>
      <c r="NG44" s="709" t="s">
        <v>25</v>
      </c>
      <c r="NH44" s="709"/>
      <c r="NI44" s="709"/>
      <c r="NJ44" s="709"/>
      <c r="NK44" s="709"/>
      <c r="NL44" s="709"/>
      <c r="NM44" s="13">
        <v>26</v>
      </c>
      <c r="NN44" s="23"/>
      <c r="NO44" s="23"/>
      <c r="NP44" s="23"/>
      <c r="NQ44" s="23"/>
      <c r="NR44" s="23"/>
      <c r="NS44" s="23"/>
      <c r="NT44" s="23"/>
      <c r="NU44" s="23"/>
      <c r="NV44" s="23"/>
      <c r="NW44" s="23"/>
      <c r="NX44" s="23"/>
      <c r="NY44" s="23"/>
      <c r="NZ44" s="23"/>
      <c r="OA44" s="23"/>
      <c r="OB44" s="23"/>
      <c r="OC44" s="30">
        <f t="shared" si="38"/>
        <v>0</v>
      </c>
      <c r="OD44" s="28">
        <f t="shared" si="39"/>
        <v>0</v>
      </c>
    </row>
    <row r="45" spans="1:394" ht="14.45" customHeight="1" x14ac:dyDescent="0.25">
      <c r="A45" s="47"/>
      <c r="B45" s="12"/>
      <c r="C45" s="709" t="s">
        <v>26</v>
      </c>
      <c r="D45" s="709"/>
      <c r="E45" s="709"/>
      <c r="F45" s="709"/>
      <c r="G45" s="709"/>
      <c r="H45" s="709"/>
      <c r="I45" s="13"/>
      <c r="J45" s="13"/>
      <c r="K45" s="19"/>
      <c r="L45" s="19"/>
      <c r="M45" s="19">
        <f t="shared" si="40"/>
        <v>0</v>
      </c>
      <c r="N45" s="19">
        <f t="shared" si="9"/>
        <v>0</v>
      </c>
      <c r="O45" s="12"/>
      <c r="P45" s="709" t="s">
        <v>26</v>
      </c>
      <c r="Q45" s="709"/>
      <c r="R45" s="709"/>
      <c r="S45" s="709"/>
      <c r="T45" s="709"/>
      <c r="U45" s="709"/>
      <c r="V45" s="13"/>
      <c r="W45" s="19"/>
      <c r="X45" s="19"/>
      <c r="Y45" s="23">
        <f t="shared" si="10"/>
        <v>0</v>
      </c>
      <c r="Z45" s="19">
        <f t="shared" si="11"/>
        <v>0</v>
      </c>
      <c r="AA45" s="34"/>
      <c r="AB45" s="34"/>
      <c r="AC45" s="34"/>
      <c r="AD45" s="34"/>
      <c r="AE45" s="34"/>
      <c r="AF45" s="34"/>
      <c r="AG45" s="6"/>
      <c r="AH45" s="709" t="s">
        <v>26</v>
      </c>
      <c r="AI45" s="709"/>
      <c r="AJ45" s="709"/>
      <c r="AK45" s="709"/>
      <c r="AL45" s="709"/>
      <c r="AM45" s="709"/>
      <c r="AN45" s="13"/>
      <c r="AO45" s="19"/>
      <c r="AP45" s="23">
        <f t="shared" si="12"/>
        <v>0</v>
      </c>
      <c r="AQ45" s="19">
        <f t="shared" si="13"/>
        <v>0</v>
      </c>
      <c r="AS45" s="677" t="s">
        <v>26</v>
      </c>
      <c r="AT45" s="677"/>
      <c r="AU45" s="677"/>
      <c r="AV45" s="677"/>
      <c r="AW45" s="677"/>
      <c r="AX45" s="677"/>
      <c r="AY45" s="28"/>
      <c r="AZ45" s="28"/>
      <c r="BA45" s="28"/>
      <c r="BB45" s="28"/>
      <c r="BC45" s="28"/>
      <c r="BD45" s="30">
        <f t="shared" si="14"/>
        <v>0</v>
      </c>
      <c r="BE45" s="28">
        <f t="shared" si="15"/>
        <v>0</v>
      </c>
      <c r="BF45" s="14"/>
      <c r="BG45" s="677" t="s">
        <v>26</v>
      </c>
      <c r="BH45" s="677"/>
      <c r="BI45" s="677"/>
      <c r="BJ45" s="677"/>
      <c r="BK45" s="677"/>
      <c r="BL45" s="677"/>
      <c r="BM45" s="28"/>
      <c r="BN45" s="28"/>
      <c r="BO45" s="28"/>
      <c r="BP45" s="30">
        <f t="shared" si="16"/>
        <v>0</v>
      </c>
      <c r="BQ45" s="28">
        <f t="shared" si="17"/>
        <v>0</v>
      </c>
      <c r="BR45" s="14"/>
      <c r="BS45" s="677" t="s">
        <v>26</v>
      </c>
      <c r="BT45" s="677"/>
      <c r="BU45" s="677"/>
      <c r="BV45" s="677"/>
      <c r="BW45" s="677"/>
      <c r="BX45" s="677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30">
        <f t="shared" si="18"/>
        <v>0</v>
      </c>
      <c r="CJ45" s="28">
        <f t="shared" si="19"/>
        <v>0</v>
      </c>
      <c r="CK45" s="14"/>
      <c r="CL45" s="677" t="s">
        <v>26</v>
      </c>
      <c r="CM45" s="677"/>
      <c r="CN45" s="677"/>
      <c r="CO45" s="677"/>
      <c r="CP45" s="677"/>
      <c r="CQ45" s="677"/>
      <c r="CR45" s="28"/>
      <c r="CS45" s="28"/>
      <c r="CT45" s="28"/>
      <c r="CU45" s="28"/>
      <c r="CV45" s="28"/>
      <c r="CW45" s="28"/>
      <c r="CX45" s="28"/>
      <c r="CY45" s="28"/>
      <c r="CZ45" s="28"/>
      <c r="DA45" s="30">
        <f t="shared" si="20"/>
        <v>0</v>
      </c>
      <c r="DB45" s="28">
        <f t="shared" si="21"/>
        <v>0</v>
      </c>
      <c r="DC45" s="14"/>
      <c r="DD45" s="677" t="s">
        <v>26</v>
      </c>
      <c r="DE45" s="677"/>
      <c r="DF45" s="677"/>
      <c r="DG45" s="677"/>
      <c r="DH45" s="677"/>
      <c r="DI45" s="677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30">
        <f t="shared" si="22"/>
        <v>0</v>
      </c>
      <c r="DV45" s="28">
        <f t="shared" si="23"/>
        <v>0</v>
      </c>
      <c r="DX45" s="677" t="s">
        <v>26</v>
      </c>
      <c r="DY45" s="677"/>
      <c r="DZ45" s="677"/>
      <c r="EA45" s="677"/>
      <c r="EB45" s="677"/>
      <c r="EC45" s="677"/>
      <c r="ED45" s="28"/>
      <c r="EE45" s="28"/>
      <c r="EF45" s="28"/>
      <c r="EG45" s="28"/>
      <c r="EH45" s="28"/>
      <c r="EI45" s="28"/>
      <c r="EJ45" s="28"/>
      <c r="EK45" s="28"/>
      <c r="EL45" s="28"/>
      <c r="EM45" s="30"/>
      <c r="EN45" s="30"/>
      <c r="EO45" s="30">
        <f t="shared" si="24"/>
        <v>0</v>
      </c>
      <c r="EP45" s="28">
        <f t="shared" si="25"/>
        <v>0</v>
      </c>
      <c r="EQ45" t="str">
        <f t="shared" si="26"/>
        <v>IGUAL</v>
      </c>
      <c r="ER45" s="677" t="s">
        <v>26</v>
      </c>
      <c r="ES45" s="677"/>
      <c r="ET45" s="677"/>
      <c r="EU45" s="677"/>
      <c r="EV45" s="677"/>
      <c r="EW45" s="677"/>
      <c r="EX45" s="28"/>
      <c r="EY45" s="28"/>
      <c r="EZ45" s="28"/>
      <c r="FA45" s="28"/>
      <c r="FB45" s="28"/>
      <c r="FC45" s="28"/>
      <c r="FD45" s="28"/>
      <c r="FE45" s="28"/>
      <c r="FF45" s="28"/>
      <c r="FG45" s="28"/>
      <c r="FH45" s="28"/>
      <c r="FI45" s="30"/>
      <c r="FJ45" s="30"/>
      <c r="FK45" s="30"/>
      <c r="FL45" s="30"/>
      <c r="FM45" s="30"/>
      <c r="FN45" s="30"/>
      <c r="FO45" s="30"/>
      <c r="FP45" s="30"/>
      <c r="FQ45" s="30"/>
      <c r="FR45" s="30"/>
      <c r="FS45" s="30"/>
      <c r="FT45" s="30">
        <f t="shared" si="27"/>
        <v>0</v>
      </c>
      <c r="FU45" s="28">
        <f t="shared" si="28"/>
        <v>0</v>
      </c>
      <c r="FW45" s="677" t="s">
        <v>26</v>
      </c>
      <c r="FX45" s="677"/>
      <c r="FY45" s="677"/>
      <c r="FZ45" s="677"/>
      <c r="GA45" s="677"/>
      <c r="GB45" s="677"/>
      <c r="GC45" s="28"/>
      <c r="GD45" s="30"/>
      <c r="GE45" s="28"/>
      <c r="GF45" s="28"/>
      <c r="GG45" s="28"/>
      <c r="GH45" s="28"/>
      <c r="GI45" s="28"/>
      <c r="GJ45" s="28"/>
      <c r="GK45" s="28"/>
      <c r="GL45" s="28"/>
      <c r="GM45" s="28"/>
      <c r="GN45" s="30"/>
      <c r="GO45" s="30"/>
      <c r="GP45" s="30"/>
      <c r="GQ45" s="30">
        <f t="shared" si="29"/>
        <v>0</v>
      </c>
      <c r="GR45" s="28">
        <f t="shared" si="30"/>
        <v>0</v>
      </c>
      <c r="GT45" s="677" t="s">
        <v>26</v>
      </c>
      <c r="GU45" s="677"/>
      <c r="GV45" s="677"/>
      <c r="GW45" s="677"/>
      <c r="GX45" s="677"/>
      <c r="GY45" s="677"/>
      <c r="GZ45" s="28"/>
      <c r="HA45" s="28"/>
      <c r="HB45" s="28"/>
      <c r="HC45" s="28"/>
      <c r="HD45" s="28"/>
      <c r="HE45" s="28"/>
      <c r="HF45" s="28"/>
      <c r="HG45" s="28"/>
      <c r="HH45" s="28"/>
      <c r="HI45" s="28"/>
      <c r="HJ45" s="30"/>
      <c r="HK45" s="30"/>
      <c r="HL45" s="30">
        <f t="shared" si="43"/>
        <v>0</v>
      </c>
      <c r="HM45" s="28">
        <f t="shared" si="32"/>
        <v>0</v>
      </c>
      <c r="HO45" s="677" t="s">
        <v>26</v>
      </c>
      <c r="HP45" s="677"/>
      <c r="HQ45" s="677"/>
      <c r="HR45" s="677"/>
      <c r="HS45" s="677"/>
      <c r="HT45" s="677"/>
      <c r="HU45" s="28"/>
      <c r="HV45" s="28"/>
      <c r="HW45" s="30">
        <f t="shared" si="44"/>
        <v>0</v>
      </c>
      <c r="HX45" s="28">
        <f t="shared" si="45"/>
        <v>0</v>
      </c>
      <c r="HZ45" s="677" t="s">
        <v>26</v>
      </c>
      <c r="IA45" s="677"/>
      <c r="IB45" s="677"/>
      <c r="IC45" s="677"/>
      <c r="ID45" s="677"/>
      <c r="IE45" s="677"/>
      <c r="IF45" s="28">
        <v>40</v>
      </c>
      <c r="IG45" s="28"/>
      <c r="IH45" s="30"/>
      <c r="II45" s="30"/>
      <c r="IJ45" s="30">
        <v>1</v>
      </c>
      <c r="IK45" s="30"/>
      <c r="IL45" s="30"/>
      <c r="IM45" s="30">
        <f t="shared" si="41"/>
        <v>1</v>
      </c>
      <c r="IN45" s="28">
        <f t="shared" si="46"/>
        <v>40</v>
      </c>
      <c r="IP45" s="677" t="s">
        <v>26</v>
      </c>
      <c r="IQ45" s="677"/>
      <c r="IR45" s="677"/>
      <c r="IS45" s="677"/>
      <c r="IT45" s="677"/>
      <c r="IU45" s="677"/>
      <c r="IV45" s="28">
        <v>40</v>
      </c>
      <c r="IW45" s="28"/>
      <c r="IX45" s="30"/>
      <c r="IY45" s="30">
        <f t="shared" si="47"/>
        <v>0</v>
      </c>
      <c r="IZ45" s="28">
        <f t="shared" si="48"/>
        <v>0</v>
      </c>
      <c r="JB45" s="677" t="s">
        <v>26</v>
      </c>
      <c r="JC45" s="677"/>
      <c r="JD45" s="677"/>
      <c r="JE45" s="677"/>
      <c r="JF45" s="677"/>
      <c r="JG45" s="677"/>
      <c r="JH45" s="28">
        <v>40</v>
      </c>
      <c r="JI45" s="28"/>
      <c r="JJ45" s="30"/>
      <c r="JK45" s="30"/>
      <c r="JL45" s="30"/>
      <c r="JM45" s="30"/>
      <c r="JN45" s="30"/>
      <c r="JO45" s="30"/>
      <c r="JP45" s="30"/>
      <c r="JQ45" s="30"/>
      <c r="JR45" s="30"/>
      <c r="JS45" s="30"/>
      <c r="JT45" s="30"/>
      <c r="JU45" s="30"/>
      <c r="JV45" s="30"/>
      <c r="JW45" s="30"/>
      <c r="JX45" s="30"/>
      <c r="JY45" s="30"/>
      <c r="JZ45" s="30"/>
      <c r="KA45" s="30"/>
      <c r="KB45" s="30"/>
      <c r="KC45" s="30"/>
      <c r="KD45" s="30"/>
      <c r="KE45" s="30">
        <f t="shared" si="34"/>
        <v>0</v>
      </c>
      <c r="KF45" s="28">
        <f t="shared" si="49"/>
        <v>0</v>
      </c>
      <c r="KH45" s="677" t="s">
        <v>26</v>
      </c>
      <c r="KI45" s="677"/>
      <c r="KJ45" s="677"/>
      <c r="KK45" s="677"/>
      <c r="KL45" s="677"/>
      <c r="KM45" s="677"/>
      <c r="KN45" s="28">
        <v>40</v>
      </c>
      <c r="KO45" s="28"/>
      <c r="KP45" s="30"/>
      <c r="KQ45" s="30"/>
      <c r="KR45" s="30"/>
      <c r="KS45" s="30">
        <f t="shared" si="50"/>
        <v>0</v>
      </c>
      <c r="KT45" s="28">
        <f t="shared" si="51"/>
        <v>0</v>
      </c>
      <c r="KV45" s="677" t="s">
        <v>26</v>
      </c>
      <c r="KW45" s="677"/>
      <c r="KX45" s="677"/>
      <c r="KY45" s="677"/>
      <c r="KZ45" s="677"/>
      <c r="LA45" s="677"/>
      <c r="LB45" s="28">
        <v>40</v>
      </c>
      <c r="LC45" s="28"/>
      <c r="LD45" s="30"/>
      <c r="LE45" s="30"/>
      <c r="LF45" s="30">
        <f t="shared" si="52"/>
        <v>0</v>
      </c>
      <c r="LG45" s="28">
        <f t="shared" si="53"/>
        <v>0</v>
      </c>
      <c r="LI45" s="677" t="s">
        <v>26</v>
      </c>
      <c r="LJ45" s="677"/>
      <c r="LK45" s="677"/>
      <c r="LL45" s="677"/>
      <c r="LM45" s="677"/>
      <c r="LN45" s="677"/>
      <c r="LO45" s="28">
        <v>40</v>
      </c>
      <c r="LP45" s="28"/>
      <c r="LQ45" s="30"/>
      <c r="LR45" s="30"/>
      <c r="LS45" s="30"/>
      <c r="LT45" s="30"/>
      <c r="LU45" s="30"/>
      <c r="LV45" s="30"/>
      <c r="LW45" s="30"/>
      <c r="LX45" s="30"/>
      <c r="LY45" s="30">
        <v>1</v>
      </c>
      <c r="LZ45" s="30"/>
      <c r="MA45" s="30"/>
      <c r="MB45" s="30"/>
      <c r="MC45" s="30"/>
      <c r="MD45" s="30"/>
      <c r="ME45" s="30">
        <f t="shared" si="35"/>
        <v>1</v>
      </c>
      <c r="MF45" s="28">
        <f t="shared" si="8"/>
        <v>40</v>
      </c>
      <c r="MH45" s="677" t="s">
        <v>26</v>
      </c>
      <c r="MI45" s="677"/>
      <c r="MJ45" s="677"/>
      <c r="MK45" s="677"/>
      <c r="ML45" s="677"/>
      <c r="MM45" s="677"/>
      <c r="MN45" s="28">
        <v>40</v>
      </c>
      <c r="MO45" s="28"/>
      <c r="MP45" s="30"/>
      <c r="MQ45" s="30"/>
      <c r="MR45" s="30"/>
      <c r="MS45" s="30"/>
      <c r="MT45" s="30"/>
      <c r="MU45" s="30"/>
      <c r="MV45" s="30"/>
      <c r="MW45" s="30"/>
      <c r="MX45" s="30"/>
      <c r="MY45" s="30"/>
      <c r="MZ45" s="30"/>
      <c r="NA45" s="30"/>
      <c r="NB45" s="30"/>
      <c r="NC45" s="30"/>
      <c r="ND45" s="30">
        <f t="shared" si="36"/>
        <v>0</v>
      </c>
      <c r="NE45" s="28">
        <f t="shared" si="37"/>
        <v>0</v>
      </c>
      <c r="NG45" s="677" t="s">
        <v>26</v>
      </c>
      <c r="NH45" s="677"/>
      <c r="NI45" s="677"/>
      <c r="NJ45" s="677"/>
      <c r="NK45" s="677"/>
      <c r="NL45" s="677"/>
      <c r="NM45" s="28">
        <v>40</v>
      </c>
      <c r="NN45" s="30"/>
      <c r="NO45" s="30"/>
      <c r="NP45" s="30"/>
      <c r="NQ45" s="30"/>
      <c r="NR45" s="30"/>
      <c r="NS45" s="30"/>
      <c r="NT45" s="30"/>
      <c r="NU45" s="30"/>
      <c r="NV45" s="30"/>
      <c r="NW45" s="30"/>
      <c r="NX45" s="30"/>
      <c r="NY45" s="30"/>
      <c r="NZ45" s="30"/>
      <c r="OA45" s="30"/>
      <c r="OB45" s="30"/>
      <c r="OC45" s="30">
        <f t="shared" si="38"/>
        <v>0</v>
      </c>
      <c r="OD45" s="28">
        <f t="shared" si="39"/>
        <v>0</v>
      </c>
    </row>
    <row r="46" spans="1:394" ht="14.45" customHeight="1" x14ac:dyDescent="0.25">
      <c r="A46" s="47"/>
      <c r="B46" s="12"/>
      <c r="C46" s="709" t="s">
        <v>27</v>
      </c>
      <c r="D46" s="709"/>
      <c r="E46" s="709"/>
      <c r="F46" s="709"/>
      <c r="G46" s="709"/>
      <c r="H46" s="709"/>
      <c r="I46" s="13">
        <v>120</v>
      </c>
      <c r="J46" s="13">
        <v>1</v>
      </c>
      <c r="K46" s="19"/>
      <c r="L46" s="19"/>
      <c r="M46" s="19">
        <f t="shared" si="40"/>
        <v>1</v>
      </c>
      <c r="N46" s="19">
        <f t="shared" si="9"/>
        <v>120</v>
      </c>
      <c r="O46" s="12"/>
      <c r="P46" s="709" t="s">
        <v>27</v>
      </c>
      <c r="Q46" s="709"/>
      <c r="R46" s="709"/>
      <c r="S46" s="709"/>
      <c r="T46" s="709"/>
      <c r="U46" s="709"/>
      <c r="V46" s="13"/>
      <c r="W46" s="19"/>
      <c r="X46" s="19"/>
      <c r="Y46" s="23">
        <f t="shared" si="10"/>
        <v>0</v>
      </c>
      <c r="Z46" s="19">
        <f t="shared" si="11"/>
        <v>0</v>
      </c>
      <c r="AA46" s="34"/>
      <c r="AB46" s="34"/>
      <c r="AC46" s="34"/>
      <c r="AD46" s="34"/>
      <c r="AE46" s="34"/>
      <c r="AF46" s="34"/>
      <c r="AG46" s="6"/>
      <c r="AH46" s="709" t="s">
        <v>27</v>
      </c>
      <c r="AI46" s="709"/>
      <c r="AJ46" s="709"/>
      <c r="AK46" s="709"/>
      <c r="AL46" s="709"/>
      <c r="AM46" s="709"/>
      <c r="AN46" s="13"/>
      <c r="AO46" s="19"/>
      <c r="AP46" s="23">
        <f t="shared" si="12"/>
        <v>0</v>
      </c>
      <c r="AQ46" s="19">
        <f t="shared" si="13"/>
        <v>0</v>
      </c>
      <c r="AS46" s="709" t="s">
        <v>27</v>
      </c>
      <c r="AT46" s="709"/>
      <c r="AU46" s="709"/>
      <c r="AV46" s="709"/>
      <c r="AW46" s="709"/>
      <c r="AX46" s="709"/>
      <c r="AY46" s="13"/>
      <c r="AZ46" s="19"/>
      <c r="BA46" s="19"/>
      <c r="BB46" s="19"/>
      <c r="BC46" s="19"/>
      <c r="BD46" s="30">
        <f t="shared" si="14"/>
        <v>0</v>
      </c>
      <c r="BE46" s="28">
        <f t="shared" si="15"/>
        <v>0</v>
      </c>
      <c r="BF46" s="14"/>
      <c r="BG46" s="709" t="s">
        <v>27</v>
      </c>
      <c r="BH46" s="709"/>
      <c r="BI46" s="709"/>
      <c r="BJ46" s="709"/>
      <c r="BK46" s="709"/>
      <c r="BL46" s="709"/>
      <c r="BM46" s="13"/>
      <c r="BN46" s="19"/>
      <c r="BO46" s="19"/>
      <c r="BP46" s="30">
        <f t="shared" si="16"/>
        <v>0</v>
      </c>
      <c r="BQ46" s="28">
        <f t="shared" si="17"/>
        <v>0</v>
      </c>
      <c r="BR46" s="14"/>
      <c r="BS46" s="709" t="s">
        <v>27</v>
      </c>
      <c r="BT46" s="709"/>
      <c r="BU46" s="709"/>
      <c r="BV46" s="709"/>
      <c r="BW46" s="709"/>
      <c r="BX46" s="709"/>
      <c r="BY46" s="13"/>
      <c r="BZ46" s="19"/>
      <c r="CA46" s="19"/>
      <c r="CB46" s="19"/>
      <c r="CC46" s="19"/>
      <c r="CD46" s="19"/>
      <c r="CE46" s="19"/>
      <c r="CF46" s="19"/>
      <c r="CG46" s="19"/>
      <c r="CH46" s="19"/>
      <c r="CI46" s="30">
        <f t="shared" si="18"/>
        <v>0</v>
      </c>
      <c r="CJ46" s="28">
        <f t="shared" si="19"/>
        <v>0</v>
      </c>
      <c r="CK46" s="14"/>
      <c r="CL46" s="709" t="s">
        <v>27</v>
      </c>
      <c r="CM46" s="709"/>
      <c r="CN46" s="709"/>
      <c r="CO46" s="709"/>
      <c r="CP46" s="709"/>
      <c r="CQ46" s="709"/>
      <c r="CR46" s="13">
        <v>135</v>
      </c>
      <c r="CS46" s="19"/>
      <c r="CT46" s="19"/>
      <c r="CU46" s="19"/>
      <c r="CV46" s="19">
        <v>2</v>
      </c>
      <c r="CW46" s="19"/>
      <c r="CX46" s="19"/>
      <c r="CY46" s="19"/>
      <c r="CZ46" s="19"/>
      <c r="DA46" s="30">
        <f t="shared" si="20"/>
        <v>2</v>
      </c>
      <c r="DB46" s="28">
        <f t="shared" si="21"/>
        <v>270</v>
      </c>
      <c r="DC46" s="14"/>
      <c r="DD46" s="709" t="s">
        <v>27</v>
      </c>
      <c r="DE46" s="709"/>
      <c r="DF46" s="709"/>
      <c r="DG46" s="709"/>
      <c r="DH46" s="709"/>
      <c r="DI46" s="709"/>
      <c r="DJ46" s="13">
        <v>135</v>
      </c>
      <c r="DK46" s="19"/>
      <c r="DL46" s="19"/>
      <c r="DM46" s="19"/>
      <c r="DN46" s="19"/>
      <c r="DO46" s="19"/>
      <c r="DP46" s="19"/>
      <c r="DQ46" s="19"/>
      <c r="DR46" s="19"/>
      <c r="DS46" s="19"/>
      <c r="DT46" s="19"/>
      <c r="DU46" s="30">
        <f t="shared" si="22"/>
        <v>0</v>
      </c>
      <c r="DV46" s="28">
        <f t="shared" si="23"/>
        <v>0</v>
      </c>
      <c r="DX46" s="709" t="s">
        <v>27</v>
      </c>
      <c r="DY46" s="709"/>
      <c r="DZ46" s="709"/>
      <c r="EA46" s="709"/>
      <c r="EB46" s="709"/>
      <c r="EC46" s="709"/>
      <c r="ED46" s="13">
        <v>135</v>
      </c>
      <c r="EE46" s="19"/>
      <c r="EF46" s="19"/>
      <c r="EG46" s="19"/>
      <c r="EH46" s="19"/>
      <c r="EI46" s="19"/>
      <c r="EJ46" s="19"/>
      <c r="EK46" s="19"/>
      <c r="EL46" s="19"/>
      <c r="EM46" s="23"/>
      <c r="EN46" s="23"/>
      <c r="EO46" s="30">
        <f t="shared" si="24"/>
        <v>0</v>
      </c>
      <c r="EP46" s="28">
        <f t="shared" si="25"/>
        <v>0</v>
      </c>
      <c r="EQ46" t="str">
        <f t="shared" si="26"/>
        <v>IGUAL</v>
      </c>
      <c r="ER46" s="709" t="s">
        <v>27</v>
      </c>
      <c r="ES46" s="709"/>
      <c r="ET46" s="709"/>
      <c r="EU46" s="709"/>
      <c r="EV46" s="709"/>
      <c r="EW46" s="709"/>
      <c r="EX46" s="13">
        <v>135</v>
      </c>
      <c r="EY46" s="19"/>
      <c r="EZ46" s="19"/>
      <c r="FA46" s="19"/>
      <c r="FB46" s="19"/>
      <c r="FC46" s="19"/>
      <c r="FD46" s="19"/>
      <c r="FE46" s="19"/>
      <c r="FF46" s="19"/>
      <c r="FG46" s="19"/>
      <c r="FH46" s="19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30">
        <f t="shared" si="27"/>
        <v>0</v>
      </c>
      <c r="FU46" s="28">
        <f t="shared" si="28"/>
        <v>0</v>
      </c>
      <c r="FW46" s="709" t="s">
        <v>27</v>
      </c>
      <c r="FX46" s="709"/>
      <c r="FY46" s="709"/>
      <c r="FZ46" s="709"/>
      <c r="GA46" s="709"/>
      <c r="GB46" s="709"/>
      <c r="GC46" s="13">
        <v>135</v>
      </c>
      <c r="GD46" s="23"/>
      <c r="GE46" s="19"/>
      <c r="GF46" s="19"/>
      <c r="GG46" s="19"/>
      <c r="GH46" s="19"/>
      <c r="GI46" s="19"/>
      <c r="GJ46" s="19"/>
      <c r="GK46" s="19"/>
      <c r="GL46" s="19"/>
      <c r="GM46" s="19"/>
      <c r="GN46" s="23"/>
      <c r="GO46" s="23"/>
      <c r="GP46" s="23"/>
      <c r="GQ46" s="30">
        <f t="shared" si="29"/>
        <v>0</v>
      </c>
      <c r="GR46" s="28">
        <f t="shared" si="30"/>
        <v>0</v>
      </c>
      <c r="GT46" s="709" t="s">
        <v>27</v>
      </c>
      <c r="GU46" s="709"/>
      <c r="GV46" s="709"/>
      <c r="GW46" s="709"/>
      <c r="GX46" s="709"/>
      <c r="GY46" s="709"/>
      <c r="GZ46" s="13">
        <v>135</v>
      </c>
      <c r="HA46" s="19"/>
      <c r="HB46" s="19">
        <v>1</v>
      </c>
      <c r="HC46" s="19"/>
      <c r="HD46" s="19"/>
      <c r="HE46" s="19"/>
      <c r="HF46" s="19"/>
      <c r="HG46" s="19"/>
      <c r="HH46" s="19"/>
      <c r="HI46" s="19"/>
      <c r="HJ46" s="23"/>
      <c r="HK46" s="23">
        <v>5</v>
      </c>
      <c r="HL46" s="30">
        <f t="shared" si="43"/>
        <v>6</v>
      </c>
      <c r="HM46" s="28">
        <f t="shared" si="32"/>
        <v>810</v>
      </c>
      <c r="HO46" s="709" t="s">
        <v>27</v>
      </c>
      <c r="HP46" s="709"/>
      <c r="HQ46" s="709"/>
      <c r="HR46" s="709"/>
      <c r="HS46" s="709"/>
      <c r="HT46" s="709"/>
      <c r="HU46" s="13">
        <v>135</v>
      </c>
      <c r="HV46" s="19"/>
      <c r="HW46" s="30">
        <f t="shared" si="44"/>
        <v>0</v>
      </c>
      <c r="HX46" s="28">
        <f t="shared" si="45"/>
        <v>0</v>
      </c>
      <c r="HZ46" s="709" t="s">
        <v>27</v>
      </c>
      <c r="IA46" s="709"/>
      <c r="IB46" s="709"/>
      <c r="IC46" s="709"/>
      <c r="ID46" s="709"/>
      <c r="IE46" s="709"/>
      <c r="IF46" s="13">
        <v>135</v>
      </c>
      <c r="IG46" s="19"/>
      <c r="IH46" s="23"/>
      <c r="II46" s="23"/>
      <c r="IJ46" s="23"/>
      <c r="IK46" s="23"/>
      <c r="IL46" s="23"/>
      <c r="IM46" s="30">
        <f t="shared" si="41"/>
        <v>0</v>
      </c>
      <c r="IN46" s="28">
        <f t="shared" si="46"/>
        <v>0</v>
      </c>
      <c r="IP46" s="709" t="s">
        <v>27</v>
      </c>
      <c r="IQ46" s="709"/>
      <c r="IR46" s="709"/>
      <c r="IS46" s="709"/>
      <c r="IT46" s="709"/>
      <c r="IU46" s="709"/>
      <c r="IV46" s="13">
        <v>135</v>
      </c>
      <c r="IW46" s="19"/>
      <c r="IX46" s="23"/>
      <c r="IY46" s="30">
        <f t="shared" si="47"/>
        <v>0</v>
      </c>
      <c r="IZ46" s="28">
        <f t="shared" si="48"/>
        <v>0</v>
      </c>
      <c r="JB46" s="709" t="s">
        <v>27</v>
      </c>
      <c r="JC46" s="709"/>
      <c r="JD46" s="709"/>
      <c r="JE46" s="709"/>
      <c r="JF46" s="709"/>
      <c r="JG46" s="709"/>
      <c r="JH46" s="13">
        <v>135</v>
      </c>
      <c r="JI46" s="19"/>
      <c r="JJ46" s="23"/>
      <c r="JK46" s="23"/>
      <c r="JL46" s="23"/>
      <c r="JM46" s="23"/>
      <c r="JN46" s="23"/>
      <c r="JO46" s="23"/>
      <c r="JP46" s="23"/>
      <c r="JQ46" s="23"/>
      <c r="JR46" s="23"/>
      <c r="JS46" s="23"/>
      <c r="JT46" s="23"/>
      <c r="JU46" s="23">
        <v>2</v>
      </c>
      <c r="JV46" s="23"/>
      <c r="JW46" s="23"/>
      <c r="JX46" s="23"/>
      <c r="JY46" s="23"/>
      <c r="JZ46" s="23"/>
      <c r="KA46" s="23"/>
      <c r="KB46" s="23"/>
      <c r="KC46" s="23"/>
      <c r="KD46" s="23"/>
      <c r="KE46" s="30">
        <f t="shared" si="34"/>
        <v>2</v>
      </c>
      <c r="KF46" s="28">
        <f t="shared" si="49"/>
        <v>270</v>
      </c>
      <c r="KH46" s="709" t="s">
        <v>27</v>
      </c>
      <c r="KI46" s="709"/>
      <c r="KJ46" s="709"/>
      <c r="KK46" s="709"/>
      <c r="KL46" s="709"/>
      <c r="KM46" s="709"/>
      <c r="KN46" s="13">
        <v>135</v>
      </c>
      <c r="KO46" s="19"/>
      <c r="KP46" s="23"/>
      <c r="KQ46" s="23"/>
      <c r="KR46" s="23"/>
      <c r="KS46" s="30">
        <f t="shared" si="50"/>
        <v>0</v>
      </c>
      <c r="KT46" s="28">
        <f t="shared" si="51"/>
        <v>0</v>
      </c>
      <c r="KV46" s="709" t="s">
        <v>27</v>
      </c>
      <c r="KW46" s="709"/>
      <c r="KX46" s="709"/>
      <c r="KY46" s="709"/>
      <c r="KZ46" s="709"/>
      <c r="LA46" s="709"/>
      <c r="LB46" s="13">
        <v>135</v>
      </c>
      <c r="LC46" s="19"/>
      <c r="LD46" s="23"/>
      <c r="LE46" s="23"/>
      <c r="LF46" s="30">
        <f t="shared" si="52"/>
        <v>0</v>
      </c>
      <c r="LG46" s="28">
        <f t="shared" si="53"/>
        <v>0</v>
      </c>
      <c r="LI46" s="709" t="s">
        <v>27</v>
      </c>
      <c r="LJ46" s="709"/>
      <c r="LK46" s="709"/>
      <c r="LL46" s="709"/>
      <c r="LM46" s="709"/>
      <c r="LN46" s="709"/>
      <c r="LO46" s="13">
        <v>135</v>
      </c>
      <c r="LP46" s="19"/>
      <c r="LQ46" s="23"/>
      <c r="LR46" s="23"/>
      <c r="LS46" s="23"/>
      <c r="LT46" s="23"/>
      <c r="LU46" s="23">
        <v>2</v>
      </c>
      <c r="LV46" s="23"/>
      <c r="LW46" s="23">
        <v>1</v>
      </c>
      <c r="LX46" s="23"/>
      <c r="LY46" s="23">
        <v>3</v>
      </c>
      <c r="LZ46" s="23"/>
      <c r="MA46" s="23"/>
      <c r="MB46" s="23"/>
      <c r="MC46" s="23"/>
      <c r="MD46" s="23"/>
      <c r="ME46" s="30">
        <f t="shared" si="35"/>
        <v>6</v>
      </c>
      <c r="MF46" s="28">
        <f t="shared" si="8"/>
        <v>810</v>
      </c>
      <c r="MH46" s="709" t="s">
        <v>27</v>
      </c>
      <c r="MI46" s="709"/>
      <c r="MJ46" s="709"/>
      <c r="MK46" s="709"/>
      <c r="ML46" s="709"/>
      <c r="MM46" s="709"/>
      <c r="MN46" s="13">
        <v>130</v>
      </c>
      <c r="MO46" s="19"/>
      <c r="MP46" s="23"/>
      <c r="MQ46" s="23">
        <v>2</v>
      </c>
      <c r="MR46" s="23"/>
      <c r="MS46" s="23"/>
      <c r="MT46" s="23"/>
      <c r="MU46" s="23"/>
      <c r="MV46" s="23"/>
      <c r="MW46" s="23"/>
      <c r="MX46" s="23"/>
      <c r="MY46" s="23"/>
      <c r="MZ46" s="23"/>
      <c r="NA46" s="23"/>
      <c r="NB46" s="23"/>
      <c r="NC46" s="23">
        <v>4</v>
      </c>
      <c r="ND46" s="30">
        <f t="shared" si="36"/>
        <v>6</v>
      </c>
      <c r="NE46" s="28">
        <f t="shared" si="37"/>
        <v>780</v>
      </c>
      <c r="NG46" s="709" t="s">
        <v>27</v>
      </c>
      <c r="NH46" s="709"/>
      <c r="NI46" s="709"/>
      <c r="NJ46" s="709"/>
      <c r="NK46" s="709"/>
      <c r="NL46" s="709"/>
      <c r="NM46" s="13">
        <v>130</v>
      </c>
      <c r="NN46" s="23">
        <v>2</v>
      </c>
      <c r="NO46" s="23">
        <v>3</v>
      </c>
      <c r="NP46" s="23"/>
      <c r="NQ46" s="23">
        <v>3</v>
      </c>
      <c r="NR46" s="23"/>
      <c r="NS46" s="23"/>
      <c r="NT46" s="23">
        <v>2</v>
      </c>
      <c r="NU46" s="23">
        <v>1</v>
      </c>
      <c r="NV46" s="23"/>
      <c r="NW46" s="23"/>
      <c r="NX46" s="23"/>
      <c r="NY46" s="23"/>
      <c r="NZ46" s="23"/>
      <c r="OA46" s="23"/>
      <c r="OB46" s="23"/>
      <c r="OC46" s="30">
        <f t="shared" si="38"/>
        <v>11</v>
      </c>
      <c r="OD46" s="28">
        <f t="shared" si="39"/>
        <v>1430</v>
      </c>
    </row>
    <row r="47" spans="1:394" ht="14.45" customHeight="1" x14ac:dyDescent="0.25">
      <c r="A47" s="47"/>
      <c r="B47" s="12"/>
      <c r="C47" s="709" t="s">
        <v>28</v>
      </c>
      <c r="D47" s="709"/>
      <c r="E47" s="709"/>
      <c r="F47" s="709"/>
      <c r="G47" s="709"/>
      <c r="H47" s="709"/>
      <c r="I47" s="13">
        <v>28</v>
      </c>
      <c r="J47" s="13">
        <v>3</v>
      </c>
      <c r="K47" s="19"/>
      <c r="L47" s="19"/>
      <c r="M47" s="19">
        <f t="shared" si="40"/>
        <v>3</v>
      </c>
      <c r="N47" s="19">
        <f t="shared" si="9"/>
        <v>84</v>
      </c>
      <c r="O47" s="12"/>
      <c r="P47" s="709" t="s">
        <v>28</v>
      </c>
      <c r="Q47" s="709"/>
      <c r="R47" s="709"/>
      <c r="S47" s="709"/>
      <c r="T47" s="709"/>
      <c r="U47" s="709"/>
      <c r="V47" s="13"/>
      <c r="W47" s="19"/>
      <c r="X47" s="19"/>
      <c r="Y47" s="23">
        <f t="shared" si="10"/>
        <v>0</v>
      </c>
      <c r="Z47" s="19">
        <f t="shared" si="11"/>
        <v>0</v>
      </c>
      <c r="AA47" s="34"/>
      <c r="AB47" s="34"/>
      <c r="AC47" s="34"/>
      <c r="AD47" s="34"/>
      <c r="AE47" s="34"/>
      <c r="AF47" s="34"/>
      <c r="AG47" s="6"/>
      <c r="AH47" s="709" t="s">
        <v>28</v>
      </c>
      <c r="AI47" s="709"/>
      <c r="AJ47" s="709"/>
      <c r="AK47" s="709"/>
      <c r="AL47" s="709"/>
      <c r="AM47" s="709"/>
      <c r="AN47" s="13"/>
      <c r="AO47" s="19"/>
      <c r="AP47" s="23">
        <f t="shared" si="12"/>
        <v>0</v>
      </c>
      <c r="AQ47" s="19">
        <f t="shared" si="13"/>
        <v>0</v>
      </c>
      <c r="AS47" s="677" t="s">
        <v>28</v>
      </c>
      <c r="AT47" s="677"/>
      <c r="AU47" s="677"/>
      <c r="AV47" s="677"/>
      <c r="AW47" s="677"/>
      <c r="AX47" s="677"/>
      <c r="AY47" s="28"/>
      <c r="AZ47" s="28"/>
      <c r="BA47" s="28"/>
      <c r="BB47" s="28"/>
      <c r="BC47" s="28"/>
      <c r="BD47" s="30">
        <f t="shared" si="14"/>
        <v>0</v>
      </c>
      <c r="BE47" s="28">
        <f t="shared" si="15"/>
        <v>0</v>
      </c>
      <c r="BF47" s="14"/>
      <c r="BG47" s="677" t="s">
        <v>28</v>
      </c>
      <c r="BH47" s="677"/>
      <c r="BI47" s="677"/>
      <c r="BJ47" s="677"/>
      <c r="BK47" s="677"/>
      <c r="BL47" s="677"/>
      <c r="BM47" s="28"/>
      <c r="BN47" s="28"/>
      <c r="BO47" s="28"/>
      <c r="BP47" s="30">
        <f t="shared" si="16"/>
        <v>0</v>
      </c>
      <c r="BQ47" s="28">
        <f t="shared" si="17"/>
        <v>0</v>
      </c>
      <c r="BR47" s="14"/>
      <c r="BS47" s="677" t="s">
        <v>28</v>
      </c>
      <c r="BT47" s="677"/>
      <c r="BU47" s="677"/>
      <c r="BV47" s="677"/>
      <c r="BW47" s="677"/>
      <c r="BX47" s="677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30">
        <f t="shared" si="18"/>
        <v>0</v>
      </c>
      <c r="CJ47" s="28">
        <f t="shared" si="19"/>
        <v>0</v>
      </c>
      <c r="CK47" s="14"/>
      <c r="CL47" s="677" t="s">
        <v>28</v>
      </c>
      <c r="CM47" s="677"/>
      <c r="CN47" s="677"/>
      <c r="CO47" s="677"/>
      <c r="CP47" s="677"/>
      <c r="CQ47" s="677"/>
      <c r="CR47" s="28">
        <v>35</v>
      </c>
      <c r="CS47" s="28"/>
      <c r="CT47" s="28">
        <v>1</v>
      </c>
      <c r="CU47" s="28">
        <v>3</v>
      </c>
      <c r="CV47" s="28"/>
      <c r="CW47" s="28"/>
      <c r="CX47" s="28"/>
      <c r="CY47" s="28"/>
      <c r="CZ47" s="28"/>
      <c r="DA47" s="30">
        <f t="shared" si="20"/>
        <v>4</v>
      </c>
      <c r="DB47" s="28">
        <f t="shared" si="21"/>
        <v>140</v>
      </c>
      <c r="DC47" s="14"/>
      <c r="DD47" s="677" t="s">
        <v>28</v>
      </c>
      <c r="DE47" s="677"/>
      <c r="DF47" s="677"/>
      <c r="DG47" s="677"/>
      <c r="DH47" s="677"/>
      <c r="DI47" s="677"/>
      <c r="DJ47" s="28">
        <v>35</v>
      </c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30">
        <f t="shared" si="22"/>
        <v>0</v>
      </c>
      <c r="DV47" s="28">
        <f t="shared" si="23"/>
        <v>0</v>
      </c>
      <c r="DX47" s="677" t="s">
        <v>28</v>
      </c>
      <c r="DY47" s="677"/>
      <c r="DZ47" s="677"/>
      <c r="EA47" s="677"/>
      <c r="EB47" s="677"/>
      <c r="EC47" s="677"/>
      <c r="ED47" s="28">
        <v>35</v>
      </c>
      <c r="EE47" s="28"/>
      <c r="EF47" s="28"/>
      <c r="EG47" s="28"/>
      <c r="EH47" s="28"/>
      <c r="EI47" s="28"/>
      <c r="EJ47" s="28"/>
      <c r="EK47" s="28"/>
      <c r="EL47" s="28"/>
      <c r="EM47" s="30"/>
      <c r="EN47" s="30"/>
      <c r="EO47" s="30">
        <f t="shared" si="24"/>
        <v>0</v>
      </c>
      <c r="EP47" s="28">
        <f t="shared" si="25"/>
        <v>0</v>
      </c>
      <c r="EQ47" t="str">
        <f t="shared" si="26"/>
        <v>IGUAL</v>
      </c>
      <c r="ER47" s="677" t="s">
        <v>28</v>
      </c>
      <c r="ES47" s="677"/>
      <c r="ET47" s="677"/>
      <c r="EU47" s="677"/>
      <c r="EV47" s="677"/>
      <c r="EW47" s="677"/>
      <c r="EX47" s="28">
        <v>35</v>
      </c>
      <c r="EY47" s="28"/>
      <c r="EZ47" s="28"/>
      <c r="FA47" s="28"/>
      <c r="FB47" s="28"/>
      <c r="FC47" s="28">
        <v>1</v>
      </c>
      <c r="FD47" s="28"/>
      <c r="FE47" s="28"/>
      <c r="FF47" s="28"/>
      <c r="FG47" s="28"/>
      <c r="FH47" s="28">
        <v>2</v>
      </c>
      <c r="FI47" s="30"/>
      <c r="FJ47" s="30"/>
      <c r="FK47" s="30"/>
      <c r="FL47" s="30"/>
      <c r="FM47" s="30"/>
      <c r="FN47" s="30"/>
      <c r="FO47" s="30"/>
      <c r="FP47" s="30"/>
      <c r="FQ47" s="30"/>
      <c r="FR47" s="30"/>
      <c r="FS47" s="30"/>
      <c r="FT47" s="30">
        <f t="shared" si="27"/>
        <v>3</v>
      </c>
      <c r="FU47" s="28">
        <f t="shared" si="28"/>
        <v>105</v>
      </c>
      <c r="FW47" s="677" t="s">
        <v>28</v>
      </c>
      <c r="FX47" s="677"/>
      <c r="FY47" s="677"/>
      <c r="FZ47" s="677"/>
      <c r="GA47" s="677"/>
      <c r="GB47" s="677"/>
      <c r="GC47" s="28">
        <v>35</v>
      </c>
      <c r="GD47" s="30"/>
      <c r="GE47" s="28"/>
      <c r="GF47" s="28"/>
      <c r="GG47" s="28"/>
      <c r="GH47" s="28"/>
      <c r="GI47" s="28"/>
      <c r="GJ47" s="28"/>
      <c r="GK47" s="28"/>
      <c r="GL47" s="28"/>
      <c r="GM47" s="28"/>
      <c r="GN47" s="30"/>
      <c r="GO47" s="30"/>
      <c r="GP47" s="30"/>
      <c r="GQ47" s="30">
        <f t="shared" si="29"/>
        <v>0</v>
      </c>
      <c r="GR47" s="28">
        <f t="shared" si="30"/>
        <v>0</v>
      </c>
      <c r="GT47" s="677" t="s">
        <v>28</v>
      </c>
      <c r="GU47" s="677"/>
      <c r="GV47" s="677"/>
      <c r="GW47" s="677"/>
      <c r="GX47" s="677"/>
      <c r="GY47" s="677"/>
      <c r="GZ47" s="28">
        <v>35</v>
      </c>
      <c r="HA47" s="28"/>
      <c r="HB47" s="28"/>
      <c r="HC47" s="28"/>
      <c r="HD47" s="28"/>
      <c r="HE47" s="28"/>
      <c r="HF47" s="28"/>
      <c r="HG47" s="28"/>
      <c r="HH47" s="28"/>
      <c r="HI47" s="28"/>
      <c r="HJ47" s="30"/>
      <c r="HK47" s="30"/>
      <c r="HL47" s="30">
        <f t="shared" si="43"/>
        <v>0</v>
      </c>
      <c r="HM47" s="28">
        <f t="shared" si="32"/>
        <v>0</v>
      </c>
      <c r="HO47" s="677" t="s">
        <v>28</v>
      </c>
      <c r="HP47" s="677"/>
      <c r="HQ47" s="677"/>
      <c r="HR47" s="677"/>
      <c r="HS47" s="677"/>
      <c r="HT47" s="677"/>
      <c r="HU47" s="28">
        <v>35</v>
      </c>
      <c r="HV47" s="28"/>
      <c r="HW47" s="30">
        <f t="shared" si="44"/>
        <v>0</v>
      </c>
      <c r="HX47" s="28">
        <f t="shared" si="45"/>
        <v>0</v>
      </c>
      <c r="HZ47" s="677" t="s">
        <v>28</v>
      </c>
      <c r="IA47" s="677"/>
      <c r="IB47" s="677"/>
      <c r="IC47" s="677"/>
      <c r="ID47" s="677"/>
      <c r="IE47" s="677"/>
      <c r="IF47" s="28">
        <v>35</v>
      </c>
      <c r="IG47" s="28"/>
      <c r="IH47" s="30"/>
      <c r="II47" s="30"/>
      <c r="IJ47" s="30"/>
      <c r="IK47" s="30"/>
      <c r="IL47" s="30"/>
      <c r="IM47" s="30">
        <f t="shared" si="41"/>
        <v>0</v>
      </c>
      <c r="IN47" s="28">
        <f t="shared" si="46"/>
        <v>0</v>
      </c>
      <c r="IP47" s="677" t="s">
        <v>28</v>
      </c>
      <c r="IQ47" s="677"/>
      <c r="IR47" s="677"/>
      <c r="IS47" s="677"/>
      <c r="IT47" s="677"/>
      <c r="IU47" s="677"/>
      <c r="IV47" s="28">
        <v>35</v>
      </c>
      <c r="IW47" s="28"/>
      <c r="IX47" s="30"/>
      <c r="IY47" s="30">
        <f t="shared" si="47"/>
        <v>0</v>
      </c>
      <c r="IZ47" s="28">
        <f t="shared" si="48"/>
        <v>0</v>
      </c>
      <c r="JB47" s="677" t="s">
        <v>28</v>
      </c>
      <c r="JC47" s="677"/>
      <c r="JD47" s="677"/>
      <c r="JE47" s="677"/>
      <c r="JF47" s="677"/>
      <c r="JG47" s="677"/>
      <c r="JH47" s="28">
        <v>35</v>
      </c>
      <c r="JI47" s="28">
        <v>1</v>
      </c>
      <c r="JJ47" s="30"/>
      <c r="JK47" s="30"/>
      <c r="JL47" s="30"/>
      <c r="JM47" s="30"/>
      <c r="JN47" s="30"/>
      <c r="JO47" s="30"/>
      <c r="JP47" s="30"/>
      <c r="JQ47" s="30"/>
      <c r="JR47" s="30"/>
      <c r="JS47" s="30"/>
      <c r="JT47" s="30"/>
      <c r="JU47" s="30"/>
      <c r="JV47" s="30">
        <v>1</v>
      </c>
      <c r="JW47" s="30"/>
      <c r="JX47" s="30"/>
      <c r="JY47" s="30"/>
      <c r="JZ47" s="30"/>
      <c r="KA47" s="30"/>
      <c r="KB47" s="30"/>
      <c r="KC47" s="30"/>
      <c r="KD47" s="30"/>
      <c r="KE47" s="30">
        <f t="shared" si="34"/>
        <v>2</v>
      </c>
      <c r="KF47" s="28">
        <f t="shared" si="49"/>
        <v>70</v>
      </c>
      <c r="KH47" s="677" t="s">
        <v>28</v>
      </c>
      <c r="KI47" s="677"/>
      <c r="KJ47" s="677"/>
      <c r="KK47" s="677"/>
      <c r="KL47" s="677"/>
      <c r="KM47" s="677"/>
      <c r="KN47" s="28">
        <v>35</v>
      </c>
      <c r="KO47" s="28"/>
      <c r="KP47" s="30"/>
      <c r="KQ47" s="30"/>
      <c r="KR47" s="30">
        <v>1</v>
      </c>
      <c r="KS47" s="30">
        <f t="shared" si="50"/>
        <v>1</v>
      </c>
      <c r="KT47" s="28">
        <f t="shared" si="51"/>
        <v>35</v>
      </c>
      <c r="KV47" s="677" t="s">
        <v>28</v>
      </c>
      <c r="KW47" s="677"/>
      <c r="KX47" s="677"/>
      <c r="KY47" s="677"/>
      <c r="KZ47" s="677"/>
      <c r="LA47" s="677"/>
      <c r="LB47" s="28">
        <v>35</v>
      </c>
      <c r="LC47" s="28">
        <v>1</v>
      </c>
      <c r="LD47" s="30"/>
      <c r="LE47" s="30"/>
      <c r="LF47" s="30">
        <f t="shared" si="52"/>
        <v>1</v>
      </c>
      <c r="LG47" s="28">
        <f t="shared" si="53"/>
        <v>35</v>
      </c>
      <c r="LI47" s="677" t="s">
        <v>28</v>
      </c>
      <c r="LJ47" s="677"/>
      <c r="LK47" s="677"/>
      <c r="LL47" s="677"/>
      <c r="LM47" s="677"/>
      <c r="LN47" s="677"/>
      <c r="LO47" s="28">
        <v>35</v>
      </c>
      <c r="LP47" s="28"/>
      <c r="LQ47" s="30"/>
      <c r="LR47" s="30"/>
      <c r="LS47" s="30"/>
      <c r="LT47" s="30"/>
      <c r="LU47" s="30"/>
      <c r="LV47" s="30"/>
      <c r="LW47" s="30"/>
      <c r="LX47" s="30"/>
      <c r="LY47" s="30"/>
      <c r="LZ47" s="30"/>
      <c r="MA47" s="30"/>
      <c r="MB47" s="30"/>
      <c r="MC47" s="30"/>
      <c r="MD47" s="30"/>
      <c r="ME47" s="30">
        <f t="shared" si="35"/>
        <v>0</v>
      </c>
      <c r="MF47" s="28">
        <f t="shared" si="8"/>
        <v>0</v>
      </c>
      <c r="MH47" s="677" t="s">
        <v>28</v>
      </c>
      <c r="MI47" s="677"/>
      <c r="MJ47" s="677"/>
      <c r="MK47" s="677"/>
      <c r="ML47" s="677"/>
      <c r="MM47" s="677"/>
      <c r="MN47" s="28">
        <v>35</v>
      </c>
      <c r="MO47" s="28">
        <v>2</v>
      </c>
      <c r="MP47" s="30"/>
      <c r="MQ47" s="30"/>
      <c r="MR47" s="30"/>
      <c r="MS47" s="30"/>
      <c r="MT47" s="30">
        <v>2</v>
      </c>
      <c r="MU47" s="30"/>
      <c r="MV47" s="30">
        <v>1</v>
      </c>
      <c r="MW47" s="30">
        <v>1</v>
      </c>
      <c r="MX47" s="30"/>
      <c r="MY47" s="30"/>
      <c r="MZ47" s="30"/>
      <c r="NA47" s="30"/>
      <c r="NB47" s="30"/>
      <c r="NC47" s="30"/>
      <c r="ND47" s="30">
        <f t="shared" si="36"/>
        <v>6</v>
      </c>
      <c r="NE47" s="28">
        <f t="shared" si="37"/>
        <v>210</v>
      </c>
      <c r="NG47" s="677" t="s">
        <v>28</v>
      </c>
      <c r="NH47" s="677"/>
      <c r="NI47" s="677"/>
      <c r="NJ47" s="677"/>
      <c r="NK47" s="677"/>
      <c r="NL47" s="677"/>
      <c r="NM47" s="28">
        <v>30</v>
      </c>
      <c r="NN47" s="30"/>
      <c r="NO47" s="30"/>
      <c r="NP47" s="30"/>
      <c r="NQ47" s="30">
        <v>1</v>
      </c>
      <c r="NR47" s="30">
        <v>2</v>
      </c>
      <c r="NS47" s="30"/>
      <c r="NT47" s="30">
        <v>1</v>
      </c>
      <c r="NU47" s="30"/>
      <c r="NV47" s="30"/>
      <c r="NW47" s="30"/>
      <c r="NX47" s="30"/>
      <c r="NY47" s="30"/>
      <c r="NZ47" s="30"/>
      <c r="OA47" s="30"/>
      <c r="OB47" s="30"/>
      <c r="OC47" s="30">
        <f t="shared" si="38"/>
        <v>4</v>
      </c>
      <c r="OD47" s="28">
        <f t="shared" si="39"/>
        <v>120</v>
      </c>
    </row>
    <row r="48" spans="1:394" ht="14.45" customHeight="1" x14ac:dyDescent="0.25">
      <c r="A48" s="47"/>
      <c r="B48" s="12"/>
      <c r="C48" s="709" t="s">
        <v>29</v>
      </c>
      <c r="D48" s="709"/>
      <c r="E48" s="709"/>
      <c r="F48" s="709"/>
      <c r="G48" s="709"/>
      <c r="H48" s="709"/>
      <c r="I48" s="13"/>
      <c r="J48" s="13"/>
      <c r="K48" s="19"/>
      <c r="L48" s="19"/>
      <c r="M48" s="19">
        <f t="shared" si="40"/>
        <v>0</v>
      </c>
      <c r="N48" s="19">
        <f t="shared" si="9"/>
        <v>0</v>
      </c>
      <c r="O48" s="12"/>
      <c r="P48" s="709" t="s">
        <v>29</v>
      </c>
      <c r="Q48" s="709"/>
      <c r="R48" s="709"/>
      <c r="S48" s="709"/>
      <c r="T48" s="709"/>
      <c r="U48" s="709"/>
      <c r="V48" s="13"/>
      <c r="W48" s="19"/>
      <c r="X48" s="19"/>
      <c r="Y48" s="23">
        <f t="shared" si="10"/>
        <v>0</v>
      </c>
      <c r="Z48" s="19">
        <f t="shared" si="11"/>
        <v>0</v>
      </c>
      <c r="AA48" s="34"/>
      <c r="AB48" s="34"/>
      <c r="AC48" s="34"/>
      <c r="AD48" s="34"/>
      <c r="AE48" s="34"/>
      <c r="AF48" s="34"/>
      <c r="AG48" s="6"/>
      <c r="AH48" s="709" t="s">
        <v>29</v>
      </c>
      <c r="AI48" s="709"/>
      <c r="AJ48" s="709"/>
      <c r="AK48" s="709"/>
      <c r="AL48" s="709"/>
      <c r="AM48" s="709"/>
      <c r="AN48" s="13"/>
      <c r="AO48" s="19"/>
      <c r="AP48" s="23">
        <f t="shared" si="12"/>
        <v>0</v>
      </c>
      <c r="AQ48" s="19">
        <f t="shared" si="13"/>
        <v>0</v>
      </c>
      <c r="AS48" s="709" t="s">
        <v>29</v>
      </c>
      <c r="AT48" s="709"/>
      <c r="AU48" s="709"/>
      <c r="AV48" s="709"/>
      <c r="AW48" s="709"/>
      <c r="AX48" s="709"/>
      <c r="AY48" s="13"/>
      <c r="AZ48" s="19"/>
      <c r="BA48" s="19"/>
      <c r="BB48" s="19"/>
      <c r="BC48" s="19"/>
      <c r="BD48" s="30">
        <f t="shared" si="14"/>
        <v>0</v>
      </c>
      <c r="BE48" s="28">
        <f t="shared" si="15"/>
        <v>0</v>
      </c>
      <c r="BF48" s="14"/>
      <c r="BG48" s="709" t="s">
        <v>29</v>
      </c>
      <c r="BH48" s="709"/>
      <c r="BI48" s="709"/>
      <c r="BJ48" s="709"/>
      <c r="BK48" s="709"/>
      <c r="BL48" s="709"/>
      <c r="BM48" s="13"/>
      <c r="BN48" s="19"/>
      <c r="BO48" s="19"/>
      <c r="BP48" s="30">
        <f t="shared" si="16"/>
        <v>0</v>
      </c>
      <c r="BQ48" s="28">
        <f t="shared" si="17"/>
        <v>0</v>
      </c>
      <c r="BR48" s="14"/>
      <c r="BS48" s="709" t="s">
        <v>29</v>
      </c>
      <c r="BT48" s="709"/>
      <c r="BU48" s="709"/>
      <c r="BV48" s="709"/>
      <c r="BW48" s="709"/>
      <c r="BX48" s="709"/>
      <c r="BY48" s="13"/>
      <c r="BZ48" s="19"/>
      <c r="CA48" s="19"/>
      <c r="CB48" s="19"/>
      <c r="CC48" s="19"/>
      <c r="CD48" s="19"/>
      <c r="CE48" s="19"/>
      <c r="CF48" s="19"/>
      <c r="CG48" s="19"/>
      <c r="CH48" s="19"/>
      <c r="CI48" s="30">
        <f t="shared" si="18"/>
        <v>0</v>
      </c>
      <c r="CJ48" s="28">
        <f t="shared" si="19"/>
        <v>0</v>
      </c>
      <c r="CK48" s="14"/>
      <c r="CL48" s="709" t="s">
        <v>29</v>
      </c>
      <c r="CM48" s="709"/>
      <c r="CN48" s="709"/>
      <c r="CO48" s="709"/>
      <c r="CP48" s="709"/>
      <c r="CQ48" s="709"/>
      <c r="CR48" s="13"/>
      <c r="CS48" s="19"/>
      <c r="CT48" s="19"/>
      <c r="CU48" s="19"/>
      <c r="CV48" s="19"/>
      <c r="CW48" s="19"/>
      <c r="CX48" s="19"/>
      <c r="CY48" s="19"/>
      <c r="CZ48" s="19"/>
      <c r="DA48" s="30">
        <f t="shared" si="20"/>
        <v>0</v>
      </c>
      <c r="DB48" s="28">
        <f t="shared" si="21"/>
        <v>0</v>
      </c>
      <c r="DC48" s="14"/>
      <c r="DD48" s="709" t="s">
        <v>29</v>
      </c>
      <c r="DE48" s="709"/>
      <c r="DF48" s="709"/>
      <c r="DG48" s="709"/>
      <c r="DH48" s="709"/>
      <c r="DI48" s="709"/>
      <c r="DJ48" s="13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30">
        <f t="shared" si="22"/>
        <v>0</v>
      </c>
      <c r="DV48" s="28">
        <f t="shared" si="23"/>
        <v>0</v>
      </c>
      <c r="DX48" s="709" t="s">
        <v>29</v>
      </c>
      <c r="DY48" s="709"/>
      <c r="DZ48" s="709"/>
      <c r="EA48" s="709"/>
      <c r="EB48" s="709"/>
      <c r="EC48" s="709"/>
      <c r="ED48" s="13">
        <v>135</v>
      </c>
      <c r="EE48" s="19"/>
      <c r="EF48" s="19"/>
      <c r="EG48" s="19"/>
      <c r="EH48" s="19"/>
      <c r="EI48" s="19"/>
      <c r="EJ48" s="19"/>
      <c r="EK48" s="19"/>
      <c r="EL48" s="19"/>
      <c r="EM48" s="23"/>
      <c r="EN48" s="23"/>
      <c r="EO48" s="30">
        <f t="shared" si="24"/>
        <v>0</v>
      </c>
      <c r="EP48" s="28">
        <f t="shared" si="25"/>
        <v>0</v>
      </c>
      <c r="EQ48" t="str">
        <f t="shared" si="26"/>
        <v>IGUAL</v>
      </c>
      <c r="ER48" s="709" t="s">
        <v>29</v>
      </c>
      <c r="ES48" s="709"/>
      <c r="ET48" s="709"/>
      <c r="EU48" s="709"/>
      <c r="EV48" s="709"/>
      <c r="EW48" s="709"/>
      <c r="EX48" s="13">
        <v>135</v>
      </c>
      <c r="EY48" s="19"/>
      <c r="EZ48" s="19"/>
      <c r="FA48" s="19"/>
      <c r="FB48" s="19"/>
      <c r="FC48" s="19"/>
      <c r="FD48" s="19"/>
      <c r="FE48" s="19"/>
      <c r="FF48" s="19"/>
      <c r="FG48" s="19"/>
      <c r="FH48" s="19"/>
      <c r="FI48" s="23">
        <v>1</v>
      </c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30">
        <f t="shared" si="27"/>
        <v>1</v>
      </c>
      <c r="FU48" s="28">
        <f t="shared" si="28"/>
        <v>135</v>
      </c>
      <c r="FW48" s="709" t="s">
        <v>29</v>
      </c>
      <c r="FX48" s="709"/>
      <c r="FY48" s="709"/>
      <c r="FZ48" s="709"/>
      <c r="GA48" s="709"/>
      <c r="GB48" s="709"/>
      <c r="GC48" s="13">
        <v>135</v>
      </c>
      <c r="GD48" s="23"/>
      <c r="GE48" s="19"/>
      <c r="GF48" s="19"/>
      <c r="GG48" s="19"/>
      <c r="GH48" s="19"/>
      <c r="GI48" s="19"/>
      <c r="GJ48" s="19"/>
      <c r="GK48" s="19"/>
      <c r="GL48" s="19"/>
      <c r="GM48" s="19"/>
      <c r="GN48" s="23"/>
      <c r="GO48" s="23"/>
      <c r="GP48" s="23"/>
      <c r="GQ48" s="30">
        <f t="shared" si="29"/>
        <v>0</v>
      </c>
      <c r="GR48" s="28">
        <f t="shared" si="30"/>
        <v>0</v>
      </c>
      <c r="GT48" s="709" t="s">
        <v>29</v>
      </c>
      <c r="GU48" s="709"/>
      <c r="GV48" s="709"/>
      <c r="GW48" s="709"/>
      <c r="GX48" s="709"/>
      <c r="GY48" s="709"/>
      <c r="GZ48" s="13">
        <v>135</v>
      </c>
      <c r="HA48" s="19"/>
      <c r="HB48" s="19"/>
      <c r="HC48" s="19"/>
      <c r="HD48" s="19"/>
      <c r="HE48" s="19"/>
      <c r="HF48" s="19"/>
      <c r="HG48" s="19"/>
      <c r="HH48" s="19"/>
      <c r="HI48" s="19"/>
      <c r="HJ48" s="23"/>
      <c r="HK48" s="23">
        <v>1</v>
      </c>
      <c r="HL48" s="30">
        <f t="shared" si="43"/>
        <v>1</v>
      </c>
      <c r="HM48" s="28">
        <f t="shared" si="32"/>
        <v>135</v>
      </c>
      <c r="HO48" s="709" t="s">
        <v>29</v>
      </c>
      <c r="HP48" s="709"/>
      <c r="HQ48" s="709"/>
      <c r="HR48" s="709"/>
      <c r="HS48" s="709"/>
      <c r="HT48" s="709"/>
      <c r="HU48" s="13">
        <v>135</v>
      </c>
      <c r="HV48" s="19"/>
      <c r="HW48" s="30">
        <f t="shared" si="44"/>
        <v>0</v>
      </c>
      <c r="HX48" s="28">
        <f t="shared" si="45"/>
        <v>0</v>
      </c>
      <c r="HZ48" s="709" t="s">
        <v>29</v>
      </c>
      <c r="IA48" s="709"/>
      <c r="IB48" s="709"/>
      <c r="IC48" s="709"/>
      <c r="ID48" s="709"/>
      <c r="IE48" s="709"/>
      <c r="IF48" s="13">
        <v>135</v>
      </c>
      <c r="IG48" s="19"/>
      <c r="IH48" s="23"/>
      <c r="II48" s="23"/>
      <c r="IJ48" s="23"/>
      <c r="IK48" s="23"/>
      <c r="IL48" s="23"/>
      <c r="IM48" s="30">
        <f t="shared" si="41"/>
        <v>0</v>
      </c>
      <c r="IN48" s="28">
        <f t="shared" si="46"/>
        <v>0</v>
      </c>
      <c r="IP48" s="709" t="s">
        <v>29</v>
      </c>
      <c r="IQ48" s="709"/>
      <c r="IR48" s="709"/>
      <c r="IS48" s="709"/>
      <c r="IT48" s="709"/>
      <c r="IU48" s="709"/>
      <c r="IV48" s="13">
        <v>135</v>
      </c>
      <c r="IW48" s="19">
        <v>4</v>
      </c>
      <c r="IX48" s="23"/>
      <c r="IY48" s="30">
        <f t="shared" si="47"/>
        <v>4</v>
      </c>
      <c r="IZ48" s="28">
        <f t="shared" si="48"/>
        <v>540</v>
      </c>
      <c r="JB48" s="709" t="s">
        <v>29</v>
      </c>
      <c r="JC48" s="709"/>
      <c r="JD48" s="709"/>
      <c r="JE48" s="709"/>
      <c r="JF48" s="709"/>
      <c r="JG48" s="709"/>
      <c r="JH48" s="13">
        <v>135</v>
      </c>
      <c r="JI48" s="19"/>
      <c r="JJ48" s="23"/>
      <c r="JK48" s="23"/>
      <c r="JL48" s="23"/>
      <c r="JM48" s="23"/>
      <c r="JN48" s="23"/>
      <c r="JO48" s="23"/>
      <c r="JP48" s="23"/>
      <c r="JQ48" s="23"/>
      <c r="JR48" s="23"/>
      <c r="JS48" s="23"/>
      <c r="JT48" s="23"/>
      <c r="JU48" s="23"/>
      <c r="JV48" s="23"/>
      <c r="JW48" s="23"/>
      <c r="JX48" s="23"/>
      <c r="JY48" s="23"/>
      <c r="JZ48" s="23"/>
      <c r="KA48" s="23"/>
      <c r="KB48" s="23"/>
      <c r="KC48" s="23"/>
      <c r="KD48" s="23"/>
      <c r="KE48" s="30">
        <f t="shared" si="34"/>
        <v>0</v>
      </c>
      <c r="KF48" s="28">
        <f t="shared" si="49"/>
        <v>0</v>
      </c>
      <c r="KH48" s="709" t="s">
        <v>29</v>
      </c>
      <c r="KI48" s="709"/>
      <c r="KJ48" s="709"/>
      <c r="KK48" s="709"/>
      <c r="KL48" s="709"/>
      <c r="KM48" s="709"/>
      <c r="KN48" s="13">
        <v>135</v>
      </c>
      <c r="KO48" s="19"/>
      <c r="KP48" s="23"/>
      <c r="KQ48" s="23"/>
      <c r="KR48" s="23"/>
      <c r="KS48" s="30">
        <f t="shared" si="50"/>
        <v>0</v>
      </c>
      <c r="KT48" s="28">
        <f t="shared" si="51"/>
        <v>0</v>
      </c>
      <c r="KV48" s="709" t="s">
        <v>29</v>
      </c>
      <c r="KW48" s="709"/>
      <c r="KX48" s="709"/>
      <c r="KY48" s="709"/>
      <c r="KZ48" s="709"/>
      <c r="LA48" s="709"/>
      <c r="LB48" s="13">
        <v>135</v>
      </c>
      <c r="LC48" s="19"/>
      <c r="LD48" s="23"/>
      <c r="LE48" s="23">
        <v>2</v>
      </c>
      <c r="LF48" s="30">
        <f t="shared" si="52"/>
        <v>2</v>
      </c>
      <c r="LG48" s="28">
        <f t="shared" si="53"/>
        <v>270</v>
      </c>
      <c r="LI48" s="709" t="s">
        <v>29</v>
      </c>
      <c r="LJ48" s="709"/>
      <c r="LK48" s="709"/>
      <c r="LL48" s="709"/>
      <c r="LM48" s="709"/>
      <c r="LN48" s="709"/>
      <c r="LO48" s="13">
        <v>135</v>
      </c>
      <c r="LP48" s="19"/>
      <c r="LQ48" s="23"/>
      <c r="LR48" s="23">
        <v>2</v>
      </c>
      <c r="LS48" s="23"/>
      <c r="LT48" s="23"/>
      <c r="LU48" s="23"/>
      <c r="LV48" s="23"/>
      <c r="LW48" s="23"/>
      <c r="LX48" s="23"/>
      <c r="LY48" s="23"/>
      <c r="LZ48" s="23">
        <v>4</v>
      </c>
      <c r="MA48" s="23"/>
      <c r="MB48" s="23">
        <v>2</v>
      </c>
      <c r="MC48" s="23"/>
      <c r="MD48" s="23"/>
      <c r="ME48" s="30">
        <f t="shared" si="35"/>
        <v>8</v>
      </c>
      <c r="MF48" s="28">
        <f t="shared" si="8"/>
        <v>1080</v>
      </c>
      <c r="MH48" s="709" t="s">
        <v>29</v>
      </c>
      <c r="MI48" s="709"/>
      <c r="MJ48" s="709"/>
      <c r="MK48" s="709"/>
      <c r="ML48" s="709"/>
      <c r="MM48" s="709"/>
      <c r="MN48" s="13">
        <v>130</v>
      </c>
      <c r="MO48" s="19"/>
      <c r="MP48" s="23"/>
      <c r="MQ48" s="23"/>
      <c r="MR48" s="23">
        <v>1</v>
      </c>
      <c r="MS48" s="23">
        <v>2</v>
      </c>
      <c r="MT48" s="23"/>
      <c r="MU48" s="23"/>
      <c r="MV48" s="23"/>
      <c r="MW48" s="23"/>
      <c r="MX48" s="23"/>
      <c r="MY48" s="23"/>
      <c r="MZ48" s="23"/>
      <c r="NA48" s="23"/>
      <c r="NB48" s="23"/>
      <c r="NC48" s="23">
        <v>2</v>
      </c>
      <c r="ND48" s="30">
        <f t="shared" si="36"/>
        <v>5</v>
      </c>
      <c r="NE48" s="28">
        <f t="shared" si="37"/>
        <v>650</v>
      </c>
      <c r="NG48" s="709" t="s">
        <v>29</v>
      </c>
      <c r="NH48" s="709"/>
      <c r="NI48" s="709"/>
      <c r="NJ48" s="709"/>
      <c r="NK48" s="709"/>
      <c r="NL48" s="709"/>
      <c r="NM48" s="13">
        <v>130</v>
      </c>
      <c r="NN48" s="23">
        <v>1</v>
      </c>
      <c r="NO48" s="23">
        <v>2</v>
      </c>
      <c r="NP48" s="23"/>
      <c r="NQ48" s="23">
        <v>2</v>
      </c>
      <c r="NR48" s="23"/>
      <c r="NS48" s="23"/>
      <c r="NT48" s="23"/>
      <c r="NU48" s="23"/>
      <c r="NV48" s="23"/>
      <c r="NW48" s="23"/>
      <c r="NX48" s="23"/>
      <c r="NY48" s="23"/>
      <c r="NZ48" s="23"/>
      <c r="OA48" s="23"/>
      <c r="OB48" s="23"/>
      <c r="OC48" s="30">
        <f t="shared" si="38"/>
        <v>5</v>
      </c>
      <c r="OD48" s="28">
        <f t="shared" si="39"/>
        <v>650</v>
      </c>
    </row>
    <row r="49" spans="1:394" ht="14.45" customHeight="1" x14ac:dyDescent="0.25">
      <c r="A49" s="47"/>
      <c r="B49" s="12"/>
      <c r="C49" s="13"/>
      <c r="D49" s="13"/>
      <c r="E49" s="13"/>
      <c r="F49" s="13"/>
      <c r="G49" s="13"/>
      <c r="H49" s="13"/>
      <c r="I49" s="13"/>
      <c r="J49" s="13"/>
      <c r="K49" s="19"/>
      <c r="L49" s="19"/>
      <c r="M49" s="19"/>
      <c r="N49" s="19"/>
      <c r="O49" s="12"/>
      <c r="P49" s="13"/>
      <c r="Q49" s="13"/>
      <c r="R49" s="13"/>
      <c r="S49" s="13"/>
      <c r="T49" s="13"/>
      <c r="U49" s="13"/>
      <c r="V49" s="13"/>
      <c r="W49" s="19"/>
      <c r="X49" s="19"/>
      <c r="Y49" s="23"/>
      <c r="Z49" s="19"/>
      <c r="AA49" s="34"/>
      <c r="AB49" s="34"/>
      <c r="AC49" s="34"/>
      <c r="AD49" s="34"/>
      <c r="AE49" s="34"/>
      <c r="AF49" s="34"/>
      <c r="AG49" s="6"/>
      <c r="AH49" s="13"/>
      <c r="AI49" s="13"/>
      <c r="AJ49" s="13"/>
      <c r="AK49" s="13"/>
      <c r="AL49" s="13"/>
      <c r="AM49" s="13"/>
      <c r="AN49" s="13"/>
      <c r="AO49" s="19"/>
      <c r="AP49" s="23"/>
      <c r="AQ49" s="19"/>
      <c r="AS49" s="13"/>
      <c r="AT49" s="13"/>
      <c r="AU49" s="13"/>
      <c r="AV49" s="13"/>
      <c r="AW49" s="13"/>
      <c r="AX49" s="13"/>
      <c r="AY49" s="13"/>
      <c r="AZ49" s="19"/>
      <c r="BA49" s="19"/>
      <c r="BB49" s="19"/>
      <c r="BC49" s="19"/>
      <c r="BD49" s="30"/>
      <c r="BE49" s="28"/>
      <c r="BF49" s="14"/>
      <c r="BG49" s="13"/>
      <c r="BH49" s="13"/>
      <c r="BI49" s="13"/>
      <c r="BJ49" s="13"/>
      <c r="BK49" s="13"/>
      <c r="BL49" s="13"/>
      <c r="BM49" s="13"/>
      <c r="BN49" s="19"/>
      <c r="BO49" s="19"/>
      <c r="BP49" s="30"/>
      <c r="BQ49" s="28"/>
      <c r="BR49" s="14"/>
      <c r="BS49" s="13"/>
      <c r="BT49" s="13"/>
      <c r="BU49" s="13"/>
      <c r="BV49" s="13"/>
      <c r="BW49" s="13"/>
      <c r="BX49" s="13"/>
      <c r="BY49" s="13"/>
      <c r="BZ49" s="19"/>
      <c r="CA49" s="19"/>
      <c r="CB49" s="19"/>
      <c r="CC49" s="19"/>
      <c r="CD49" s="19"/>
      <c r="CE49" s="19"/>
      <c r="CF49" s="19"/>
      <c r="CG49" s="19"/>
      <c r="CH49" s="19"/>
      <c r="CI49" s="30"/>
      <c r="CJ49" s="28"/>
      <c r="CK49" s="14"/>
      <c r="CL49" s="13"/>
      <c r="CM49" s="13"/>
      <c r="CN49" s="13"/>
      <c r="CO49" s="13"/>
      <c r="CP49" s="13"/>
      <c r="CQ49" s="13"/>
      <c r="CR49" s="13"/>
      <c r="CS49" s="19"/>
      <c r="CT49" s="19"/>
      <c r="CU49" s="19"/>
      <c r="CV49" s="19"/>
      <c r="CW49" s="19"/>
      <c r="CX49" s="19"/>
      <c r="CY49" s="19"/>
      <c r="CZ49" s="19"/>
      <c r="DA49" s="30"/>
      <c r="DB49" s="28"/>
      <c r="DC49" s="14"/>
      <c r="DD49" s="13"/>
      <c r="DE49" s="13"/>
      <c r="DF49" s="13"/>
      <c r="DG49" s="13"/>
      <c r="DH49" s="13"/>
      <c r="DI49" s="13"/>
      <c r="DJ49" s="13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30"/>
      <c r="DV49" s="28"/>
      <c r="DX49" s="13"/>
      <c r="DY49" s="13"/>
      <c r="DZ49" s="13"/>
      <c r="EA49" s="13"/>
      <c r="EB49" s="13"/>
      <c r="EC49" s="13"/>
      <c r="ED49" s="13"/>
      <c r="EE49" s="19"/>
      <c r="EF49" s="19"/>
      <c r="EG49" s="19"/>
      <c r="EH49" s="19"/>
      <c r="EI49" s="19"/>
      <c r="EJ49" s="19"/>
      <c r="EK49" s="19"/>
      <c r="EL49" s="19"/>
      <c r="EM49" s="23"/>
      <c r="EN49" s="23"/>
      <c r="EO49" s="30">
        <f t="shared" si="24"/>
        <v>0</v>
      </c>
      <c r="EP49" s="28">
        <f t="shared" si="25"/>
        <v>0</v>
      </c>
      <c r="EQ49" t="str">
        <f t="shared" si="26"/>
        <v>IGUAL</v>
      </c>
      <c r="ER49" s="709" t="s">
        <v>113</v>
      </c>
      <c r="ES49" s="709"/>
      <c r="ET49" s="709"/>
      <c r="EU49" s="709"/>
      <c r="EV49" s="709"/>
      <c r="EW49" s="709"/>
      <c r="EX49" s="13"/>
      <c r="EY49" s="19"/>
      <c r="EZ49" s="19"/>
      <c r="FA49" s="19"/>
      <c r="FB49" s="19"/>
      <c r="FC49" s="19"/>
      <c r="FD49" s="19"/>
      <c r="FE49" s="19"/>
      <c r="FF49" s="19"/>
      <c r="FG49" s="19"/>
      <c r="FH49" s="19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30">
        <f t="shared" si="27"/>
        <v>0</v>
      </c>
      <c r="FU49" s="28">
        <f t="shared" si="28"/>
        <v>0</v>
      </c>
      <c r="FW49" s="709" t="s">
        <v>113</v>
      </c>
      <c r="FX49" s="709"/>
      <c r="FY49" s="709"/>
      <c r="FZ49" s="709"/>
      <c r="GA49" s="709"/>
      <c r="GB49" s="709"/>
      <c r="GC49" s="13"/>
      <c r="GD49" s="23"/>
      <c r="GE49" s="19"/>
      <c r="GF49" s="19"/>
      <c r="GG49" s="19"/>
      <c r="GH49" s="19"/>
      <c r="GI49" s="19"/>
      <c r="GJ49" s="19"/>
      <c r="GK49" s="19"/>
      <c r="GL49" s="19"/>
      <c r="GM49" s="19"/>
      <c r="GN49" s="23"/>
      <c r="GO49" s="23"/>
      <c r="GP49" s="23"/>
      <c r="GQ49" s="30">
        <f t="shared" si="29"/>
        <v>0</v>
      </c>
      <c r="GR49" s="28">
        <f t="shared" si="30"/>
        <v>0</v>
      </c>
      <c r="GT49" s="709" t="s">
        <v>113</v>
      </c>
      <c r="GU49" s="709"/>
      <c r="GV49" s="709"/>
      <c r="GW49" s="709"/>
      <c r="GX49" s="709"/>
      <c r="GY49" s="709"/>
      <c r="GZ49" s="13"/>
      <c r="HA49" s="19"/>
      <c r="HB49" s="19"/>
      <c r="HC49" s="19"/>
      <c r="HD49" s="19"/>
      <c r="HE49" s="19"/>
      <c r="HF49" s="19"/>
      <c r="HG49" s="19"/>
      <c r="HH49" s="19"/>
      <c r="HI49" s="19"/>
      <c r="HJ49" s="23"/>
      <c r="HK49" s="23"/>
      <c r="HL49" s="30">
        <f t="shared" si="43"/>
        <v>0</v>
      </c>
      <c r="HM49" s="28">
        <f t="shared" si="32"/>
        <v>0</v>
      </c>
      <c r="HO49" s="709" t="s">
        <v>113</v>
      </c>
      <c r="HP49" s="709"/>
      <c r="HQ49" s="709"/>
      <c r="HR49" s="709"/>
      <c r="HS49" s="709"/>
      <c r="HT49" s="709"/>
      <c r="HU49" s="13"/>
      <c r="HV49" s="19"/>
      <c r="HW49" s="30">
        <f t="shared" si="44"/>
        <v>0</v>
      </c>
      <c r="HX49" s="28">
        <f t="shared" si="45"/>
        <v>0</v>
      </c>
      <c r="HZ49" s="709" t="s">
        <v>113</v>
      </c>
      <c r="IA49" s="709"/>
      <c r="IB49" s="709"/>
      <c r="IC49" s="709"/>
      <c r="ID49" s="709"/>
      <c r="IE49" s="709"/>
      <c r="IF49" s="13">
        <v>135</v>
      </c>
      <c r="IG49" s="19"/>
      <c r="IH49" s="23"/>
      <c r="II49" s="23"/>
      <c r="IJ49" s="23"/>
      <c r="IK49" s="23"/>
      <c r="IL49" s="23"/>
      <c r="IM49" s="30">
        <f t="shared" si="41"/>
        <v>0</v>
      </c>
      <c r="IN49" s="28">
        <f t="shared" si="46"/>
        <v>0</v>
      </c>
      <c r="IP49" s="709" t="s">
        <v>113</v>
      </c>
      <c r="IQ49" s="709"/>
      <c r="IR49" s="709"/>
      <c r="IS49" s="709"/>
      <c r="IT49" s="709"/>
      <c r="IU49" s="709"/>
      <c r="IV49" s="13">
        <v>135</v>
      </c>
      <c r="IW49" s="19"/>
      <c r="IX49" s="23"/>
      <c r="IY49" s="30">
        <f t="shared" si="47"/>
        <v>0</v>
      </c>
      <c r="IZ49" s="28">
        <f t="shared" si="48"/>
        <v>0</v>
      </c>
      <c r="JB49" s="709" t="s">
        <v>113</v>
      </c>
      <c r="JC49" s="709"/>
      <c r="JD49" s="709"/>
      <c r="JE49" s="709"/>
      <c r="JF49" s="709"/>
      <c r="JG49" s="709"/>
      <c r="JH49" s="13">
        <v>135</v>
      </c>
      <c r="JI49" s="19"/>
      <c r="JJ49" s="23"/>
      <c r="JK49" s="23"/>
      <c r="JL49" s="23"/>
      <c r="JM49" s="23"/>
      <c r="JN49" s="23"/>
      <c r="JO49" s="23"/>
      <c r="JP49" s="23"/>
      <c r="JQ49" s="23"/>
      <c r="JR49" s="23"/>
      <c r="JS49" s="23"/>
      <c r="JT49" s="23"/>
      <c r="JU49" s="23"/>
      <c r="JV49" s="23"/>
      <c r="JW49" s="23"/>
      <c r="JX49" s="23"/>
      <c r="JY49" s="23"/>
      <c r="JZ49" s="23"/>
      <c r="KA49" s="23"/>
      <c r="KB49" s="23"/>
      <c r="KC49" s="23"/>
      <c r="KD49" s="23"/>
      <c r="KE49" s="30">
        <f t="shared" si="34"/>
        <v>0</v>
      </c>
      <c r="KF49" s="28">
        <f t="shared" si="49"/>
        <v>0</v>
      </c>
      <c r="KH49" s="709" t="s">
        <v>113</v>
      </c>
      <c r="KI49" s="709"/>
      <c r="KJ49" s="709"/>
      <c r="KK49" s="709"/>
      <c r="KL49" s="709"/>
      <c r="KM49" s="709"/>
      <c r="KN49" s="13">
        <v>135</v>
      </c>
      <c r="KO49" s="19"/>
      <c r="KP49" s="23"/>
      <c r="KQ49" s="23"/>
      <c r="KR49" s="23"/>
      <c r="KS49" s="30">
        <f t="shared" si="50"/>
        <v>0</v>
      </c>
      <c r="KT49" s="28">
        <f t="shared" si="51"/>
        <v>0</v>
      </c>
      <c r="KV49" s="709" t="s">
        <v>113</v>
      </c>
      <c r="KW49" s="709"/>
      <c r="KX49" s="709"/>
      <c r="KY49" s="709"/>
      <c r="KZ49" s="709"/>
      <c r="LA49" s="709"/>
      <c r="LB49" s="13">
        <v>35</v>
      </c>
      <c r="LC49" s="19"/>
      <c r="LD49" s="23">
        <v>2</v>
      </c>
      <c r="LE49" s="23"/>
      <c r="LF49" s="30">
        <f t="shared" si="52"/>
        <v>2</v>
      </c>
      <c r="LG49" s="28">
        <f t="shared" si="53"/>
        <v>70</v>
      </c>
      <c r="LI49" s="709" t="s">
        <v>113</v>
      </c>
      <c r="LJ49" s="709"/>
      <c r="LK49" s="709"/>
      <c r="LL49" s="709"/>
      <c r="LM49" s="709"/>
      <c r="LN49" s="709"/>
      <c r="LO49" s="13">
        <v>35</v>
      </c>
      <c r="LP49" s="19"/>
      <c r="LQ49" s="23"/>
      <c r="LR49" s="23"/>
      <c r="LS49" s="23"/>
      <c r="LT49" s="23"/>
      <c r="LU49" s="23"/>
      <c r="LV49" s="23"/>
      <c r="LW49" s="23"/>
      <c r="LX49" s="23"/>
      <c r="LY49" s="23"/>
      <c r="LZ49" s="23"/>
      <c r="MA49" s="23"/>
      <c r="MB49" s="23"/>
      <c r="MC49" s="23"/>
      <c r="MD49" s="23"/>
      <c r="ME49" s="30">
        <f t="shared" si="35"/>
        <v>0</v>
      </c>
      <c r="MF49" s="28">
        <f t="shared" si="8"/>
        <v>0</v>
      </c>
      <c r="MH49" s="709" t="s">
        <v>113</v>
      </c>
      <c r="MI49" s="709"/>
      <c r="MJ49" s="709"/>
      <c r="MK49" s="709"/>
      <c r="ML49" s="709"/>
      <c r="MM49" s="709"/>
      <c r="MN49" s="13">
        <v>35</v>
      </c>
      <c r="MO49" s="19"/>
      <c r="MP49" s="23">
        <v>2</v>
      </c>
      <c r="MQ49" s="23"/>
      <c r="MR49" s="23">
        <v>3</v>
      </c>
      <c r="MS49" s="23"/>
      <c r="MT49" s="23">
        <v>1</v>
      </c>
      <c r="MU49" s="23"/>
      <c r="MV49" s="23"/>
      <c r="MW49" s="23"/>
      <c r="MX49" s="23"/>
      <c r="MY49" s="23"/>
      <c r="MZ49" s="23"/>
      <c r="NA49" s="23"/>
      <c r="NB49" s="23"/>
      <c r="NC49" s="23"/>
      <c r="ND49" s="30">
        <f t="shared" si="36"/>
        <v>6</v>
      </c>
      <c r="NE49" s="28">
        <f t="shared" si="37"/>
        <v>210</v>
      </c>
      <c r="NG49" s="709" t="s">
        <v>113</v>
      </c>
      <c r="NH49" s="709"/>
      <c r="NI49" s="709"/>
      <c r="NJ49" s="709"/>
      <c r="NK49" s="709"/>
      <c r="NL49" s="709"/>
      <c r="NM49" s="13">
        <v>30</v>
      </c>
      <c r="NN49" s="23"/>
      <c r="NO49" s="23"/>
      <c r="NP49" s="23"/>
      <c r="NQ49" s="23"/>
      <c r="NR49" s="23"/>
      <c r="NS49" s="23">
        <v>1</v>
      </c>
      <c r="NT49" s="23">
        <v>2</v>
      </c>
      <c r="NU49" s="23"/>
      <c r="NV49" s="23"/>
      <c r="NW49" s="23"/>
      <c r="NX49" s="23"/>
      <c r="NY49" s="23"/>
      <c r="NZ49" s="23"/>
      <c r="OA49" s="23"/>
      <c r="OB49" s="23"/>
      <c r="OC49" s="30">
        <f t="shared" si="38"/>
        <v>3</v>
      </c>
      <c r="OD49" s="28">
        <f t="shared" si="39"/>
        <v>90</v>
      </c>
    </row>
    <row r="50" spans="1:394" ht="14.45" customHeight="1" x14ac:dyDescent="0.25">
      <c r="A50" s="47"/>
      <c r="B50" s="12"/>
      <c r="C50" s="709" t="s">
        <v>30</v>
      </c>
      <c r="D50" s="709"/>
      <c r="E50" s="709"/>
      <c r="F50" s="709"/>
      <c r="G50" s="709"/>
      <c r="H50" s="709"/>
      <c r="I50" s="13"/>
      <c r="J50" s="13"/>
      <c r="K50" s="19"/>
      <c r="L50" s="19"/>
      <c r="M50" s="19">
        <f t="shared" si="40"/>
        <v>0</v>
      </c>
      <c r="N50" s="19">
        <f t="shared" si="9"/>
        <v>0</v>
      </c>
      <c r="O50" s="12"/>
      <c r="P50" s="709" t="s">
        <v>30</v>
      </c>
      <c r="Q50" s="709"/>
      <c r="R50" s="709"/>
      <c r="S50" s="709"/>
      <c r="T50" s="709"/>
      <c r="U50" s="709"/>
      <c r="V50" s="13"/>
      <c r="W50" s="19"/>
      <c r="X50" s="19"/>
      <c r="Y50" s="23">
        <f t="shared" si="10"/>
        <v>0</v>
      </c>
      <c r="Z50" s="19">
        <f t="shared" si="11"/>
        <v>0</v>
      </c>
      <c r="AA50" s="34"/>
      <c r="AB50" s="34"/>
      <c r="AC50" s="34"/>
      <c r="AD50" s="34"/>
      <c r="AE50" s="34"/>
      <c r="AF50" s="34"/>
      <c r="AG50" s="6"/>
      <c r="AH50" s="709" t="s">
        <v>30</v>
      </c>
      <c r="AI50" s="709"/>
      <c r="AJ50" s="709"/>
      <c r="AK50" s="709"/>
      <c r="AL50" s="709"/>
      <c r="AM50" s="709"/>
      <c r="AN50" s="13"/>
      <c r="AO50" s="19"/>
      <c r="AP50" s="23">
        <f t="shared" si="12"/>
        <v>0</v>
      </c>
      <c r="AQ50" s="19">
        <f t="shared" si="13"/>
        <v>0</v>
      </c>
      <c r="AS50" s="677" t="s">
        <v>30</v>
      </c>
      <c r="AT50" s="677"/>
      <c r="AU50" s="677"/>
      <c r="AV50" s="677"/>
      <c r="AW50" s="677"/>
      <c r="AX50" s="677"/>
      <c r="AY50" s="28"/>
      <c r="AZ50" s="28"/>
      <c r="BA50" s="28"/>
      <c r="BB50" s="28"/>
      <c r="BC50" s="28"/>
      <c r="BD50" s="30">
        <f t="shared" si="14"/>
        <v>0</v>
      </c>
      <c r="BE50" s="28">
        <f t="shared" si="15"/>
        <v>0</v>
      </c>
      <c r="BF50" s="14"/>
      <c r="BG50" s="677" t="s">
        <v>30</v>
      </c>
      <c r="BH50" s="677"/>
      <c r="BI50" s="677"/>
      <c r="BJ50" s="677"/>
      <c r="BK50" s="677"/>
      <c r="BL50" s="677"/>
      <c r="BM50" s="28"/>
      <c r="BN50" s="28"/>
      <c r="BO50" s="28"/>
      <c r="BP50" s="30">
        <f t="shared" si="16"/>
        <v>0</v>
      </c>
      <c r="BQ50" s="28">
        <f t="shared" si="17"/>
        <v>0</v>
      </c>
      <c r="BR50" s="14"/>
      <c r="BS50" s="677" t="s">
        <v>30</v>
      </c>
      <c r="BT50" s="677"/>
      <c r="BU50" s="677"/>
      <c r="BV50" s="677"/>
      <c r="BW50" s="677"/>
      <c r="BX50" s="677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30">
        <f t="shared" si="18"/>
        <v>0</v>
      </c>
      <c r="CJ50" s="28">
        <f t="shared" si="19"/>
        <v>0</v>
      </c>
      <c r="CK50" s="14"/>
      <c r="CL50" s="677" t="s">
        <v>30</v>
      </c>
      <c r="CM50" s="677"/>
      <c r="CN50" s="677"/>
      <c r="CO50" s="677"/>
      <c r="CP50" s="677"/>
      <c r="CQ50" s="677"/>
      <c r="CR50" s="28">
        <v>135</v>
      </c>
      <c r="CS50" s="28"/>
      <c r="CT50" s="28"/>
      <c r="CU50" s="28"/>
      <c r="CV50" s="28"/>
      <c r="CW50" s="28"/>
      <c r="CX50" s="28">
        <v>6</v>
      </c>
      <c r="CY50" s="28"/>
      <c r="CZ50" s="28"/>
      <c r="DA50" s="30">
        <f t="shared" si="20"/>
        <v>6</v>
      </c>
      <c r="DB50" s="28">
        <f t="shared" si="21"/>
        <v>810</v>
      </c>
      <c r="DC50" s="14"/>
      <c r="DD50" s="677" t="s">
        <v>30</v>
      </c>
      <c r="DE50" s="677"/>
      <c r="DF50" s="677"/>
      <c r="DG50" s="677"/>
      <c r="DH50" s="677"/>
      <c r="DI50" s="677"/>
      <c r="DJ50" s="28">
        <v>135</v>
      </c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30">
        <f t="shared" si="22"/>
        <v>0</v>
      </c>
      <c r="DV50" s="28">
        <f t="shared" si="23"/>
        <v>0</v>
      </c>
      <c r="DX50" s="677" t="s">
        <v>30</v>
      </c>
      <c r="DY50" s="677"/>
      <c r="DZ50" s="677"/>
      <c r="EA50" s="677"/>
      <c r="EB50" s="677"/>
      <c r="EC50" s="677"/>
      <c r="ED50" s="28">
        <v>135</v>
      </c>
      <c r="EE50" s="28"/>
      <c r="EF50" s="28"/>
      <c r="EG50" s="28"/>
      <c r="EH50" s="28"/>
      <c r="EI50" s="28"/>
      <c r="EJ50" s="28"/>
      <c r="EK50" s="28"/>
      <c r="EL50" s="28"/>
      <c r="EM50" s="30"/>
      <c r="EN50" s="30"/>
      <c r="EO50" s="30">
        <f t="shared" si="24"/>
        <v>0</v>
      </c>
      <c r="EP50" s="28">
        <f t="shared" si="25"/>
        <v>0</v>
      </c>
      <c r="EQ50" t="str">
        <f t="shared" si="26"/>
        <v>IGUAL</v>
      </c>
      <c r="ER50" s="677" t="s">
        <v>30</v>
      </c>
      <c r="ES50" s="677"/>
      <c r="ET50" s="677"/>
      <c r="EU50" s="677"/>
      <c r="EV50" s="677"/>
      <c r="EW50" s="677"/>
      <c r="EX50" s="28">
        <v>135</v>
      </c>
      <c r="EY50" s="28"/>
      <c r="EZ50" s="28"/>
      <c r="FA50" s="28"/>
      <c r="FB50" s="28"/>
      <c r="FC50" s="28"/>
      <c r="FD50" s="28"/>
      <c r="FE50" s="28"/>
      <c r="FF50" s="28"/>
      <c r="FG50" s="28"/>
      <c r="FH50" s="28"/>
      <c r="FI50" s="30"/>
      <c r="FJ50" s="30"/>
      <c r="FK50" s="30"/>
      <c r="FL50" s="30"/>
      <c r="FM50" s="30"/>
      <c r="FN50" s="30"/>
      <c r="FO50" s="30"/>
      <c r="FP50" s="30"/>
      <c r="FQ50" s="30"/>
      <c r="FR50" s="30"/>
      <c r="FS50" s="30"/>
      <c r="FT50" s="30">
        <f t="shared" si="27"/>
        <v>0</v>
      </c>
      <c r="FU50" s="28">
        <f t="shared" si="28"/>
        <v>0</v>
      </c>
      <c r="FW50" s="677" t="s">
        <v>30</v>
      </c>
      <c r="FX50" s="677"/>
      <c r="FY50" s="677"/>
      <c r="FZ50" s="677"/>
      <c r="GA50" s="677"/>
      <c r="GB50" s="677"/>
      <c r="GC50" s="28">
        <v>135</v>
      </c>
      <c r="GD50" s="30"/>
      <c r="GE50" s="28"/>
      <c r="GF50" s="28"/>
      <c r="GG50" s="28"/>
      <c r="GH50" s="28"/>
      <c r="GI50" s="28"/>
      <c r="GJ50" s="28"/>
      <c r="GK50" s="28"/>
      <c r="GL50" s="28"/>
      <c r="GM50" s="28"/>
      <c r="GN50" s="30"/>
      <c r="GO50" s="30"/>
      <c r="GP50" s="30"/>
      <c r="GQ50" s="30">
        <f t="shared" si="29"/>
        <v>0</v>
      </c>
      <c r="GR50" s="28">
        <f t="shared" si="30"/>
        <v>0</v>
      </c>
      <c r="GT50" s="677" t="s">
        <v>30</v>
      </c>
      <c r="GU50" s="677"/>
      <c r="GV50" s="677"/>
      <c r="GW50" s="677"/>
      <c r="GX50" s="677"/>
      <c r="GY50" s="677"/>
      <c r="GZ50" s="28">
        <v>135</v>
      </c>
      <c r="HA50" s="28"/>
      <c r="HB50" s="28"/>
      <c r="HC50" s="28"/>
      <c r="HD50" s="28"/>
      <c r="HE50" s="28"/>
      <c r="HF50" s="28"/>
      <c r="HG50" s="28"/>
      <c r="HH50" s="28"/>
      <c r="HI50" s="28"/>
      <c r="HJ50" s="30"/>
      <c r="HK50" s="30"/>
      <c r="HL50" s="30">
        <f t="shared" si="43"/>
        <v>0</v>
      </c>
      <c r="HM50" s="28">
        <f t="shared" si="32"/>
        <v>0</v>
      </c>
      <c r="HO50" s="677" t="s">
        <v>30</v>
      </c>
      <c r="HP50" s="677"/>
      <c r="HQ50" s="677"/>
      <c r="HR50" s="677"/>
      <c r="HS50" s="677"/>
      <c r="HT50" s="677"/>
      <c r="HU50" s="28">
        <v>135</v>
      </c>
      <c r="HV50" s="28"/>
      <c r="HW50" s="30">
        <f t="shared" si="44"/>
        <v>0</v>
      </c>
      <c r="HX50" s="28">
        <f t="shared" si="45"/>
        <v>0</v>
      </c>
      <c r="HZ50" s="677" t="s">
        <v>30</v>
      </c>
      <c r="IA50" s="677"/>
      <c r="IB50" s="677"/>
      <c r="IC50" s="677"/>
      <c r="ID50" s="677"/>
      <c r="IE50" s="677"/>
      <c r="IF50" s="28">
        <v>135</v>
      </c>
      <c r="IG50" s="28"/>
      <c r="IH50" s="30"/>
      <c r="II50" s="30"/>
      <c r="IJ50" s="30"/>
      <c r="IK50" s="30"/>
      <c r="IL50" s="30"/>
      <c r="IM50" s="30">
        <f t="shared" si="41"/>
        <v>0</v>
      </c>
      <c r="IN50" s="28">
        <f t="shared" si="46"/>
        <v>0</v>
      </c>
      <c r="IP50" s="677" t="s">
        <v>30</v>
      </c>
      <c r="IQ50" s="677"/>
      <c r="IR50" s="677"/>
      <c r="IS50" s="677"/>
      <c r="IT50" s="677"/>
      <c r="IU50" s="677"/>
      <c r="IV50" s="28">
        <v>135</v>
      </c>
      <c r="IW50" s="28"/>
      <c r="IX50" s="30"/>
      <c r="IY50" s="30">
        <f t="shared" si="47"/>
        <v>0</v>
      </c>
      <c r="IZ50" s="28">
        <f t="shared" si="48"/>
        <v>0</v>
      </c>
      <c r="JB50" s="677" t="s">
        <v>30</v>
      </c>
      <c r="JC50" s="677"/>
      <c r="JD50" s="677"/>
      <c r="JE50" s="677"/>
      <c r="JF50" s="677"/>
      <c r="JG50" s="677"/>
      <c r="JH50" s="28">
        <v>135</v>
      </c>
      <c r="JI50" s="28"/>
      <c r="JJ50" s="30"/>
      <c r="JK50" s="30"/>
      <c r="JL50" s="30"/>
      <c r="JM50" s="30"/>
      <c r="JN50" s="30"/>
      <c r="JO50" s="30"/>
      <c r="JP50" s="30"/>
      <c r="JQ50" s="30"/>
      <c r="JR50" s="30"/>
      <c r="JS50" s="30"/>
      <c r="JT50" s="30"/>
      <c r="JU50" s="30"/>
      <c r="JV50" s="30"/>
      <c r="JW50" s="30"/>
      <c r="JX50" s="30"/>
      <c r="JY50" s="30"/>
      <c r="JZ50" s="30"/>
      <c r="KA50" s="30"/>
      <c r="KB50" s="30">
        <v>2</v>
      </c>
      <c r="KC50" s="30"/>
      <c r="KD50" s="30"/>
      <c r="KE50" s="30">
        <f t="shared" si="34"/>
        <v>2</v>
      </c>
      <c r="KF50" s="28">
        <f t="shared" si="49"/>
        <v>270</v>
      </c>
      <c r="KH50" s="677" t="s">
        <v>30</v>
      </c>
      <c r="KI50" s="677"/>
      <c r="KJ50" s="677"/>
      <c r="KK50" s="677"/>
      <c r="KL50" s="677"/>
      <c r="KM50" s="677"/>
      <c r="KN50" s="28">
        <v>135</v>
      </c>
      <c r="KO50" s="28">
        <v>1</v>
      </c>
      <c r="KP50" s="30"/>
      <c r="KQ50" s="30"/>
      <c r="KR50" s="30"/>
      <c r="KS50" s="30">
        <f t="shared" si="50"/>
        <v>1</v>
      </c>
      <c r="KT50" s="28">
        <f t="shared" si="51"/>
        <v>135</v>
      </c>
      <c r="KV50" s="677" t="s">
        <v>30</v>
      </c>
      <c r="KW50" s="677"/>
      <c r="KX50" s="677"/>
      <c r="KY50" s="677"/>
      <c r="KZ50" s="677"/>
      <c r="LA50" s="677"/>
      <c r="LB50" s="28">
        <v>135</v>
      </c>
      <c r="LC50" s="28"/>
      <c r="LD50" s="30"/>
      <c r="LE50" s="30"/>
      <c r="LF50" s="30">
        <f t="shared" si="52"/>
        <v>0</v>
      </c>
      <c r="LG50" s="28">
        <f t="shared" si="53"/>
        <v>0</v>
      </c>
      <c r="LI50" s="677" t="s">
        <v>30</v>
      </c>
      <c r="LJ50" s="677"/>
      <c r="LK50" s="677"/>
      <c r="LL50" s="677"/>
      <c r="LM50" s="677"/>
      <c r="LN50" s="677"/>
      <c r="LO50" s="28">
        <v>135</v>
      </c>
      <c r="LP50" s="28"/>
      <c r="LQ50" s="30"/>
      <c r="LR50" s="30"/>
      <c r="LS50" s="30"/>
      <c r="LT50" s="30"/>
      <c r="LU50" s="30"/>
      <c r="LV50" s="30"/>
      <c r="LW50" s="30"/>
      <c r="LX50" s="30"/>
      <c r="LY50" s="30"/>
      <c r="LZ50" s="30"/>
      <c r="MA50" s="30">
        <v>2</v>
      </c>
      <c r="MB50" s="30"/>
      <c r="MC50" s="30"/>
      <c r="MD50" s="30"/>
      <c r="ME50" s="30">
        <f t="shared" si="35"/>
        <v>2</v>
      </c>
      <c r="MF50" s="28">
        <f t="shared" si="8"/>
        <v>270</v>
      </c>
      <c r="MH50" s="677" t="s">
        <v>30</v>
      </c>
      <c r="MI50" s="677"/>
      <c r="MJ50" s="677"/>
      <c r="MK50" s="677"/>
      <c r="ML50" s="677"/>
      <c r="MM50" s="677"/>
      <c r="MN50" s="28">
        <v>130</v>
      </c>
      <c r="MO50" s="28">
        <v>1</v>
      </c>
      <c r="MP50" s="30"/>
      <c r="MQ50" s="30"/>
      <c r="MR50" s="30">
        <v>1</v>
      </c>
      <c r="MS50" s="30"/>
      <c r="MT50" s="30"/>
      <c r="MU50" s="30"/>
      <c r="MV50" s="30"/>
      <c r="MW50" s="30"/>
      <c r="MX50" s="30"/>
      <c r="MY50" s="30">
        <v>1</v>
      </c>
      <c r="MZ50" s="30"/>
      <c r="NA50" s="30"/>
      <c r="NB50" s="30"/>
      <c r="NC50" s="30"/>
      <c r="ND50" s="30">
        <f t="shared" si="36"/>
        <v>3</v>
      </c>
      <c r="NE50" s="28">
        <f t="shared" si="37"/>
        <v>390</v>
      </c>
      <c r="NG50" s="677" t="s">
        <v>30</v>
      </c>
      <c r="NH50" s="677"/>
      <c r="NI50" s="677"/>
      <c r="NJ50" s="677"/>
      <c r="NK50" s="677"/>
      <c r="NL50" s="677"/>
      <c r="NM50" s="28">
        <v>130</v>
      </c>
      <c r="NN50" s="30">
        <v>1</v>
      </c>
      <c r="NO50" s="30">
        <v>1</v>
      </c>
      <c r="NP50" s="30"/>
      <c r="NQ50" s="30"/>
      <c r="NR50" s="30"/>
      <c r="NS50" s="30"/>
      <c r="NT50" s="30"/>
      <c r="NU50" s="30"/>
      <c r="NV50" s="30"/>
      <c r="NW50" s="30"/>
      <c r="NX50" s="30"/>
      <c r="NY50" s="30"/>
      <c r="NZ50" s="30"/>
      <c r="OA50" s="30"/>
      <c r="OB50" s="30"/>
      <c r="OC50" s="30">
        <f t="shared" si="38"/>
        <v>2</v>
      </c>
      <c r="OD50" s="28">
        <f t="shared" si="39"/>
        <v>260</v>
      </c>
    </row>
    <row r="51" spans="1:394" ht="14.45" customHeight="1" x14ac:dyDescent="0.25">
      <c r="A51" s="47"/>
      <c r="B51" s="12"/>
      <c r="C51" s="709" t="s">
        <v>31</v>
      </c>
      <c r="D51" s="709"/>
      <c r="E51" s="709"/>
      <c r="F51" s="709"/>
      <c r="G51" s="709"/>
      <c r="H51" s="709"/>
      <c r="I51" s="13"/>
      <c r="J51" s="13"/>
      <c r="K51" s="19"/>
      <c r="L51" s="19"/>
      <c r="M51" s="19">
        <f t="shared" si="40"/>
        <v>0</v>
      </c>
      <c r="N51" s="19">
        <f t="shared" si="9"/>
        <v>0</v>
      </c>
      <c r="O51" s="12"/>
      <c r="P51" s="709" t="s">
        <v>31</v>
      </c>
      <c r="Q51" s="709"/>
      <c r="R51" s="709"/>
      <c r="S51" s="709"/>
      <c r="T51" s="709"/>
      <c r="U51" s="709"/>
      <c r="V51" s="13"/>
      <c r="W51" s="19"/>
      <c r="X51" s="19"/>
      <c r="Y51" s="23">
        <f t="shared" si="10"/>
        <v>0</v>
      </c>
      <c r="Z51" s="19">
        <f t="shared" si="11"/>
        <v>0</v>
      </c>
      <c r="AA51" s="34"/>
      <c r="AB51" s="34"/>
      <c r="AC51" s="34"/>
      <c r="AD51" s="34"/>
      <c r="AE51" s="34"/>
      <c r="AF51" s="34"/>
      <c r="AG51" s="6"/>
      <c r="AH51" s="709" t="s">
        <v>31</v>
      </c>
      <c r="AI51" s="709"/>
      <c r="AJ51" s="709"/>
      <c r="AK51" s="709"/>
      <c r="AL51" s="709"/>
      <c r="AM51" s="709"/>
      <c r="AN51" s="13">
        <v>35</v>
      </c>
      <c r="AO51" s="19">
        <v>1</v>
      </c>
      <c r="AP51" s="23">
        <f t="shared" si="12"/>
        <v>1</v>
      </c>
      <c r="AQ51" s="19">
        <f t="shared" si="13"/>
        <v>35</v>
      </c>
      <c r="AS51" s="709" t="s">
        <v>31</v>
      </c>
      <c r="AT51" s="709"/>
      <c r="AU51" s="709"/>
      <c r="AV51" s="709"/>
      <c r="AW51" s="709"/>
      <c r="AX51" s="709"/>
      <c r="AY51" s="13">
        <v>35</v>
      </c>
      <c r="AZ51" s="19"/>
      <c r="BA51" s="19"/>
      <c r="BB51" s="19"/>
      <c r="BC51" s="19"/>
      <c r="BD51" s="30">
        <f t="shared" si="14"/>
        <v>0</v>
      </c>
      <c r="BE51" s="28">
        <f t="shared" si="15"/>
        <v>0</v>
      </c>
      <c r="BF51" s="14"/>
      <c r="BG51" s="709" t="s">
        <v>31</v>
      </c>
      <c r="BH51" s="709"/>
      <c r="BI51" s="709"/>
      <c r="BJ51" s="709"/>
      <c r="BK51" s="709"/>
      <c r="BL51" s="709"/>
      <c r="BM51" s="13">
        <v>35</v>
      </c>
      <c r="BN51" s="19"/>
      <c r="BO51" s="19"/>
      <c r="BP51" s="30">
        <f t="shared" si="16"/>
        <v>0</v>
      </c>
      <c r="BQ51" s="28">
        <f t="shared" si="17"/>
        <v>0</v>
      </c>
      <c r="BR51" s="14"/>
      <c r="BS51" s="709" t="s">
        <v>31</v>
      </c>
      <c r="BT51" s="709"/>
      <c r="BU51" s="709"/>
      <c r="BV51" s="709"/>
      <c r="BW51" s="709"/>
      <c r="BX51" s="709"/>
      <c r="BY51" s="13">
        <v>35</v>
      </c>
      <c r="BZ51" s="19"/>
      <c r="CA51" s="19">
        <v>1</v>
      </c>
      <c r="CB51" s="19"/>
      <c r="CC51" s="19"/>
      <c r="CD51" s="19"/>
      <c r="CE51" s="19"/>
      <c r="CF51" s="19"/>
      <c r="CG51" s="19"/>
      <c r="CH51" s="19"/>
      <c r="CI51" s="30">
        <f t="shared" si="18"/>
        <v>1</v>
      </c>
      <c r="CJ51" s="28">
        <f t="shared" si="19"/>
        <v>35</v>
      </c>
      <c r="CK51" s="14"/>
      <c r="CL51" s="709" t="s">
        <v>31</v>
      </c>
      <c r="CM51" s="709"/>
      <c r="CN51" s="709"/>
      <c r="CO51" s="709"/>
      <c r="CP51" s="709"/>
      <c r="CQ51" s="709"/>
      <c r="CR51" s="13">
        <v>35</v>
      </c>
      <c r="CS51" s="19"/>
      <c r="CT51" s="19"/>
      <c r="CU51" s="19"/>
      <c r="CV51" s="19">
        <v>2</v>
      </c>
      <c r="CW51" s="19"/>
      <c r="CX51" s="19"/>
      <c r="CY51" s="19"/>
      <c r="CZ51" s="19"/>
      <c r="DA51" s="30">
        <f t="shared" si="20"/>
        <v>2</v>
      </c>
      <c r="DB51" s="28">
        <f t="shared" si="21"/>
        <v>70</v>
      </c>
      <c r="DC51" s="14"/>
      <c r="DD51" s="709" t="s">
        <v>31</v>
      </c>
      <c r="DE51" s="709"/>
      <c r="DF51" s="709"/>
      <c r="DG51" s="709"/>
      <c r="DH51" s="709"/>
      <c r="DI51" s="709"/>
      <c r="DJ51" s="13">
        <v>35</v>
      </c>
      <c r="DK51" s="19"/>
      <c r="DL51" s="19"/>
      <c r="DM51" s="19"/>
      <c r="DN51" s="19"/>
      <c r="DO51" s="19"/>
      <c r="DP51" s="19"/>
      <c r="DQ51" s="19"/>
      <c r="DR51" s="19"/>
      <c r="DS51" s="19"/>
      <c r="DT51" s="19"/>
      <c r="DU51" s="30">
        <f t="shared" si="22"/>
        <v>0</v>
      </c>
      <c r="DV51" s="28">
        <f t="shared" si="23"/>
        <v>0</v>
      </c>
      <c r="DX51" s="709" t="s">
        <v>31</v>
      </c>
      <c r="DY51" s="709"/>
      <c r="DZ51" s="709"/>
      <c r="EA51" s="709"/>
      <c r="EB51" s="709"/>
      <c r="EC51" s="709"/>
      <c r="ED51" s="13">
        <v>35</v>
      </c>
      <c r="EE51" s="19"/>
      <c r="EF51" s="19"/>
      <c r="EG51" s="19"/>
      <c r="EH51" s="19"/>
      <c r="EI51" s="19"/>
      <c r="EJ51" s="19"/>
      <c r="EK51" s="19"/>
      <c r="EL51" s="19"/>
      <c r="EM51" s="23"/>
      <c r="EN51" s="23"/>
      <c r="EO51" s="30">
        <f t="shared" si="24"/>
        <v>0</v>
      </c>
      <c r="EP51" s="28">
        <f t="shared" si="25"/>
        <v>0</v>
      </c>
      <c r="EQ51" t="str">
        <f t="shared" si="26"/>
        <v>IGUAL</v>
      </c>
      <c r="ER51" s="709" t="s">
        <v>31</v>
      </c>
      <c r="ES51" s="709"/>
      <c r="ET51" s="709"/>
      <c r="EU51" s="709"/>
      <c r="EV51" s="709"/>
      <c r="EW51" s="709"/>
      <c r="EX51" s="13">
        <v>35</v>
      </c>
      <c r="EY51" s="19"/>
      <c r="EZ51" s="19"/>
      <c r="FA51" s="19"/>
      <c r="FB51" s="19"/>
      <c r="FC51" s="19"/>
      <c r="FD51" s="19"/>
      <c r="FE51" s="19"/>
      <c r="FF51" s="19"/>
      <c r="FG51" s="19"/>
      <c r="FH51" s="19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30">
        <f t="shared" si="27"/>
        <v>0</v>
      </c>
      <c r="FU51" s="28">
        <f t="shared" si="28"/>
        <v>0</v>
      </c>
      <c r="FW51" s="709" t="s">
        <v>31</v>
      </c>
      <c r="FX51" s="709"/>
      <c r="FY51" s="709"/>
      <c r="FZ51" s="709"/>
      <c r="GA51" s="709"/>
      <c r="GB51" s="709"/>
      <c r="GC51" s="13">
        <v>35</v>
      </c>
      <c r="GD51" s="23"/>
      <c r="GE51" s="19"/>
      <c r="GF51" s="19"/>
      <c r="GG51" s="19"/>
      <c r="GH51" s="19"/>
      <c r="GI51" s="19"/>
      <c r="GJ51" s="19"/>
      <c r="GK51" s="19"/>
      <c r="GL51" s="19"/>
      <c r="GM51" s="19"/>
      <c r="GN51" s="23"/>
      <c r="GO51" s="23"/>
      <c r="GP51" s="23"/>
      <c r="GQ51" s="30">
        <f t="shared" si="29"/>
        <v>0</v>
      </c>
      <c r="GR51" s="28">
        <f t="shared" si="30"/>
        <v>0</v>
      </c>
      <c r="GT51" s="709" t="s">
        <v>31</v>
      </c>
      <c r="GU51" s="709"/>
      <c r="GV51" s="709"/>
      <c r="GW51" s="709"/>
      <c r="GX51" s="709"/>
      <c r="GY51" s="709"/>
      <c r="GZ51" s="13">
        <v>35</v>
      </c>
      <c r="HA51" s="19"/>
      <c r="HB51" s="19"/>
      <c r="HC51" s="19"/>
      <c r="HD51" s="19"/>
      <c r="HE51" s="19"/>
      <c r="HF51" s="19"/>
      <c r="HG51" s="19"/>
      <c r="HH51" s="19"/>
      <c r="HI51" s="19"/>
      <c r="HJ51" s="23"/>
      <c r="HK51" s="23"/>
      <c r="HL51" s="30">
        <f t="shared" si="43"/>
        <v>0</v>
      </c>
      <c r="HM51" s="28">
        <f t="shared" si="32"/>
        <v>0</v>
      </c>
      <c r="HO51" s="709" t="s">
        <v>31</v>
      </c>
      <c r="HP51" s="709"/>
      <c r="HQ51" s="709"/>
      <c r="HR51" s="709"/>
      <c r="HS51" s="709"/>
      <c r="HT51" s="709"/>
      <c r="HU51" s="13">
        <v>35</v>
      </c>
      <c r="HV51" s="19"/>
      <c r="HW51" s="30">
        <f t="shared" si="44"/>
        <v>0</v>
      </c>
      <c r="HX51" s="28">
        <f t="shared" si="45"/>
        <v>0</v>
      </c>
      <c r="HZ51" s="709" t="s">
        <v>31</v>
      </c>
      <c r="IA51" s="709"/>
      <c r="IB51" s="709"/>
      <c r="IC51" s="709"/>
      <c r="ID51" s="709"/>
      <c r="IE51" s="709"/>
      <c r="IF51" s="13">
        <v>35</v>
      </c>
      <c r="IG51" s="19"/>
      <c r="IH51" s="23"/>
      <c r="II51" s="23"/>
      <c r="IJ51" s="23"/>
      <c r="IK51" s="23"/>
      <c r="IL51" s="23"/>
      <c r="IM51" s="30">
        <f t="shared" si="41"/>
        <v>0</v>
      </c>
      <c r="IN51" s="28">
        <f t="shared" si="46"/>
        <v>0</v>
      </c>
      <c r="IP51" s="709" t="s">
        <v>31</v>
      </c>
      <c r="IQ51" s="709"/>
      <c r="IR51" s="709"/>
      <c r="IS51" s="709"/>
      <c r="IT51" s="709"/>
      <c r="IU51" s="709"/>
      <c r="IV51" s="13">
        <v>35</v>
      </c>
      <c r="IW51" s="19"/>
      <c r="IX51" s="23"/>
      <c r="IY51" s="30">
        <f t="shared" si="47"/>
        <v>0</v>
      </c>
      <c r="IZ51" s="28">
        <f t="shared" si="48"/>
        <v>0</v>
      </c>
      <c r="JB51" s="709" t="s">
        <v>31</v>
      </c>
      <c r="JC51" s="709"/>
      <c r="JD51" s="709"/>
      <c r="JE51" s="709"/>
      <c r="JF51" s="709"/>
      <c r="JG51" s="709"/>
      <c r="JH51" s="13">
        <v>35</v>
      </c>
      <c r="JI51" s="19"/>
      <c r="JJ51" s="23"/>
      <c r="JK51" s="23"/>
      <c r="JL51" s="23"/>
      <c r="JM51" s="23"/>
      <c r="JN51" s="23"/>
      <c r="JO51" s="23"/>
      <c r="JP51" s="23"/>
      <c r="JQ51" s="23"/>
      <c r="JR51" s="23"/>
      <c r="JS51" s="23"/>
      <c r="JT51" s="23"/>
      <c r="JU51" s="23"/>
      <c r="JV51" s="23"/>
      <c r="JW51" s="23"/>
      <c r="JX51" s="23"/>
      <c r="JY51" s="23"/>
      <c r="JZ51" s="23"/>
      <c r="KA51" s="23"/>
      <c r="KB51" s="23"/>
      <c r="KC51" s="23"/>
      <c r="KD51" s="23"/>
      <c r="KE51" s="30">
        <f t="shared" si="34"/>
        <v>0</v>
      </c>
      <c r="KF51" s="28">
        <f t="shared" si="49"/>
        <v>0</v>
      </c>
      <c r="KH51" s="709" t="s">
        <v>31</v>
      </c>
      <c r="KI51" s="709"/>
      <c r="KJ51" s="709"/>
      <c r="KK51" s="709"/>
      <c r="KL51" s="709"/>
      <c r="KM51" s="709"/>
      <c r="KN51" s="13">
        <v>35</v>
      </c>
      <c r="KO51" s="19"/>
      <c r="KP51" s="23"/>
      <c r="KQ51" s="23"/>
      <c r="KR51" s="23"/>
      <c r="KS51" s="30">
        <f t="shared" si="50"/>
        <v>0</v>
      </c>
      <c r="KT51" s="28">
        <f t="shared" si="51"/>
        <v>0</v>
      </c>
      <c r="KV51" s="709" t="s">
        <v>31</v>
      </c>
      <c r="KW51" s="709"/>
      <c r="KX51" s="709"/>
      <c r="KY51" s="709"/>
      <c r="KZ51" s="709"/>
      <c r="LA51" s="709"/>
      <c r="LB51" s="13">
        <v>35</v>
      </c>
      <c r="LC51" s="19"/>
      <c r="LD51" s="23"/>
      <c r="LE51" s="23"/>
      <c r="LF51" s="30">
        <f t="shared" si="52"/>
        <v>0</v>
      </c>
      <c r="LG51" s="28">
        <f t="shared" si="53"/>
        <v>0</v>
      </c>
      <c r="LI51" s="709" t="s">
        <v>31</v>
      </c>
      <c r="LJ51" s="709"/>
      <c r="LK51" s="709"/>
      <c r="LL51" s="709"/>
      <c r="LM51" s="709"/>
      <c r="LN51" s="709"/>
      <c r="LO51" s="13">
        <v>35</v>
      </c>
      <c r="LP51" s="19"/>
      <c r="LQ51" s="23"/>
      <c r="LR51" s="23"/>
      <c r="LS51" s="23"/>
      <c r="LT51" s="23"/>
      <c r="LU51" s="23"/>
      <c r="LV51" s="23"/>
      <c r="LW51" s="23"/>
      <c r="LX51" s="23"/>
      <c r="LY51" s="23"/>
      <c r="LZ51" s="23">
        <v>1</v>
      </c>
      <c r="MA51" s="23"/>
      <c r="MB51" s="23">
        <v>1</v>
      </c>
      <c r="MC51" s="23"/>
      <c r="MD51" s="23"/>
      <c r="ME51" s="30">
        <f t="shared" si="35"/>
        <v>2</v>
      </c>
      <c r="MF51" s="28">
        <f t="shared" si="8"/>
        <v>70</v>
      </c>
      <c r="MH51" s="709" t="s">
        <v>31</v>
      </c>
      <c r="MI51" s="709"/>
      <c r="MJ51" s="709"/>
      <c r="MK51" s="709"/>
      <c r="ML51" s="709"/>
      <c r="MM51" s="709"/>
      <c r="MN51" s="13">
        <v>35</v>
      </c>
      <c r="MO51" s="19"/>
      <c r="MP51" s="23">
        <v>1</v>
      </c>
      <c r="MQ51" s="23"/>
      <c r="MR51" s="23"/>
      <c r="MS51" s="23"/>
      <c r="MT51" s="23">
        <v>1</v>
      </c>
      <c r="MU51" s="23"/>
      <c r="MV51" s="23"/>
      <c r="MW51" s="23"/>
      <c r="MX51" s="23"/>
      <c r="MY51" s="23"/>
      <c r="MZ51" s="23"/>
      <c r="NA51" s="23"/>
      <c r="NB51" s="23"/>
      <c r="NC51" s="23"/>
      <c r="ND51" s="30">
        <f t="shared" si="36"/>
        <v>2</v>
      </c>
      <c r="NE51" s="28">
        <f t="shared" si="37"/>
        <v>70</v>
      </c>
      <c r="NG51" s="709" t="s">
        <v>31</v>
      </c>
      <c r="NH51" s="709"/>
      <c r="NI51" s="709"/>
      <c r="NJ51" s="709"/>
      <c r="NK51" s="709"/>
      <c r="NL51" s="709"/>
      <c r="NM51" s="13">
        <v>35</v>
      </c>
      <c r="NN51" s="23"/>
      <c r="NO51" s="23"/>
      <c r="NP51" s="23"/>
      <c r="NQ51" s="23"/>
      <c r="NR51" s="23"/>
      <c r="NS51" s="23"/>
      <c r="NT51" s="23"/>
      <c r="NU51" s="23"/>
      <c r="NV51" s="23"/>
      <c r="NW51" s="23"/>
      <c r="NX51" s="23"/>
      <c r="NY51" s="23"/>
      <c r="NZ51" s="23"/>
      <c r="OA51" s="23"/>
      <c r="OB51" s="23"/>
      <c r="OC51" s="30">
        <f t="shared" si="38"/>
        <v>0</v>
      </c>
      <c r="OD51" s="28">
        <f t="shared" si="39"/>
        <v>0</v>
      </c>
    </row>
    <row r="52" spans="1:394" ht="14.45" customHeight="1" x14ac:dyDescent="0.25">
      <c r="A52" s="47"/>
      <c r="B52" s="12"/>
      <c r="C52" s="709" t="s">
        <v>32</v>
      </c>
      <c r="D52" s="709"/>
      <c r="E52" s="709"/>
      <c r="F52" s="709"/>
      <c r="G52" s="709"/>
      <c r="H52" s="709"/>
      <c r="I52" s="13"/>
      <c r="J52" s="13"/>
      <c r="K52" s="19"/>
      <c r="L52" s="19"/>
      <c r="M52" s="19">
        <f t="shared" si="40"/>
        <v>0</v>
      </c>
      <c r="N52" s="19">
        <f t="shared" si="9"/>
        <v>0</v>
      </c>
      <c r="O52" s="12"/>
      <c r="P52" s="709" t="s">
        <v>32</v>
      </c>
      <c r="Q52" s="709"/>
      <c r="R52" s="709"/>
      <c r="S52" s="709"/>
      <c r="T52" s="709"/>
      <c r="U52" s="709"/>
      <c r="V52" s="13"/>
      <c r="W52" s="19"/>
      <c r="X52" s="19"/>
      <c r="Y52" s="23">
        <f t="shared" si="10"/>
        <v>0</v>
      </c>
      <c r="Z52" s="19">
        <f t="shared" si="11"/>
        <v>0</v>
      </c>
      <c r="AA52" s="34"/>
      <c r="AB52" s="34"/>
      <c r="AC52" s="34"/>
      <c r="AD52" s="34"/>
      <c r="AE52" s="34"/>
      <c r="AF52" s="34"/>
      <c r="AG52" s="6"/>
      <c r="AH52" s="709" t="s">
        <v>32</v>
      </c>
      <c r="AI52" s="709"/>
      <c r="AJ52" s="709"/>
      <c r="AK52" s="709"/>
      <c r="AL52" s="709"/>
      <c r="AM52" s="709"/>
      <c r="AN52" s="13"/>
      <c r="AO52" s="19"/>
      <c r="AP52" s="23">
        <f t="shared" si="12"/>
        <v>0</v>
      </c>
      <c r="AQ52" s="19">
        <f t="shared" si="13"/>
        <v>0</v>
      </c>
      <c r="AS52" s="677" t="s">
        <v>32</v>
      </c>
      <c r="AT52" s="677"/>
      <c r="AU52" s="677"/>
      <c r="AV52" s="677"/>
      <c r="AW52" s="677"/>
      <c r="AX52" s="677"/>
      <c r="AY52" s="28"/>
      <c r="AZ52" s="28"/>
      <c r="BA52" s="28"/>
      <c r="BB52" s="28"/>
      <c r="BC52" s="28"/>
      <c r="BD52" s="30">
        <f t="shared" si="14"/>
        <v>0</v>
      </c>
      <c r="BE52" s="28">
        <f t="shared" si="15"/>
        <v>0</v>
      </c>
      <c r="BF52" s="14"/>
      <c r="BG52" s="677" t="s">
        <v>32</v>
      </c>
      <c r="BH52" s="677"/>
      <c r="BI52" s="677"/>
      <c r="BJ52" s="677"/>
      <c r="BK52" s="677"/>
      <c r="BL52" s="677"/>
      <c r="BM52" s="28"/>
      <c r="BN52" s="28"/>
      <c r="BO52" s="28"/>
      <c r="BP52" s="30">
        <f t="shared" si="16"/>
        <v>0</v>
      </c>
      <c r="BQ52" s="28">
        <f t="shared" si="17"/>
        <v>0</v>
      </c>
      <c r="BR52" s="14"/>
      <c r="BS52" s="677" t="s">
        <v>32</v>
      </c>
      <c r="BT52" s="677"/>
      <c r="BU52" s="677"/>
      <c r="BV52" s="677"/>
      <c r="BW52" s="677"/>
      <c r="BX52" s="677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30">
        <f t="shared" si="18"/>
        <v>0</v>
      </c>
      <c r="CJ52" s="28">
        <f t="shared" si="19"/>
        <v>0</v>
      </c>
      <c r="CK52" s="14"/>
      <c r="CL52" s="677" t="s">
        <v>32</v>
      </c>
      <c r="CM52" s="677"/>
      <c r="CN52" s="677"/>
      <c r="CO52" s="677"/>
      <c r="CP52" s="677"/>
      <c r="CQ52" s="677"/>
      <c r="CR52" s="28"/>
      <c r="CS52" s="28"/>
      <c r="CT52" s="28"/>
      <c r="CU52" s="28"/>
      <c r="CV52" s="28"/>
      <c r="CW52" s="28"/>
      <c r="CX52" s="28"/>
      <c r="CY52" s="28"/>
      <c r="CZ52" s="28"/>
      <c r="DA52" s="30">
        <f t="shared" si="20"/>
        <v>0</v>
      </c>
      <c r="DB52" s="28">
        <f t="shared" si="21"/>
        <v>0</v>
      </c>
      <c r="DC52" s="14"/>
      <c r="DD52" s="677" t="s">
        <v>32</v>
      </c>
      <c r="DE52" s="677"/>
      <c r="DF52" s="677"/>
      <c r="DG52" s="677"/>
      <c r="DH52" s="677"/>
      <c r="DI52" s="677"/>
      <c r="DJ52" s="28"/>
      <c r="DK52" s="28"/>
      <c r="DL52" s="28"/>
      <c r="DM52" s="28"/>
      <c r="DN52" s="28"/>
      <c r="DO52" s="28"/>
      <c r="DP52" s="28"/>
      <c r="DQ52" s="28"/>
      <c r="DR52" s="28"/>
      <c r="DS52" s="28"/>
      <c r="DT52" s="28"/>
      <c r="DU52" s="30">
        <f t="shared" si="22"/>
        <v>0</v>
      </c>
      <c r="DV52" s="28">
        <f t="shared" si="23"/>
        <v>0</v>
      </c>
      <c r="DX52" s="677" t="s">
        <v>32</v>
      </c>
      <c r="DY52" s="677"/>
      <c r="DZ52" s="677"/>
      <c r="EA52" s="677"/>
      <c r="EB52" s="677"/>
      <c r="EC52" s="677"/>
      <c r="ED52" s="28"/>
      <c r="EE52" s="28"/>
      <c r="EF52" s="28"/>
      <c r="EG52" s="28"/>
      <c r="EH52" s="28"/>
      <c r="EI52" s="28"/>
      <c r="EJ52" s="28"/>
      <c r="EK52" s="28"/>
      <c r="EL52" s="28"/>
      <c r="EM52" s="30"/>
      <c r="EN52" s="30"/>
      <c r="EO52" s="30">
        <f t="shared" si="24"/>
        <v>0</v>
      </c>
      <c r="EP52" s="28">
        <f t="shared" si="25"/>
        <v>0</v>
      </c>
      <c r="EQ52" t="str">
        <f t="shared" si="26"/>
        <v>IGUAL</v>
      </c>
      <c r="ER52" s="677" t="s">
        <v>32</v>
      </c>
      <c r="ES52" s="677"/>
      <c r="ET52" s="677"/>
      <c r="EU52" s="677"/>
      <c r="EV52" s="677"/>
      <c r="EW52" s="677"/>
      <c r="EX52" s="28"/>
      <c r="EY52" s="28"/>
      <c r="EZ52" s="28"/>
      <c r="FA52" s="28"/>
      <c r="FB52" s="28"/>
      <c r="FC52" s="28"/>
      <c r="FD52" s="28"/>
      <c r="FE52" s="28"/>
      <c r="FF52" s="28"/>
      <c r="FG52" s="28"/>
      <c r="FH52" s="28"/>
      <c r="FI52" s="30"/>
      <c r="FJ52" s="30"/>
      <c r="FK52" s="30"/>
      <c r="FL52" s="30"/>
      <c r="FM52" s="30"/>
      <c r="FN52" s="30"/>
      <c r="FO52" s="30"/>
      <c r="FP52" s="30"/>
      <c r="FQ52" s="30"/>
      <c r="FR52" s="30"/>
      <c r="FS52" s="30"/>
      <c r="FT52" s="30">
        <f t="shared" si="27"/>
        <v>0</v>
      </c>
      <c r="FU52" s="28">
        <f t="shared" si="28"/>
        <v>0</v>
      </c>
      <c r="FW52" s="677" t="s">
        <v>32</v>
      </c>
      <c r="FX52" s="677"/>
      <c r="FY52" s="677"/>
      <c r="FZ52" s="677"/>
      <c r="GA52" s="677"/>
      <c r="GB52" s="677"/>
      <c r="GC52" s="28"/>
      <c r="GD52" s="30"/>
      <c r="GE52" s="28"/>
      <c r="GF52" s="28"/>
      <c r="GG52" s="28"/>
      <c r="GH52" s="28"/>
      <c r="GI52" s="28"/>
      <c r="GJ52" s="28"/>
      <c r="GK52" s="28"/>
      <c r="GL52" s="28"/>
      <c r="GM52" s="28"/>
      <c r="GN52" s="30"/>
      <c r="GO52" s="30"/>
      <c r="GP52" s="30"/>
      <c r="GQ52" s="30">
        <f t="shared" si="29"/>
        <v>0</v>
      </c>
      <c r="GR52" s="28">
        <f t="shared" si="30"/>
        <v>0</v>
      </c>
      <c r="GT52" s="677" t="s">
        <v>32</v>
      </c>
      <c r="GU52" s="677"/>
      <c r="GV52" s="677"/>
      <c r="GW52" s="677"/>
      <c r="GX52" s="677"/>
      <c r="GY52" s="677"/>
      <c r="GZ52" s="28">
        <v>18</v>
      </c>
      <c r="HA52" s="28"/>
      <c r="HB52" s="28">
        <v>2</v>
      </c>
      <c r="HC52" s="28"/>
      <c r="HD52" s="28"/>
      <c r="HE52" s="28"/>
      <c r="HF52" s="28"/>
      <c r="HG52" s="28"/>
      <c r="HH52" s="28"/>
      <c r="HI52" s="28"/>
      <c r="HJ52" s="30"/>
      <c r="HK52" s="30"/>
      <c r="HL52" s="30">
        <f t="shared" si="43"/>
        <v>2</v>
      </c>
      <c r="HM52" s="28">
        <f t="shared" si="32"/>
        <v>36</v>
      </c>
      <c r="HO52" s="677" t="s">
        <v>32</v>
      </c>
      <c r="HP52" s="677"/>
      <c r="HQ52" s="677"/>
      <c r="HR52" s="677"/>
      <c r="HS52" s="677"/>
      <c r="HT52" s="677"/>
      <c r="HU52" s="28">
        <v>18</v>
      </c>
      <c r="HV52" s="28"/>
      <c r="HW52" s="30">
        <f t="shared" si="44"/>
        <v>0</v>
      </c>
      <c r="HX52" s="28">
        <f t="shared" si="45"/>
        <v>0</v>
      </c>
      <c r="HZ52" s="677" t="s">
        <v>32</v>
      </c>
      <c r="IA52" s="677"/>
      <c r="IB52" s="677"/>
      <c r="IC52" s="677"/>
      <c r="ID52" s="677"/>
      <c r="IE52" s="677"/>
      <c r="IF52" s="28">
        <v>18</v>
      </c>
      <c r="IG52" s="28"/>
      <c r="IH52" s="30"/>
      <c r="II52" s="30"/>
      <c r="IJ52" s="30">
        <v>8</v>
      </c>
      <c r="IK52" s="30"/>
      <c r="IL52" s="30"/>
      <c r="IM52" s="30">
        <f t="shared" si="41"/>
        <v>8</v>
      </c>
      <c r="IN52" s="28">
        <f t="shared" si="46"/>
        <v>144</v>
      </c>
      <c r="IP52" s="677" t="s">
        <v>32</v>
      </c>
      <c r="IQ52" s="677"/>
      <c r="IR52" s="677"/>
      <c r="IS52" s="677"/>
      <c r="IT52" s="677"/>
      <c r="IU52" s="677"/>
      <c r="IV52" s="28">
        <v>18</v>
      </c>
      <c r="IW52" s="28"/>
      <c r="IX52" s="30"/>
      <c r="IY52" s="30">
        <f t="shared" si="47"/>
        <v>0</v>
      </c>
      <c r="IZ52" s="28">
        <f t="shared" si="48"/>
        <v>0</v>
      </c>
      <c r="JB52" s="677" t="s">
        <v>32</v>
      </c>
      <c r="JC52" s="677"/>
      <c r="JD52" s="677"/>
      <c r="JE52" s="677"/>
      <c r="JF52" s="677"/>
      <c r="JG52" s="677"/>
      <c r="JH52" s="28">
        <v>18</v>
      </c>
      <c r="JI52" s="28"/>
      <c r="JJ52" s="30"/>
      <c r="JK52" s="30"/>
      <c r="JL52" s="30"/>
      <c r="JM52" s="30"/>
      <c r="JN52" s="30"/>
      <c r="JO52" s="30"/>
      <c r="JP52" s="30"/>
      <c r="JQ52" s="30"/>
      <c r="JR52" s="30"/>
      <c r="JS52" s="30"/>
      <c r="JT52" s="30"/>
      <c r="JU52" s="30"/>
      <c r="JV52" s="30"/>
      <c r="JW52" s="30"/>
      <c r="JX52" s="30"/>
      <c r="JY52" s="30"/>
      <c r="JZ52" s="30"/>
      <c r="KA52" s="30"/>
      <c r="KB52" s="30"/>
      <c r="KC52" s="30"/>
      <c r="KD52" s="30"/>
      <c r="KE52" s="30">
        <f t="shared" si="34"/>
        <v>0</v>
      </c>
      <c r="KF52" s="28">
        <f t="shared" si="49"/>
        <v>0</v>
      </c>
      <c r="KH52" s="677" t="s">
        <v>32</v>
      </c>
      <c r="KI52" s="677"/>
      <c r="KJ52" s="677"/>
      <c r="KK52" s="677"/>
      <c r="KL52" s="677"/>
      <c r="KM52" s="677"/>
      <c r="KN52" s="28">
        <v>18</v>
      </c>
      <c r="KO52" s="28"/>
      <c r="KP52" s="30"/>
      <c r="KQ52" s="30"/>
      <c r="KR52" s="30"/>
      <c r="KS52" s="30">
        <f t="shared" si="50"/>
        <v>0</v>
      </c>
      <c r="KT52" s="28">
        <f t="shared" si="51"/>
        <v>0</v>
      </c>
      <c r="KV52" s="677" t="s">
        <v>32</v>
      </c>
      <c r="KW52" s="677"/>
      <c r="KX52" s="677"/>
      <c r="KY52" s="677"/>
      <c r="KZ52" s="677"/>
      <c r="LA52" s="677"/>
      <c r="LB52" s="28">
        <v>18</v>
      </c>
      <c r="LC52" s="28"/>
      <c r="LD52" s="30"/>
      <c r="LE52" s="30"/>
      <c r="LF52" s="30">
        <f t="shared" si="52"/>
        <v>0</v>
      </c>
      <c r="LG52" s="28">
        <f t="shared" si="53"/>
        <v>0</v>
      </c>
      <c r="LI52" s="677" t="s">
        <v>32</v>
      </c>
      <c r="LJ52" s="677"/>
      <c r="LK52" s="677"/>
      <c r="LL52" s="677"/>
      <c r="LM52" s="677"/>
      <c r="LN52" s="677"/>
      <c r="LO52" s="28">
        <v>18</v>
      </c>
      <c r="LP52" s="28"/>
      <c r="LQ52" s="30"/>
      <c r="LR52" s="30"/>
      <c r="LS52" s="30"/>
      <c r="LT52" s="30"/>
      <c r="LU52" s="30"/>
      <c r="LV52" s="30">
        <v>5</v>
      </c>
      <c r="LW52" s="30"/>
      <c r="LX52" s="30"/>
      <c r="LY52" s="30">
        <v>3</v>
      </c>
      <c r="LZ52" s="30"/>
      <c r="MA52" s="30"/>
      <c r="MB52" s="30"/>
      <c r="MC52" s="30"/>
      <c r="MD52" s="30"/>
      <c r="ME52" s="30">
        <f t="shared" si="35"/>
        <v>8</v>
      </c>
      <c r="MF52" s="28">
        <f t="shared" si="8"/>
        <v>144</v>
      </c>
      <c r="MH52" s="677" t="s">
        <v>32</v>
      </c>
      <c r="MI52" s="677"/>
      <c r="MJ52" s="677"/>
      <c r="MK52" s="677"/>
      <c r="ML52" s="677"/>
      <c r="MM52" s="677"/>
      <c r="MN52" s="28">
        <v>16</v>
      </c>
      <c r="MO52" s="28"/>
      <c r="MP52" s="30">
        <v>1</v>
      </c>
      <c r="MQ52" s="30"/>
      <c r="MR52" s="30"/>
      <c r="MS52" s="30"/>
      <c r="MT52" s="30"/>
      <c r="MU52" s="30"/>
      <c r="MV52" s="30"/>
      <c r="MW52" s="30"/>
      <c r="MX52" s="30"/>
      <c r="MY52" s="30"/>
      <c r="MZ52" s="30"/>
      <c r="NA52" s="30"/>
      <c r="NB52" s="30"/>
      <c r="NC52" s="30"/>
      <c r="ND52" s="30">
        <f t="shared" si="36"/>
        <v>1</v>
      </c>
      <c r="NE52" s="28">
        <f t="shared" si="37"/>
        <v>16</v>
      </c>
      <c r="NG52" s="677" t="s">
        <v>32</v>
      </c>
      <c r="NH52" s="677"/>
      <c r="NI52" s="677"/>
      <c r="NJ52" s="677"/>
      <c r="NK52" s="677"/>
      <c r="NL52" s="677"/>
      <c r="NM52" s="28">
        <v>15</v>
      </c>
      <c r="NN52" s="30"/>
      <c r="NO52" s="30"/>
      <c r="NP52" s="30"/>
      <c r="NQ52" s="30"/>
      <c r="NR52" s="30"/>
      <c r="NS52" s="30"/>
      <c r="NT52" s="30">
        <v>1</v>
      </c>
      <c r="NU52" s="30"/>
      <c r="NV52" s="30"/>
      <c r="NW52" s="30"/>
      <c r="NX52" s="30"/>
      <c r="NY52" s="30"/>
      <c r="NZ52" s="30"/>
      <c r="OA52" s="30"/>
      <c r="OB52" s="30"/>
      <c r="OC52" s="30">
        <f t="shared" si="38"/>
        <v>1</v>
      </c>
      <c r="OD52" s="28">
        <f t="shared" si="39"/>
        <v>15</v>
      </c>
    </row>
    <row r="53" spans="1:394" ht="14.45" customHeight="1" x14ac:dyDescent="0.25">
      <c r="A53" s="47"/>
      <c r="B53" s="12"/>
      <c r="C53" s="709" t="s">
        <v>33</v>
      </c>
      <c r="D53" s="709"/>
      <c r="E53" s="709"/>
      <c r="F53" s="709"/>
      <c r="G53" s="709"/>
      <c r="H53" s="709"/>
      <c r="I53" s="13"/>
      <c r="J53" s="13"/>
      <c r="K53" s="19"/>
      <c r="L53" s="19"/>
      <c r="M53" s="19">
        <f t="shared" si="40"/>
        <v>0</v>
      </c>
      <c r="N53" s="19">
        <f t="shared" si="9"/>
        <v>0</v>
      </c>
      <c r="O53" s="12"/>
      <c r="P53" s="709" t="s">
        <v>33</v>
      </c>
      <c r="Q53" s="709"/>
      <c r="R53" s="709"/>
      <c r="S53" s="709"/>
      <c r="T53" s="709"/>
      <c r="U53" s="709"/>
      <c r="V53" s="13"/>
      <c r="W53" s="19"/>
      <c r="X53" s="19"/>
      <c r="Y53" s="23">
        <f t="shared" si="10"/>
        <v>0</v>
      </c>
      <c r="Z53" s="19">
        <f t="shared" si="11"/>
        <v>0</v>
      </c>
      <c r="AA53" s="34"/>
      <c r="AB53" s="34"/>
      <c r="AC53" s="34"/>
      <c r="AD53" s="34"/>
      <c r="AE53" s="34"/>
      <c r="AF53" s="34"/>
      <c r="AG53" s="6"/>
      <c r="AH53" s="709" t="s">
        <v>33</v>
      </c>
      <c r="AI53" s="709"/>
      <c r="AJ53" s="709"/>
      <c r="AK53" s="709"/>
      <c r="AL53" s="709"/>
      <c r="AM53" s="709"/>
      <c r="AN53" s="13"/>
      <c r="AO53" s="19"/>
      <c r="AP53" s="23">
        <f t="shared" si="12"/>
        <v>0</v>
      </c>
      <c r="AQ53" s="19">
        <f t="shared" si="13"/>
        <v>0</v>
      </c>
      <c r="AS53" s="709" t="s">
        <v>33</v>
      </c>
      <c r="AT53" s="709"/>
      <c r="AU53" s="709"/>
      <c r="AV53" s="709"/>
      <c r="AW53" s="709"/>
      <c r="AX53" s="709"/>
      <c r="AY53" s="13"/>
      <c r="AZ53" s="19"/>
      <c r="BA53" s="19"/>
      <c r="BB53" s="19"/>
      <c r="BC53" s="19"/>
      <c r="BD53" s="30">
        <f t="shared" si="14"/>
        <v>0</v>
      </c>
      <c r="BE53" s="28">
        <f t="shared" si="15"/>
        <v>0</v>
      </c>
      <c r="BF53" s="14"/>
      <c r="BG53" s="709" t="s">
        <v>33</v>
      </c>
      <c r="BH53" s="709"/>
      <c r="BI53" s="709"/>
      <c r="BJ53" s="709"/>
      <c r="BK53" s="709"/>
      <c r="BL53" s="709"/>
      <c r="BM53" s="13"/>
      <c r="BN53" s="19"/>
      <c r="BO53" s="19"/>
      <c r="BP53" s="30">
        <f t="shared" si="16"/>
        <v>0</v>
      </c>
      <c r="BQ53" s="28">
        <f t="shared" si="17"/>
        <v>0</v>
      </c>
      <c r="BR53" s="14"/>
      <c r="BS53" s="709" t="s">
        <v>33</v>
      </c>
      <c r="BT53" s="709"/>
      <c r="BU53" s="709"/>
      <c r="BV53" s="709"/>
      <c r="BW53" s="709"/>
      <c r="BX53" s="709"/>
      <c r="BY53" s="13"/>
      <c r="BZ53" s="19"/>
      <c r="CA53" s="19"/>
      <c r="CB53" s="19"/>
      <c r="CC53" s="19"/>
      <c r="CD53" s="19"/>
      <c r="CE53" s="19"/>
      <c r="CF53" s="19"/>
      <c r="CG53" s="19"/>
      <c r="CH53" s="19"/>
      <c r="CI53" s="30">
        <f t="shared" si="18"/>
        <v>0</v>
      </c>
      <c r="CJ53" s="28">
        <f t="shared" si="19"/>
        <v>0</v>
      </c>
      <c r="CK53" s="14"/>
      <c r="CL53" s="709" t="s">
        <v>33</v>
      </c>
      <c r="CM53" s="709"/>
      <c r="CN53" s="709"/>
      <c r="CO53" s="709"/>
      <c r="CP53" s="709"/>
      <c r="CQ53" s="709"/>
      <c r="CR53" s="13"/>
      <c r="CS53" s="19"/>
      <c r="CT53" s="19"/>
      <c r="CU53" s="19"/>
      <c r="CV53" s="19"/>
      <c r="CW53" s="19"/>
      <c r="CX53" s="19"/>
      <c r="CY53" s="19"/>
      <c r="CZ53" s="19"/>
      <c r="DA53" s="30">
        <f t="shared" si="20"/>
        <v>0</v>
      </c>
      <c r="DB53" s="28">
        <f t="shared" si="21"/>
        <v>0</v>
      </c>
      <c r="DC53" s="14"/>
      <c r="DD53" s="709" t="s">
        <v>33</v>
      </c>
      <c r="DE53" s="709"/>
      <c r="DF53" s="709"/>
      <c r="DG53" s="709"/>
      <c r="DH53" s="709"/>
      <c r="DI53" s="709"/>
      <c r="DJ53" s="13"/>
      <c r="DK53" s="19"/>
      <c r="DL53" s="19"/>
      <c r="DM53" s="19"/>
      <c r="DN53" s="19"/>
      <c r="DO53" s="19"/>
      <c r="DP53" s="19"/>
      <c r="DQ53" s="19"/>
      <c r="DR53" s="19"/>
      <c r="DS53" s="19"/>
      <c r="DT53" s="19"/>
      <c r="DU53" s="30">
        <f t="shared" si="22"/>
        <v>0</v>
      </c>
      <c r="DV53" s="28">
        <f t="shared" si="23"/>
        <v>0</v>
      </c>
      <c r="DX53" s="709" t="s">
        <v>33</v>
      </c>
      <c r="DY53" s="709"/>
      <c r="DZ53" s="709"/>
      <c r="EA53" s="709"/>
      <c r="EB53" s="709"/>
      <c r="EC53" s="709"/>
      <c r="ED53" s="13"/>
      <c r="EE53" s="19"/>
      <c r="EF53" s="19"/>
      <c r="EG53" s="19"/>
      <c r="EH53" s="19"/>
      <c r="EI53" s="19"/>
      <c r="EJ53" s="19"/>
      <c r="EK53" s="19"/>
      <c r="EL53" s="19"/>
      <c r="EM53" s="23"/>
      <c r="EN53" s="23"/>
      <c r="EO53" s="30">
        <f t="shared" si="24"/>
        <v>0</v>
      </c>
      <c r="EP53" s="28">
        <f t="shared" si="25"/>
        <v>0</v>
      </c>
      <c r="EQ53" t="str">
        <f t="shared" si="26"/>
        <v>IGUAL</v>
      </c>
      <c r="ER53" s="709" t="s">
        <v>33</v>
      </c>
      <c r="ES53" s="709"/>
      <c r="ET53" s="709"/>
      <c r="EU53" s="709"/>
      <c r="EV53" s="709"/>
      <c r="EW53" s="709"/>
      <c r="EX53" s="13"/>
      <c r="EY53" s="19"/>
      <c r="EZ53" s="19"/>
      <c r="FA53" s="19"/>
      <c r="FB53" s="19"/>
      <c r="FC53" s="19"/>
      <c r="FD53" s="19"/>
      <c r="FE53" s="19"/>
      <c r="FF53" s="19"/>
      <c r="FG53" s="19"/>
      <c r="FH53" s="19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30">
        <f t="shared" si="27"/>
        <v>0</v>
      </c>
      <c r="FU53" s="28">
        <f t="shared" si="28"/>
        <v>0</v>
      </c>
      <c r="FW53" s="709" t="s">
        <v>33</v>
      </c>
      <c r="FX53" s="709"/>
      <c r="FY53" s="709"/>
      <c r="FZ53" s="709"/>
      <c r="GA53" s="709"/>
      <c r="GB53" s="709"/>
      <c r="GC53" s="13"/>
      <c r="GD53" s="23"/>
      <c r="GE53" s="19"/>
      <c r="GF53" s="19"/>
      <c r="GG53" s="19"/>
      <c r="GH53" s="19"/>
      <c r="GI53" s="19"/>
      <c r="GJ53" s="19"/>
      <c r="GK53" s="19"/>
      <c r="GL53" s="19"/>
      <c r="GM53" s="19"/>
      <c r="GN53" s="23"/>
      <c r="GO53" s="23"/>
      <c r="GP53" s="23"/>
      <c r="GQ53" s="30">
        <f t="shared" si="29"/>
        <v>0</v>
      </c>
      <c r="GR53" s="28">
        <f t="shared" si="30"/>
        <v>0</v>
      </c>
      <c r="GT53" s="709" t="s">
        <v>33</v>
      </c>
      <c r="GU53" s="709"/>
      <c r="GV53" s="709"/>
      <c r="GW53" s="709"/>
      <c r="GX53" s="709"/>
      <c r="GY53" s="709"/>
      <c r="GZ53" s="13"/>
      <c r="HA53" s="19"/>
      <c r="HB53" s="19"/>
      <c r="HC53" s="19"/>
      <c r="HD53" s="19"/>
      <c r="HE53" s="19"/>
      <c r="HF53" s="19"/>
      <c r="HG53" s="19"/>
      <c r="HH53" s="19"/>
      <c r="HI53" s="19"/>
      <c r="HJ53" s="23"/>
      <c r="HK53" s="23"/>
      <c r="HL53" s="30">
        <f t="shared" si="43"/>
        <v>0</v>
      </c>
      <c r="HM53" s="28">
        <f t="shared" si="32"/>
        <v>0</v>
      </c>
      <c r="HO53" s="709" t="s">
        <v>33</v>
      </c>
      <c r="HP53" s="709"/>
      <c r="HQ53" s="709"/>
      <c r="HR53" s="709"/>
      <c r="HS53" s="709"/>
      <c r="HT53" s="709"/>
      <c r="HU53" s="13"/>
      <c r="HV53" s="19"/>
      <c r="HW53" s="30">
        <f t="shared" si="44"/>
        <v>0</v>
      </c>
      <c r="HX53" s="28">
        <f t="shared" si="45"/>
        <v>0</v>
      </c>
      <c r="HZ53" s="709" t="s">
        <v>33</v>
      </c>
      <c r="IA53" s="709"/>
      <c r="IB53" s="709"/>
      <c r="IC53" s="709"/>
      <c r="ID53" s="709"/>
      <c r="IE53" s="709"/>
      <c r="IF53" s="13">
        <v>17</v>
      </c>
      <c r="IG53" s="19"/>
      <c r="IH53" s="23"/>
      <c r="II53" s="23"/>
      <c r="IJ53" s="23">
        <v>10</v>
      </c>
      <c r="IK53" s="23"/>
      <c r="IL53" s="23"/>
      <c r="IM53" s="30">
        <f t="shared" si="41"/>
        <v>10</v>
      </c>
      <c r="IN53" s="28">
        <f t="shared" si="46"/>
        <v>170</v>
      </c>
      <c r="IP53" s="709" t="s">
        <v>33</v>
      </c>
      <c r="IQ53" s="709"/>
      <c r="IR53" s="709"/>
      <c r="IS53" s="709"/>
      <c r="IT53" s="709"/>
      <c r="IU53" s="709"/>
      <c r="IV53" s="13">
        <v>17</v>
      </c>
      <c r="IW53" s="19"/>
      <c r="IX53" s="23"/>
      <c r="IY53" s="30">
        <f t="shared" si="47"/>
        <v>0</v>
      </c>
      <c r="IZ53" s="28">
        <f t="shared" si="48"/>
        <v>0</v>
      </c>
      <c r="JB53" s="709" t="s">
        <v>33</v>
      </c>
      <c r="JC53" s="709"/>
      <c r="JD53" s="709"/>
      <c r="JE53" s="709"/>
      <c r="JF53" s="709"/>
      <c r="JG53" s="709"/>
      <c r="JH53" s="13">
        <v>17</v>
      </c>
      <c r="JI53" s="19"/>
      <c r="JJ53" s="23"/>
      <c r="JK53" s="23"/>
      <c r="JL53" s="23"/>
      <c r="JM53" s="23"/>
      <c r="JN53" s="23"/>
      <c r="JO53" s="23"/>
      <c r="JP53" s="23"/>
      <c r="JQ53" s="23"/>
      <c r="JR53" s="23"/>
      <c r="JS53" s="23"/>
      <c r="JT53" s="23"/>
      <c r="JU53" s="23"/>
      <c r="JV53" s="23"/>
      <c r="JW53" s="23"/>
      <c r="JX53" s="23"/>
      <c r="JY53" s="23"/>
      <c r="JZ53" s="23"/>
      <c r="KA53" s="23"/>
      <c r="KB53" s="23"/>
      <c r="KC53" s="23"/>
      <c r="KD53" s="23"/>
      <c r="KE53" s="30">
        <f t="shared" si="34"/>
        <v>0</v>
      </c>
      <c r="KF53" s="28">
        <f t="shared" si="49"/>
        <v>0</v>
      </c>
      <c r="KH53" s="709" t="s">
        <v>33</v>
      </c>
      <c r="KI53" s="709"/>
      <c r="KJ53" s="709"/>
      <c r="KK53" s="709"/>
      <c r="KL53" s="709"/>
      <c r="KM53" s="709"/>
      <c r="KN53" s="13">
        <v>17</v>
      </c>
      <c r="KO53" s="19"/>
      <c r="KP53" s="23"/>
      <c r="KQ53" s="23"/>
      <c r="KR53" s="23"/>
      <c r="KS53" s="30">
        <f t="shared" si="50"/>
        <v>0</v>
      </c>
      <c r="KT53" s="28">
        <f t="shared" si="51"/>
        <v>0</v>
      </c>
      <c r="KV53" s="709" t="s">
        <v>33</v>
      </c>
      <c r="KW53" s="709"/>
      <c r="KX53" s="709"/>
      <c r="KY53" s="709"/>
      <c r="KZ53" s="709"/>
      <c r="LA53" s="709"/>
      <c r="LB53" s="13">
        <v>17</v>
      </c>
      <c r="LC53" s="19"/>
      <c r="LD53" s="23"/>
      <c r="LE53" s="23"/>
      <c r="LF53" s="30">
        <f t="shared" si="52"/>
        <v>0</v>
      </c>
      <c r="LG53" s="28">
        <f t="shared" si="53"/>
        <v>0</v>
      </c>
      <c r="LI53" s="709" t="s">
        <v>33</v>
      </c>
      <c r="LJ53" s="709"/>
      <c r="LK53" s="709"/>
      <c r="LL53" s="709"/>
      <c r="LM53" s="709"/>
      <c r="LN53" s="709"/>
      <c r="LO53" s="13">
        <v>17</v>
      </c>
      <c r="LP53" s="19"/>
      <c r="LQ53" s="23"/>
      <c r="LR53" s="23"/>
      <c r="LS53" s="23"/>
      <c r="LT53" s="23"/>
      <c r="LU53" s="23"/>
      <c r="LV53" s="23"/>
      <c r="LW53" s="23"/>
      <c r="LX53" s="23"/>
      <c r="LY53" s="23"/>
      <c r="LZ53" s="23"/>
      <c r="MA53" s="23"/>
      <c r="MB53" s="23"/>
      <c r="MC53" s="23"/>
      <c r="MD53" s="23"/>
      <c r="ME53" s="30">
        <f t="shared" si="35"/>
        <v>0</v>
      </c>
      <c r="MF53" s="28">
        <f t="shared" si="8"/>
        <v>0</v>
      </c>
      <c r="MH53" s="709" t="s">
        <v>33</v>
      </c>
      <c r="MI53" s="709"/>
      <c r="MJ53" s="709"/>
      <c r="MK53" s="709"/>
      <c r="ML53" s="709"/>
      <c r="MM53" s="709"/>
      <c r="MN53" s="13">
        <v>17</v>
      </c>
      <c r="MO53" s="19"/>
      <c r="MP53" s="23"/>
      <c r="MQ53" s="23"/>
      <c r="MR53" s="23"/>
      <c r="MS53" s="23"/>
      <c r="MT53" s="23"/>
      <c r="MU53" s="23"/>
      <c r="MV53" s="23"/>
      <c r="MW53" s="23"/>
      <c r="MX53" s="23"/>
      <c r="MY53" s="23"/>
      <c r="MZ53" s="23"/>
      <c r="NA53" s="23"/>
      <c r="NB53" s="23"/>
      <c r="NC53" s="23"/>
      <c r="ND53" s="30">
        <f t="shared" si="36"/>
        <v>0</v>
      </c>
      <c r="NE53" s="28">
        <f t="shared" si="37"/>
        <v>0</v>
      </c>
      <c r="NG53" s="709" t="s">
        <v>33</v>
      </c>
      <c r="NH53" s="709"/>
      <c r="NI53" s="709"/>
      <c r="NJ53" s="709"/>
      <c r="NK53" s="709"/>
      <c r="NL53" s="709"/>
      <c r="NM53" s="13">
        <v>17</v>
      </c>
      <c r="NN53" s="23"/>
      <c r="NO53" s="23"/>
      <c r="NP53" s="23"/>
      <c r="NQ53" s="23"/>
      <c r="NR53" s="23"/>
      <c r="NS53" s="23"/>
      <c r="NT53" s="23"/>
      <c r="NU53" s="23"/>
      <c r="NV53" s="23"/>
      <c r="NW53" s="23"/>
      <c r="NX53" s="23"/>
      <c r="NY53" s="23"/>
      <c r="NZ53" s="23"/>
      <c r="OA53" s="23"/>
      <c r="OB53" s="23"/>
      <c r="OC53" s="30">
        <f t="shared" si="38"/>
        <v>0</v>
      </c>
      <c r="OD53" s="28">
        <f t="shared" si="39"/>
        <v>0</v>
      </c>
    </row>
    <row r="54" spans="1:394" ht="14.45" customHeight="1" x14ac:dyDescent="0.25">
      <c r="A54" s="47"/>
      <c r="B54" s="12"/>
      <c r="C54" s="709" t="s">
        <v>34</v>
      </c>
      <c r="D54" s="709"/>
      <c r="E54" s="709"/>
      <c r="F54" s="709"/>
      <c r="G54" s="709"/>
      <c r="H54" s="709"/>
      <c r="I54" s="13"/>
      <c r="J54" s="13"/>
      <c r="K54" s="19"/>
      <c r="L54" s="19"/>
      <c r="M54" s="19">
        <f t="shared" si="40"/>
        <v>0</v>
      </c>
      <c r="N54" s="19">
        <f t="shared" si="9"/>
        <v>0</v>
      </c>
      <c r="O54" s="12"/>
      <c r="P54" s="709" t="s">
        <v>34</v>
      </c>
      <c r="Q54" s="709"/>
      <c r="R54" s="709"/>
      <c r="S54" s="709"/>
      <c r="T54" s="709"/>
      <c r="U54" s="709"/>
      <c r="V54" s="13"/>
      <c r="W54" s="19"/>
      <c r="X54" s="19"/>
      <c r="Y54" s="23">
        <f t="shared" si="10"/>
        <v>0</v>
      </c>
      <c r="Z54" s="19">
        <f t="shared" si="11"/>
        <v>0</v>
      </c>
      <c r="AA54" s="34"/>
      <c r="AB54" s="34"/>
      <c r="AC54" s="34"/>
      <c r="AD54" s="34"/>
      <c r="AE54" s="34"/>
      <c r="AF54" s="34"/>
      <c r="AG54" s="6"/>
      <c r="AH54" s="709" t="s">
        <v>34</v>
      </c>
      <c r="AI54" s="709"/>
      <c r="AJ54" s="709"/>
      <c r="AK54" s="709"/>
      <c r="AL54" s="709"/>
      <c r="AM54" s="709"/>
      <c r="AN54" s="13"/>
      <c r="AO54" s="19"/>
      <c r="AP54" s="23">
        <f t="shared" si="12"/>
        <v>0</v>
      </c>
      <c r="AQ54" s="19">
        <f t="shared" si="13"/>
        <v>0</v>
      </c>
      <c r="AS54" s="677" t="s">
        <v>34</v>
      </c>
      <c r="AT54" s="677"/>
      <c r="AU54" s="677"/>
      <c r="AV54" s="677"/>
      <c r="AW54" s="677"/>
      <c r="AX54" s="677"/>
      <c r="AY54" s="28"/>
      <c r="AZ54" s="28"/>
      <c r="BA54" s="28"/>
      <c r="BB54" s="28"/>
      <c r="BC54" s="28"/>
      <c r="BD54" s="30">
        <f t="shared" si="14"/>
        <v>0</v>
      </c>
      <c r="BE54" s="28">
        <f t="shared" si="15"/>
        <v>0</v>
      </c>
      <c r="BF54" s="14"/>
      <c r="BG54" s="677" t="s">
        <v>34</v>
      </c>
      <c r="BH54" s="677"/>
      <c r="BI54" s="677"/>
      <c r="BJ54" s="677"/>
      <c r="BK54" s="677"/>
      <c r="BL54" s="677"/>
      <c r="BM54" s="28"/>
      <c r="BN54" s="28"/>
      <c r="BO54" s="28"/>
      <c r="BP54" s="30">
        <f t="shared" si="16"/>
        <v>0</v>
      </c>
      <c r="BQ54" s="28">
        <f t="shared" si="17"/>
        <v>0</v>
      </c>
      <c r="BR54" s="14"/>
      <c r="BS54" s="677" t="s">
        <v>34</v>
      </c>
      <c r="BT54" s="677"/>
      <c r="BU54" s="677"/>
      <c r="BV54" s="677"/>
      <c r="BW54" s="677"/>
      <c r="BX54" s="677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30">
        <f t="shared" si="18"/>
        <v>0</v>
      </c>
      <c r="CJ54" s="28">
        <f t="shared" si="19"/>
        <v>0</v>
      </c>
      <c r="CK54" s="14"/>
      <c r="CL54" s="677" t="s">
        <v>34</v>
      </c>
      <c r="CM54" s="677"/>
      <c r="CN54" s="677"/>
      <c r="CO54" s="677"/>
      <c r="CP54" s="677"/>
      <c r="CQ54" s="677"/>
      <c r="CR54" s="28">
        <v>17</v>
      </c>
      <c r="CS54" s="28"/>
      <c r="CT54" s="28">
        <v>2</v>
      </c>
      <c r="CU54" s="28">
        <v>1</v>
      </c>
      <c r="CV54" s="28"/>
      <c r="CW54" s="28"/>
      <c r="CX54" s="28"/>
      <c r="CY54" s="28"/>
      <c r="CZ54" s="28"/>
      <c r="DA54" s="30">
        <f t="shared" si="20"/>
        <v>3</v>
      </c>
      <c r="DB54" s="28">
        <f t="shared" si="21"/>
        <v>51</v>
      </c>
      <c r="DC54" s="14"/>
      <c r="DD54" s="677" t="s">
        <v>34</v>
      </c>
      <c r="DE54" s="677"/>
      <c r="DF54" s="677"/>
      <c r="DG54" s="677"/>
      <c r="DH54" s="677"/>
      <c r="DI54" s="677"/>
      <c r="DJ54" s="28">
        <v>17</v>
      </c>
      <c r="DK54" s="28"/>
      <c r="DL54" s="28"/>
      <c r="DM54" s="28"/>
      <c r="DN54" s="28"/>
      <c r="DO54" s="28"/>
      <c r="DP54" s="28"/>
      <c r="DQ54" s="28"/>
      <c r="DR54" s="28"/>
      <c r="DS54" s="28"/>
      <c r="DT54" s="28"/>
      <c r="DU54" s="30">
        <f t="shared" si="22"/>
        <v>0</v>
      </c>
      <c r="DV54" s="28">
        <f t="shared" si="23"/>
        <v>0</v>
      </c>
      <c r="DX54" s="677" t="s">
        <v>34</v>
      </c>
      <c r="DY54" s="677"/>
      <c r="DZ54" s="677"/>
      <c r="EA54" s="677"/>
      <c r="EB54" s="677"/>
      <c r="EC54" s="677"/>
      <c r="ED54" s="28">
        <v>17</v>
      </c>
      <c r="EE54" s="28"/>
      <c r="EF54" s="28"/>
      <c r="EG54" s="28"/>
      <c r="EH54" s="28"/>
      <c r="EI54" s="28"/>
      <c r="EJ54" s="28"/>
      <c r="EK54" s="28"/>
      <c r="EL54" s="28"/>
      <c r="EM54" s="30"/>
      <c r="EN54" s="30"/>
      <c r="EO54" s="30">
        <f t="shared" si="24"/>
        <v>0</v>
      </c>
      <c r="EP54" s="28">
        <f t="shared" si="25"/>
        <v>0</v>
      </c>
      <c r="EQ54" t="str">
        <f t="shared" si="26"/>
        <v>IGUAL</v>
      </c>
      <c r="ER54" s="677" t="s">
        <v>34</v>
      </c>
      <c r="ES54" s="677"/>
      <c r="ET54" s="677"/>
      <c r="EU54" s="677"/>
      <c r="EV54" s="677"/>
      <c r="EW54" s="677"/>
      <c r="EX54" s="28">
        <v>17</v>
      </c>
      <c r="EY54" s="28"/>
      <c r="EZ54" s="28"/>
      <c r="FA54" s="28"/>
      <c r="FB54" s="28"/>
      <c r="FC54" s="28"/>
      <c r="FD54" s="28"/>
      <c r="FE54" s="28"/>
      <c r="FF54" s="28"/>
      <c r="FG54" s="28"/>
      <c r="FH54" s="28"/>
      <c r="FI54" s="30"/>
      <c r="FJ54" s="30"/>
      <c r="FK54" s="30"/>
      <c r="FL54" s="30"/>
      <c r="FM54" s="30"/>
      <c r="FN54" s="30"/>
      <c r="FO54" s="30"/>
      <c r="FP54" s="30"/>
      <c r="FQ54" s="30"/>
      <c r="FR54" s="30"/>
      <c r="FS54" s="30"/>
      <c r="FT54" s="30">
        <f t="shared" si="27"/>
        <v>0</v>
      </c>
      <c r="FU54" s="28">
        <f t="shared" si="28"/>
        <v>0</v>
      </c>
      <c r="FW54" s="677" t="s">
        <v>34</v>
      </c>
      <c r="FX54" s="677"/>
      <c r="FY54" s="677"/>
      <c r="FZ54" s="677"/>
      <c r="GA54" s="677"/>
      <c r="GB54" s="677"/>
      <c r="GC54" s="28">
        <v>17</v>
      </c>
      <c r="GD54" s="30"/>
      <c r="GE54" s="28"/>
      <c r="GF54" s="28"/>
      <c r="GG54" s="28"/>
      <c r="GH54" s="28"/>
      <c r="GI54" s="28"/>
      <c r="GJ54" s="28"/>
      <c r="GK54" s="28"/>
      <c r="GL54" s="28"/>
      <c r="GM54" s="28"/>
      <c r="GN54" s="30"/>
      <c r="GO54" s="30"/>
      <c r="GP54" s="30"/>
      <c r="GQ54" s="30">
        <f t="shared" si="29"/>
        <v>0</v>
      </c>
      <c r="GR54" s="28">
        <f t="shared" si="30"/>
        <v>0</v>
      </c>
      <c r="GT54" s="677" t="s">
        <v>34</v>
      </c>
      <c r="GU54" s="677"/>
      <c r="GV54" s="677"/>
      <c r="GW54" s="677"/>
      <c r="GX54" s="677"/>
      <c r="GY54" s="677"/>
      <c r="GZ54" s="28">
        <v>17</v>
      </c>
      <c r="HA54" s="28"/>
      <c r="HB54" s="28"/>
      <c r="HC54" s="28"/>
      <c r="HD54" s="28"/>
      <c r="HE54" s="28">
        <v>1</v>
      </c>
      <c r="HF54" s="28"/>
      <c r="HG54" s="28"/>
      <c r="HH54" s="28"/>
      <c r="HI54" s="28"/>
      <c r="HJ54" s="30"/>
      <c r="HK54" s="30"/>
      <c r="HL54" s="30">
        <f t="shared" si="43"/>
        <v>1</v>
      </c>
      <c r="HM54" s="28">
        <f t="shared" si="32"/>
        <v>17</v>
      </c>
      <c r="HO54" s="677" t="s">
        <v>34</v>
      </c>
      <c r="HP54" s="677"/>
      <c r="HQ54" s="677"/>
      <c r="HR54" s="677"/>
      <c r="HS54" s="677"/>
      <c r="HT54" s="677"/>
      <c r="HU54" s="28">
        <v>17</v>
      </c>
      <c r="HV54" s="28"/>
      <c r="HW54" s="30">
        <f t="shared" si="44"/>
        <v>0</v>
      </c>
      <c r="HX54" s="28">
        <f t="shared" si="45"/>
        <v>0</v>
      </c>
      <c r="HZ54" s="677" t="s">
        <v>34</v>
      </c>
      <c r="IA54" s="677"/>
      <c r="IB54" s="677"/>
      <c r="IC54" s="677"/>
      <c r="ID54" s="677"/>
      <c r="IE54" s="677"/>
      <c r="IF54" s="28">
        <v>17</v>
      </c>
      <c r="IG54" s="28"/>
      <c r="IH54" s="30"/>
      <c r="II54" s="30"/>
      <c r="IJ54" s="30">
        <v>6</v>
      </c>
      <c r="IK54" s="30"/>
      <c r="IL54" s="30"/>
      <c r="IM54" s="30">
        <f t="shared" si="41"/>
        <v>6</v>
      </c>
      <c r="IN54" s="28">
        <f t="shared" si="46"/>
        <v>102</v>
      </c>
      <c r="IP54" s="677" t="s">
        <v>34</v>
      </c>
      <c r="IQ54" s="677"/>
      <c r="IR54" s="677"/>
      <c r="IS54" s="677"/>
      <c r="IT54" s="677"/>
      <c r="IU54" s="677"/>
      <c r="IV54" s="28">
        <v>17</v>
      </c>
      <c r="IW54" s="28"/>
      <c r="IX54" s="30"/>
      <c r="IY54" s="30">
        <f t="shared" si="47"/>
        <v>0</v>
      </c>
      <c r="IZ54" s="28">
        <f t="shared" si="48"/>
        <v>0</v>
      </c>
      <c r="JB54" s="677" t="s">
        <v>34</v>
      </c>
      <c r="JC54" s="677"/>
      <c r="JD54" s="677"/>
      <c r="JE54" s="677"/>
      <c r="JF54" s="677"/>
      <c r="JG54" s="677"/>
      <c r="JH54" s="28">
        <v>17</v>
      </c>
      <c r="JI54" s="28"/>
      <c r="JJ54" s="30"/>
      <c r="JK54" s="30"/>
      <c r="JL54" s="30"/>
      <c r="JM54" s="30"/>
      <c r="JN54" s="30"/>
      <c r="JO54" s="30"/>
      <c r="JP54" s="30"/>
      <c r="JQ54" s="30"/>
      <c r="JR54" s="30"/>
      <c r="JS54" s="30"/>
      <c r="JT54" s="30"/>
      <c r="JU54" s="30"/>
      <c r="JV54" s="30"/>
      <c r="JW54" s="30"/>
      <c r="JX54" s="30"/>
      <c r="JY54" s="30"/>
      <c r="JZ54" s="30"/>
      <c r="KA54" s="30"/>
      <c r="KB54" s="30"/>
      <c r="KC54" s="30"/>
      <c r="KD54" s="30"/>
      <c r="KE54" s="30">
        <f t="shared" si="34"/>
        <v>0</v>
      </c>
      <c r="KF54" s="28">
        <f t="shared" si="49"/>
        <v>0</v>
      </c>
      <c r="KH54" s="677" t="s">
        <v>34</v>
      </c>
      <c r="KI54" s="677"/>
      <c r="KJ54" s="677"/>
      <c r="KK54" s="677"/>
      <c r="KL54" s="677"/>
      <c r="KM54" s="677"/>
      <c r="KN54" s="28">
        <v>17</v>
      </c>
      <c r="KO54" s="28"/>
      <c r="KP54" s="30"/>
      <c r="KQ54" s="30"/>
      <c r="KR54" s="30"/>
      <c r="KS54" s="30">
        <f t="shared" si="50"/>
        <v>0</v>
      </c>
      <c r="KT54" s="28">
        <f t="shared" si="51"/>
        <v>0</v>
      </c>
      <c r="KV54" s="677" t="s">
        <v>34</v>
      </c>
      <c r="KW54" s="677"/>
      <c r="KX54" s="677"/>
      <c r="KY54" s="677"/>
      <c r="KZ54" s="677"/>
      <c r="LA54" s="677"/>
      <c r="LB54" s="28">
        <v>17</v>
      </c>
      <c r="LC54" s="28"/>
      <c r="LD54" s="30"/>
      <c r="LE54" s="30"/>
      <c r="LF54" s="30">
        <f t="shared" si="52"/>
        <v>0</v>
      </c>
      <c r="LG54" s="28">
        <f t="shared" si="53"/>
        <v>0</v>
      </c>
      <c r="LI54" s="677" t="s">
        <v>34</v>
      </c>
      <c r="LJ54" s="677"/>
      <c r="LK54" s="677"/>
      <c r="LL54" s="677"/>
      <c r="LM54" s="677"/>
      <c r="LN54" s="677"/>
      <c r="LO54" s="28">
        <v>17</v>
      </c>
      <c r="LP54" s="28"/>
      <c r="LQ54" s="30"/>
      <c r="LR54" s="30"/>
      <c r="LS54" s="30"/>
      <c r="LT54" s="30"/>
      <c r="LU54" s="30"/>
      <c r="LV54" s="30"/>
      <c r="LW54" s="30"/>
      <c r="LX54" s="30"/>
      <c r="LY54" s="30"/>
      <c r="LZ54" s="30"/>
      <c r="MA54" s="30"/>
      <c r="MB54" s="30"/>
      <c r="MC54" s="30"/>
      <c r="MD54" s="30"/>
      <c r="ME54" s="30">
        <f t="shared" si="35"/>
        <v>0</v>
      </c>
      <c r="MF54" s="28">
        <f t="shared" si="8"/>
        <v>0</v>
      </c>
      <c r="MH54" s="677" t="s">
        <v>34</v>
      </c>
      <c r="MI54" s="677"/>
      <c r="MJ54" s="677"/>
      <c r="MK54" s="677"/>
      <c r="ML54" s="677"/>
      <c r="MM54" s="677"/>
      <c r="MN54" s="28">
        <v>17</v>
      </c>
      <c r="MO54" s="28"/>
      <c r="MP54" s="30"/>
      <c r="MQ54" s="30"/>
      <c r="MR54" s="30"/>
      <c r="MS54" s="30"/>
      <c r="MT54" s="30"/>
      <c r="MU54" s="30"/>
      <c r="MV54" s="30"/>
      <c r="MW54" s="30"/>
      <c r="MX54" s="30"/>
      <c r="MY54" s="30"/>
      <c r="MZ54" s="30"/>
      <c r="NA54" s="30"/>
      <c r="NB54" s="30"/>
      <c r="NC54" s="30"/>
      <c r="ND54" s="30">
        <f t="shared" si="36"/>
        <v>0</v>
      </c>
      <c r="NE54" s="28">
        <f t="shared" si="37"/>
        <v>0</v>
      </c>
      <c r="NG54" s="677" t="s">
        <v>34</v>
      </c>
      <c r="NH54" s="677"/>
      <c r="NI54" s="677"/>
      <c r="NJ54" s="677"/>
      <c r="NK54" s="677"/>
      <c r="NL54" s="677"/>
      <c r="NM54" s="28">
        <v>17</v>
      </c>
      <c r="NN54" s="30"/>
      <c r="NO54" s="30"/>
      <c r="NP54" s="30"/>
      <c r="NQ54" s="30"/>
      <c r="NR54" s="30"/>
      <c r="NS54" s="30"/>
      <c r="NT54" s="30"/>
      <c r="NU54" s="30"/>
      <c r="NV54" s="30"/>
      <c r="NW54" s="30"/>
      <c r="NX54" s="30"/>
      <c r="NY54" s="30"/>
      <c r="NZ54" s="30"/>
      <c r="OA54" s="30"/>
      <c r="OB54" s="30"/>
      <c r="OC54" s="30">
        <f t="shared" si="38"/>
        <v>0</v>
      </c>
      <c r="OD54" s="28">
        <f t="shared" si="39"/>
        <v>0</v>
      </c>
    </row>
    <row r="55" spans="1:394" ht="14.45" customHeight="1" x14ac:dyDescent="0.25">
      <c r="A55" s="47"/>
      <c r="B55" s="12"/>
      <c r="C55" s="709" t="s">
        <v>35</v>
      </c>
      <c r="D55" s="709"/>
      <c r="E55" s="709"/>
      <c r="F55" s="709"/>
      <c r="G55" s="709"/>
      <c r="H55" s="709"/>
      <c r="I55" s="13"/>
      <c r="J55" s="13"/>
      <c r="K55" s="19"/>
      <c r="L55" s="19"/>
      <c r="M55" s="19">
        <f t="shared" si="40"/>
        <v>0</v>
      </c>
      <c r="N55" s="19">
        <f t="shared" si="9"/>
        <v>0</v>
      </c>
      <c r="O55" s="12"/>
      <c r="P55" s="709" t="s">
        <v>35</v>
      </c>
      <c r="Q55" s="709"/>
      <c r="R55" s="709"/>
      <c r="S55" s="709"/>
      <c r="T55" s="709"/>
      <c r="U55" s="709"/>
      <c r="V55" s="13"/>
      <c r="W55" s="19"/>
      <c r="X55" s="19"/>
      <c r="Y55" s="23">
        <f t="shared" si="10"/>
        <v>0</v>
      </c>
      <c r="Z55" s="19">
        <f t="shared" si="11"/>
        <v>0</v>
      </c>
      <c r="AA55" s="34"/>
      <c r="AB55" s="34"/>
      <c r="AC55" s="34"/>
      <c r="AD55" s="34"/>
      <c r="AE55" s="34"/>
      <c r="AF55" s="34"/>
      <c r="AG55" s="6"/>
      <c r="AH55" s="709" t="s">
        <v>35</v>
      </c>
      <c r="AI55" s="709"/>
      <c r="AJ55" s="709"/>
      <c r="AK55" s="709"/>
      <c r="AL55" s="709"/>
      <c r="AM55" s="709"/>
      <c r="AN55" s="13">
        <v>7</v>
      </c>
      <c r="AO55" s="19">
        <v>2</v>
      </c>
      <c r="AP55" s="23">
        <f t="shared" si="12"/>
        <v>2</v>
      </c>
      <c r="AQ55" s="19">
        <f t="shared" si="13"/>
        <v>14</v>
      </c>
      <c r="AS55" s="709" t="s">
        <v>35</v>
      </c>
      <c r="AT55" s="709"/>
      <c r="AU55" s="709"/>
      <c r="AV55" s="709"/>
      <c r="AW55" s="709"/>
      <c r="AX55" s="709"/>
      <c r="AY55" s="13">
        <v>7</v>
      </c>
      <c r="AZ55" s="19"/>
      <c r="BA55" s="19"/>
      <c r="BB55" s="19"/>
      <c r="BC55" s="19"/>
      <c r="BD55" s="30">
        <f t="shared" si="14"/>
        <v>0</v>
      </c>
      <c r="BE55" s="28">
        <f t="shared" si="15"/>
        <v>0</v>
      </c>
      <c r="BF55" s="14"/>
      <c r="BG55" s="709" t="s">
        <v>35</v>
      </c>
      <c r="BH55" s="709"/>
      <c r="BI55" s="709"/>
      <c r="BJ55" s="709"/>
      <c r="BK55" s="709"/>
      <c r="BL55" s="709"/>
      <c r="BM55" s="13">
        <v>7</v>
      </c>
      <c r="BN55" s="19"/>
      <c r="BO55" s="19"/>
      <c r="BP55" s="30">
        <f t="shared" si="16"/>
        <v>0</v>
      </c>
      <c r="BQ55" s="28">
        <f t="shared" si="17"/>
        <v>0</v>
      </c>
      <c r="BR55" s="14"/>
      <c r="BS55" s="709" t="s">
        <v>35</v>
      </c>
      <c r="BT55" s="709"/>
      <c r="BU55" s="709"/>
      <c r="BV55" s="709"/>
      <c r="BW55" s="709"/>
      <c r="BX55" s="709"/>
      <c r="BY55" s="13">
        <v>7</v>
      </c>
      <c r="BZ55" s="19"/>
      <c r="CA55" s="19"/>
      <c r="CB55" s="19"/>
      <c r="CC55" s="19"/>
      <c r="CD55" s="19"/>
      <c r="CE55" s="19"/>
      <c r="CF55" s="19"/>
      <c r="CG55" s="19"/>
      <c r="CH55" s="19"/>
      <c r="CI55" s="30">
        <f t="shared" si="18"/>
        <v>0</v>
      </c>
      <c r="CJ55" s="28">
        <f t="shared" si="19"/>
        <v>0</v>
      </c>
      <c r="CK55" s="14"/>
      <c r="CL55" s="709" t="s">
        <v>35</v>
      </c>
      <c r="CM55" s="709"/>
      <c r="CN55" s="709"/>
      <c r="CO55" s="709"/>
      <c r="CP55" s="709"/>
      <c r="CQ55" s="709"/>
      <c r="CR55" s="13">
        <v>7</v>
      </c>
      <c r="CS55" s="19"/>
      <c r="CT55" s="19">
        <v>2</v>
      </c>
      <c r="CU55" s="19"/>
      <c r="CV55" s="19"/>
      <c r="CW55" s="19"/>
      <c r="CX55" s="19"/>
      <c r="CY55" s="19"/>
      <c r="CZ55" s="19"/>
      <c r="DA55" s="30">
        <f t="shared" si="20"/>
        <v>2</v>
      </c>
      <c r="DB55" s="28">
        <f t="shared" si="21"/>
        <v>14</v>
      </c>
      <c r="DC55" s="14"/>
      <c r="DD55" s="709" t="s">
        <v>35</v>
      </c>
      <c r="DE55" s="709"/>
      <c r="DF55" s="709"/>
      <c r="DG55" s="709"/>
      <c r="DH55" s="709"/>
      <c r="DI55" s="709"/>
      <c r="DJ55" s="13">
        <v>7</v>
      </c>
      <c r="DK55" s="19"/>
      <c r="DL55" s="19"/>
      <c r="DM55" s="19"/>
      <c r="DN55" s="19"/>
      <c r="DO55" s="19"/>
      <c r="DP55" s="19"/>
      <c r="DQ55" s="19"/>
      <c r="DR55" s="19">
        <v>1</v>
      </c>
      <c r="DS55" s="19"/>
      <c r="DT55" s="19"/>
      <c r="DU55" s="30">
        <f t="shared" si="22"/>
        <v>1</v>
      </c>
      <c r="DV55" s="28">
        <f t="shared" si="23"/>
        <v>7</v>
      </c>
      <c r="DX55" s="709" t="s">
        <v>35</v>
      </c>
      <c r="DY55" s="709"/>
      <c r="DZ55" s="709"/>
      <c r="EA55" s="709"/>
      <c r="EB55" s="709"/>
      <c r="EC55" s="709"/>
      <c r="ED55" s="13">
        <v>7</v>
      </c>
      <c r="EE55" s="19"/>
      <c r="EF55" s="19"/>
      <c r="EG55" s="19"/>
      <c r="EH55" s="19"/>
      <c r="EI55" s="19"/>
      <c r="EJ55" s="19"/>
      <c r="EK55" s="19"/>
      <c r="EL55" s="19"/>
      <c r="EM55" s="23"/>
      <c r="EN55" s="23"/>
      <c r="EO55" s="30">
        <f t="shared" si="24"/>
        <v>0</v>
      </c>
      <c r="EP55" s="28">
        <f t="shared" si="25"/>
        <v>0</v>
      </c>
      <c r="EQ55" t="str">
        <f t="shared" si="26"/>
        <v>IGUAL</v>
      </c>
      <c r="ER55" s="709" t="s">
        <v>35</v>
      </c>
      <c r="ES55" s="709"/>
      <c r="ET55" s="709"/>
      <c r="EU55" s="709"/>
      <c r="EV55" s="709"/>
      <c r="EW55" s="709"/>
      <c r="EX55" s="13">
        <v>7</v>
      </c>
      <c r="EY55" s="19"/>
      <c r="EZ55" s="19"/>
      <c r="FA55" s="19"/>
      <c r="FB55" s="19"/>
      <c r="FC55" s="19"/>
      <c r="FD55" s="19"/>
      <c r="FE55" s="19"/>
      <c r="FF55" s="19"/>
      <c r="FG55" s="19"/>
      <c r="FH55" s="19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30">
        <f t="shared" si="27"/>
        <v>0</v>
      </c>
      <c r="FU55" s="28">
        <f t="shared" si="28"/>
        <v>0</v>
      </c>
      <c r="FW55" s="709" t="s">
        <v>35</v>
      </c>
      <c r="FX55" s="709"/>
      <c r="FY55" s="709"/>
      <c r="FZ55" s="709"/>
      <c r="GA55" s="709"/>
      <c r="GB55" s="709"/>
      <c r="GC55" s="13">
        <v>7</v>
      </c>
      <c r="GD55" s="23"/>
      <c r="GE55" s="19"/>
      <c r="GF55" s="19"/>
      <c r="GG55" s="19"/>
      <c r="GH55" s="19"/>
      <c r="GI55" s="19"/>
      <c r="GJ55" s="19"/>
      <c r="GK55" s="19"/>
      <c r="GL55" s="19"/>
      <c r="GM55" s="19"/>
      <c r="GN55" s="23"/>
      <c r="GO55" s="23"/>
      <c r="GP55" s="23"/>
      <c r="GQ55" s="30">
        <f t="shared" si="29"/>
        <v>0</v>
      </c>
      <c r="GR55" s="28">
        <f t="shared" si="30"/>
        <v>0</v>
      </c>
      <c r="GT55" s="709" t="s">
        <v>35</v>
      </c>
      <c r="GU55" s="709"/>
      <c r="GV55" s="709"/>
      <c r="GW55" s="709"/>
      <c r="GX55" s="709"/>
      <c r="GY55" s="709"/>
      <c r="GZ55" s="13">
        <v>7</v>
      </c>
      <c r="HA55" s="19"/>
      <c r="HB55" s="19"/>
      <c r="HC55" s="19"/>
      <c r="HD55" s="19"/>
      <c r="HE55" s="19"/>
      <c r="HF55" s="19"/>
      <c r="HG55" s="19"/>
      <c r="HH55" s="19"/>
      <c r="HI55" s="19"/>
      <c r="HJ55" s="23"/>
      <c r="HK55" s="23"/>
      <c r="HL55" s="30">
        <f t="shared" si="43"/>
        <v>0</v>
      </c>
      <c r="HM55" s="28">
        <f t="shared" si="32"/>
        <v>0</v>
      </c>
      <c r="HO55" s="709" t="s">
        <v>35</v>
      </c>
      <c r="HP55" s="709"/>
      <c r="HQ55" s="709"/>
      <c r="HR55" s="709"/>
      <c r="HS55" s="709"/>
      <c r="HT55" s="709"/>
      <c r="HU55" s="13">
        <v>7</v>
      </c>
      <c r="HV55" s="19"/>
      <c r="HW55" s="30">
        <f t="shared" si="44"/>
        <v>0</v>
      </c>
      <c r="HX55" s="28">
        <f t="shared" si="45"/>
        <v>0</v>
      </c>
      <c r="HZ55" s="709" t="s">
        <v>35</v>
      </c>
      <c r="IA55" s="709"/>
      <c r="IB55" s="709"/>
      <c r="IC55" s="709"/>
      <c r="ID55" s="709"/>
      <c r="IE55" s="709"/>
      <c r="IF55" s="13">
        <v>7</v>
      </c>
      <c r="IG55" s="19"/>
      <c r="IH55" s="23"/>
      <c r="II55" s="23"/>
      <c r="IJ55" s="23">
        <v>5</v>
      </c>
      <c r="IK55" s="23"/>
      <c r="IL55" s="23"/>
      <c r="IM55" s="30">
        <f t="shared" si="41"/>
        <v>5</v>
      </c>
      <c r="IN55" s="28">
        <f t="shared" si="46"/>
        <v>35</v>
      </c>
      <c r="IP55" s="709" t="s">
        <v>35</v>
      </c>
      <c r="IQ55" s="709"/>
      <c r="IR55" s="709"/>
      <c r="IS55" s="709"/>
      <c r="IT55" s="709"/>
      <c r="IU55" s="709"/>
      <c r="IV55" s="13">
        <v>7</v>
      </c>
      <c r="IW55" s="19"/>
      <c r="IX55" s="23"/>
      <c r="IY55" s="30">
        <f t="shared" si="47"/>
        <v>0</v>
      </c>
      <c r="IZ55" s="28">
        <f t="shared" si="48"/>
        <v>0</v>
      </c>
      <c r="JB55" s="709" t="s">
        <v>35</v>
      </c>
      <c r="JC55" s="709"/>
      <c r="JD55" s="709"/>
      <c r="JE55" s="709"/>
      <c r="JF55" s="709"/>
      <c r="JG55" s="709"/>
      <c r="JH55" s="13">
        <v>7</v>
      </c>
      <c r="JI55" s="19"/>
      <c r="JJ55" s="23"/>
      <c r="JK55" s="23"/>
      <c r="JL55" s="23"/>
      <c r="JM55" s="23"/>
      <c r="JN55" s="23"/>
      <c r="JO55" s="23"/>
      <c r="JP55" s="23"/>
      <c r="JQ55" s="23"/>
      <c r="JR55" s="23"/>
      <c r="JS55" s="23"/>
      <c r="JT55" s="23"/>
      <c r="JU55" s="23"/>
      <c r="JV55" s="23"/>
      <c r="JW55" s="23"/>
      <c r="JX55" s="23"/>
      <c r="JY55" s="23"/>
      <c r="JZ55" s="23"/>
      <c r="KA55" s="23"/>
      <c r="KB55" s="23"/>
      <c r="KC55" s="23"/>
      <c r="KD55" s="23"/>
      <c r="KE55" s="30">
        <f t="shared" si="34"/>
        <v>0</v>
      </c>
      <c r="KF55" s="28">
        <f t="shared" si="49"/>
        <v>0</v>
      </c>
      <c r="KH55" s="709" t="s">
        <v>35</v>
      </c>
      <c r="KI55" s="709"/>
      <c r="KJ55" s="709"/>
      <c r="KK55" s="709"/>
      <c r="KL55" s="709"/>
      <c r="KM55" s="709"/>
      <c r="KN55" s="13">
        <v>7</v>
      </c>
      <c r="KO55" s="19"/>
      <c r="KP55" s="23"/>
      <c r="KQ55" s="23"/>
      <c r="KR55" s="23"/>
      <c r="KS55" s="30">
        <f t="shared" si="50"/>
        <v>0</v>
      </c>
      <c r="KT55" s="28">
        <f t="shared" si="51"/>
        <v>0</v>
      </c>
      <c r="KV55" s="709" t="s">
        <v>35</v>
      </c>
      <c r="KW55" s="709"/>
      <c r="KX55" s="709"/>
      <c r="KY55" s="709"/>
      <c r="KZ55" s="709"/>
      <c r="LA55" s="709"/>
      <c r="LB55" s="13">
        <v>7</v>
      </c>
      <c r="LC55" s="19"/>
      <c r="LD55" s="23"/>
      <c r="LE55" s="23">
        <v>1</v>
      </c>
      <c r="LF55" s="30">
        <f t="shared" si="52"/>
        <v>1</v>
      </c>
      <c r="LG55" s="28">
        <f t="shared" si="53"/>
        <v>7</v>
      </c>
      <c r="LI55" s="709" t="s">
        <v>35</v>
      </c>
      <c r="LJ55" s="709"/>
      <c r="LK55" s="709"/>
      <c r="LL55" s="709"/>
      <c r="LM55" s="709"/>
      <c r="LN55" s="709"/>
      <c r="LO55" s="13">
        <v>7</v>
      </c>
      <c r="LP55" s="19"/>
      <c r="LQ55" s="23"/>
      <c r="LR55" s="23"/>
      <c r="LS55" s="23"/>
      <c r="LT55" s="23"/>
      <c r="LU55" s="23"/>
      <c r="LV55" s="23"/>
      <c r="LW55" s="23"/>
      <c r="LX55" s="23"/>
      <c r="LY55" s="23">
        <v>2</v>
      </c>
      <c r="LZ55" s="23"/>
      <c r="MA55" s="23"/>
      <c r="MB55" s="23"/>
      <c r="MC55" s="23"/>
      <c r="MD55" s="23"/>
      <c r="ME55" s="30">
        <f t="shared" si="35"/>
        <v>2</v>
      </c>
      <c r="MF55" s="28">
        <f t="shared" si="8"/>
        <v>14</v>
      </c>
      <c r="MH55" s="709" t="s">
        <v>35</v>
      </c>
      <c r="MI55" s="709"/>
      <c r="MJ55" s="709"/>
      <c r="MK55" s="709"/>
      <c r="ML55" s="709"/>
      <c r="MM55" s="709"/>
      <c r="MN55" s="13">
        <v>7</v>
      </c>
      <c r="MO55" s="19"/>
      <c r="MP55" s="23"/>
      <c r="MQ55" s="23"/>
      <c r="MR55" s="23"/>
      <c r="MS55" s="23"/>
      <c r="MT55" s="23"/>
      <c r="MU55" s="23"/>
      <c r="MV55" s="23">
        <v>2</v>
      </c>
      <c r="MW55" s="23"/>
      <c r="MX55" s="23"/>
      <c r="MY55" s="23"/>
      <c r="MZ55" s="23"/>
      <c r="NA55" s="23"/>
      <c r="NB55" s="23"/>
      <c r="NC55" s="23"/>
      <c r="ND55" s="30">
        <f t="shared" si="36"/>
        <v>2</v>
      </c>
      <c r="NE55" s="28">
        <f t="shared" si="37"/>
        <v>14</v>
      </c>
      <c r="NG55" s="709" t="s">
        <v>35</v>
      </c>
      <c r="NH55" s="709"/>
      <c r="NI55" s="709"/>
      <c r="NJ55" s="709"/>
      <c r="NK55" s="709"/>
      <c r="NL55" s="709"/>
      <c r="NM55" s="13">
        <v>7</v>
      </c>
      <c r="NN55" s="23"/>
      <c r="NO55" s="23"/>
      <c r="NP55" s="23"/>
      <c r="NQ55" s="23"/>
      <c r="NR55" s="23"/>
      <c r="NS55" s="23"/>
      <c r="NT55" s="23"/>
      <c r="NU55" s="23"/>
      <c r="NV55" s="23"/>
      <c r="NW55" s="23"/>
      <c r="NX55" s="23"/>
      <c r="NY55" s="23"/>
      <c r="NZ55" s="23"/>
      <c r="OA55" s="23"/>
      <c r="OB55" s="23"/>
      <c r="OC55" s="30">
        <f t="shared" si="38"/>
        <v>0</v>
      </c>
      <c r="OD55" s="28">
        <f t="shared" si="39"/>
        <v>0</v>
      </c>
    </row>
    <row r="56" spans="1:394" ht="14.45" customHeight="1" x14ac:dyDescent="0.25">
      <c r="A56" s="47"/>
      <c r="B56" s="12"/>
      <c r="C56" s="709" t="s">
        <v>36</v>
      </c>
      <c r="D56" s="709"/>
      <c r="E56" s="709"/>
      <c r="F56" s="709"/>
      <c r="G56" s="709"/>
      <c r="H56" s="709"/>
      <c r="I56" s="13"/>
      <c r="J56" s="13"/>
      <c r="K56" s="19"/>
      <c r="L56" s="19"/>
      <c r="M56" s="19">
        <f t="shared" si="40"/>
        <v>0</v>
      </c>
      <c r="N56" s="19">
        <f t="shared" si="9"/>
        <v>0</v>
      </c>
      <c r="O56" s="12"/>
      <c r="P56" s="709" t="s">
        <v>36</v>
      </c>
      <c r="Q56" s="709"/>
      <c r="R56" s="709"/>
      <c r="S56" s="709"/>
      <c r="T56" s="709"/>
      <c r="U56" s="709"/>
      <c r="V56" s="13"/>
      <c r="W56" s="19"/>
      <c r="X56" s="19"/>
      <c r="Y56" s="23">
        <f t="shared" si="10"/>
        <v>0</v>
      </c>
      <c r="Z56" s="19">
        <f t="shared" si="11"/>
        <v>0</v>
      </c>
      <c r="AA56" s="34"/>
      <c r="AB56" s="34"/>
      <c r="AC56" s="34"/>
      <c r="AD56" s="34"/>
      <c r="AE56" s="34"/>
      <c r="AF56" s="34"/>
      <c r="AG56" s="6"/>
      <c r="AH56" s="709" t="s">
        <v>36</v>
      </c>
      <c r="AI56" s="709"/>
      <c r="AJ56" s="709"/>
      <c r="AK56" s="709"/>
      <c r="AL56" s="709"/>
      <c r="AM56" s="709"/>
      <c r="AN56" s="13"/>
      <c r="AO56" s="19"/>
      <c r="AP56" s="23">
        <f t="shared" si="12"/>
        <v>0</v>
      </c>
      <c r="AQ56" s="19">
        <f t="shared" si="13"/>
        <v>0</v>
      </c>
      <c r="AS56" s="677" t="s">
        <v>36</v>
      </c>
      <c r="AT56" s="677"/>
      <c r="AU56" s="677"/>
      <c r="AV56" s="677"/>
      <c r="AW56" s="677"/>
      <c r="AX56" s="677"/>
      <c r="AY56" s="28"/>
      <c r="AZ56" s="28"/>
      <c r="BA56" s="28"/>
      <c r="BB56" s="28"/>
      <c r="BC56" s="28"/>
      <c r="BD56" s="30">
        <f t="shared" si="14"/>
        <v>0</v>
      </c>
      <c r="BE56" s="28">
        <f t="shared" si="15"/>
        <v>0</v>
      </c>
      <c r="BF56" s="14"/>
      <c r="BG56" s="677" t="s">
        <v>36</v>
      </c>
      <c r="BH56" s="677"/>
      <c r="BI56" s="677"/>
      <c r="BJ56" s="677"/>
      <c r="BK56" s="677"/>
      <c r="BL56" s="677"/>
      <c r="BM56" s="28"/>
      <c r="BN56" s="28"/>
      <c r="BO56" s="28"/>
      <c r="BP56" s="30">
        <f t="shared" si="16"/>
        <v>0</v>
      </c>
      <c r="BQ56" s="28">
        <f t="shared" si="17"/>
        <v>0</v>
      </c>
      <c r="BR56" s="14"/>
      <c r="BS56" s="677" t="s">
        <v>36</v>
      </c>
      <c r="BT56" s="677"/>
      <c r="BU56" s="677"/>
      <c r="BV56" s="677"/>
      <c r="BW56" s="677"/>
      <c r="BX56" s="677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30">
        <f t="shared" si="18"/>
        <v>0</v>
      </c>
      <c r="CJ56" s="28">
        <f t="shared" si="19"/>
        <v>0</v>
      </c>
      <c r="CK56" s="14"/>
      <c r="CL56" s="677" t="s">
        <v>36</v>
      </c>
      <c r="CM56" s="677"/>
      <c r="CN56" s="677"/>
      <c r="CO56" s="677"/>
      <c r="CP56" s="677"/>
      <c r="CQ56" s="677"/>
      <c r="CR56" s="28"/>
      <c r="CS56" s="28"/>
      <c r="CT56" s="28"/>
      <c r="CU56" s="28"/>
      <c r="CV56" s="28"/>
      <c r="CW56" s="28"/>
      <c r="CX56" s="28"/>
      <c r="CY56" s="28"/>
      <c r="CZ56" s="28"/>
      <c r="DA56" s="30">
        <f t="shared" si="20"/>
        <v>0</v>
      </c>
      <c r="DB56" s="28">
        <f t="shared" si="21"/>
        <v>0</v>
      </c>
      <c r="DC56" s="14"/>
      <c r="DD56" s="677" t="s">
        <v>36</v>
      </c>
      <c r="DE56" s="677"/>
      <c r="DF56" s="677"/>
      <c r="DG56" s="677"/>
      <c r="DH56" s="677"/>
      <c r="DI56" s="677"/>
      <c r="DJ56" s="28"/>
      <c r="DK56" s="28"/>
      <c r="DL56" s="28"/>
      <c r="DM56" s="28"/>
      <c r="DN56" s="28"/>
      <c r="DO56" s="28"/>
      <c r="DP56" s="28"/>
      <c r="DQ56" s="28"/>
      <c r="DR56" s="28"/>
      <c r="DS56" s="28"/>
      <c r="DT56" s="28"/>
      <c r="DU56" s="30">
        <f t="shared" si="22"/>
        <v>0</v>
      </c>
      <c r="DV56" s="28">
        <f t="shared" si="23"/>
        <v>0</v>
      </c>
      <c r="DX56" s="677" t="s">
        <v>36</v>
      </c>
      <c r="DY56" s="677"/>
      <c r="DZ56" s="677"/>
      <c r="EA56" s="677"/>
      <c r="EB56" s="677"/>
      <c r="EC56" s="677"/>
      <c r="ED56" s="28"/>
      <c r="EE56" s="28"/>
      <c r="EF56" s="28"/>
      <c r="EG56" s="28"/>
      <c r="EH56" s="28"/>
      <c r="EI56" s="28"/>
      <c r="EJ56" s="28"/>
      <c r="EK56" s="28"/>
      <c r="EL56" s="28"/>
      <c r="EM56" s="30"/>
      <c r="EN56" s="30"/>
      <c r="EO56" s="30">
        <f t="shared" si="24"/>
        <v>0</v>
      </c>
      <c r="EP56" s="28">
        <f t="shared" si="25"/>
        <v>0</v>
      </c>
      <c r="EQ56" t="str">
        <f t="shared" si="26"/>
        <v>IGUAL</v>
      </c>
      <c r="ER56" s="677" t="s">
        <v>36</v>
      </c>
      <c r="ES56" s="677"/>
      <c r="ET56" s="677"/>
      <c r="EU56" s="677"/>
      <c r="EV56" s="677"/>
      <c r="EW56" s="677"/>
      <c r="EX56" s="28"/>
      <c r="EY56" s="28"/>
      <c r="EZ56" s="28"/>
      <c r="FA56" s="28"/>
      <c r="FB56" s="28"/>
      <c r="FC56" s="28"/>
      <c r="FD56" s="28"/>
      <c r="FE56" s="28"/>
      <c r="FF56" s="28"/>
      <c r="FG56" s="28"/>
      <c r="FH56" s="28"/>
      <c r="FI56" s="30"/>
      <c r="FJ56" s="30"/>
      <c r="FK56" s="30"/>
      <c r="FL56" s="30"/>
      <c r="FM56" s="30"/>
      <c r="FN56" s="30"/>
      <c r="FO56" s="30"/>
      <c r="FP56" s="30"/>
      <c r="FQ56" s="30"/>
      <c r="FR56" s="30"/>
      <c r="FS56" s="30"/>
      <c r="FT56" s="30">
        <f t="shared" si="27"/>
        <v>0</v>
      </c>
      <c r="FU56" s="28">
        <f t="shared" si="28"/>
        <v>0</v>
      </c>
      <c r="FW56" s="677" t="s">
        <v>36</v>
      </c>
      <c r="FX56" s="677"/>
      <c r="FY56" s="677"/>
      <c r="FZ56" s="677"/>
      <c r="GA56" s="677"/>
      <c r="GB56" s="677"/>
      <c r="GC56" s="28"/>
      <c r="GD56" s="30"/>
      <c r="GE56" s="28"/>
      <c r="GF56" s="28"/>
      <c r="GG56" s="28"/>
      <c r="GH56" s="28"/>
      <c r="GI56" s="28"/>
      <c r="GJ56" s="28"/>
      <c r="GK56" s="28"/>
      <c r="GL56" s="28"/>
      <c r="GM56" s="28"/>
      <c r="GN56" s="30"/>
      <c r="GO56" s="30"/>
      <c r="GP56" s="30"/>
      <c r="GQ56" s="30">
        <f t="shared" si="29"/>
        <v>0</v>
      </c>
      <c r="GR56" s="28">
        <f t="shared" si="30"/>
        <v>0</v>
      </c>
      <c r="GT56" s="677" t="s">
        <v>36</v>
      </c>
      <c r="GU56" s="677"/>
      <c r="GV56" s="677"/>
      <c r="GW56" s="677"/>
      <c r="GX56" s="677"/>
      <c r="GY56" s="677"/>
      <c r="GZ56" s="28"/>
      <c r="HA56" s="28"/>
      <c r="HB56" s="28"/>
      <c r="HC56" s="28"/>
      <c r="HD56" s="28"/>
      <c r="HE56" s="28"/>
      <c r="HF56" s="28"/>
      <c r="HG56" s="28"/>
      <c r="HH56" s="28"/>
      <c r="HI56" s="28"/>
      <c r="HJ56" s="30"/>
      <c r="HK56" s="30"/>
      <c r="HL56" s="30">
        <f t="shared" si="43"/>
        <v>0</v>
      </c>
      <c r="HM56" s="28">
        <f t="shared" si="32"/>
        <v>0</v>
      </c>
      <c r="HO56" s="677" t="s">
        <v>36</v>
      </c>
      <c r="HP56" s="677"/>
      <c r="HQ56" s="677"/>
      <c r="HR56" s="677"/>
      <c r="HS56" s="677"/>
      <c r="HT56" s="677"/>
      <c r="HU56" s="28"/>
      <c r="HV56" s="28"/>
      <c r="HW56" s="30">
        <f t="shared" si="44"/>
        <v>0</v>
      </c>
      <c r="HX56" s="28">
        <f t="shared" si="45"/>
        <v>0</v>
      </c>
      <c r="HZ56" s="677" t="s">
        <v>36</v>
      </c>
      <c r="IA56" s="677"/>
      <c r="IB56" s="677"/>
      <c r="IC56" s="677"/>
      <c r="ID56" s="677"/>
      <c r="IE56" s="677"/>
      <c r="IF56" s="28">
        <v>7</v>
      </c>
      <c r="IG56" s="28"/>
      <c r="IH56" s="30"/>
      <c r="II56" s="30"/>
      <c r="IJ56" s="30">
        <v>22</v>
      </c>
      <c r="IK56" s="30"/>
      <c r="IL56" s="30"/>
      <c r="IM56" s="30">
        <f t="shared" si="41"/>
        <v>22</v>
      </c>
      <c r="IN56" s="28">
        <f t="shared" si="46"/>
        <v>154</v>
      </c>
      <c r="IP56" s="677" t="s">
        <v>36</v>
      </c>
      <c r="IQ56" s="677"/>
      <c r="IR56" s="677"/>
      <c r="IS56" s="677"/>
      <c r="IT56" s="677"/>
      <c r="IU56" s="677"/>
      <c r="IV56" s="28">
        <v>7</v>
      </c>
      <c r="IW56" s="28"/>
      <c r="IX56" s="30"/>
      <c r="IY56" s="30">
        <f t="shared" si="47"/>
        <v>0</v>
      </c>
      <c r="IZ56" s="28">
        <f t="shared" si="48"/>
        <v>0</v>
      </c>
      <c r="JB56" s="677" t="s">
        <v>36</v>
      </c>
      <c r="JC56" s="677"/>
      <c r="JD56" s="677"/>
      <c r="JE56" s="677"/>
      <c r="JF56" s="677"/>
      <c r="JG56" s="677"/>
      <c r="JH56" s="28">
        <v>7</v>
      </c>
      <c r="JI56" s="28"/>
      <c r="JJ56" s="30"/>
      <c r="JK56" s="30"/>
      <c r="JL56" s="30"/>
      <c r="JM56" s="30"/>
      <c r="JN56" s="30"/>
      <c r="JO56" s="30"/>
      <c r="JP56" s="30"/>
      <c r="JQ56" s="30"/>
      <c r="JR56" s="30"/>
      <c r="JS56" s="30"/>
      <c r="JT56" s="30"/>
      <c r="JU56" s="30"/>
      <c r="JV56" s="30"/>
      <c r="JW56" s="30"/>
      <c r="JX56" s="30"/>
      <c r="JY56" s="30"/>
      <c r="JZ56" s="30"/>
      <c r="KA56" s="30"/>
      <c r="KB56" s="30"/>
      <c r="KC56" s="30"/>
      <c r="KD56" s="30"/>
      <c r="KE56" s="30">
        <f t="shared" si="34"/>
        <v>0</v>
      </c>
      <c r="KF56" s="28">
        <f t="shared" si="49"/>
        <v>0</v>
      </c>
      <c r="KH56" s="677" t="s">
        <v>36</v>
      </c>
      <c r="KI56" s="677"/>
      <c r="KJ56" s="677"/>
      <c r="KK56" s="677"/>
      <c r="KL56" s="677"/>
      <c r="KM56" s="677"/>
      <c r="KN56" s="28">
        <v>7</v>
      </c>
      <c r="KO56" s="28"/>
      <c r="KP56" s="30"/>
      <c r="KQ56" s="30"/>
      <c r="KR56" s="30"/>
      <c r="KS56" s="30">
        <f t="shared" si="50"/>
        <v>0</v>
      </c>
      <c r="KT56" s="28">
        <f t="shared" si="51"/>
        <v>0</v>
      </c>
      <c r="KV56" s="677" t="s">
        <v>36</v>
      </c>
      <c r="KW56" s="677"/>
      <c r="KX56" s="677"/>
      <c r="KY56" s="677"/>
      <c r="KZ56" s="677"/>
      <c r="LA56" s="677"/>
      <c r="LB56" s="28">
        <v>7</v>
      </c>
      <c r="LC56" s="28"/>
      <c r="LD56" s="30"/>
      <c r="LE56" s="30"/>
      <c r="LF56" s="30">
        <f t="shared" si="52"/>
        <v>0</v>
      </c>
      <c r="LG56" s="28">
        <f t="shared" si="53"/>
        <v>0</v>
      </c>
      <c r="LI56" s="677" t="s">
        <v>36</v>
      </c>
      <c r="LJ56" s="677"/>
      <c r="LK56" s="677"/>
      <c r="LL56" s="677"/>
      <c r="LM56" s="677"/>
      <c r="LN56" s="677"/>
      <c r="LO56" s="28">
        <v>7</v>
      </c>
      <c r="LP56" s="28"/>
      <c r="LQ56" s="30"/>
      <c r="LR56" s="30"/>
      <c r="LS56" s="30"/>
      <c r="LT56" s="30"/>
      <c r="LU56" s="30"/>
      <c r="LV56" s="30"/>
      <c r="LW56" s="30">
        <v>1</v>
      </c>
      <c r="LX56" s="30"/>
      <c r="LY56" s="30"/>
      <c r="LZ56" s="30"/>
      <c r="MA56" s="30"/>
      <c r="MB56" s="30"/>
      <c r="MC56" s="30"/>
      <c r="MD56" s="30"/>
      <c r="ME56" s="30">
        <f t="shared" si="35"/>
        <v>1</v>
      </c>
      <c r="MF56" s="28">
        <f t="shared" si="8"/>
        <v>7</v>
      </c>
      <c r="MH56" s="677" t="s">
        <v>36</v>
      </c>
      <c r="MI56" s="677"/>
      <c r="MJ56" s="677"/>
      <c r="MK56" s="677"/>
      <c r="ML56" s="677"/>
      <c r="MM56" s="677"/>
      <c r="MN56" s="28">
        <v>7</v>
      </c>
      <c r="MO56" s="28"/>
      <c r="MP56" s="30">
        <v>2</v>
      </c>
      <c r="MQ56" s="30"/>
      <c r="MR56" s="30"/>
      <c r="MS56" s="30"/>
      <c r="MT56" s="30"/>
      <c r="MU56" s="30"/>
      <c r="MV56" s="30"/>
      <c r="MW56" s="30"/>
      <c r="MX56" s="30"/>
      <c r="MY56" s="30"/>
      <c r="MZ56" s="30"/>
      <c r="NA56" s="30"/>
      <c r="NB56" s="30"/>
      <c r="NC56" s="30">
        <v>2</v>
      </c>
      <c r="ND56" s="30">
        <f t="shared" si="36"/>
        <v>4</v>
      </c>
      <c r="NE56" s="28">
        <f t="shared" si="37"/>
        <v>28</v>
      </c>
      <c r="NG56" s="677" t="s">
        <v>36</v>
      </c>
      <c r="NH56" s="677"/>
      <c r="NI56" s="677"/>
      <c r="NJ56" s="677"/>
      <c r="NK56" s="677"/>
      <c r="NL56" s="677"/>
      <c r="NM56" s="28">
        <v>7</v>
      </c>
      <c r="NN56" s="30"/>
      <c r="NO56" s="30">
        <v>1</v>
      </c>
      <c r="NP56" s="30"/>
      <c r="NQ56" s="30"/>
      <c r="NR56" s="30"/>
      <c r="NS56" s="30"/>
      <c r="NT56" s="30"/>
      <c r="NU56" s="30"/>
      <c r="NV56" s="30"/>
      <c r="NW56" s="30"/>
      <c r="NX56" s="30"/>
      <c r="NY56" s="30"/>
      <c r="NZ56" s="30"/>
      <c r="OA56" s="30"/>
      <c r="OB56" s="30"/>
      <c r="OC56" s="30">
        <f t="shared" si="38"/>
        <v>1</v>
      </c>
      <c r="OD56" s="28">
        <f t="shared" si="39"/>
        <v>7</v>
      </c>
    </row>
    <row r="57" spans="1:394" ht="14.45" customHeight="1" x14ac:dyDescent="0.25">
      <c r="A57" s="47"/>
      <c r="B57" s="12"/>
      <c r="C57" s="709" t="s">
        <v>37</v>
      </c>
      <c r="D57" s="709"/>
      <c r="E57" s="709"/>
      <c r="F57" s="709"/>
      <c r="G57" s="709"/>
      <c r="H57" s="709"/>
      <c r="I57" s="13"/>
      <c r="J57" s="13"/>
      <c r="K57" s="19"/>
      <c r="L57" s="19"/>
      <c r="M57" s="19">
        <f t="shared" si="40"/>
        <v>0</v>
      </c>
      <c r="N57" s="19">
        <f t="shared" si="9"/>
        <v>0</v>
      </c>
      <c r="O57" s="12"/>
      <c r="P57" s="709" t="s">
        <v>37</v>
      </c>
      <c r="Q57" s="709"/>
      <c r="R57" s="709"/>
      <c r="S57" s="709"/>
      <c r="T57" s="709"/>
      <c r="U57" s="709"/>
      <c r="V57" s="13"/>
      <c r="W57" s="19"/>
      <c r="X57" s="19"/>
      <c r="Y57" s="23">
        <f t="shared" si="10"/>
        <v>0</v>
      </c>
      <c r="Z57" s="19">
        <f t="shared" si="11"/>
        <v>0</v>
      </c>
      <c r="AA57" s="34"/>
      <c r="AB57" s="34"/>
      <c r="AC57" s="34"/>
      <c r="AD57" s="34"/>
      <c r="AE57" s="34"/>
      <c r="AF57" s="34"/>
      <c r="AG57" s="6"/>
      <c r="AH57" s="709" t="s">
        <v>37</v>
      </c>
      <c r="AI57" s="709"/>
      <c r="AJ57" s="709"/>
      <c r="AK57" s="709"/>
      <c r="AL57" s="709"/>
      <c r="AM57" s="709"/>
      <c r="AN57" s="13"/>
      <c r="AO57" s="19"/>
      <c r="AP57" s="23">
        <f t="shared" si="12"/>
        <v>0</v>
      </c>
      <c r="AQ57" s="19">
        <f t="shared" si="13"/>
        <v>0</v>
      </c>
      <c r="AS57" s="709" t="s">
        <v>37</v>
      </c>
      <c r="AT57" s="709"/>
      <c r="AU57" s="709"/>
      <c r="AV57" s="709"/>
      <c r="AW57" s="709"/>
      <c r="AX57" s="709"/>
      <c r="AY57" s="13"/>
      <c r="AZ57" s="19"/>
      <c r="BA57" s="19"/>
      <c r="BB57" s="19"/>
      <c r="BC57" s="19"/>
      <c r="BD57" s="30">
        <f t="shared" si="14"/>
        <v>0</v>
      </c>
      <c r="BE57" s="28">
        <f t="shared" si="15"/>
        <v>0</v>
      </c>
      <c r="BF57" s="14"/>
      <c r="BG57" s="709" t="s">
        <v>37</v>
      </c>
      <c r="BH57" s="709"/>
      <c r="BI57" s="709"/>
      <c r="BJ57" s="709"/>
      <c r="BK57" s="709"/>
      <c r="BL57" s="709"/>
      <c r="BM57" s="13"/>
      <c r="BN57" s="19"/>
      <c r="BO57" s="19"/>
      <c r="BP57" s="30">
        <f t="shared" si="16"/>
        <v>0</v>
      </c>
      <c r="BQ57" s="28">
        <f t="shared" si="17"/>
        <v>0</v>
      </c>
      <c r="BR57" s="14"/>
      <c r="BS57" s="709" t="s">
        <v>37</v>
      </c>
      <c r="BT57" s="709"/>
      <c r="BU57" s="709"/>
      <c r="BV57" s="709"/>
      <c r="BW57" s="709"/>
      <c r="BX57" s="709"/>
      <c r="BY57" s="13"/>
      <c r="BZ57" s="19"/>
      <c r="CA57" s="19"/>
      <c r="CB57" s="19"/>
      <c r="CC57" s="19"/>
      <c r="CD57" s="19"/>
      <c r="CE57" s="19"/>
      <c r="CF57" s="19"/>
      <c r="CG57" s="19"/>
      <c r="CH57" s="19"/>
      <c r="CI57" s="30">
        <f t="shared" si="18"/>
        <v>0</v>
      </c>
      <c r="CJ57" s="28">
        <f t="shared" si="19"/>
        <v>0</v>
      </c>
      <c r="CK57" s="14"/>
      <c r="CL57" s="709" t="s">
        <v>37</v>
      </c>
      <c r="CM57" s="709"/>
      <c r="CN57" s="709"/>
      <c r="CO57" s="709"/>
      <c r="CP57" s="709"/>
      <c r="CQ57" s="709"/>
      <c r="CR57" s="13"/>
      <c r="CS57" s="19"/>
      <c r="CT57" s="19"/>
      <c r="CU57" s="19"/>
      <c r="CV57" s="19"/>
      <c r="CW57" s="19"/>
      <c r="CX57" s="19"/>
      <c r="CY57" s="19"/>
      <c r="CZ57" s="19"/>
      <c r="DA57" s="30">
        <f t="shared" si="20"/>
        <v>0</v>
      </c>
      <c r="DB57" s="28">
        <f t="shared" si="21"/>
        <v>0</v>
      </c>
      <c r="DC57" s="14"/>
      <c r="DD57" s="709" t="s">
        <v>37</v>
      </c>
      <c r="DE57" s="709"/>
      <c r="DF57" s="709"/>
      <c r="DG57" s="709"/>
      <c r="DH57" s="709"/>
      <c r="DI57" s="709"/>
      <c r="DJ57" s="13"/>
      <c r="DK57" s="19"/>
      <c r="DL57" s="19"/>
      <c r="DM57" s="19"/>
      <c r="DN57" s="19"/>
      <c r="DO57" s="19"/>
      <c r="DP57" s="19"/>
      <c r="DQ57" s="19"/>
      <c r="DR57" s="19"/>
      <c r="DS57" s="19"/>
      <c r="DT57" s="19"/>
      <c r="DU57" s="30">
        <f t="shared" si="22"/>
        <v>0</v>
      </c>
      <c r="DV57" s="28">
        <f t="shared" si="23"/>
        <v>0</v>
      </c>
      <c r="DX57" s="709" t="s">
        <v>37</v>
      </c>
      <c r="DY57" s="709"/>
      <c r="DZ57" s="709"/>
      <c r="EA57" s="709"/>
      <c r="EB57" s="709"/>
      <c r="EC57" s="709"/>
      <c r="ED57" s="13"/>
      <c r="EE57" s="19"/>
      <c r="EF57" s="19"/>
      <c r="EG57" s="19"/>
      <c r="EH57" s="19"/>
      <c r="EI57" s="19"/>
      <c r="EJ57" s="19"/>
      <c r="EK57" s="19"/>
      <c r="EL57" s="19"/>
      <c r="EM57" s="23"/>
      <c r="EN57" s="23"/>
      <c r="EO57" s="30">
        <f t="shared" si="24"/>
        <v>0</v>
      </c>
      <c r="EP57" s="28">
        <f t="shared" si="25"/>
        <v>0</v>
      </c>
      <c r="EQ57" t="str">
        <f t="shared" si="26"/>
        <v>IGUAL</v>
      </c>
      <c r="ER57" s="709" t="s">
        <v>37</v>
      </c>
      <c r="ES57" s="709"/>
      <c r="ET57" s="709"/>
      <c r="EU57" s="709"/>
      <c r="EV57" s="709"/>
      <c r="EW57" s="709"/>
      <c r="EX57" s="13"/>
      <c r="EY57" s="19"/>
      <c r="EZ57" s="19"/>
      <c r="FA57" s="19"/>
      <c r="FB57" s="19"/>
      <c r="FC57" s="19"/>
      <c r="FD57" s="19"/>
      <c r="FE57" s="19"/>
      <c r="FF57" s="19"/>
      <c r="FG57" s="19"/>
      <c r="FH57" s="19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30">
        <f t="shared" si="27"/>
        <v>0</v>
      </c>
      <c r="FU57" s="28">
        <f t="shared" si="28"/>
        <v>0</v>
      </c>
      <c r="FW57" s="709" t="s">
        <v>37</v>
      </c>
      <c r="FX57" s="709"/>
      <c r="FY57" s="709"/>
      <c r="FZ57" s="709"/>
      <c r="GA57" s="709"/>
      <c r="GB57" s="709"/>
      <c r="GC57" s="13"/>
      <c r="GD57" s="23"/>
      <c r="GE57" s="19"/>
      <c r="GF57" s="19"/>
      <c r="GG57" s="19"/>
      <c r="GH57" s="19"/>
      <c r="GI57" s="19"/>
      <c r="GJ57" s="19"/>
      <c r="GK57" s="19"/>
      <c r="GL57" s="19"/>
      <c r="GM57" s="19"/>
      <c r="GN57" s="23"/>
      <c r="GO57" s="23"/>
      <c r="GP57" s="23"/>
      <c r="GQ57" s="30">
        <f t="shared" si="29"/>
        <v>0</v>
      </c>
      <c r="GR57" s="28">
        <f t="shared" si="30"/>
        <v>0</v>
      </c>
      <c r="GT57" s="709" t="s">
        <v>37</v>
      </c>
      <c r="GU57" s="709"/>
      <c r="GV57" s="709"/>
      <c r="GW57" s="709"/>
      <c r="GX57" s="709"/>
      <c r="GY57" s="709"/>
      <c r="GZ57" s="13"/>
      <c r="HA57" s="19"/>
      <c r="HB57" s="19"/>
      <c r="HC57" s="19"/>
      <c r="HD57" s="19"/>
      <c r="HE57" s="19"/>
      <c r="HF57" s="19"/>
      <c r="HG57" s="19"/>
      <c r="HH57" s="19"/>
      <c r="HI57" s="19"/>
      <c r="HJ57" s="23"/>
      <c r="HK57" s="23"/>
      <c r="HL57" s="30">
        <f t="shared" si="43"/>
        <v>0</v>
      </c>
      <c r="HM57" s="28">
        <f t="shared" si="32"/>
        <v>0</v>
      </c>
      <c r="HO57" s="709" t="s">
        <v>37</v>
      </c>
      <c r="HP57" s="709"/>
      <c r="HQ57" s="709"/>
      <c r="HR57" s="709"/>
      <c r="HS57" s="709"/>
      <c r="HT57" s="709"/>
      <c r="HU57" s="13"/>
      <c r="HV57" s="19"/>
      <c r="HW57" s="30">
        <f t="shared" si="44"/>
        <v>0</v>
      </c>
      <c r="HX57" s="28">
        <f t="shared" si="45"/>
        <v>0</v>
      </c>
      <c r="HZ57" s="709" t="s">
        <v>37</v>
      </c>
      <c r="IA57" s="709"/>
      <c r="IB57" s="709"/>
      <c r="IC57" s="709"/>
      <c r="ID57" s="709"/>
      <c r="IE57" s="709"/>
      <c r="IF57" s="13">
        <v>9</v>
      </c>
      <c r="IG57" s="19"/>
      <c r="IH57" s="23"/>
      <c r="II57" s="23"/>
      <c r="IJ57" s="23">
        <v>10</v>
      </c>
      <c r="IK57" s="23"/>
      <c r="IL57" s="23"/>
      <c r="IM57" s="30">
        <f t="shared" si="41"/>
        <v>10</v>
      </c>
      <c r="IN57" s="28">
        <f t="shared" si="46"/>
        <v>90</v>
      </c>
      <c r="IP57" s="709" t="s">
        <v>37</v>
      </c>
      <c r="IQ57" s="709"/>
      <c r="IR57" s="709"/>
      <c r="IS57" s="709"/>
      <c r="IT57" s="709"/>
      <c r="IU57" s="709"/>
      <c r="IV57" s="13">
        <v>9</v>
      </c>
      <c r="IW57" s="19"/>
      <c r="IX57" s="23"/>
      <c r="IY57" s="30">
        <f t="shared" si="47"/>
        <v>0</v>
      </c>
      <c r="IZ57" s="28">
        <f t="shared" si="48"/>
        <v>0</v>
      </c>
      <c r="JB57" s="709" t="s">
        <v>37</v>
      </c>
      <c r="JC57" s="709"/>
      <c r="JD57" s="709"/>
      <c r="JE57" s="709"/>
      <c r="JF57" s="709"/>
      <c r="JG57" s="709"/>
      <c r="JH57" s="13">
        <v>9</v>
      </c>
      <c r="JI57" s="19"/>
      <c r="JJ57" s="23"/>
      <c r="JK57" s="23"/>
      <c r="JL57" s="23"/>
      <c r="JM57" s="23"/>
      <c r="JN57" s="23"/>
      <c r="JO57" s="23"/>
      <c r="JP57" s="23"/>
      <c r="JQ57" s="23"/>
      <c r="JR57" s="23"/>
      <c r="JS57" s="23"/>
      <c r="JT57" s="23"/>
      <c r="JU57" s="23"/>
      <c r="JV57" s="23"/>
      <c r="JW57" s="23"/>
      <c r="JX57" s="23"/>
      <c r="JY57" s="23"/>
      <c r="JZ57" s="23"/>
      <c r="KA57" s="23"/>
      <c r="KB57" s="23"/>
      <c r="KC57" s="23"/>
      <c r="KD57" s="23"/>
      <c r="KE57" s="30">
        <f t="shared" si="34"/>
        <v>0</v>
      </c>
      <c r="KF57" s="28">
        <f t="shared" si="49"/>
        <v>0</v>
      </c>
      <c r="KH57" s="709" t="s">
        <v>37</v>
      </c>
      <c r="KI57" s="709"/>
      <c r="KJ57" s="709"/>
      <c r="KK57" s="709"/>
      <c r="KL57" s="709"/>
      <c r="KM57" s="709"/>
      <c r="KN57" s="13">
        <v>9</v>
      </c>
      <c r="KO57" s="19"/>
      <c r="KP57" s="23"/>
      <c r="KQ57" s="23"/>
      <c r="KR57" s="23"/>
      <c r="KS57" s="30">
        <f t="shared" si="50"/>
        <v>0</v>
      </c>
      <c r="KT57" s="28">
        <f t="shared" si="51"/>
        <v>0</v>
      </c>
      <c r="KV57" s="709" t="s">
        <v>37</v>
      </c>
      <c r="KW57" s="709"/>
      <c r="KX57" s="709"/>
      <c r="KY57" s="709"/>
      <c r="KZ57" s="709"/>
      <c r="LA57" s="709"/>
      <c r="LB57" s="13">
        <v>9</v>
      </c>
      <c r="LC57" s="19"/>
      <c r="LD57" s="23"/>
      <c r="LE57" s="23"/>
      <c r="LF57" s="30">
        <f t="shared" si="52"/>
        <v>0</v>
      </c>
      <c r="LG57" s="28">
        <f t="shared" si="53"/>
        <v>0</v>
      </c>
      <c r="LI57" s="709" t="s">
        <v>37</v>
      </c>
      <c r="LJ57" s="709"/>
      <c r="LK57" s="709"/>
      <c r="LL57" s="709"/>
      <c r="LM57" s="709"/>
      <c r="LN57" s="709"/>
      <c r="LO57" s="13">
        <v>9</v>
      </c>
      <c r="LP57" s="19"/>
      <c r="LQ57" s="23"/>
      <c r="LR57" s="23"/>
      <c r="LS57" s="23"/>
      <c r="LT57" s="23"/>
      <c r="LU57" s="23"/>
      <c r="LV57" s="23"/>
      <c r="LW57" s="23"/>
      <c r="LX57" s="23"/>
      <c r="LY57" s="23"/>
      <c r="LZ57" s="23"/>
      <c r="MA57" s="23"/>
      <c r="MB57" s="23"/>
      <c r="MC57" s="23"/>
      <c r="MD57" s="23"/>
      <c r="ME57" s="30">
        <f t="shared" si="35"/>
        <v>0</v>
      </c>
      <c r="MF57" s="28">
        <f t="shared" si="8"/>
        <v>0</v>
      </c>
      <c r="MH57" s="709" t="s">
        <v>37</v>
      </c>
      <c r="MI57" s="709"/>
      <c r="MJ57" s="709"/>
      <c r="MK57" s="709"/>
      <c r="ML57" s="709"/>
      <c r="MM57" s="709"/>
      <c r="MN57" s="13">
        <v>9</v>
      </c>
      <c r="MO57" s="19"/>
      <c r="MP57" s="23"/>
      <c r="MQ57" s="23"/>
      <c r="MR57" s="23"/>
      <c r="MS57" s="23"/>
      <c r="MT57" s="23"/>
      <c r="MU57" s="23"/>
      <c r="MV57" s="23"/>
      <c r="MW57" s="23"/>
      <c r="MX57" s="23"/>
      <c r="MY57" s="23"/>
      <c r="MZ57" s="23"/>
      <c r="NA57" s="23"/>
      <c r="NB57" s="23"/>
      <c r="NC57" s="23"/>
      <c r="ND57" s="30">
        <f t="shared" si="36"/>
        <v>0</v>
      </c>
      <c r="NE57" s="28">
        <f t="shared" si="37"/>
        <v>0</v>
      </c>
      <c r="NG57" s="709" t="s">
        <v>37</v>
      </c>
      <c r="NH57" s="709"/>
      <c r="NI57" s="709"/>
      <c r="NJ57" s="709"/>
      <c r="NK57" s="709"/>
      <c r="NL57" s="709"/>
      <c r="NM57" s="13">
        <v>9</v>
      </c>
      <c r="NN57" s="23"/>
      <c r="NO57" s="23"/>
      <c r="NP57" s="23"/>
      <c r="NQ57" s="23"/>
      <c r="NR57" s="23"/>
      <c r="NS57" s="23"/>
      <c r="NT57" s="23"/>
      <c r="NU57" s="23"/>
      <c r="NV57" s="23"/>
      <c r="NW57" s="23"/>
      <c r="NX57" s="23"/>
      <c r="NY57" s="23"/>
      <c r="NZ57" s="23"/>
      <c r="OA57" s="23"/>
      <c r="OB57" s="23"/>
      <c r="OC57" s="30">
        <f t="shared" si="38"/>
        <v>0</v>
      </c>
      <c r="OD57" s="28">
        <f t="shared" si="39"/>
        <v>0</v>
      </c>
    </row>
    <row r="58" spans="1:394" ht="14.45" customHeight="1" x14ac:dyDescent="0.25">
      <c r="A58" s="47"/>
      <c r="B58" s="12"/>
      <c r="C58" s="709" t="s">
        <v>38</v>
      </c>
      <c r="D58" s="709"/>
      <c r="E58" s="709"/>
      <c r="F58" s="709"/>
      <c r="G58" s="709"/>
      <c r="H58" s="709"/>
      <c r="I58" s="13"/>
      <c r="J58" s="13"/>
      <c r="K58" s="19"/>
      <c r="L58" s="19"/>
      <c r="M58" s="19">
        <f t="shared" si="40"/>
        <v>0</v>
      </c>
      <c r="N58" s="19">
        <f t="shared" si="9"/>
        <v>0</v>
      </c>
      <c r="O58" s="12"/>
      <c r="P58" s="709" t="s">
        <v>38</v>
      </c>
      <c r="Q58" s="709"/>
      <c r="R58" s="709"/>
      <c r="S58" s="709"/>
      <c r="T58" s="709"/>
      <c r="U58" s="709"/>
      <c r="V58" s="13"/>
      <c r="W58" s="19"/>
      <c r="X58" s="19"/>
      <c r="Y58" s="23">
        <f t="shared" si="10"/>
        <v>0</v>
      </c>
      <c r="Z58" s="19">
        <f t="shared" si="11"/>
        <v>0</v>
      </c>
      <c r="AA58" s="34"/>
      <c r="AB58" s="34"/>
      <c r="AC58" s="34"/>
      <c r="AD58" s="34"/>
      <c r="AE58" s="34"/>
      <c r="AF58" s="34"/>
      <c r="AG58" s="6"/>
      <c r="AH58" s="709" t="s">
        <v>38</v>
      </c>
      <c r="AI58" s="709"/>
      <c r="AJ58" s="709"/>
      <c r="AK58" s="709"/>
      <c r="AL58" s="709"/>
      <c r="AM58" s="709"/>
      <c r="AN58" s="13"/>
      <c r="AO58" s="19"/>
      <c r="AP58" s="23">
        <f t="shared" si="12"/>
        <v>0</v>
      </c>
      <c r="AQ58" s="19">
        <f t="shared" si="13"/>
        <v>0</v>
      </c>
      <c r="AS58" s="677" t="s">
        <v>38</v>
      </c>
      <c r="AT58" s="677"/>
      <c r="AU58" s="677"/>
      <c r="AV58" s="677"/>
      <c r="AW58" s="677"/>
      <c r="AX58" s="677"/>
      <c r="AY58" s="28"/>
      <c r="AZ58" s="28"/>
      <c r="BA58" s="28"/>
      <c r="BB58" s="28"/>
      <c r="BC58" s="28"/>
      <c r="BD58" s="30">
        <f t="shared" si="14"/>
        <v>0</v>
      </c>
      <c r="BE58" s="28">
        <f t="shared" si="15"/>
        <v>0</v>
      </c>
      <c r="BF58" s="14"/>
      <c r="BG58" s="677" t="s">
        <v>38</v>
      </c>
      <c r="BH58" s="677"/>
      <c r="BI58" s="677"/>
      <c r="BJ58" s="677"/>
      <c r="BK58" s="677"/>
      <c r="BL58" s="677"/>
      <c r="BM58" s="28"/>
      <c r="BN58" s="28"/>
      <c r="BO58" s="28"/>
      <c r="BP58" s="30">
        <f t="shared" si="16"/>
        <v>0</v>
      </c>
      <c r="BQ58" s="28">
        <f t="shared" si="17"/>
        <v>0</v>
      </c>
      <c r="BR58" s="14"/>
      <c r="BS58" s="677" t="s">
        <v>38</v>
      </c>
      <c r="BT58" s="677"/>
      <c r="BU58" s="677"/>
      <c r="BV58" s="677"/>
      <c r="BW58" s="677"/>
      <c r="BX58" s="677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30">
        <f t="shared" si="18"/>
        <v>0</v>
      </c>
      <c r="CJ58" s="28">
        <f t="shared" si="19"/>
        <v>0</v>
      </c>
      <c r="CK58" s="14"/>
      <c r="CL58" s="677" t="s">
        <v>38</v>
      </c>
      <c r="CM58" s="677"/>
      <c r="CN58" s="677"/>
      <c r="CO58" s="677"/>
      <c r="CP58" s="677"/>
      <c r="CQ58" s="677"/>
      <c r="CR58" s="28"/>
      <c r="CS58" s="28"/>
      <c r="CT58" s="28"/>
      <c r="CU58" s="28"/>
      <c r="CV58" s="28"/>
      <c r="CW58" s="28"/>
      <c r="CX58" s="28"/>
      <c r="CY58" s="28"/>
      <c r="CZ58" s="28"/>
      <c r="DA58" s="30">
        <f t="shared" si="20"/>
        <v>0</v>
      </c>
      <c r="DB58" s="28">
        <f t="shared" si="21"/>
        <v>0</v>
      </c>
      <c r="DC58" s="14"/>
      <c r="DD58" s="677" t="s">
        <v>38</v>
      </c>
      <c r="DE58" s="677"/>
      <c r="DF58" s="677"/>
      <c r="DG58" s="677"/>
      <c r="DH58" s="677"/>
      <c r="DI58" s="677"/>
      <c r="DJ58" s="28"/>
      <c r="DK58" s="28"/>
      <c r="DL58" s="28"/>
      <c r="DM58" s="28"/>
      <c r="DN58" s="28"/>
      <c r="DO58" s="28"/>
      <c r="DP58" s="28"/>
      <c r="DQ58" s="28"/>
      <c r="DR58" s="28"/>
      <c r="DS58" s="28"/>
      <c r="DT58" s="28"/>
      <c r="DU58" s="30">
        <f t="shared" si="22"/>
        <v>0</v>
      </c>
      <c r="DV58" s="28">
        <f t="shared" si="23"/>
        <v>0</v>
      </c>
      <c r="DX58" s="677" t="s">
        <v>38</v>
      </c>
      <c r="DY58" s="677"/>
      <c r="DZ58" s="677"/>
      <c r="EA58" s="677"/>
      <c r="EB58" s="677"/>
      <c r="EC58" s="677"/>
      <c r="ED58" s="28">
        <v>13</v>
      </c>
      <c r="EE58" s="28"/>
      <c r="EF58" s="28"/>
      <c r="EG58" s="28"/>
      <c r="EH58" s="28">
        <v>1</v>
      </c>
      <c r="EI58" s="28"/>
      <c r="EJ58" s="28"/>
      <c r="EK58" s="28"/>
      <c r="EL58" s="28"/>
      <c r="EM58" s="30"/>
      <c r="EN58" s="30"/>
      <c r="EO58" s="30">
        <f t="shared" si="24"/>
        <v>1</v>
      </c>
      <c r="EP58" s="28">
        <f t="shared" si="25"/>
        <v>13</v>
      </c>
      <c r="EQ58" t="str">
        <f t="shared" si="26"/>
        <v>IGUAL</v>
      </c>
      <c r="ER58" s="677" t="s">
        <v>38</v>
      </c>
      <c r="ES58" s="677"/>
      <c r="ET58" s="677"/>
      <c r="EU58" s="677"/>
      <c r="EV58" s="677"/>
      <c r="EW58" s="677"/>
      <c r="EX58" s="28">
        <v>13</v>
      </c>
      <c r="EY58" s="28"/>
      <c r="EZ58" s="28"/>
      <c r="FA58" s="28"/>
      <c r="FB58" s="28"/>
      <c r="FC58" s="28"/>
      <c r="FD58" s="28"/>
      <c r="FE58" s="28"/>
      <c r="FF58" s="28"/>
      <c r="FG58" s="28"/>
      <c r="FH58" s="28"/>
      <c r="FI58" s="30"/>
      <c r="FJ58" s="30"/>
      <c r="FK58" s="30"/>
      <c r="FL58" s="30"/>
      <c r="FM58" s="30"/>
      <c r="FN58" s="30"/>
      <c r="FO58" s="30"/>
      <c r="FP58" s="30"/>
      <c r="FQ58" s="30"/>
      <c r="FR58" s="30"/>
      <c r="FS58" s="30"/>
      <c r="FT58" s="30">
        <f t="shared" si="27"/>
        <v>0</v>
      </c>
      <c r="FU58" s="28">
        <f t="shared" si="28"/>
        <v>0</v>
      </c>
      <c r="FW58" s="677" t="s">
        <v>38</v>
      </c>
      <c r="FX58" s="677"/>
      <c r="FY58" s="677"/>
      <c r="FZ58" s="677"/>
      <c r="GA58" s="677"/>
      <c r="GB58" s="677"/>
      <c r="GC58" s="28">
        <v>13</v>
      </c>
      <c r="GD58" s="30"/>
      <c r="GE58" s="28"/>
      <c r="GF58" s="28"/>
      <c r="GG58" s="28"/>
      <c r="GH58" s="28"/>
      <c r="GI58" s="28"/>
      <c r="GJ58" s="28"/>
      <c r="GK58" s="28"/>
      <c r="GL58" s="28"/>
      <c r="GM58" s="28"/>
      <c r="GN58" s="30"/>
      <c r="GO58" s="30"/>
      <c r="GP58" s="30"/>
      <c r="GQ58" s="30">
        <f t="shared" si="29"/>
        <v>0</v>
      </c>
      <c r="GR58" s="28">
        <f t="shared" si="30"/>
        <v>0</v>
      </c>
      <c r="GT58" s="677" t="s">
        <v>38</v>
      </c>
      <c r="GU58" s="677"/>
      <c r="GV58" s="677"/>
      <c r="GW58" s="677"/>
      <c r="GX58" s="677"/>
      <c r="GY58" s="677"/>
      <c r="GZ58" s="28">
        <v>13</v>
      </c>
      <c r="HA58" s="28"/>
      <c r="HB58" s="28">
        <v>1</v>
      </c>
      <c r="HC58" s="28"/>
      <c r="HD58" s="28"/>
      <c r="HE58" s="28"/>
      <c r="HF58" s="28"/>
      <c r="HG58" s="28"/>
      <c r="HH58" s="28"/>
      <c r="HI58" s="28"/>
      <c r="HJ58" s="30"/>
      <c r="HK58" s="30"/>
      <c r="HL58" s="30">
        <f t="shared" si="43"/>
        <v>1</v>
      </c>
      <c r="HM58" s="28">
        <f t="shared" si="32"/>
        <v>13</v>
      </c>
      <c r="HO58" s="677" t="s">
        <v>38</v>
      </c>
      <c r="HP58" s="677"/>
      <c r="HQ58" s="677"/>
      <c r="HR58" s="677"/>
      <c r="HS58" s="677"/>
      <c r="HT58" s="677"/>
      <c r="HU58" s="28">
        <v>13</v>
      </c>
      <c r="HV58" s="28"/>
      <c r="HW58" s="30">
        <f t="shared" si="44"/>
        <v>0</v>
      </c>
      <c r="HX58" s="28">
        <f t="shared" si="45"/>
        <v>0</v>
      </c>
      <c r="HZ58" s="677" t="s">
        <v>38</v>
      </c>
      <c r="IA58" s="677"/>
      <c r="IB58" s="677"/>
      <c r="IC58" s="677"/>
      <c r="ID58" s="677"/>
      <c r="IE58" s="677"/>
      <c r="IF58" s="28">
        <v>13</v>
      </c>
      <c r="IG58" s="28"/>
      <c r="IH58" s="30"/>
      <c r="II58" s="30"/>
      <c r="IJ58" s="30">
        <v>7</v>
      </c>
      <c r="IK58" s="30"/>
      <c r="IL58" s="30"/>
      <c r="IM58" s="30">
        <f t="shared" si="41"/>
        <v>7</v>
      </c>
      <c r="IN58" s="28">
        <f t="shared" si="46"/>
        <v>91</v>
      </c>
      <c r="IP58" s="677" t="s">
        <v>38</v>
      </c>
      <c r="IQ58" s="677"/>
      <c r="IR58" s="677"/>
      <c r="IS58" s="677"/>
      <c r="IT58" s="677"/>
      <c r="IU58" s="677"/>
      <c r="IV58" s="28">
        <v>13</v>
      </c>
      <c r="IW58" s="28"/>
      <c r="IX58" s="30"/>
      <c r="IY58" s="30">
        <f t="shared" si="47"/>
        <v>0</v>
      </c>
      <c r="IZ58" s="28">
        <f t="shared" si="48"/>
        <v>0</v>
      </c>
      <c r="JB58" s="677" t="s">
        <v>38</v>
      </c>
      <c r="JC58" s="677"/>
      <c r="JD58" s="677"/>
      <c r="JE58" s="677"/>
      <c r="JF58" s="677"/>
      <c r="JG58" s="677"/>
      <c r="JH58" s="28">
        <v>13</v>
      </c>
      <c r="JI58" s="28"/>
      <c r="JJ58" s="30"/>
      <c r="JK58" s="30"/>
      <c r="JL58" s="30"/>
      <c r="JM58" s="30"/>
      <c r="JN58" s="30"/>
      <c r="JO58" s="30"/>
      <c r="JP58" s="30"/>
      <c r="JQ58" s="30"/>
      <c r="JR58" s="30"/>
      <c r="JS58" s="30"/>
      <c r="JT58" s="30"/>
      <c r="JU58" s="30"/>
      <c r="JV58" s="30"/>
      <c r="JW58" s="30"/>
      <c r="JX58" s="30"/>
      <c r="JY58" s="30"/>
      <c r="JZ58" s="30"/>
      <c r="KA58" s="30"/>
      <c r="KB58" s="30"/>
      <c r="KC58" s="30"/>
      <c r="KD58" s="30"/>
      <c r="KE58" s="30">
        <f t="shared" si="34"/>
        <v>0</v>
      </c>
      <c r="KF58" s="28">
        <f t="shared" si="49"/>
        <v>0</v>
      </c>
      <c r="KH58" s="677" t="s">
        <v>38</v>
      </c>
      <c r="KI58" s="677"/>
      <c r="KJ58" s="677"/>
      <c r="KK58" s="677"/>
      <c r="KL58" s="677"/>
      <c r="KM58" s="677"/>
      <c r="KN58" s="28">
        <v>13</v>
      </c>
      <c r="KO58" s="28"/>
      <c r="KP58" s="30"/>
      <c r="KQ58" s="30"/>
      <c r="KR58" s="30"/>
      <c r="KS58" s="30">
        <f t="shared" si="50"/>
        <v>0</v>
      </c>
      <c r="KT58" s="28">
        <f t="shared" si="51"/>
        <v>0</v>
      </c>
      <c r="KV58" s="677" t="s">
        <v>38</v>
      </c>
      <c r="KW58" s="677"/>
      <c r="KX58" s="677"/>
      <c r="KY58" s="677"/>
      <c r="KZ58" s="677"/>
      <c r="LA58" s="677"/>
      <c r="LB58" s="28">
        <v>13</v>
      </c>
      <c r="LC58" s="28"/>
      <c r="LD58" s="30"/>
      <c r="LE58" s="30"/>
      <c r="LF58" s="30">
        <f t="shared" si="52"/>
        <v>0</v>
      </c>
      <c r="LG58" s="28">
        <f t="shared" si="53"/>
        <v>0</v>
      </c>
      <c r="LI58" s="677" t="s">
        <v>38</v>
      </c>
      <c r="LJ58" s="677"/>
      <c r="LK58" s="677"/>
      <c r="LL58" s="677"/>
      <c r="LM58" s="677"/>
      <c r="LN58" s="677"/>
      <c r="LO58" s="28">
        <v>13</v>
      </c>
      <c r="LP58" s="28"/>
      <c r="LQ58" s="30"/>
      <c r="LR58" s="30"/>
      <c r="LS58" s="30"/>
      <c r="LT58" s="30"/>
      <c r="LU58" s="30"/>
      <c r="LV58" s="30"/>
      <c r="LW58" s="30"/>
      <c r="LX58" s="30"/>
      <c r="LY58" s="30"/>
      <c r="LZ58" s="30"/>
      <c r="MA58" s="30"/>
      <c r="MB58" s="30"/>
      <c r="MC58" s="30"/>
      <c r="MD58" s="30"/>
      <c r="ME58" s="30">
        <f t="shared" si="35"/>
        <v>0</v>
      </c>
      <c r="MF58" s="28">
        <f t="shared" si="8"/>
        <v>0</v>
      </c>
      <c r="MH58" s="677" t="s">
        <v>38</v>
      </c>
      <c r="MI58" s="677"/>
      <c r="MJ58" s="677"/>
      <c r="MK58" s="677"/>
      <c r="ML58" s="677"/>
      <c r="MM58" s="677"/>
      <c r="MN58" s="28">
        <v>13</v>
      </c>
      <c r="MO58" s="28"/>
      <c r="MP58" s="30"/>
      <c r="MQ58" s="30"/>
      <c r="MR58" s="30"/>
      <c r="MS58" s="30"/>
      <c r="MT58" s="30"/>
      <c r="MU58" s="30"/>
      <c r="MV58" s="30"/>
      <c r="MW58" s="30"/>
      <c r="MX58" s="30"/>
      <c r="MY58" s="30"/>
      <c r="MZ58" s="30"/>
      <c r="NA58" s="30"/>
      <c r="NB58" s="30"/>
      <c r="NC58" s="30"/>
      <c r="ND58" s="30">
        <f t="shared" si="36"/>
        <v>0</v>
      </c>
      <c r="NE58" s="28">
        <f t="shared" si="37"/>
        <v>0</v>
      </c>
      <c r="NG58" s="677" t="s">
        <v>38</v>
      </c>
      <c r="NH58" s="677"/>
      <c r="NI58" s="677"/>
      <c r="NJ58" s="677"/>
      <c r="NK58" s="677"/>
      <c r="NL58" s="677"/>
      <c r="NM58" s="28">
        <v>13</v>
      </c>
      <c r="NN58" s="30"/>
      <c r="NO58" s="30"/>
      <c r="NP58" s="30"/>
      <c r="NQ58" s="30">
        <v>1</v>
      </c>
      <c r="NR58" s="30"/>
      <c r="NS58" s="30"/>
      <c r="NT58" s="30"/>
      <c r="NU58" s="30"/>
      <c r="NV58" s="30"/>
      <c r="NW58" s="30"/>
      <c r="NX58" s="30"/>
      <c r="NY58" s="30"/>
      <c r="NZ58" s="30"/>
      <c r="OA58" s="30"/>
      <c r="OB58" s="30"/>
      <c r="OC58" s="30">
        <f t="shared" si="38"/>
        <v>1</v>
      </c>
      <c r="OD58" s="28">
        <f t="shared" si="39"/>
        <v>13</v>
      </c>
    </row>
    <row r="59" spans="1:394" ht="14.45" customHeight="1" x14ac:dyDescent="0.25">
      <c r="A59" s="47"/>
      <c r="B59" s="12"/>
      <c r="C59" s="709" t="s">
        <v>39</v>
      </c>
      <c r="D59" s="709"/>
      <c r="E59" s="709"/>
      <c r="F59" s="709"/>
      <c r="G59" s="709"/>
      <c r="H59" s="709"/>
      <c r="I59" s="13"/>
      <c r="J59" s="13"/>
      <c r="K59" s="19"/>
      <c r="L59" s="19"/>
      <c r="M59" s="19">
        <f t="shared" si="40"/>
        <v>0</v>
      </c>
      <c r="N59" s="19">
        <f t="shared" si="9"/>
        <v>0</v>
      </c>
      <c r="O59" s="12"/>
      <c r="P59" s="709" t="s">
        <v>39</v>
      </c>
      <c r="Q59" s="709"/>
      <c r="R59" s="709"/>
      <c r="S59" s="709"/>
      <c r="T59" s="709"/>
      <c r="U59" s="709"/>
      <c r="V59" s="13"/>
      <c r="W59" s="19"/>
      <c r="X59" s="19"/>
      <c r="Y59" s="23">
        <f t="shared" si="10"/>
        <v>0</v>
      </c>
      <c r="Z59" s="19">
        <f t="shared" si="11"/>
        <v>0</v>
      </c>
      <c r="AA59" s="34"/>
      <c r="AB59" s="34"/>
      <c r="AC59" s="34"/>
      <c r="AD59" s="34"/>
      <c r="AE59" s="34"/>
      <c r="AF59" s="34"/>
      <c r="AG59" s="6"/>
      <c r="AH59" s="709" t="s">
        <v>39</v>
      </c>
      <c r="AI59" s="709"/>
      <c r="AJ59" s="709"/>
      <c r="AK59" s="709"/>
      <c r="AL59" s="709"/>
      <c r="AM59" s="709"/>
      <c r="AN59" s="13"/>
      <c r="AO59" s="19"/>
      <c r="AP59" s="23">
        <f t="shared" si="12"/>
        <v>0</v>
      </c>
      <c r="AQ59" s="19">
        <f t="shared" si="13"/>
        <v>0</v>
      </c>
      <c r="AS59" s="709" t="s">
        <v>39</v>
      </c>
      <c r="AT59" s="709"/>
      <c r="AU59" s="709"/>
      <c r="AV59" s="709"/>
      <c r="AW59" s="709"/>
      <c r="AX59" s="709"/>
      <c r="AY59" s="13"/>
      <c r="AZ59" s="19"/>
      <c r="BA59" s="19"/>
      <c r="BB59" s="19"/>
      <c r="BC59" s="19"/>
      <c r="BD59" s="30">
        <f t="shared" si="14"/>
        <v>0</v>
      </c>
      <c r="BE59" s="28">
        <f t="shared" si="15"/>
        <v>0</v>
      </c>
      <c r="BF59" s="14"/>
      <c r="BG59" s="709" t="s">
        <v>39</v>
      </c>
      <c r="BH59" s="709"/>
      <c r="BI59" s="709"/>
      <c r="BJ59" s="709"/>
      <c r="BK59" s="709"/>
      <c r="BL59" s="709"/>
      <c r="BM59" s="13"/>
      <c r="BN59" s="19"/>
      <c r="BO59" s="19"/>
      <c r="BP59" s="30">
        <f t="shared" si="16"/>
        <v>0</v>
      </c>
      <c r="BQ59" s="28">
        <f t="shared" si="17"/>
        <v>0</v>
      </c>
      <c r="BR59" s="14"/>
      <c r="BS59" s="709" t="s">
        <v>39</v>
      </c>
      <c r="BT59" s="709"/>
      <c r="BU59" s="709"/>
      <c r="BV59" s="709"/>
      <c r="BW59" s="709"/>
      <c r="BX59" s="709"/>
      <c r="BY59" s="13"/>
      <c r="BZ59" s="19"/>
      <c r="CA59" s="19"/>
      <c r="CB59" s="19"/>
      <c r="CC59" s="19"/>
      <c r="CD59" s="19"/>
      <c r="CE59" s="19"/>
      <c r="CF59" s="19"/>
      <c r="CG59" s="19"/>
      <c r="CH59" s="19"/>
      <c r="CI59" s="30">
        <f t="shared" si="18"/>
        <v>0</v>
      </c>
      <c r="CJ59" s="28">
        <f t="shared" si="19"/>
        <v>0</v>
      </c>
      <c r="CK59" s="14"/>
      <c r="CL59" s="709" t="s">
        <v>39</v>
      </c>
      <c r="CM59" s="709"/>
      <c r="CN59" s="709"/>
      <c r="CO59" s="709"/>
      <c r="CP59" s="709"/>
      <c r="CQ59" s="709"/>
      <c r="CR59" s="13"/>
      <c r="CS59" s="19"/>
      <c r="CT59" s="19"/>
      <c r="CU59" s="19"/>
      <c r="CV59" s="19"/>
      <c r="CW59" s="19"/>
      <c r="CX59" s="19"/>
      <c r="CY59" s="19"/>
      <c r="CZ59" s="19"/>
      <c r="DA59" s="30">
        <f t="shared" si="20"/>
        <v>0</v>
      </c>
      <c r="DB59" s="28">
        <f t="shared" si="21"/>
        <v>0</v>
      </c>
      <c r="DC59" s="14"/>
      <c r="DD59" s="709" t="s">
        <v>39</v>
      </c>
      <c r="DE59" s="709"/>
      <c r="DF59" s="709"/>
      <c r="DG59" s="709"/>
      <c r="DH59" s="709"/>
      <c r="DI59" s="709"/>
      <c r="DJ59" s="13"/>
      <c r="DK59" s="19"/>
      <c r="DL59" s="19"/>
      <c r="DM59" s="19"/>
      <c r="DN59" s="19"/>
      <c r="DO59" s="19"/>
      <c r="DP59" s="19"/>
      <c r="DQ59" s="19"/>
      <c r="DR59" s="19"/>
      <c r="DS59" s="19"/>
      <c r="DT59" s="19"/>
      <c r="DU59" s="30">
        <f t="shared" si="22"/>
        <v>0</v>
      </c>
      <c r="DV59" s="28">
        <f t="shared" si="23"/>
        <v>0</v>
      </c>
      <c r="DX59" s="709" t="s">
        <v>39</v>
      </c>
      <c r="DY59" s="709"/>
      <c r="DZ59" s="709"/>
      <c r="EA59" s="709"/>
      <c r="EB59" s="709"/>
      <c r="EC59" s="709"/>
      <c r="ED59" s="13"/>
      <c r="EE59" s="19"/>
      <c r="EF59" s="19"/>
      <c r="EG59" s="19"/>
      <c r="EH59" s="19"/>
      <c r="EI59" s="19"/>
      <c r="EJ59" s="19"/>
      <c r="EK59" s="19"/>
      <c r="EL59" s="19"/>
      <c r="EM59" s="23"/>
      <c r="EN59" s="23"/>
      <c r="EO59" s="30">
        <f t="shared" si="24"/>
        <v>0</v>
      </c>
      <c r="EP59" s="28">
        <f t="shared" si="25"/>
        <v>0</v>
      </c>
      <c r="EQ59" t="str">
        <f t="shared" si="26"/>
        <v>IGUAL</v>
      </c>
      <c r="ER59" s="709" t="s">
        <v>39</v>
      </c>
      <c r="ES59" s="709"/>
      <c r="ET59" s="709"/>
      <c r="EU59" s="709"/>
      <c r="EV59" s="709"/>
      <c r="EW59" s="709"/>
      <c r="EX59" s="13"/>
      <c r="EY59" s="19"/>
      <c r="EZ59" s="19"/>
      <c r="FA59" s="19"/>
      <c r="FB59" s="19"/>
      <c r="FC59" s="19"/>
      <c r="FD59" s="19"/>
      <c r="FE59" s="19"/>
      <c r="FF59" s="19"/>
      <c r="FG59" s="19"/>
      <c r="FH59" s="19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30">
        <f t="shared" si="27"/>
        <v>0</v>
      </c>
      <c r="FU59" s="28">
        <f t="shared" si="28"/>
        <v>0</v>
      </c>
      <c r="FW59" s="709" t="s">
        <v>39</v>
      </c>
      <c r="FX59" s="709"/>
      <c r="FY59" s="709"/>
      <c r="FZ59" s="709"/>
      <c r="GA59" s="709"/>
      <c r="GB59" s="709"/>
      <c r="GC59" s="13"/>
      <c r="GD59" s="23"/>
      <c r="GE59" s="19"/>
      <c r="GF59" s="19"/>
      <c r="GG59" s="19"/>
      <c r="GH59" s="19"/>
      <c r="GI59" s="19"/>
      <c r="GJ59" s="19"/>
      <c r="GK59" s="19"/>
      <c r="GL59" s="19"/>
      <c r="GM59" s="19"/>
      <c r="GN59" s="23"/>
      <c r="GO59" s="23"/>
      <c r="GP59" s="23"/>
      <c r="GQ59" s="30">
        <f t="shared" si="29"/>
        <v>0</v>
      </c>
      <c r="GR59" s="28">
        <f t="shared" si="30"/>
        <v>0</v>
      </c>
      <c r="GT59" s="709" t="s">
        <v>39</v>
      </c>
      <c r="GU59" s="709"/>
      <c r="GV59" s="709"/>
      <c r="GW59" s="709"/>
      <c r="GX59" s="709"/>
      <c r="GY59" s="709"/>
      <c r="GZ59" s="13"/>
      <c r="HA59" s="19"/>
      <c r="HB59" s="19"/>
      <c r="HC59" s="19"/>
      <c r="HD59" s="19"/>
      <c r="HE59" s="19"/>
      <c r="HF59" s="19"/>
      <c r="HG59" s="19"/>
      <c r="HH59" s="19"/>
      <c r="HI59" s="19"/>
      <c r="HJ59" s="23"/>
      <c r="HK59" s="23"/>
      <c r="HL59" s="30">
        <f t="shared" si="43"/>
        <v>0</v>
      </c>
      <c r="HM59" s="28">
        <f t="shared" si="32"/>
        <v>0</v>
      </c>
      <c r="HO59" s="709" t="s">
        <v>39</v>
      </c>
      <c r="HP59" s="709"/>
      <c r="HQ59" s="709"/>
      <c r="HR59" s="709"/>
      <c r="HS59" s="709"/>
      <c r="HT59" s="709"/>
      <c r="HU59" s="13"/>
      <c r="HV59" s="19"/>
      <c r="HW59" s="30">
        <f t="shared" si="44"/>
        <v>0</v>
      </c>
      <c r="HX59" s="28">
        <f t="shared" si="45"/>
        <v>0</v>
      </c>
      <c r="HZ59" s="709" t="s">
        <v>39</v>
      </c>
      <c r="IA59" s="709"/>
      <c r="IB59" s="709"/>
      <c r="IC59" s="709"/>
      <c r="ID59" s="709"/>
      <c r="IE59" s="709"/>
      <c r="IF59" s="13">
        <v>18</v>
      </c>
      <c r="IG59" s="19"/>
      <c r="IH59" s="23"/>
      <c r="II59" s="23"/>
      <c r="IJ59" s="23">
        <v>9</v>
      </c>
      <c r="IK59" s="23"/>
      <c r="IL59" s="23"/>
      <c r="IM59" s="30">
        <f t="shared" si="41"/>
        <v>9</v>
      </c>
      <c r="IN59" s="28">
        <f t="shared" si="46"/>
        <v>162</v>
      </c>
      <c r="IP59" s="709" t="s">
        <v>39</v>
      </c>
      <c r="IQ59" s="709"/>
      <c r="IR59" s="709"/>
      <c r="IS59" s="709"/>
      <c r="IT59" s="709"/>
      <c r="IU59" s="709"/>
      <c r="IV59" s="13">
        <v>18</v>
      </c>
      <c r="IW59" s="19"/>
      <c r="IX59" s="23"/>
      <c r="IY59" s="30">
        <f t="shared" si="47"/>
        <v>0</v>
      </c>
      <c r="IZ59" s="28">
        <f t="shared" si="48"/>
        <v>0</v>
      </c>
      <c r="JB59" s="709" t="s">
        <v>39</v>
      </c>
      <c r="JC59" s="709"/>
      <c r="JD59" s="709"/>
      <c r="JE59" s="709"/>
      <c r="JF59" s="709"/>
      <c r="JG59" s="709"/>
      <c r="JH59" s="13">
        <v>18</v>
      </c>
      <c r="JI59" s="19"/>
      <c r="JJ59" s="23"/>
      <c r="JK59" s="23"/>
      <c r="JL59" s="23"/>
      <c r="JM59" s="23"/>
      <c r="JN59" s="23"/>
      <c r="JO59" s="23"/>
      <c r="JP59" s="23"/>
      <c r="JQ59" s="23"/>
      <c r="JR59" s="23"/>
      <c r="JS59" s="23"/>
      <c r="JT59" s="23"/>
      <c r="JU59" s="23"/>
      <c r="JV59" s="23"/>
      <c r="JW59" s="23"/>
      <c r="JX59" s="23"/>
      <c r="JY59" s="23"/>
      <c r="JZ59" s="23"/>
      <c r="KA59" s="23"/>
      <c r="KB59" s="23"/>
      <c r="KC59" s="23"/>
      <c r="KD59" s="23"/>
      <c r="KE59" s="30">
        <f t="shared" si="34"/>
        <v>0</v>
      </c>
      <c r="KF59" s="28">
        <f t="shared" si="49"/>
        <v>0</v>
      </c>
      <c r="KH59" s="709" t="s">
        <v>39</v>
      </c>
      <c r="KI59" s="709"/>
      <c r="KJ59" s="709"/>
      <c r="KK59" s="709"/>
      <c r="KL59" s="709"/>
      <c r="KM59" s="709"/>
      <c r="KN59" s="13">
        <v>18</v>
      </c>
      <c r="KO59" s="19"/>
      <c r="KP59" s="23"/>
      <c r="KQ59" s="23"/>
      <c r="KR59" s="23"/>
      <c r="KS59" s="30">
        <f t="shared" si="50"/>
        <v>0</v>
      </c>
      <c r="KT59" s="28">
        <f t="shared" si="51"/>
        <v>0</v>
      </c>
      <c r="KV59" s="709" t="s">
        <v>39</v>
      </c>
      <c r="KW59" s="709"/>
      <c r="KX59" s="709"/>
      <c r="KY59" s="709"/>
      <c r="KZ59" s="709"/>
      <c r="LA59" s="709"/>
      <c r="LB59" s="13">
        <v>18</v>
      </c>
      <c r="LC59" s="19"/>
      <c r="LD59" s="23"/>
      <c r="LE59" s="23"/>
      <c r="LF59" s="30">
        <f t="shared" si="52"/>
        <v>0</v>
      </c>
      <c r="LG59" s="28">
        <f t="shared" si="53"/>
        <v>0</v>
      </c>
      <c r="LI59" s="709" t="s">
        <v>39</v>
      </c>
      <c r="LJ59" s="709"/>
      <c r="LK59" s="709"/>
      <c r="LL59" s="709"/>
      <c r="LM59" s="709"/>
      <c r="LN59" s="709"/>
      <c r="LO59" s="13">
        <v>18</v>
      </c>
      <c r="LP59" s="19"/>
      <c r="LQ59" s="23"/>
      <c r="LR59" s="23"/>
      <c r="LS59" s="23"/>
      <c r="LT59" s="23"/>
      <c r="LU59" s="23"/>
      <c r="LV59" s="23"/>
      <c r="LW59" s="23"/>
      <c r="LX59" s="23"/>
      <c r="LY59" s="23"/>
      <c r="LZ59" s="23"/>
      <c r="MA59" s="23"/>
      <c r="MB59" s="23"/>
      <c r="MC59" s="23"/>
      <c r="MD59" s="23"/>
      <c r="ME59" s="30">
        <f t="shared" si="35"/>
        <v>0</v>
      </c>
      <c r="MF59" s="28">
        <f t="shared" si="8"/>
        <v>0</v>
      </c>
      <c r="MH59" s="709" t="s">
        <v>39</v>
      </c>
      <c r="MI59" s="709"/>
      <c r="MJ59" s="709"/>
      <c r="MK59" s="709"/>
      <c r="ML59" s="709"/>
      <c r="MM59" s="709"/>
      <c r="MN59" s="13">
        <v>18</v>
      </c>
      <c r="MO59" s="19"/>
      <c r="MP59" s="23"/>
      <c r="MQ59" s="23"/>
      <c r="MR59" s="23"/>
      <c r="MS59" s="23"/>
      <c r="MT59" s="23"/>
      <c r="MU59" s="23"/>
      <c r="MV59" s="23"/>
      <c r="MW59" s="23"/>
      <c r="MX59" s="23"/>
      <c r="MY59" s="23"/>
      <c r="MZ59" s="23">
        <v>1</v>
      </c>
      <c r="NA59" s="23"/>
      <c r="NB59" s="23"/>
      <c r="NC59" s="23"/>
      <c r="ND59" s="30">
        <f t="shared" si="36"/>
        <v>1</v>
      </c>
      <c r="NE59" s="28">
        <f t="shared" si="37"/>
        <v>18</v>
      </c>
      <c r="NG59" s="709" t="s">
        <v>39</v>
      </c>
      <c r="NH59" s="709"/>
      <c r="NI59" s="709"/>
      <c r="NJ59" s="709"/>
      <c r="NK59" s="709"/>
      <c r="NL59" s="709"/>
      <c r="NM59" s="13">
        <v>18</v>
      </c>
      <c r="NN59" s="23"/>
      <c r="NO59" s="23"/>
      <c r="NP59" s="23"/>
      <c r="NQ59" s="23"/>
      <c r="NR59" s="23"/>
      <c r="NS59" s="23"/>
      <c r="NT59" s="23"/>
      <c r="NU59" s="23"/>
      <c r="NV59" s="23"/>
      <c r="NW59" s="23"/>
      <c r="NX59" s="23"/>
      <c r="NY59" s="23"/>
      <c r="NZ59" s="23"/>
      <c r="OA59" s="23"/>
      <c r="OB59" s="23"/>
      <c r="OC59" s="30">
        <f t="shared" si="38"/>
        <v>0</v>
      </c>
      <c r="OD59" s="28">
        <f t="shared" si="39"/>
        <v>0</v>
      </c>
    </row>
    <row r="60" spans="1:394" ht="14.45" customHeight="1" x14ac:dyDescent="0.25">
      <c r="A60" s="47"/>
      <c r="B60" s="12"/>
      <c r="C60" s="709" t="s">
        <v>48</v>
      </c>
      <c r="D60" s="709"/>
      <c r="E60" s="709"/>
      <c r="F60" s="709"/>
      <c r="G60" s="709"/>
      <c r="H60" s="709"/>
      <c r="I60" s="13"/>
      <c r="J60" s="13"/>
      <c r="K60" s="19"/>
      <c r="L60" s="19"/>
      <c r="M60" s="19">
        <f t="shared" si="40"/>
        <v>0</v>
      </c>
      <c r="N60" s="19">
        <f t="shared" si="9"/>
        <v>0</v>
      </c>
      <c r="O60" s="12"/>
      <c r="P60" s="709" t="s">
        <v>48</v>
      </c>
      <c r="Q60" s="709"/>
      <c r="R60" s="709"/>
      <c r="S60" s="709"/>
      <c r="T60" s="709"/>
      <c r="U60" s="709"/>
      <c r="V60" s="13"/>
      <c r="W60" s="19"/>
      <c r="X60" s="19"/>
      <c r="Y60" s="23">
        <f t="shared" si="10"/>
        <v>0</v>
      </c>
      <c r="Z60" s="19">
        <f t="shared" si="11"/>
        <v>0</v>
      </c>
      <c r="AA60" s="34"/>
      <c r="AB60" s="34"/>
      <c r="AC60" s="34"/>
      <c r="AD60" s="34"/>
      <c r="AE60" s="34"/>
      <c r="AF60" s="34"/>
      <c r="AG60" s="6"/>
      <c r="AH60" s="709" t="s">
        <v>48</v>
      </c>
      <c r="AI60" s="709"/>
      <c r="AJ60" s="709"/>
      <c r="AK60" s="709"/>
      <c r="AL60" s="709"/>
      <c r="AM60" s="709"/>
      <c r="AN60" s="13"/>
      <c r="AO60" s="19"/>
      <c r="AP60" s="23">
        <f t="shared" si="12"/>
        <v>0</v>
      </c>
      <c r="AQ60" s="19">
        <f t="shared" si="13"/>
        <v>0</v>
      </c>
      <c r="AS60" s="677" t="s">
        <v>48</v>
      </c>
      <c r="AT60" s="677"/>
      <c r="AU60" s="677"/>
      <c r="AV60" s="677"/>
      <c r="AW60" s="677"/>
      <c r="AX60" s="677"/>
      <c r="AY60" s="28"/>
      <c r="AZ60" s="28"/>
      <c r="BA60" s="28"/>
      <c r="BB60" s="28"/>
      <c r="BC60" s="28"/>
      <c r="BD60" s="30">
        <f t="shared" si="14"/>
        <v>0</v>
      </c>
      <c r="BE60" s="28">
        <f t="shared" si="15"/>
        <v>0</v>
      </c>
      <c r="BF60" s="14"/>
      <c r="BG60" s="677" t="s">
        <v>48</v>
      </c>
      <c r="BH60" s="677"/>
      <c r="BI60" s="677"/>
      <c r="BJ60" s="677"/>
      <c r="BK60" s="677"/>
      <c r="BL60" s="677"/>
      <c r="BM60" s="28"/>
      <c r="BN60" s="28"/>
      <c r="BO60" s="28"/>
      <c r="BP60" s="30">
        <f t="shared" si="16"/>
        <v>0</v>
      </c>
      <c r="BQ60" s="28">
        <f t="shared" si="17"/>
        <v>0</v>
      </c>
      <c r="BR60" s="14"/>
      <c r="BS60" s="677" t="s">
        <v>48</v>
      </c>
      <c r="BT60" s="677"/>
      <c r="BU60" s="677"/>
      <c r="BV60" s="677"/>
      <c r="BW60" s="677"/>
      <c r="BX60" s="677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30">
        <f t="shared" si="18"/>
        <v>0</v>
      </c>
      <c r="CJ60" s="28">
        <f t="shared" si="19"/>
        <v>0</v>
      </c>
      <c r="CK60" s="14"/>
      <c r="CL60" s="677" t="s">
        <v>48</v>
      </c>
      <c r="CM60" s="677"/>
      <c r="CN60" s="677"/>
      <c r="CO60" s="677"/>
      <c r="CP60" s="677"/>
      <c r="CQ60" s="677"/>
      <c r="CR60" s="28"/>
      <c r="CS60" s="28"/>
      <c r="CT60" s="28"/>
      <c r="CU60" s="28"/>
      <c r="CV60" s="28"/>
      <c r="CW60" s="28"/>
      <c r="CX60" s="28"/>
      <c r="CY60" s="28"/>
      <c r="CZ60" s="28"/>
      <c r="DA60" s="30">
        <f t="shared" si="20"/>
        <v>0</v>
      </c>
      <c r="DB60" s="28">
        <f t="shared" si="21"/>
        <v>0</v>
      </c>
      <c r="DC60" s="14"/>
      <c r="DD60" s="677" t="s">
        <v>48</v>
      </c>
      <c r="DE60" s="677"/>
      <c r="DF60" s="677"/>
      <c r="DG60" s="677"/>
      <c r="DH60" s="677"/>
      <c r="DI60" s="677"/>
      <c r="DJ60" s="28"/>
      <c r="DK60" s="28"/>
      <c r="DL60" s="28"/>
      <c r="DM60" s="28"/>
      <c r="DN60" s="28"/>
      <c r="DO60" s="28"/>
      <c r="DP60" s="28"/>
      <c r="DQ60" s="28"/>
      <c r="DR60" s="28"/>
      <c r="DS60" s="28"/>
      <c r="DT60" s="28"/>
      <c r="DU60" s="30">
        <f t="shared" si="22"/>
        <v>0</v>
      </c>
      <c r="DV60" s="28">
        <f t="shared" si="23"/>
        <v>0</v>
      </c>
      <c r="DX60" s="677" t="s">
        <v>48</v>
      </c>
      <c r="DY60" s="677"/>
      <c r="DZ60" s="677"/>
      <c r="EA60" s="677"/>
      <c r="EB60" s="677"/>
      <c r="EC60" s="677"/>
      <c r="ED60" s="28"/>
      <c r="EE60" s="28"/>
      <c r="EF60" s="28"/>
      <c r="EG60" s="28"/>
      <c r="EH60" s="28"/>
      <c r="EI60" s="28"/>
      <c r="EJ60" s="28"/>
      <c r="EK60" s="28"/>
      <c r="EL60" s="28"/>
      <c r="EM60" s="30"/>
      <c r="EN60" s="30"/>
      <c r="EO60" s="30">
        <f t="shared" si="24"/>
        <v>0</v>
      </c>
      <c r="EP60" s="28">
        <f t="shared" si="25"/>
        <v>0</v>
      </c>
      <c r="EQ60" t="str">
        <f t="shared" si="26"/>
        <v>IGUAL</v>
      </c>
      <c r="ER60" s="677" t="s">
        <v>48</v>
      </c>
      <c r="ES60" s="677"/>
      <c r="ET60" s="677"/>
      <c r="EU60" s="677"/>
      <c r="EV60" s="677"/>
      <c r="EW60" s="677"/>
      <c r="EX60" s="28"/>
      <c r="EY60" s="28"/>
      <c r="EZ60" s="28"/>
      <c r="FA60" s="28"/>
      <c r="FB60" s="28"/>
      <c r="FC60" s="28"/>
      <c r="FD60" s="28"/>
      <c r="FE60" s="28"/>
      <c r="FF60" s="28"/>
      <c r="FG60" s="28"/>
      <c r="FH60" s="28"/>
      <c r="FI60" s="30"/>
      <c r="FJ60" s="30"/>
      <c r="FK60" s="30"/>
      <c r="FL60" s="30"/>
      <c r="FM60" s="30"/>
      <c r="FN60" s="30"/>
      <c r="FO60" s="30"/>
      <c r="FP60" s="30"/>
      <c r="FQ60" s="30"/>
      <c r="FR60" s="30"/>
      <c r="FS60" s="30"/>
      <c r="FT60" s="30">
        <f t="shared" si="27"/>
        <v>0</v>
      </c>
      <c r="FU60" s="28">
        <f t="shared" si="28"/>
        <v>0</v>
      </c>
      <c r="FW60" s="677" t="s">
        <v>48</v>
      </c>
      <c r="FX60" s="677"/>
      <c r="FY60" s="677"/>
      <c r="FZ60" s="677"/>
      <c r="GA60" s="677"/>
      <c r="GB60" s="677"/>
      <c r="GC60" s="28"/>
      <c r="GD60" s="30"/>
      <c r="GE60" s="28"/>
      <c r="GF60" s="28"/>
      <c r="GG60" s="28"/>
      <c r="GH60" s="28"/>
      <c r="GI60" s="28"/>
      <c r="GJ60" s="28"/>
      <c r="GK60" s="28"/>
      <c r="GL60" s="28"/>
      <c r="GM60" s="28"/>
      <c r="GN60" s="30"/>
      <c r="GO60" s="30"/>
      <c r="GP60" s="30"/>
      <c r="GQ60" s="30">
        <f t="shared" si="29"/>
        <v>0</v>
      </c>
      <c r="GR60" s="28">
        <f t="shared" si="30"/>
        <v>0</v>
      </c>
      <c r="GT60" s="677" t="s">
        <v>48</v>
      </c>
      <c r="GU60" s="677"/>
      <c r="GV60" s="677"/>
      <c r="GW60" s="677"/>
      <c r="GX60" s="677"/>
      <c r="GY60" s="677"/>
      <c r="GZ60" s="28"/>
      <c r="HA60" s="28"/>
      <c r="HB60" s="28"/>
      <c r="HC60" s="28"/>
      <c r="HD60" s="28"/>
      <c r="HE60" s="28"/>
      <c r="HF60" s="28"/>
      <c r="HG60" s="28"/>
      <c r="HH60" s="28"/>
      <c r="HI60" s="28"/>
      <c r="HJ60" s="30"/>
      <c r="HK60" s="30"/>
      <c r="HL60" s="30">
        <f t="shared" si="43"/>
        <v>0</v>
      </c>
      <c r="HM60" s="28">
        <f t="shared" si="32"/>
        <v>0</v>
      </c>
      <c r="HO60" s="677" t="s">
        <v>48</v>
      </c>
      <c r="HP60" s="677"/>
      <c r="HQ60" s="677"/>
      <c r="HR60" s="677"/>
      <c r="HS60" s="677"/>
      <c r="HT60" s="677"/>
      <c r="HU60" s="28"/>
      <c r="HV60" s="28"/>
      <c r="HW60" s="30">
        <f t="shared" si="44"/>
        <v>0</v>
      </c>
      <c r="HX60" s="28">
        <f t="shared" si="45"/>
        <v>0</v>
      </c>
      <c r="HZ60" s="677" t="s">
        <v>48</v>
      </c>
      <c r="IA60" s="677"/>
      <c r="IB60" s="677"/>
      <c r="IC60" s="677"/>
      <c r="ID60" s="677"/>
      <c r="IE60" s="677"/>
      <c r="IF60" s="28">
        <v>100</v>
      </c>
      <c r="IG60" s="28"/>
      <c r="IH60" s="30"/>
      <c r="II60" s="30"/>
      <c r="IJ60" s="30">
        <v>1</v>
      </c>
      <c r="IK60" s="30"/>
      <c r="IL60" s="30"/>
      <c r="IM60" s="30">
        <f t="shared" si="41"/>
        <v>1</v>
      </c>
      <c r="IN60" s="28">
        <f t="shared" si="46"/>
        <v>100</v>
      </c>
      <c r="IP60" s="677" t="s">
        <v>48</v>
      </c>
      <c r="IQ60" s="677"/>
      <c r="IR60" s="677"/>
      <c r="IS60" s="677"/>
      <c r="IT60" s="677"/>
      <c r="IU60" s="677"/>
      <c r="IV60" s="28">
        <v>100</v>
      </c>
      <c r="IW60" s="28"/>
      <c r="IX60" s="30"/>
      <c r="IY60" s="30">
        <f t="shared" si="47"/>
        <v>0</v>
      </c>
      <c r="IZ60" s="28">
        <f t="shared" si="48"/>
        <v>0</v>
      </c>
      <c r="JB60" s="677" t="s">
        <v>48</v>
      </c>
      <c r="JC60" s="677"/>
      <c r="JD60" s="677"/>
      <c r="JE60" s="677"/>
      <c r="JF60" s="677"/>
      <c r="JG60" s="677"/>
      <c r="JH60" s="28">
        <v>100</v>
      </c>
      <c r="JI60" s="28"/>
      <c r="JJ60" s="30"/>
      <c r="JK60" s="30"/>
      <c r="JL60" s="30"/>
      <c r="JM60" s="30"/>
      <c r="JN60" s="30"/>
      <c r="JO60" s="30"/>
      <c r="JP60" s="30"/>
      <c r="JQ60" s="30"/>
      <c r="JR60" s="30"/>
      <c r="JS60" s="30"/>
      <c r="JT60" s="30"/>
      <c r="JU60" s="30"/>
      <c r="JV60" s="30"/>
      <c r="JW60" s="30"/>
      <c r="JX60" s="30"/>
      <c r="JY60" s="30"/>
      <c r="JZ60" s="30"/>
      <c r="KA60" s="30"/>
      <c r="KB60" s="30"/>
      <c r="KC60" s="30"/>
      <c r="KD60" s="30"/>
      <c r="KE60" s="30">
        <f t="shared" si="34"/>
        <v>0</v>
      </c>
      <c r="KF60" s="28">
        <f t="shared" si="49"/>
        <v>0</v>
      </c>
      <c r="KH60" s="677" t="s">
        <v>48</v>
      </c>
      <c r="KI60" s="677"/>
      <c r="KJ60" s="677"/>
      <c r="KK60" s="677"/>
      <c r="KL60" s="677"/>
      <c r="KM60" s="677"/>
      <c r="KN60" s="28">
        <v>100</v>
      </c>
      <c r="KO60" s="28"/>
      <c r="KP60" s="30"/>
      <c r="KQ60" s="30"/>
      <c r="KR60" s="30"/>
      <c r="KS60" s="30">
        <f t="shared" si="50"/>
        <v>0</v>
      </c>
      <c r="KT60" s="28">
        <f t="shared" si="51"/>
        <v>0</v>
      </c>
      <c r="KV60" s="677" t="s">
        <v>48</v>
      </c>
      <c r="KW60" s="677"/>
      <c r="KX60" s="677"/>
      <c r="KY60" s="677"/>
      <c r="KZ60" s="677"/>
      <c r="LA60" s="677"/>
      <c r="LB60" s="28">
        <v>100</v>
      </c>
      <c r="LC60" s="28"/>
      <c r="LD60" s="30"/>
      <c r="LE60" s="30"/>
      <c r="LF60" s="30">
        <f t="shared" si="52"/>
        <v>0</v>
      </c>
      <c r="LG60" s="28">
        <f t="shared" si="53"/>
        <v>0</v>
      </c>
      <c r="LI60" s="677" t="s">
        <v>48</v>
      </c>
      <c r="LJ60" s="677"/>
      <c r="LK60" s="677"/>
      <c r="LL60" s="677"/>
      <c r="LM60" s="677"/>
      <c r="LN60" s="677"/>
      <c r="LO60" s="28">
        <v>100</v>
      </c>
      <c r="LP60" s="28"/>
      <c r="LQ60" s="30"/>
      <c r="LR60" s="30"/>
      <c r="LS60" s="30"/>
      <c r="LT60" s="30"/>
      <c r="LU60" s="30"/>
      <c r="LV60" s="30"/>
      <c r="LW60" s="30"/>
      <c r="LX60" s="30"/>
      <c r="LY60" s="30"/>
      <c r="LZ60" s="30"/>
      <c r="MA60" s="30"/>
      <c r="MB60" s="30"/>
      <c r="MC60" s="30"/>
      <c r="MD60" s="30"/>
      <c r="ME60" s="30">
        <f t="shared" si="35"/>
        <v>0</v>
      </c>
      <c r="MF60" s="28">
        <f t="shared" si="8"/>
        <v>0</v>
      </c>
      <c r="MH60" s="677" t="s">
        <v>48</v>
      </c>
      <c r="MI60" s="677"/>
      <c r="MJ60" s="677"/>
      <c r="MK60" s="677"/>
      <c r="ML60" s="677"/>
      <c r="MM60" s="677"/>
      <c r="MN60" s="28">
        <v>100</v>
      </c>
      <c r="MO60" s="28"/>
      <c r="MP60" s="30"/>
      <c r="MQ60" s="30"/>
      <c r="MR60" s="30"/>
      <c r="MS60" s="30"/>
      <c r="MT60" s="30"/>
      <c r="MU60" s="30"/>
      <c r="MV60" s="30"/>
      <c r="MW60" s="30"/>
      <c r="MX60" s="30"/>
      <c r="MY60" s="30"/>
      <c r="MZ60" s="30"/>
      <c r="NA60" s="30"/>
      <c r="NB60" s="30"/>
      <c r="NC60" s="30"/>
      <c r="ND60" s="30">
        <f t="shared" si="36"/>
        <v>0</v>
      </c>
      <c r="NE60" s="28">
        <f t="shared" si="37"/>
        <v>0</v>
      </c>
      <c r="NG60" s="677" t="s">
        <v>48</v>
      </c>
      <c r="NH60" s="677"/>
      <c r="NI60" s="677"/>
      <c r="NJ60" s="677"/>
      <c r="NK60" s="677"/>
      <c r="NL60" s="677"/>
      <c r="NM60" s="28">
        <v>100</v>
      </c>
      <c r="NN60" s="30"/>
      <c r="NO60" s="30"/>
      <c r="NP60" s="30"/>
      <c r="NQ60" s="30"/>
      <c r="NR60" s="30"/>
      <c r="NS60" s="30"/>
      <c r="NT60" s="30"/>
      <c r="NU60" s="30"/>
      <c r="NV60" s="30"/>
      <c r="NW60" s="30"/>
      <c r="NX60" s="30"/>
      <c r="NY60" s="30"/>
      <c r="NZ60" s="30"/>
      <c r="OA60" s="30"/>
      <c r="OB60" s="30"/>
      <c r="OC60" s="30">
        <f t="shared" si="38"/>
        <v>0</v>
      </c>
      <c r="OD60" s="28">
        <f t="shared" si="39"/>
        <v>0</v>
      </c>
    </row>
    <row r="61" spans="1:394" ht="14.45" customHeight="1" x14ac:dyDescent="0.25">
      <c r="A61" s="47"/>
      <c r="B61" s="12"/>
      <c r="C61" s="709" t="s">
        <v>40</v>
      </c>
      <c r="D61" s="709"/>
      <c r="E61" s="709"/>
      <c r="F61" s="709"/>
      <c r="G61" s="709"/>
      <c r="H61" s="709"/>
      <c r="I61" s="13"/>
      <c r="J61" s="13"/>
      <c r="K61" s="19"/>
      <c r="L61" s="19"/>
      <c r="M61" s="19">
        <f t="shared" si="40"/>
        <v>0</v>
      </c>
      <c r="N61" s="19">
        <f t="shared" si="9"/>
        <v>0</v>
      </c>
      <c r="O61" s="12"/>
      <c r="P61" s="709" t="s">
        <v>40</v>
      </c>
      <c r="Q61" s="709"/>
      <c r="R61" s="709"/>
      <c r="S61" s="709"/>
      <c r="T61" s="709"/>
      <c r="U61" s="709"/>
      <c r="V61" s="13"/>
      <c r="W61" s="19"/>
      <c r="X61" s="19"/>
      <c r="Y61" s="23">
        <f t="shared" si="10"/>
        <v>0</v>
      </c>
      <c r="Z61" s="19">
        <f t="shared" si="11"/>
        <v>0</v>
      </c>
      <c r="AA61" s="34"/>
      <c r="AB61" s="34"/>
      <c r="AC61" s="34"/>
      <c r="AD61" s="34"/>
      <c r="AE61" s="34"/>
      <c r="AF61" s="34"/>
      <c r="AG61" s="6"/>
      <c r="AH61" s="709" t="s">
        <v>40</v>
      </c>
      <c r="AI61" s="709"/>
      <c r="AJ61" s="709"/>
      <c r="AK61" s="709"/>
      <c r="AL61" s="709"/>
      <c r="AM61" s="709"/>
      <c r="AN61" s="13"/>
      <c r="AO61" s="19"/>
      <c r="AP61" s="23">
        <f t="shared" si="12"/>
        <v>0</v>
      </c>
      <c r="AQ61" s="19">
        <f t="shared" si="13"/>
        <v>0</v>
      </c>
      <c r="AS61" s="709" t="s">
        <v>40</v>
      </c>
      <c r="AT61" s="709"/>
      <c r="AU61" s="709"/>
      <c r="AV61" s="709"/>
      <c r="AW61" s="709"/>
      <c r="AX61" s="709"/>
      <c r="AY61" s="13"/>
      <c r="AZ61" s="19"/>
      <c r="BA61" s="19"/>
      <c r="BB61" s="19"/>
      <c r="BC61" s="19"/>
      <c r="BD61" s="30">
        <f t="shared" si="14"/>
        <v>0</v>
      </c>
      <c r="BE61" s="28">
        <f t="shared" si="15"/>
        <v>0</v>
      </c>
      <c r="BF61" s="14"/>
      <c r="BG61" s="709" t="s">
        <v>40</v>
      </c>
      <c r="BH61" s="709"/>
      <c r="BI61" s="709"/>
      <c r="BJ61" s="709"/>
      <c r="BK61" s="709"/>
      <c r="BL61" s="709"/>
      <c r="BM61" s="13"/>
      <c r="BN61" s="19"/>
      <c r="BO61" s="19"/>
      <c r="BP61" s="30">
        <f t="shared" si="16"/>
        <v>0</v>
      </c>
      <c r="BQ61" s="28">
        <f t="shared" si="17"/>
        <v>0</v>
      </c>
      <c r="BR61" s="14"/>
      <c r="BS61" s="709" t="s">
        <v>40</v>
      </c>
      <c r="BT61" s="709"/>
      <c r="BU61" s="709"/>
      <c r="BV61" s="709"/>
      <c r="BW61" s="709"/>
      <c r="BX61" s="709"/>
      <c r="BY61" s="13"/>
      <c r="BZ61" s="19"/>
      <c r="CA61" s="19"/>
      <c r="CB61" s="19"/>
      <c r="CC61" s="19"/>
      <c r="CD61" s="19"/>
      <c r="CE61" s="19"/>
      <c r="CF61" s="19"/>
      <c r="CG61" s="19"/>
      <c r="CH61" s="19"/>
      <c r="CI61" s="30">
        <f t="shared" si="18"/>
        <v>0</v>
      </c>
      <c r="CJ61" s="28">
        <f t="shared" si="19"/>
        <v>0</v>
      </c>
      <c r="CK61" s="14"/>
      <c r="CL61" s="709" t="s">
        <v>40</v>
      </c>
      <c r="CM61" s="709"/>
      <c r="CN61" s="709"/>
      <c r="CO61" s="709"/>
      <c r="CP61" s="709"/>
      <c r="CQ61" s="709"/>
      <c r="CR61" s="13"/>
      <c r="CS61" s="19"/>
      <c r="CT61" s="19"/>
      <c r="CU61" s="19"/>
      <c r="CV61" s="19"/>
      <c r="CW61" s="19"/>
      <c r="CX61" s="19"/>
      <c r="CY61" s="19"/>
      <c r="CZ61" s="19"/>
      <c r="DA61" s="30">
        <f t="shared" si="20"/>
        <v>0</v>
      </c>
      <c r="DB61" s="28">
        <f t="shared" si="21"/>
        <v>0</v>
      </c>
      <c r="DC61" s="14"/>
      <c r="DD61" s="709" t="s">
        <v>40</v>
      </c>
      <c r="DE61" s="709"/>
      <c r="DF61" s="709"/>
      <c r="DG61" s="709"/>
      <c r="DH61" s="709"/>
      <c r="DI61" s="709"/>
      <c r="DJ61" s="13"/>
      <c r="DK61" s="19"/>
      <c r="DL61" s="19"/>
      <c r="DM61" s="19"/>
      <c r="DN61" s="19"/>
      <c r="DO61" s="19"/>
      <c r="DP61" s="19"/>
      <c r="DQ61" s="19"/>
      <c r="DR61" s="19"/>
      <c r="DS61" s="19"/>
      <c r="DT61" s="19"/>
      <c r="DU61" s="30">
        <f t="shared" si="22"/>
        <v>0</v>
      </c>
      <c r="DV61" s="28">
        <f t="shared" si="23"/>
        <v>0</v>
      </c>
      <c r="DX61" s="709" t="s">
        <v>40</v>
      </c>
      <c r="DY61" s="709"/>
      <c r="DZ61" s="709"/>
      <c r="EA61" s="709"/>
      <c r="EB61" s="709"/>
      <c r="EC61" s="709"/>
      <c r="ED61" s="13"/>
      <c r="EE61" s="19"/>
      <c r="EF61" s="19"/>
      <c r="EG61" s="19"/>
      <c r="EH61" s="19"/>
      <c r="EI61" s="19"/>
      <c r="EJ61" s="19"/>
      <c r="EK61" s="19"/>
      <c r="EL61" s="19"/>
      <c r="EM61" s="23"/>
      <c r="EN61" s="23"/>
      <c r="EO61" s="30">
        <f t="shared" si="24"/>
        <v>0</v>
      </c>
      <c r="EP61" s="28">
        <f t="shared" si="25"/>
        <v>0</v>
      </c>
      <c r="EQ61" t="str">
        <f t="shared" si="26"/>
        <v>IGUAL</v>
      </c>
      <c r="ER61" s="709" t="s">
        <v>40</v>
      </c>
      <c r="ES61" s="709"/>
      <c r="ET61" s="709"/>
      <c r="EU61" s="709"/>
      <c r="EV61" s="709"/>
      <c r="EW61" s="709"/>
      <c r="EX61" s="13"/>
      <c r="EY61" s="19"/>
      <c r="EZ61" s="19"/>
      <c r="FA61" s="19"/>
      <c r="FB61" s="19"/>
      <c r="FC61" s="19"/>
      <c r="FD61" s="19"/>
      <c r="FE61" s="19"/>
      <c r="FF61" s="19"/>
      <c r="FG61" s="19"/>
      <c r="FH61" s="19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30">
        <f t="shared" si="27"/>
        <v>0</v>
      </c>
      <c r="FU61" s="28">
        <f t="shared" si="28"/>
        <v>0</v>
      </c>
      <c r="FW61" s="709" t="s">
        <v>40</v>
      </c>
      <c r="FX61" s="709"/>
      <c r="FY61" s="709"/>
      <c r="FZ61" s="709"/>
      <c r="GA61" s="709"/>
      <c r="GB61" s="709"/>
      <c r="GC61" s="13"/>
      <c r="GD61" s="23"/>
      <c r="GE61" s="19"/>
      <c r="GF61" s="19"/>
      <c r="GG61" s="19"/>
      <c r="GH61" s="19"/>
      <c r="GI61" s="19"/>
      <c r="GJ61" s="19"/>
      <c r="GK61" s="19"/>
      <c r="GL61" s="19"/>
      <c r="GM61" s="19"/>
      <c r="GN61" s="23"/>
      <c r="GO61" s="23"/>
      <c r="GP61" s="23"/>
      <c r="GQ61" s="30">
        <f t="shared" si="29"/>
        <v>0</v>
      </c>
      <c r="GR61" s="28">
        <f t="shared" si="30"/>
        <v>0</v>
      </c>
      <c r="GT61" s="709" t="s">
        <v>40</v>
      </c>
      <c r="GU61" s="709"/>
      <c r="GV61" s="709"/>
      <c r="GW61" s="709"/>
      <c r="GX61" s="709"/>
      <c r="GY61" s="709"/>
      <c r="GZ61" s="13"/>
      <c r="HA61" s="19"/>
      <c r="HB61" s="19"/>
      <c r="HC61" s="19"/>
      <c r="HD61" s="19"/>
      <c r="HE61" s="19"/>
      <c r="HF61" s="19"/>
      <c r="HG61" s="19"/>
      <c r="HH61" s="19"/>
      <c r="HI61" s="19"/>
      <c r="HJ61" s="23"/>
      <c r="HK61" s="23"/>
      <c r="HL61" s="30">
        <f t="shared" si="43"/>
        <v>0</v>
      </c>
      <c r="HM61" s="28">
        <f t="shared" si="32"/>
        <v>0</v>
      </c>
      <c r="HO61" s="709" t="s">
        <v>40</v>
      </c>
      <c r="HP61" s="709"/>
      <c r="HQ61" s="709"/>
      <c r="HR61" s="709"/>
      <c r="HS61" s="709"/>
      <c r="HT61" s="709"/>
      <c r="HU61" s="13"/>
      <c r="HV61" s="19"/>
      <c r="HW61" s="30">
        <f t="shared" si="44"/>
        <v>0</v>
      </c>
      <c r="HX61" s="28">
        <f t="shared" si="45"/>
        <v>0</v>
      </c>
      <c r="HZ61" s="709" t="s">
        <v>40</v>
      </c>
      <c r="IA61" s="709"/>
      <c r="IB61" s="709"/>
      <c r="IC61" s="709"/>
      <c r="ID61" s="709"/>
      <c r="IE61" s="709"/>
      <c r="IF61" s="13">
        <v>90</v>
      </c>
      <c r="IG61" s="19"/>
      <c r="IH61" s="23"/>
      <c r="II61" s="23"/>
      <c r="IJ61" s="23">
        <v>1</v>
      </c>
      <c r="IK61" s="23"/>
      <c r="IL61" s="23"/>
      <c r="IM61" s="30">
        <f t="shared" si="41"/>
        <v>1</v>
      </c>
      <c r="IN61" s="28">
        <f t="shared" si="46"/>
        <v>90</v>
      </c>
      <c r="IP61" s="709" t="s">
        <v>40</v>
      </c>
      <c r="IQ61" s="709"/>
      <c r="IR61" s="709"/>
      <c r="IS61" s="709"/>
      <c r="IT61" s="709"/>
      <c r="IU61" s="709"/>
      <c r="IV61" s="13">
        <v>90</v>
      </c>
      <c r="IW61" s="19"/>
      <c r="IX61" s="23"/>
      <c r="IY61" s="30">
        <f t="shared" si="47"/>
        <v>0</v>
      </c>
      <c r="IZ61" s="28">
        <f t="shared" si="48"/>
        <v>0</v>
      </c>
      <c r="JB61" s="709" t="s">
        <v>40</v>
      </c>
      <c r="JC61" s="709"/>
      <c r="JD61" s="709"/>
      <c r="JE61" s="709"/>
      <c r="JF61" s="709"/>
      <c r="JG61" s="709"/>
      <c r="JH61" s="13">
        <v>90</v>
      </c>
      <c r="JI61" s="19"/>
      <c r="JJ61" s="23"/>
      <c r="JK61" s="23"/>
      <c r="JL61" s="23"/>
      <c r="JM61" s="23"/>
      <c r="JN61" s="23"/>
      <c r="JO61" s="23"/>
      <c r="JP61" s="23"/>
      <c r="JQ61" s="23"/>
      <c r="JR61" s="23"/>
      <c r="JS61" s="23"/>
      <c r="JT61" s="23"/>
      <c r="JU61" s="23"/>
      <c r="JV61" s="23"/>
      <c r="JW61" s="23"/>
      <c r="JX61" s="23"/>
      <c r="JY61" s="23"/>
      <c r="JZ61" s="23"/>
      <c r="KA61" s="23"/>
      <c r="KB61" s="23"/>
      <c r="KC61" s="23"/>
      <c r="KD61" s="23"/>
      <c r="KE61" s="30">
        <f t="shared" si="34"/>
        <v>0</v>
      </c>
      <c r="KF61" s="28">
        <f t="shared" si="49"/>
        <v>0</v>
      </c>
      <c r="KH61" s="709" t="s">
        <v>40</v>
      </c>
      <c r="KI61" s="709"/>
      <c r="KJ61" s="709"/>
      <c r="KK61" s="709"/>
      <c r="KL61" s="709"/>
      <c r="KM61" s="709"/>
      <c r="KN61" s="13">
        <v>90</v>
      </c>
      <c r="KO61" s="19"/>
      <c r="KP61" s="23"/>
      <c r="KQ61" s="23"/>
      <c r="KR61" s="23"/>
      <c r="KS61" s="30">
        <f t="shared" si="50"/>
        <v>0</v>
      </c>
      <c r="KT61" s="28">
        <f t="shared" si="51"/>
        <v>0</v>
      </c>
      <c r="KV61" s="709" t="s">
        <v>40</v>
      </c>
      <c r="KW61" s="709"/>
      <c r="KX61" s="709"/>
      <c r="KY61" s="709"/>
      <c r="KZ61" s="709"/>
      <c r="LA61" s="709"/>
      <c r="LB61" s="13">
        <v>90</v>
      </c>
      <c r="LC61" s="19"/>
      <c r="LD61" s="23"/>
      <c r="LE61" s="23"/>
      <c r="LF61" s="30">
        <f t="shared" si="52"/>
        <v>0</v>
      </c>
      <c r="LG61" s="28">
        <f t="shared" si="53"/>
        <v>0</v>
      </c>
      <c r="LI61" s="709" t="s">
        <v>40</v>
      </c>
      <c r="LJ61" s="709"/>
      <c r="LK61" s="709"/>
      <c r="LL61" s="709"/>
      <c r="LM61" s="709"/>
      <c r="LN61" s="709"/>
      <c r="LO61" s="13">
        <v>90</v>
      </c>
      <c r="LP61" s="19"/>
      <c r="LQ61" s="23"/>
      <c r="LR61" s="23"/>
      <c r="LS61" s="23"/>
      <c r="LT61" s="23"/>
      <c r="LU61" s="23"/>
      <c r="LV61" s="23"/>
      <c r="LW61" s="23"/>
      <c r="LX61" s="23"/>
      <c r="LY61" s="23"/>
      <c r="LZ61" s="23"/>
      <c r="MA61" s="23"/>
      <c r="MB61" s="23"/>
      <c r="MC61" s="23"/>
      <c r="MD61" s="23"/>
      <c r="ME61" s="30">
        <f t="shared" si="35"/>
        <v>0</v>
      </c>
      <c r="MF61" s="28">
        <f t="shared" si="8"/>
        <v>0</v>
      </c>
      <c r="MH61" s="709" t="s">
        <v>40</v>
      </c>
      <c r="MI61" s="709"/>
      <c r="MJ61" s="709"/>
      <c r="MK61" s="709"/>
      <c r="ML61" s="709"/>
      <c r="MM61" s="709"/>
      <c r="MN61" s="13">
        <v>90</v>
      </c>
      <c r="MO61" s="19"/>
      <c r="MP61" s="23"/>
      <c r="MQ61" s="23"/>
      <c r="MR61" s="23"/>
      <c r="MS61" s="23"/>
      <c r="MT61" s="23"/>
      <c r="MU61" s="23"/>
      <c r="MV61" s="23"/>
      <c r="MW61" s="23"/>
      <c r="MX61" s="23"/>
      <c r="MY61" s="23"/>
      <c r="MZ61" s="23"/>
      <c r="NA61" s="23"/>
      <c r="NB61" s="23"/>
      <c r="NC61" s="23"/>
      <c r="ND61" s="30">
        <f t="shared" si="36"/>
        <v>0</v>
      </c>
      <c r="NE61" s="28">
        <f t="shared" si="37"/>
        <v>0</v>
      </c>
      <c r="NG61" s="709" t="s">
        <v>40</v>
      </c>
      <c r="NH61" s="709"/>
      <c r="NI61" s="709"/>
      <c r="NJ61" s="709"/>
      <c r="NK61" s="709"/>
      <c r="NL61" s="709"/>
      <c r="NM61" s="13">
        <v>90</v>
      </c>
      <c r="NN61" s="23"/>
      <c r="NO61" s="23"/>
      <c r="NP61" s="23"/>
      <c r="NQ61" s="23"/>
      <c r="NR61" s="23"/>
      <c r="NS61" s="23"/>
      <c r="NT61" s="23"/>
      <c r="NU61" s="23"/>
      <c r="NV61" s="23"/>
      <c r="NW61" s="23"/>
      <c r="NX61" s="23"/>
      <c r="NY61" s="23"/>
      <c r="NZ61" s="23"/>
      <c r="OA61" s="23"/>
      <c r="OB61" s="23"/>
      <c r="OC61" s="30">
        <f t="shared" si="38"/>
        <v>0</v>
      </c>
      <c r="OD61" s="28">
        <f t="shared" si="39"/>
        <v>0</v>
      </c>
    </row>
    <row r="62" spans="1:394" ht="14.45" customHeight="1" x14ac:dyDescent="0.25">
      <c r="A62" s="47"/>
      <c r="B62" s="12"/>
      <c r="C62" s="709" t="s">
        <v>41</v>
      </c>
      <c r="D62" s="709"/>
      <c r="E62" s="709"/>
      <c r="F62" s="709"/>
      <c r="G62" s="709"/>
      <c r="H62" s="709"/>
      <c r="I62" s="13"/>
      <c r="J62" s="13"/>
      <c r="K62" s="19"/>
      <c r="L62" s="19"/>
      <c r="M62" s="19">
        <f t="shared" si="40"/>
        <v>0</v>
      </c>
      <c r="N62" s="19">
        <f t="shared" si="9"/>
        <v>0</v>
      </c>
      <c r="O62" s="12"/>
      <c r="P62" s="709" t="s">
        <v>41</v>
      </c>
      <c r="Q62" s="709"/>
      <c r="R62" s="709"/>
      <c r="S62" s="709"/>
      <c r="T62" s="709"/>
      <c r="U62" s="709"/>
      <c r="V62" s="13"/>
      <c r="W62" s="19"/>
      <c r="X62" s="19"/>
      <c r="Y62" s="23">
        <f t="shared" si="10"/>
        <v>0</v>
      </c>
      <c r="Z62" s="19">
        <f t="shared" si="11"/>
        <v>0</v>
      </c>
      <c r="AA62" s="34"/>
      <c r="AB62" s="34"/>
      <c r="AC62" s="34"/>
      <c r="AD62" s="34"/>
      <c r="AE62" s="34"/>
      <c r="AF62" s="34"/>
      <c r="AG62" s="6"/>
      <c r="AH62" s="709" t="s">
        <v>41</v>
      </c>
      <c r="AI62" s="709"/>
      <c r="AJ62" s="709"/>
      <c r="AK62" s="709"/>
      <c r="AL62" s="709"/>
      <c r="AM62" s="709"/>
      <c r="AN62" s="13"/>
      <c r="AO62" s="19"/>
      <c r="AP62" s="23">
        <f t="shared" si="12"/>
        <v>0</v>
      </c>
      <c r="AQ62" s="19">
        <f t="shared" si="13"/>
        <v>0</v>
      </c>
      <c r="AS62" s="677" t="s">
        <v>41</v>
      </c>
      <c r="AT62" s="677"/>
      <c r="AU62" s="677"/>
      <c r="AV62" s="677"/>
      <c r="AW62" s="677"/>
      <c r="AX62" s="677"/>
      <c r="AY62" s="28"/>
      <c r="AZ62" s="28"/>
      <c r="BA62" s="28"/>
      <c r="BB62" s="28"/>
      <c r="BC62" s="28"/>
      <c r="BD62" s="30">
        <f t="shared" si="14"/>
        <v>0</v>
      </c>
      <c r="BE62" s="28">
        <f t="shared" si="15"/>
        <v>0</v>
      </c>
      <c r="BF62" s="14"/>
      <c r="BG62" s="677" t="s">
        <v>41</v>
      </c>
      <c r="BH62" s="677"/>
      <c r="BI62" s="677"/>
      <c r="BJ62" s="677"/>
      <c r="BK62" s="677"/>
      <c r="BL62" s="677"/>
      <c r="BM62" s="28"/>
      <c r="BN62" s="28"/>
      <c r="BO62" s="28"/>
      <c r="BP62" s="30">
        <f t="shared" si="16"/>
        <v>0</v>
      </c>
      <c r="BQ62" s="28">
        <f t="shared" si="17"/>
        <v>0</v>
      </c>
      <c r="BR62" s="14"/>
      <c r="BS62" s="677" t="s">
        <v>41</v>
      </c>
      <c r="BT62" s="677"/>
      <c r="BU62" s="677"/>
      <c r="BV62" s="677"/>
      <c r="BW62" s="677"/>
      <c r="BX62" s="677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30">
        <f t="shared" si="18"/>
        <v>0</v>
      </c>
      <c r="CJ62" s="28">
        <f t="shared" si="19"/>
        <v>0</v>
      </c>
      <c r="CK62" s="14"/>
      <c r="CL62" s="677" t="s">
        <v>41</v>
      </c>
      <c r="CM62" s="677"/>
      <c r="CN62" s="677"/>
      <c r="CO62" s="677"/>
      <c r="CP62" s="677"/>
      <c r="CQ62" s="677"/>
      <c r="CR62" s="28"/>
      <c r="CS62" s="28"/>
      <c r="CT62" s="28"/>
      <c r="CU62" s="28"/>
      <c r="CV62" s="28"/>
      <c r="CW62" s="28"/>
      <c r="CX62" s="28"/>
      <c r="CY62" s="28"/>
      <c r="CZ62" s="28"/>
      <c r="DA62" s="30">
        <f t="shared" si="20"/>
        <v>0</v>
      </c>
      <c r="DB62" s="28">
        <f t="shared" si="21"/>
        <v>0</v>
      </c>
      <c r="DC62" s="14"/>
      <c r="DD62" s="677" t="s">
        <v>41</v>
      </c>
      <c r="DE62" s="677"/>
      <c r="DF62" s="677"/>
      <c r="DG62" s="677"/>
      <c r="DH62" s="677"/>
      <c r="DI62" s="677"/>
      <c r="DJ62" s="28">
        <v>6</v>
      </c>
      <c r="DK62" s="28">
        <v>9</v>
      </c>
      <c r="DL62" s="28"/>
      <c r="DM62" s="28"/>
      <c r="DN62" s="28"/>
      <c r="DO62" s="28"/>
      <c r="DP62" s="28"/>
      <c r="DQ62" s="28"/>
      <c r="DR62" s="28"/>
      <c r="DS62" s="28"/>
      <c r="DT62" s="28"/>
      <c r="DU62" s="30">
        <f t="shared" si="22"/>
        <v>9</v>
      </c>
      <c r="DV62" s="28">
        <f t="shared" si="23"/>
        <v>54</v>
      </c>
      <c r="DX62" s="677" t="s">
        <v>41</v>
      </c>
      <c r="DY62" s="677"/>
      <c r="DZ62" s="677"/>
      <c r="EA62" s="677"/>
      <c r="EB62" s="677"/>
      <c r="EC62" s="677"/>
      <c r="ED62" s="28">
        <v>6</v>
      </c>
      <c r="EE62" s="28"/>
      <c r="EF62" s="28"/>
      <c r="EG62" s="28"/>
      <c r="EH62" s="28"/>
      <c r="EI62" s="28"/>
      <c r="EJ62" s="28"/>
      <c r="EK62" s="28"/>
      <c r="EL62" s="28"/>
      <c r="EM62" s="30"/>
      <c r="EN62" s="30"/>
      <c r="EO62" s="30">
        <f t="shared" si="24"/>
        <v>0</v>
      </c>
      <c r="EP62" s="28">
        <f t="shared" si="25"/>
        <v>0</v>
      </c>
      <c r="EQ62" t="str">
        <f t="shared" si="26"/>
        <v>IGUAL</v>
      </c>
      <c r="ER62" s="677" t="s">
        <v>41</v>
      </c>
      <c r="ES62" s="677"/>
      <c r="ET62" s="677"/>
      <c r="EU62" s="677"/>
      <c r="EV62" s="677"/>
      <c r="EW62" s="677"/>
      <c r="EX62" s="28">
        <v>6</v>
      </c>
      <c r="EY62" s="28"/>
      <c r="EZ62" s="28"/>
      <c r="FA62" s="28"/>
      <c r="FB62" s="28"/>
      <c r="FC62" s="28"/>
      <c r="FD62" s="28"/>
      <c r="FE62" s="28"/>
      <c r="FF62" s="28"/>
      <c r="FG62" s="28"/>
      <c r="FH62" s="28"/>
      <c r="FI62" s="30"/>
      <c r="FJ62" s="30"/>
      <c r="FK62" s="30"/>
      <c r="FL62" s="30"/>
      <c r="FM62" s="30"/>
      <c r="FN62" s="30"/>
      <c r="FO62" s="30"/>
      <c r="FP62" s="30"/>
      <c r="FQ62" s="30"/>
      <c r="FR62" s="30"/>
      <c r="FS62" s="30"/>
      <c r="FT62" s="30">
        <f t="shared" si="27"/>
        <v>0</v>
      </c>
      <c r="FU62" s="28">
        <f t="shared" si="28"/>
        <v>0</v>
      </c>
      <c r="FW62" s="677" t="s">
        <v>41</v>
      </c>
      <c r="FX62" s="677"/>
      <c r="FY62" s="677"/>
      <c r="FZ62" s="677"/>
      <c r="GA62" s="677"/>
      <c r="GB62" s="677"/>
      <c r="GC62" s="28">
        <v>6</v>
      </c>
      <c r="GD62" s="30"/>
      <c r="GE62" s="28"/>
      <c r="GF62" s="28"/>
      <c r="GG62" s="28"/>
      <c r="GH62" s="28"/>
      <c r="GI62" s="28">
        <v>2</v>
      </c>
      <c r="GJ62" s="28"/>
      <c r="GK62" s="28"/>
      <c r="GL62" s="28"/>
      <c r="GM62" s="28"/>
      <c r="GN62" s="30"/>
      <c r="GO62" s="30"/>
      <c r="GP62" s="30"/>
      <c r="GQ62" s="30">
        <f t="shared" si="29"/>
        <v>2</v>
      </c>
      <c r="GR62" s="28">
        <f t="shared" si="30"/>
        <v>12</v>
      </c>
      <c r="GT62" s="677" t="s">
        <v>41</v>
      </c>
      <c r="GU62" s="677"/>
      <c r="GV62" s="677"/>
      <c r="GW62" s="677"/>
      <c r="GX62" s="677"/>
      <c r="GY62" s="677"/>
      <c r="GZ62" s="28">
        <v>6</v>
      </c>
      <c r="HA62" s="28"/>
      <c r="HB62" s="28"/>
      <c r="HC62" s="28"/>
      <c r="HD62" s="28"/>
      <c r="HE62" s="28"/>
      <c r="HF62" s="28"/>
      <c r="HG62" s="28"/>
      <c r="HH62" s="28"/>
      <c r="HI62" s="28"/>
      <c r="HJ62" s="30">
        <v>1</v>
      </c>
      <c r="HK62" s="30"/>
      <c r="HL62" s="30">
        <f t="shared" si="43"/>
        <v>1</v>
      </c>
      <c r="HM62" s="28">
        <f t="shared" si="32"/>
        <v>6</v>
      </c>
      <c r="HO62" s="677" t="s">
        <v>41</v>
      </c>
      <c r="HP62" s="677"/>
      <c r="HQ62" s="677"/>
      <c r="HR62" s="677"/>
      <c r="HS62" s="677"/>
      <c r="HT62" s="677"/>
      <c r="HU62" s="28">
        <v>6</v>
      </c>
      <c r="HV62" s="28">
        <v>2</v>
      </c>
      <c r="HW62" s="30">
        <f t="shared" si="44"/>
        <v>2</v>
      </c>
      <c r="HX62" s="28">
        <f t="shared" si="45"/>
        <v>12</v>
      </c>
      <c r="HZ62" s="677" t="s">
        <v>41</v>
      </c>
      <c r="IA62" s="677"/>
      <c r="IB62" s="677"/>
      <c r="IC62" s="677"/>
      <c r="ID62" s="677"/>
      <c r="IE62" s="677"/>
      <c r="IF62" s="28">
        <v>6</v>
      </c>
      <c r="IG62" s="28"/>
      <c r="IH62" s="30">
        <v>2</v>
      </c>
      <c r="II62" s="30"/>
      <c r="IJ62" s="30">
        <v>5</v>
      </c>
      <c r="IK62" s="30"/>
      <c r="IL62" s="30"/>
      <c r="IM62" s="30">
        <f t="shared" si="41"/>
        <v>7</v>
      </c>
      <c r="IN62" s="28">
        <f t="shared" si="46"/>
        <v>42</v>
      </c>
      <c r="IP62" s="677" t="s">
        <v>41</v>
      </c>
      <c r="IQ62" s="677"/>
      <c r="IR62" s="677"/>
      <c r="IS62" s="677"/>
      <c r="IT62" s="677"/>
      <c r="IU62" s="677"/>
      <c r="IV62" s="28">
        <v>6</v>
      </c>
      <c r="IW62" s="28"/>
      <c r="IX62" s="30"/>
      <c r="IY62" s="30">
        <f t="shared" si="47"/>
        <v>0</v>
      </c>
      <c r="IZ62" s="28">
        <f t="shared" si="48"/>
        <v>0</v>
      </c>
      <c r="JB62" s="677" t="s">
        <v>41</v>
      </c>
      <c r="JC62" s="677"/>
      <c r="JD62" s="677"/>
      <c r="JE62" s="677"/>
      <c r="JF62" s="677"/>
      <c r="JG62" s="677"/>
      <c r="JH62" s="28">
        <v>5.7</v>
      </c>
      <c r="JI62" s="28"/>
      <c r="JJ62" s="30"/>
      <c r="JK62" s="30"/>
      <c r="JL62" s="30"/>
      <c r="JM62" s="30"/>
      <c r="JN62" s="30"/>
      <c r="JO62" s="30"/>
      <c r="JP62" s="30"/>
      <c r="JQ62" s="30"/>
      <c r="JR62" s="30"/>
      <c r="JS62" s="30">
        <v>1</v>
      </c>
      <c r="JT62" s="30"/>
      <c r="JU62" s="30"/>
      <c r="JV62" s="30"/>
      <c r="JW62" s="30"/>
      <c r="JX62" s="30"/>
      <c r="JY62" s="30"/>
      <c r="JZ62" s="30">
        <v>6</v>
      </c>
      <c r="KA62" s="30"/>
      <c r="KB62" s="30"/>
      <c r="KC62" s="30"/>
      <c r="KD62" s="30"/>
      <c r="KE62" s="30">
        <f t="shared" si="34"/>
        <v>7</v>
      </c>
      <c r="KF62" s="28">
        <f t="shared" si="49"/>
        <v>39.9</v>
      </c>
      <c r="KH62" s="677" t="s">
        <v>41</v>
      </c>
      <c r="KI62" s="677"/>
      <c r="KJ62" s="677"/>
      <c r="KK62" s="677"/>
      <c r="KL62" s="677"/>
      <c r="KM62" s="677"/>
      <c r="KN62" s="28">
        <v>6</v>
      </c>
      <c r="KO62" s="28"/>
      <c r="KP62" s="30"/>
      <c r="KQ62" s="30">
        <v>1</v>
      </c>
      <c r="KR62" s="30"/>
      <c r="KS62" s="30">
        <f t="shared" si="50"/>
        <v>1</v>
      </c>
      <c r="KT62" s="28">
        <f t="shared" si="51"/>
        <v>6</v>
      </c>
      <c r="KV62" s="677" t="s">
        <v>41</v>
      </c>
      <c r="KW62" s="677"/>
      <c r="KX62" s="677"/>
      <c r="KY62" s="677"/>
      <c r="KZ62" s="677"/>
      <c r="LA62" s="677"/>
      <c r="LB62" s="28">
        <v>9</v>
      </c>
      <c r="LC62" s="28">
        <v>9</v>
      </c>
      <c r="LD62" s="30"/>
      <c r="LE62" s="30"/>
      <c r="LF62" s="30">
        <f t="shared" si="52"/>
        <v>9</v>
      </c>
      <c r="LG62" s="28">
        <f t="shared" si="53"/>
        <v>81</v>
      </c>
      <c r="LI62" s="677" t="s">
        <v>41</v>
      </c>
      <c r="LJ62" s="677"/>
      <c r="LK62" s="677"/>
      <c r="LL62" s="677"/>
      <c r="LM62" s="677"/>
      <c r="LN62" s="677"/>
      <c r="LO62" s="28">
        <v>9</v>
      </c>
      <c r="LP62" s="28"/>
      <c r="LQ62" s="30"/>
      <c r="LR62" s="30"/>
      <c r="LS62" s="30">
        <v>10</v>
      </c>
      <c r="LT62" s="30"/>
      <c r="LU62" s="30"/>
      <c r="LV62" s="30"/>
      <c r="LW62" s="30"/>
      <c r="LX62" s="30"/>
      <c r="LY62" s="30"/>
      <c r="LZ62" s="30"/>
      <c r="MA62" s="30"/>
      <c r="MB62" s="30"/>
      <c r="MC62" s="30"/>
      <c r="MD62" s="30"/>
      <c r="ME62" s="30">
        <f t="shared" si="35"/>
        <v>10</v>
      </c>
      <c r="MF62" s="28">
        <f t="shared" si="8"/>
        <v>90</v>
      </c>
      <c r="MH62" s="677" t="s">
        <v>41</v>
      </c>
      <c r="MI62" s="677"/>
      <c r="MJ62" s="677"/>
      <c r="MK62" s="677"/>
      <c r="ML62" s="677"/>
      <c r="MM62" s="677"/>
      <c r="MN62" s="28">
        <v>9</v>
      </c>
      <c r="MO62" s="28"/>
      <c r="MP62" s="30"/>
      <c r="MQ62" s="30">
        <v>3</v>
      </c>
      <c r="MR62" s="30"/>
      <c r="MS62" s="30"/>
      <c r="MT62" s="30"/>
      <c r="MU62" s="30"/>
      <c r="MV62" s="30"/>
      <c r="MW62" s="30"/>
      <c r="MX62" s="30"/>
      <c r="MY62" s="30"/>
      <c r="MZ62" s="30"/>
      <c r="NA62" s="30"/>
      <c r="NB62" s="30"/>
      <c r="NC62" s="30"/>
      <c r="ND62" s="30">
        <f t="shared" si="36"/>
        <v>3</v>
      </c>
      <c r="NE62" s="28">
        <f t="shared" si="37"/>
        <v>27</v>
      </c>
      <c r="NG62" s="677" t="s">
        <v>41</v>
      </c>
      <c r="NH62" s="677"/>
      <c r="NI62" s="677"/>
      <c r="NJ62" s="677"/>
      <c r="NK62" s="677"/>
      <c r="NL62" s="677"/>
      <c r="NM62" s="28">
        <v>9</v>
      </c>
      <c r="NN62" s="30"/>
      <c r="NO62" s="30"/>
      <c r="NP62" s="30"/>
      <c r="NQ62" s="30"/>
      <c r="NR62" s="30"/>
      <c r="NS62" s="30"/>
      <c r="NT62" s="30"/>
      <c r="NU62" s="30"/>
      <c r="NV62" s="30"/>
      <c r="NW62" s="30"/>
      <c r="NX62" s="30"/>
      <c r="NY62" s="30"/>
      <c r="NZ62" s="30"/>
      <c r="OA62" s="30"/>
      <c r="OB62" s="30"/>
      <c r="OC62" s="30">
        <f t="shared" si="38"/>
        <v>0</v>
      </c>
      <c r="OD62" s="28">
        <f t="shared" si="39"/>
        <v>0</v>
      </c>
    </row>
    <row r="63" spans="1:394" ht="14.45" customHeight="1" x14ac:dyDescent="0.25">
      <c r="A63" s="47"/>
      <c r="B63" s="12"/>
      <c r="C63" s="709" t="s">
        <v>42</v>
      </c>
      <c r="D63" s="709"/>
      <c r="E63" s="709"/>
      <c r="F63" s="709"/>
      <c r="G63" s="709"/>
      <c r="H63" s="709"/>
      <c r="I63" s="13"/>
      <c r="J63" s="13"/>
      <c r="K63" s="19"/>
      <c r="L63" s="19"/>
      <c r="M63" s="19">
        <f t="shared" si="40"/>
        <v>0</v>
      </c>
      <c r="N63" s="19">
        <f t="shared" si="9"/>
        <v>0</v>
      </c>
      <c r="O63" s="12"/>
      <c r="P63" s="709" t="s">
        <v>42</v>
      </c>
      <c r="Q63" s="709"/>
      <c r="R63" s="709"/>
      <c r="S63" s="709"/>
      <c r="T63" s="709"/>
      <c r="U63" s="709"/>
      <c r="V63" s="13"/>
      <c r="W63" s="19"/>
      <c r="X63" s="19"/>
      <c r="Y63" s="23">
        <f t="shared" si="10"/>
        <v>0</v>
      </c>
      <c r="Z63" s="19">
        <f t="shared" si="11"/>
        <v>0</v>
      </c>
      <c r="AA63" s="34"/>
      <c r="AB63" s="34"/>
      <c r="AC63" s="34"/>
      <c r="AD63" s="34"/>
      <c r="AE63" s="34"/>
      <c r="AF63" s="34"/>
      <c r="AG63" s="6"/>
      <c r="AH63" s="709" t="s">
        <v>42</v>
      </c>
      <c r="AI63" s="709"/>
      <c r="AJ63" s="709"/>
      <c r="AK63" s="709"/>
      <c r="AL63" s="709"/>
      <c r="AM63" s="709"/>
      <c r="AN63" s="13"/>
      <c r="AO63" s="19"/>
      <c r="AP63" s="23">
        <f t="shared" si="12"/>
        <v>0</v>
      </c>
      <c r="AQ63" s="19">
        <f t="shared" si="13"/>
        <v>0</v>
      </c>
      <c r="AS63" s="709" t="s">
        <v>42</v>
      </c>
      <c r="AT63" s="709"/>
      <c r="AU63" s="709"/>
      <c r="AV63" s="709"/>
      <c r="AW63" s="709"/>
      <c r="AX63" s="709"/>
      <c r="AY63" s="13"/>
      <c r="AZ63" s="19"/>
      <c r="BA63" s="19"/>
      <c r="BB63" s="19"/>
      <c r="BC63" s="19"/>
      <c r="BD63" s="30">
        <f t="shared" si="14"/>
        <v>0</v>
      </c>
      <c r="BE63" s="28">
        <f t="shared" si="15"/>
        <v>0</v>
      </c>
      <c r="BF63" s="14"/>
      <c r="BG63" s="709" t="s">
        <v>42</v>
      </c>
      <c r="BH63" s="709"/>
      <c r="BI63" s="709"/>
      <c r="BJ63" s="709"/>
      <c r="BK63" s="709"/>
      <c r="BL63" s="709"/>
      <c r="BM63" s="13"/>
      <c r="BN63" s="19"/>
      <c r="BO63" s="19"/>
      <c r="BP63" s="30">
        <f t="shared" si="16"/>
        <v>0</v>
      </c>
      <c r="BQ63" s="28">
        <f t="shared" si="17"/>
        <v>0</v>
      </c>
      <c r="BR63" s="14"/>
      <c r="BS63" s="709" t="s">
        <v>42</v>
      </c>
      <c r="BT63" s="709"/>
      <c r="BU63" s="709"/>
      <c r="BV63" s="709"/>
      <c r="BW63" s="709"/>
      <c r="BX63" s="709"/>
      <c r="BY63" s="13"/>
      <c r="BZ63" s="19"/>
      <c r="CA63" s="19"/>
      <c r="CB63" s="19"/>
      <c r="CC63" s="19"/>
      <c r="CD63" s="19"/>
      <c r="CE63" s="19"/>
      <c r="CF63" s="19"/>
      <c r="CG63" s="19"/>
      <c r="CH63" s="19"/>
      <c r="CI63" s="30">
        <f t="shared" si="18"/>
        <v>0</v>
      </c>
      <c r="CJ63" s="28">
        <f t="shared" si="19"/>
        <v>0</v>
      </c>
      <c r="CK63" s="14"/>
      <c r="CL63" s="709" t="s">
        <v>42</v>
      </c>
      <c r="CM63" s="709"/>
      <c r="CN63" s="709"/>
      <c r="CO63" s="709"/>
      <c r="CP63" s="709"/>
      <c r="CQ63" s="709"/>
      <c r="CR63" s="13"/>
      <c r="CS63" s="19"/>
      <c r="CT63" s="19"/>
      <c r="CU63" s="19"/>
      <c r="CV63" s="19"/>
      <c r="CW63" s="19"/>
      <c r="CX63" s="19"/>
      <c r="CY63" s="19"/>
      <c r="CZ63" s="19"/>
      <c r="DA63" s="30">
        <f t="shared" si="20"/>
        <v>0</v>
      </c>
      <c r="DB63" s="28">
        <f t="shared" si="21"/>
        <v>0</v>
      </c>
      <c r="DC63" s="14"/>
      <c r="DD63" s="709" t="s">
        <v>42</v>
      </c>
      <c r="DE63" s="709"/>
      <c r="DF63" s="709"/>
      <c r="DG63" s="709"/>
      <c r="DH63" s="709"/>
      <c r="DI63" s="709"/>
      <c r="DJ63" s="13">
        <v>6</v>
      </c>
      <c r="DK63" s="19">
        <v>3</v>
      </c>
      <c r="DL63" s="19"/>
      <c r="DM63" s="19"/>
      <c r="DN63" s="19"/>
      <c r="DO63" s="19"/>
      <c r="DP63" s="19"/>
      <c r="DQ63" s="19"/>
      <c r="DR63" s="19"/>
      <c r="DS63" s="19"/>
      <c r="DT63" s="19"/>
      <c r="DU63" s="30">
        <f t="shared" si="22"/>
        <v>3</v>
      </c>
      <c r="DV63" s="28">
        <f t="shared" si="23"/>
        <v>18</v>
      </c>
      <c r="DX63" s="709" t="s">
        <v>42</v>
      </c>
      <c r="DY63" s="709"/>
      <c r="DZ63" s="709"/>
      <c r="EA63" s="709"/>
      <c r="EB63" s="709"/>
      <c r="EC63" s="709"/>
      <c r="ED63" s="13">
        <v>6</v>
      </c>
      <c r="EE63" s="19"/>
      <c r="EF63" s="19"/>
      <c r="EG63" s="19"/>
      <c r="EH63" s="19"/>
      <c r="EI63" s="19"/>
      <c r="EJ63" s="19"/>
      <c r="EK63" s="19"/>
      <c r="EL63" s="19"/>
      <c r="EM63" s="23"/>
      <c r="EN63" s="23"/>
      <c r="EO63" s="30">
        <f t="shared" si="24"/>
        <v>0</v>
      </c>
      <c r="EP63" s="28">
        <f t="shared" si="25"/>
        <v>0</v>
      </c>
      <c r="EQ63" t="str">
        <f t="shared" si="26"/>
        <v>IGUAL</v>
      </c>
      <c r="ER63" s="709" t="s">
        <v>42</v>
      </c>
      <c r="ES63" s="709"/>
      <c r="ET63" s="709"/>
      <c r="EU63" s="709"/>
      <c r="EV63" s="709"/>
      <c r="EW63" s="709"/>
      <c r="EX63" s="13">
        <v>6</v>
      </c>
      <c r="EY63" s="19"/>
      <c r="EZ63" s="19"/>
      <c r="FA63" s="19"/>
      <c r="FB63" s="19"/>
      <c r="FC63" s="19"/>
      <c r="FD63" s="19"/>
      <c r="FE63" s="19"/>
      <c r="FF63" s="19"/>
      <c r="FG63" s="19"/>
      <c r="FH63" s="19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30">
        <f t="shared" si="27"/>
        <v>0</v>
      </c>
      <c r="FU63" s="28">
        <f t="shared" si="28"/>
        <v>0</v>
      </c>
      <c r="FW63" s="709" t="s">
        <v>42</v>
      </c>
      <c r="FX63" s="709"/>
      <c r="FY63" s="709"/>
      <c r="FZ63" s="709"/>
      <c r="GA63" s="709"/>
      <c r="GB63" s="709"/>
      <c r="GC63" s="13">
        <v>6</v>
      </c>
      <c r="GD63" s="23"/>
      <c r="GE63" s="19"/>
      <c r="GF63" s="19"/>
      <c r="GG63" s="19"/>
      <c r="GH63" s="19"/>
      <c r="GI63" s="19">
        <v>1</v>
      </c>
      <c r="GJ63" s="19"/>
      <c r="GK63" s="19"/>
      <c r="GL63" s="19"/>
      <c r="GM63" s="19"/>
      <c r="GN63" s="23"/>
      <c r="GO63" s="23"/>
      <c r="GP63" s="23"/>
      <c r="GQ63" s="30">
        <f t="shared" si="29"/>
        <v>1</v>
      </c>
      <c r="GR63" s="28">
        <f t="shared" si="30"/>
        <v>6</v>
      </c>
      <c r="GT63" s="709" t="s">
        <v>42</v>
      </c>
      <c r="GU63" s="709"/>
      <c r="GV63" s="709"/>
      <c r="GW63" s="709"/>
      <c r="GX63" s="709"/>
      <c r="GY63" s="709"/>
      <c r="GZ63" s="13">
        <v>6</v>
      </c>
      <c r="HA63" s="19"/>
      <c r="HB63" s="19"/>
      <c r="HC63" s="19"/>
      <c r="HD63" s="19"/>
      <c r="HE63" s="19"/>
      <c r="HF63" s="19"/>
      <c r="HG63" s="19"/>
      <c r="HH63" s="19"/>
      <c r="HI63" s="19"/>
      <c r="HJ63" s="23"/>
      <c r="HK63" s="23"/>
      <c r="HL63" s="30">
        <f t="shared" si="43"/>
        <v>0</v>
      </c>
      <c r="HM63" s="28">
        <f t="shared" si="32"/>
        <v>0</v>
      </c>
      <c r="HO63" s="709" t="s">
        <v>42</v>
      </c>
      <c r="HP63" s="709"/>
      <c r="HQ63" s="709"/>
      <c r="HR63" s="709"/>
      <c r="HS63" s="709"/>
      <c r="HT63" s="709"/>
      <c r="HU63" s="13">
        <v>6</v>
      </c>
      <c r="HV63" s="19"/>
      <c r="HW63" s="30">
        <f t="shared" si="44"/>
        <v>0</v>
      </c>
      <c r="HX63" s="28">
        <f t="shared" si="45"/>
        <v>0</v>
      </c>
      <c r="HZ63" s="709" t="s">
        <v>42</v>
      </c>
      <c r="IA63" s="709"/>
      <c r="IB63" s="709"/>
      <c r="IC63" s="709"/>
      <c r="ID63" s="709"/>
      <c r="IE63" s="709"/>
      <c r="IF63" s="13">
        <v>6</v>
      </c>
      <c r="IG63" s="19"/>
      <c r="IH63" s="23"/>
      <c r="II63" s="23"/>
      <c r="IJ63" s="23">
        <v>5</v>
      </c>
      <c r="IK63" s="23"/>
      <c r="IL63" s="23"/>
      <c r="IM63" s="30">
        <f t="shared" si="41"/>
        <v>5</v>
      </c>
      <c r="IN63" s="28">
        <f t="shared" si="46"/>
        <v>30</v>
      </c>
      <c r="IP63" s="709" t="s">
        <v>42</v>
      </c>
      <c r="IQ63" s="709"/>
      <c r="IR63" s="709"/>
      <c r="IS63" s="709"/>
      <c r="IT63" s="709"/>
      <c r="IU63" s="709"/>
      <c r="IV63" s="13">
        <v>6</v>
      </c>
      <c r="IW63" s="19"/>
      <c r="IX63" s="23"/>
      <c r="IY63" s="30">
        <f t="shared" si="47"/>
        <v>0</v>
      </c>
      <c r="IZ63" s="28">
        <f t="shared" si="48"/>
        <v>0</v>
      </c>
      <c r="JB63" s="709" t="s">
        <v>42</v>
      </c>
      <c r="JC63" s="709"/>
      <c r="JD63" s="709"/>
      <c r="JE63" s="709"/>
      <c r="JF63" s="709"/>
      <c r="JG63" s="709"/>
      <c r="JH63" s="13">
        <v>5.7</v>
      </c>
      <c r="JI63" s="19"/>
      <c r="JJ63" s="23"/>
      <c r="JK63" s="23"/>
      <c r="JL63" s="23"/>
      <c r="JM63" s="23"/>
      <c r="JN63" s="23"/>
      <c r="JO63" s="23"/>
      <c r="JP63" s="23"/>
      <c r="JQ63" s="23"/>
      <c r="JR63" s="23"/>
      <c r="JS63" s="23"/>
      <c r="JT63" s="23"/>
      <c r="JU63" s="23"/>
      <c r="JV63" s="23"/>
      <c r="JW63" s="23">
        <v>1</v>
      </c>
      <c r="JX63" s="23"/>
      <c r="JY63" s="23"/>
      <c r="JZ63" s="23">
        <v>2</v>
      </c>
      <c r="KA63" s="23"/>
      <c r="KB63" s="23"/>
      <c r="KC63" s="23"/>
      <c r="KD63" s="23"/>
      <c r="KE63" s="30">
        <f t="shared" si="34"/>
        <v>3</v>
      </c>
      <c r="KF63" s="28">
        <f t="shared" si="49"/>
        <v>17.100000000000001</v>
      </c>
      <c r="KH63" s="709" t="s">
        <v>42</v>
      </c>
      <c r="KI63" s="709"/>
      <c r="KJ63" s="709"/>
      <c r="KK63" s="709"/>
      <c r="KL63" s="709"/>
      <c r="KM63" s="709"/>
      <c r="KN63" s="13">
        <v>5.7</v>
      </c>
      <c r="KO63" s="19"/>
      <c r="KP63" s="23"/>
      <c r="KQ63" s="23"/>
      <c r="KR63" s="23"/>
      <c r="KS63" s="30">
        <f t="shared" si="50"/>
        <v>0</v>
      </c>
      <c r="KT63" s="28">
        <f t="shared" si="51"/>
        <v>0</v>
      </c>
      <c r="KV63" s="709" t="s">
        <v>42</v>
      </c>
      <c r="KW63" s="709"/>
      <c r="KX63" s="709"/>
      <c r="KY63" s="709"/>
      <c r="KZ63" s="709"/>
      <c r="LA63" s="709"/>
      <c r="LB63" s="13">
        <v>9</v>
      </c>
      <c r="LC63" s="19"/>
      <c r="LD63" s="23"/>
      <c r="LE63" s="23"/>
      <c r="LF63" s="30">
        <f t="shared" si="52"/>
        <v>0</v>
      </c>
      <c r="LG63" s="28">
        <f t="shared" si="53"/>
        <v>0</v>
      </c>
      <c r="LI63" s="709" t="s">
        <v>42</v>
      </c>
      <c r="LJ63" s="709"/>
      <c r="LK63" s="709"/>
      <c r="LL63" s="709"/>
      <c r="LM63" s="709"/>
      <c r="LN63" s="709"/>
      <c r="LO63" s="13">
        <v>9</v>
      </c>
      <c r="LP63" s="19"/>
      <c r="LQ63" s="23"/>
      <c r="LR63" s="23"/>
      <c r="LS63" s="23"/>
      <c r="LT63" s="23"/>
      <c r="LU63" s="23"/>
      <c r="LV63" s="23"/>
      <c r="LW63" s="23"/>
      <c r="LX63" s="23"/>
      <c r="LY63" s="23"/>
      <c r="LZ63" s="23"/>
      <c r="MA63" s="23"/>
      <c r="MB63" s="23"/>
      <c r="MC63" s="23"/>
      <c r="MD63" s="23">
        <v>2</v>
      </c>
      <c r="ME63" s="30">
        <f t="shared" si="35"/>
        <v>2</v>
      </c>
      <c r="MF63" s="28">
        <f t="shared" si="8"/>
        <v>18</v>
      </c>
      <c r="MH63" s="709" t="s">
        <v>42</v>
      </c>
      <c r="MI63" s="709"/>
      <c r="MJ63" s="709"/>
      <c r="MK63" s="709"/>
      <c r="ML63" s="709"/>
      <c r="MM63" s="709"/>
      <c r="MN63" s="13">
        <v>9</v>
      </c>
      <c r="MO63" s="19"/>
      <c r="MP63" s="23"/>
      <c r="MQ63" s="23">
        <v>10</v>
      </c>
      <c r="MR63" s="23"/>
      <c r="MS63" s="23"/>
      <c r="MT63" s="23"/>
      <c r="MU63" s="23"/>
      <c r="MV63" s="23"/>
      <c r="MW63" s="23"/>
      <c r="MX63" s="23"/>
      <c r="MY63" s="23"/>
      <c r="MZ63" s="23"/>
      <c r="NA63" s="23"/>
      <c r="NB63" s="23"/>
      <c r="NC63" s="23"/>
      <c r="ND63" s="30">
        <f t="shared" si="36"/>
        <v>10</v>
      </c>
      <c r="NE63" s="28">
        <f t="shared" si="37"/>
        <v>90</v>
      </c>
      <c r="NG63" s="709" t="s">
        <v>42</v>
      </c>
      <c r="NH63" s="709"/>
      <c r="NI63" s="709"/>
      <c r="NJ63" s="709"/>
      <c r="NK63" s="709"/>
      <c r="NL63" s="709"/>
      <c r="NM63" s="13">
        <v>9</v>
      </c>
      <c r="NN63" s="23"/>
      <c r="NO63" s="23"/>
      <c r="NP63" s="23"/>
      <c r="NQ63" s="23"/>
      <c r="NR63" s="23"/>
      <c r="NS63" s="23"/>
      <c r="NT63" s="23"/>
      <c r="NU63" s="23"/>
      <c r="NV63" s="23"/>
      <c r="NW63" s="23"/>
      <c r="NX63" s="23"/>
      <c r="NY63" s="23"/>
      <c r="NZ63" s="23"/>
      <c r="OA63" s="23"/>
      <c r="OB63" s="23"/>
      <c r="OC63" s="30">
        <f t="shared" si="38"/>
        <v>0</v>
      </c>
      <c r="OD63" s="28">
        <f t="shared" si="39"/>
        <v>0</v>
      </c>
    </row>
    <row r="64" spans="1:394" ht="14.45" customHeight="1" x14ac:dyDescent="0.25">
      <c r="A64" s="47"/>
      <c r="B64" s="12"/>
      <c r="C64" s="709" t="s">
        <v>45</v>
      </c>
      <c r="D64" s="709"/>
      <c r="E64" s="709"/>
      <c r="F64" s="709"/>
      <c r="G64" s="709"/>
      <c r="H64" s="709"/>
      <c r="I64" s="13"/>
      <c r="J64" s="13"/>
      <c r="K64" s="19"/>
      <c r="L64" s="19"/>
      <c r="M64" s="19">
        <f t="shared" si="40"/>
        <v>0</v>
      </c>
      <c r="N64" s="19">
        <f t="shared" si="9"/>
        <v>0</v>
      </c>
      <c r="O64" s="12"/>
      <c r="P64" s="709" t="s">
        <v>45</v>
      </c>
      <c r="Q64" s="709"/>
      <c r="R64" s="709"/>
      <c r="S64" s="709"/>
      <c r="T64" s="709"/>
      <c r="U64" s="709"/>
      <c r="V64" s="13"/>
      <c r="W64" s="19"/>
      <c r="X64" s="19"/>
      <c r="Y64" s="23">
        <f t="shared" si="10"/>
        <v>0</v>
      </c>
      <c r="Z64" s="19">
        <f t="shared" si="11"/>
        <v>0</v>
      </c>
      <c r="AA64" s="34"/>
      <c r="AB64" s="34"/>
      <c r="AC64" s="34"/>
      <c r="AD64" s="34"/>
      <c r="AE64" s="34"/>
      <c r="AF64" s="34"/>
      <c r="AG64" s="6"/>
      <c r="AH64" s="709" t="s">
        <v>45</v>
      </c>
      <c r="AI64" s="709"/>
      <c r="AJ64" s="709"/>
      <c r="AK64" s="709"/>
      <c r="AL64" s="709"/>
      <c r="AM64" s="709"/>
      <c r="AN64" s="13"/>
      <c r="AO64" s="19"/>
      <c r="AP64" s="23">
        <f t="shared" si="12"/>
        <v>0</v>
      </c>
      <c r="AQ64" s="19">
        <f t="shared" si="13"/>
        <v>0</v>
      </c>
      <c r="AS64" s="677" t="s">
        <v>45</v>
      </c>
      <c r="AT64" s="677"/>
      <c r="AU64" s="677"/>
      <c r="AV64" s="677"/>
      <c r="AW64" s="677"/>
      <c r="AX64" s="677"/>
      <c r="AY64" s="28"/>
      <c r="AZ64" s="28"/>
      <c r="BA64" s="28"/>
      <c r="BB64" s="28"/>
      <c r="BC64" s="28"/>
      <c r="BD64" s="30">
        <f t="shared" si="14"/>
        <v>0</v>
      </c>
      <c r="BE64" s="28">
        <f t="shared" si="15"/>
        <v>0</v>
      </c>
      <c r="BF64" s="14"/>
      <c r="BG64" s="677" t="s">
        <v>45</v>
      </c>
      <c r="BH64" s="677"/>
      <c r="BI64" s="677"/>
      <c r="BJ64" s="677"/>
      <c r="BK64" s="677"/>
      <c r="BL64" s="677"/>
      <c r="BM64" s="28"/>
      <c r="BN64" s="28"/>
      <c r="BO64" s="28"/>
      <c r="BP64" s="30">
        <f t="shared" si="16"/>
        <v>0</v>
      </c>
      <c r="BQ64" s="28">
        <f t="shared" si="17"/>
        <v>0</v>
      </c>
      <c r="BR64" s="14"/>
      <c r="BS64" s="677" t="s">
        <v>45</v>
      </c>
      <c r="BT64" s="677"/>
      <c r="BU64" s="677"/>
      <c r="BV64" s="677"/>
      <c r="BW64" s="677"/>
      <c r="BX64" s="677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30">
        <f t="shared" si="18"/>
        <v>0</v>
      </c>
      <c r="CJ64" s="28">
        <f t="shared" si="19"/>
        <v>0</v>
      </c>
      <c r="CK64" s="14"/>
      <c r="CL64" s="677" t="s">
        <v>45</v>
      </c>
      <c r="CM64" s="677"/>
      <c r="CN64" s="677"/>
      <c r="CO64" s="677"/>
      <c r="CP64" s="677"/>
      <c r="CQ64" s="677"/>
      <c r="CR64" s="28"/>
      <c r="CS64" s="28"/>
      <c r="CT64" s="28"/>
      <c r="CU64" s="28"/>
      <c r="CV64" s="28"/>
      <c r="CW64" s="28"/>
      <c r="CX64" s="28"/>
      <c r="CY64" s="28"/>
      <c r="CZ64" s="28"/>
      <c r="DA64" s="30">
        <f t="shared" si="20"/>
        <v>0</v>
      </c>
      <c r="DB64" s="28">
        <f t="shared" si="21"/>
        <v>0</v>
      </c>
      <c r="DC64" s="14"/>
      <c r="DD64" s="677" t="s">
        <v>45</v>
      </c>
      <c r="DE64" s="677"/>
      <c r="DF64" s="677"/>
      <c r="DG64" s="677"/>
      <c r="DH64" s="677"/>
      <c r="DI64" s="677"/>
      <c r="DJ64" s="28"/>
      <c r="DK64" s="28"/>
      <c r="DL64" s="28"/>
      <c r="DM64" s="28"/>
      <c r="DN64" s="28"/>
      <c r="DO64" s="28"/>
      <c r="DP64" s="28"/>
      <c r="DQ64" s="28"/>
      <c r="DR64" s="28"/>
      <c r="DS64" s="28"/>
      <c r="DT64" s="28"/>
      <c r="DU64" s="30">
        <f t="shared" si="22"/>
        <v>0</v>
      </c>
      <c r="DV64" s="28">
        <f t="shared" si="23"/>
        <v>0</v>
      </c>
      <c r="DX64" s="677" t="s">
        <v>45</v>
      </c>
      <c r="DY64" s="677"/>
      <c r="DZ64" s="677"/>
      <c r="EA64" s="677"/>
      <c r="EB64" s="677"/>
      <c r="EC64" s="677"/>
      <c r="ED64" s="28"/>
      <c r="EE64" s="28"/>
      <c r="EF64" s="28"/>
      <c r="EG64" s="28"/>
      <c r="EH64" s="28"/>
      <c r="EI64" s="28"/>
      <c r="EJ64" s="28"/>
      <c r="EK64" s="28"/>
      <c r="EL64" s="28"/>
      <c r="EM64" s="30"/>
      <c r="EN64" s="30"/>
      <c r="EO64" s="30">
        <f t="shared" si="24"/>
        <v>0</v>
      </c>
      <c r="EP64" s="28">
        <f t="shared" si="25"/>
        <v>0</v>
      </c>
      <c r="EQ64" t="str">
        <f t="shared" si="26"/>
        <v>IGUAL</v>
      </c>
      <c r="ER64" s="677" t="s">
        <v>45</v>
      </c>
      <c r="ES64" s="677"/>
      <c r="ET64" s="677"/>
      <c r="EU64" s="677"/>
      <c r="EV64" s="677"/>
      <c r="EW64" s="677"/>
      <c r="EX64" s="28"/>
      <c r="EY64" s="28"/>
      <c r="EZ64" s="28"/>
      <c r="FA64" s="28"/>
      <c r="FB64" s="28"/>
      <c r="FC64" s="28"/>
      <c r="FD64" s="28"/>
      <c r="FE64" s="28"/>
      <c r="FF64" s="28"/>
      <c r="FG64" s="28"/>
      <c r="FH64" s="28"/>
      <c r="FI64" s="30"/>
      <c r="FJ64" s="30"/>
      <c r="FK64" s="30"/>
      <c r="FL64" s="30"/>
      <c r="FM64" s="30"/>
      <c r="FN64" s="30"/>
      <c r="FO64" s="30"/>
      <c r="FP64" s="30"/>
      <c r="FQ64" s="30"/>
      <c r="FR64" s="30"/>
      <c r="FS64" s="30"/>
      <c r="FT64" s="30">
        <f t="shared" si="27"/>
        <v>0</v>
      </c>
      <c r="FU64" s="28">
        <f t="shared" si="28"/>
        <v>0</v>
      </c>
      <c r="FW64" s="677" t="s">
        <v>45</v>
      </c>
      <c r="FX64" s="677"/>
      <c r="FY64" s="677"/>
      <c r="FZ64" s="677"/>
      <c r="GA64" s="677"/>
      <c r="GB64" s="677"/>
      <c r="GC64" s="28"/>
      <c r="GD64" s="30"/>
      <c r="GE64" s="28"/>
      <c r="GF64" s="28"/>
      <c r="GG64" s="28"/>
      <c r="GH64" s="28"/>
      <c r="GI64" s="28"/>
      <c r="GJ64" s="28"/>
      <c r="GK64" s="28"/>
      <c r="GL64" s="28"/>
      <c r="GM64" s="28"/>
      <c r="GN64" s="30"/>
      <c r="GO64" s="30"/>
      <c r="GP64" s="30"/>
      <c r="GQ64" s="30">
        <f t="shared" si="29"/>
        <v>0</v>
      </c>
      <c r="GR64" s="28">
        <f t="shared" si="30"/>
        <v>0</v>
      </c>
      <c r="GT64" s="677" t="s">
        <v>45</v>
      </c>
      <c r="GU64" s="677"/>
      <c r="GV64" s="677"/>
      <c r="GW64" s="677"/>
      <c r="GX64" s="677"/>
      <c r="GY64" s="677"/>
      <c r="GZ64" s="28"/>
      <c r="HA64" s="28"/>
      <c r="HB64" s="28"/>
      <c r="HC64" s="28"/>
      <c r="HD64" s="28"/>
      <c r="HE64" s="28"/>
      <c r="HF64" s="28"/>
      <c r="HG64" s="28"/>
      <c r="HH64" s="28"/>
      <c r="HI64" s="28"/>
      <c r="HJ64" s="30"/>
      <c r="HK64" s="30"/>
      <c r="HL64" s="30">
        <f t="shared" si="43"/>
        <v>0</v>
      </c>
      <c r="HM64" s="28">
        <f t="shared" si="32"/>
        <v>0</v>
      </c>
      <c r="HO64" s="677" t="s">
        <v>45</v>
      </c>
      <c r="HP64" s="677"/>
      <c r="HQ64" s="677"/>
      <c r="HR64" s="677"/>
      <c r="HS64" s="677"/>
      <c r="HT64" s="677"/>
      <c r="HU64" s="28"/>
      <c r="HV64" s="28"/>
      <c r="HW64" s="30">
        <f t="shared" si="44"/>
        <v>0</v>
      </c>
      <c r="HX64" s="28">
        <f t="shared" si="45"/>
        <v>0</v>
      </c>
      <c r="HZ64" s="677" t="s">
        <v>45</v>
      </c>
      <c r="IA64" s="677"/>
      <c r="IB64" s="677"/>
      <c r="IC64" s="677"/>
      <c r="ID64" s="677"/>
      <c r="IE64" s="677"/>
      <c r="IF64" s="28">
        <v>11.5</v>
      </c>
      <c r="IG64" s="28"/>
      <c r="IH64" s="30"/>
      <c r="II64" s="30"/>
      <c r="IJ64" s="30">
        <v>3</v>
      </c>
      <c r="IK64" s="30"/>
      <c r="IL64" s="30"/>
      <c r="IM64" s="30">
        <f t="shared" si="41"/>
        <v>3</v>
      </c>
      <c r="IN64" s="28">
        <f t="shared" si="46"/>
        <v>34.5</v>
      </c>
      <c r="IP64" s="677" t="s">
        <v>45</v>
      </c>
      <c r="IQ64" s="677"/>
      <c r="IR64" s="677"/>
      <c r="IS64" s="677"/>
      <c r="IT64" s="677"/>
      <c r="IU64" s="677"/>
      <c r="IV64" s="28">
        <v>11.5</v>
      </c>
      <c r="IW64" s="28"/>
      <c r="IX64" s="30"/>
      <c r="IY64" s="30">
        <f t="shared" si="47"/>
        <v>0</v>
      </c>
      <c r="IZ64" s="28">
        <f t="shared" si="48"/>
        <v>0</v>
      </c>
      <c r="JB64" s="677" t="s">
        <v>45</v>
      </c>
      <c r="JC64" s="677"/>
      <c r="JD64" s="677"/>
      <c r="JE64" s="677"/>
      <c r="JF64" s="677"/>
      <c r="JG64" s="677"/>
      <c r="JH64" s="28">
        <v>11.5</v>
      </c>
      <c r="JI64" s="28"/>
      <c r="JJ64" s="30"/>
      <c r="JK64" s="30"/>
      <c r="JL64" s="30"/>
      <c r="JM64" s="30"/>
      <c r="JN64" s="30"/>
      <c r="JO64" s="30"/>
      <c r="JP64" s="30"/>
      <c r="JQ64" s="30"/>
      <c r="JR64" s="30"/>
      <c r="JS64" s="30"/>
      <c r="JT64" s="30"/>
      <c r="JU64" s="30"/>
      <c r="JV64" s="30"/>
      <c r="JW64" s="30"/>
      <c r="JX64" s="30"/>
      <c r="JY64" s="30"/>
      <c r="JZ64" s="30"/>
      <c r="KA64" s="30"/>
      <c r="KB64" s="30"/>
      <c r="KC64" s="30"/>
      <c r="KD64" s="30"/>
      <c r="KE64" s="30">
        <f t="shared" si="34"/>
        <v>0</v>
      </c>
      <c r="KF64" s="28">
        <f t="shared" si="49"/>
        <v>0</v>
      </c>
      <c r="KH64" s="677" t="s">
        <v>45</v>
      </c>
      <c r="KI64" s="677"/>
      <c r="KJ64" s="677"/>
      <c r="KK64" s="677"/>
      <c r="KL64" s="677"/>
      <c r="KM64" s="677"/>
      <c r="KN64" s="28">
        <v>11.5</v>
      </c>
      <c r="KO64" s="28"/>
      <c r="KP64" s="30"/>
      <c r="KQ64" s="30"/>
      <c r="KR64" s="30"/>
      <c r="KS64" s="30">
        <f t="shared" si="50"/>
        <v>0</v>
      </c>
      <c r="KT64" s="28">
        <f t="shared" si="51"/>
        <v>0</v>
      </c>
      <c r="KV64" s="677" t="s">
        <v>45</v>
      </c>
      <c r="KW64" s="677"/>
      <c r="KX64" s="677"/>
      <c r="KY64" s="677"/>
      <c r="KZ64" s="677"/>
      <c r="LA64" s="677"/>
      <c r="LB64" s="28">
        <v>17</v>
      </c>
      <c r="LC64" s="28"/>
      <c r="LD64" s="30"/>
      <c r="LE64" s="30"/>
      <c r="LF64" s="30">
        <f t="shared" si="52"/>
        <v>0</v>
      </c>
      <c r="LG64" s="28">
        <f t="shared" si="53"/>
        <v>0</v>
      </c>
      <c r="LI64" s="677" t="s">
        <v>45</v>
      </c>
      <c r="LJ64" s="677"/>
      <c r="LK64" s="677"/>
      <c r="LL64" s="677"/>
      <c r="LM64" s="677"/>
      <c r="LN64" s="677"/>
      <c r="LO64" s="28">
        <v>17</v>
      </c>
      <c r="LP64" s="28"/>
      <c r="LQ64" s="30"/>
      <c r="LR64" s="30"/>
      <c r="LS64" s="30"/>
      <c r="LT64" s="30"/>
      <c r="LU64" s="30"/>
      <c r="LV64" s="30"/>
      <c r="LW64" s="30"/>
      <c r="LX64" s="30"/>
      <c r="LY64" s="30"/>
      <c r="LZ64" s="30"/>
      <c r="MA64" s="30"/>
      <c r="MB64" s="30"/>
      <c r="MC64" s="30"/>
      <c r="MD64" s="30"/>
      <c r="ME64" s="30">
        <f t="shared" si="35"/>
        <v>0</v>
      </c>
      <c r="MF64" s="28">
        <f t="shared" si="8"/>
        <v>0</v>
      </c>
      <c r="MH64" s="677" t="s">
        <v>45</v>
      </c>
      <c r="MI64" s="677"/>
      <c r="MJ64" s="677"/>
      <c r="MK64" s="677"/>
      <c r="ML64" s="677"/>
      <c r="MM64" s="677"/>
      <c r="MN64" s="28">
        <v>17</v>
      </c>
      <c r="MO64" s="28"/>
      <c r="MP64" s="30"/>
      <c r="MQ64" s="30"/>
      <c r="MR64" s="30"/>
      <c r="MS64" s="30"/>
      <c r="MT64" s="30"/>
      <c r="MU64" s="30"/>
      <c r="MV64" s="30"/>
      <c r="MW64" s="30"/>
      <c r="MX64" s="30"/>
      <c r="MY64" s="30"/>
      <c r="MZ64" s="30"/>
      <c r="NA64" s="30"/>
      <c r="NB64" s="30"/>
      <c r="NC64" s="30"/>
      <c r="ND64" s="30">
        <f t="shared" si="36"/>
        <v>0</v>
      </c>
      <c r="NE64" s="28">
        <f t="shared" si="37"/>
        <v>0</v>
      </c>
      <c r="NG64" s="677" t="s">
        <v>45</v>
      </c>
      <c r="NH64" s="677"/>
      <c r="NI64" s="677"/>
      <c r="NJ64" s="677"/>
      <c r="NK64" s="677"/>
      <c r="NL64" s="677"/>
      <c r="NM64" s="28">
        <v>17</v>
      </c>
      <c r="NN64" s="30"/>
      <c r="NO64" s="30"/>
      <c r="NP64" s="30"/>
      <c r="NQ64" s="30"/>
      <c r="NR64" s="30"/>
      <c r="NS64" s="30"/>
      <c r="NT64" s="30"/>
      <c r="NU64" s="30"/>
      <c r="NV64" s="30"/>
      <c r="NW64" s="30"/>
      <c r="NX64" s="30"/>
      <c r="NY64" s="30"/>
      <c r="NZ64" s="30"/>
      <c r="OA64" s="30"/>
      <c r="OB64" s="30"/>
      <c r="OC64" s="30">
        <f t="shared" si="38"/>
        <v>0</v>
      </c>
      <c r="OD64" s="28">
        <f t="shared" si="39"/>
        <v>0</v>
      </c>
    </row>
    <row r="65" spans="1:394" ht="14.45" customHeight="1" x14ac:dyDescent="0.25">
      <c r="A65" s="47"/>
      <c r="B65" s="12"/>
      <c r="C65" s="13"/>
      <c r="D65" s="13"/>
      <c r="E65" s="13"/>
      <c r="F65" s="13"/>
      <c r="G65" s="13"/>
      <c r="H65" s="13"/>
      <c r="I65" s="13"/>
      <c r="J65" s="13"/>
      <c r="K65" s="19"/>
      <c r="L65" s="19"/>
      <c r="M65" s="19"/>
      <c r="N65" s="19"/>
      <c r="O65" s="12"/>
      <c r="P65" s="13"/>
      <c r="Q65" s="13"/>
      <c r="R65" s="13"/>
      <c r="S65" s="13"/>
      <c r="T65" s="13"/>
      <c r="U65" s="13"/>
      <c r="V65" s="13"/>
      <c r="W65" s="19"/>
      <c r="X65" s="19"/>
      <c r="Y65" s="23"/>
      <c r="Z65" s="19"/>
      <c r="AA65" s="34"/>
      <c r="AB65" s="34"/>
      <c r="AC65" s="34"/>
      <c r="AD65" s="34"/>
      <c r="AE65" s="34"/>
      <c r="AF65" s="34"/>
      <c r="AG65" s="6"/>
      <c r="AH65" s="13"/>
      <c r="AI65" s="13"/>
      <c r="AJ65" s="13"/>
      <c r="AK65" s="13"/>
      <c r="AL65" s="13"/>
      <c r="AM65" s="13"/>
      <c r="AN65" s="13"/>
      <c r="AO65" s="19"/>
      <c r="AP65" s="23"/>
      <c r="AQ65" s="19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30"/>
      <c r="BE65" s="28"/>
      <c r="BF65" s="14"/>
      <c r="BG65" s="28"/>
      <c r="BH65" s="28"/>
      <c r="BI65" s="28"/>
      <c r="BJ65" s="28"/>
      <c r="BK65" s="28"/>
      <c r="BL65" s="28"/>
      <c r="BM65" s="28"/>
      <c r="BN65" s="28"/>
      <c r="BO65" s="28"/>
      <c r="BP65" s="30"/>
      <c r="BQ65" s="28"/>
      <c r="BR65" s="14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30"/>
      <c r="CJ65" s="28"/>
      <c r="CK65" s="14"/>
      <c r="CL65" s="28"/>
      <c r="CM65" s="28"/>
      <c r="CN65" s="28"/>
      <c r="CO65" s="28"/>
      <c r="CP65" s="28"/>
      <c r="CQ65" s="28"/>
      <c r="CR65" s="28"/>
      <c r="CS65" s="28"/>
      <c r="CT65" s="28"/>
      <c r="CU65" s="28"/>
      <c r="CV65" s="28"/>
      <c r="CW65" s="28"/>
      <c r="CX65" s="28"/>
      <c r="CY65" s="28"/>
      <c r="CZ65" s="28"/>
      <c r="DA65" s="30"/>
      <c r="DB65" s="28"/>
      <c r="DC65" s="14"/>
      <c r="DD65" s="28"/>
      <c r="DE65" s="28"/>
      <c r="DF65" s="28"/>
      <c r="DG65" s="28"/>
      <c r="DH65" s="28"/>
      <c r="DI65" s="28"/>
      <c r="DJ65" s="28"/>
      <c r="DK65" s="28"/>
      <c r="DL65" s="28"/>
      <c r="DM65" s="28"/>
      <c r="DN65" s="28"/>
      <c r="DO65" s="28"/>
      <c r="DP65" s="28"/>
      <c r="DQ65" s="28"/>
      <c r="DR65" s="28"/>
      <c r="DS65" s="28"/>
      <c r="DT65" s="28"/>
      <c r="DU65" s="30"/>
      <c r="DV65" s="28"/>
      <c r="DX65" s="28"/>
      <c r="DY65" s="28"/>
      <c r="DZ65" s="28"/>
      <c r="EA65" s="28"/>
      <c r="EB65" s="28"/>
      <c r="EC65" s="28"/>
      <c r="ED65" s="28"/>
      <c r="EE65" s="28"/>
      <c r="EF65" s="28"/>
      <c r="EG65" s="28"/>
      <c r="EH65" s="28"/>
      <c r="EI65" s="28"/>
      <c r="EJ65" s="28"/>
      <c r="EK65" s="28"/>
      <c r="EL65" s="28"/>
      <c r="EM65" s="30"/>
      <c r="EN65" s="30"/>
      <c r="EO65" s="30">
        <f t="shared" si="24"/>
        <v>0</v>
      </c>
      <c r="EP65" s="28">
        <f t="shared" si="25"/>
        <v>0</v>
      </c>
      <c r="EQ65" t="str">
        <f t="shared" si="26"/>
        <v>IGUAL</v>
      </c>
      <c r="ER65" s="677" t="s">
        <v>115</v>
      </c>
      <c r="ES65" s="677"/>
      <c r="ET65" s="677"/>
      <c r="EU65" s="677"/>
      <c r="EV65" s="677"/>
      <c r="EW65" s="677"/>
      <c r="EX65" s="28"/>
      <c r="EY65" s="28"/>
      <c r="EZ65" s="28"/>
      <c r="FA65" s="28"/>
      <c r="FB65" s="28"/>
      <c r="FC65" s="28"/>
      <c r="FD65" s="28"/>
      <c r="FE65" s="28"/>
      <c r="FF65" s="28"/>
      <c r="FG65" s="28"/>
      <c r="FH65" s="28"/>
      <c r="FI65" s="30"/>
      <c r="FJ65" s="30"/>
      <c r="FK65" s="30"/>
      <c r="FL65" s="30"/>
      <c r="FM65" s="30"/>
      <c r="FN65" s="30"/>
      <c r="FO65" s="30"/>
      <c r="FP65" s="30"/>
      <c r="FQ65" s="30"/>
      <c r="FR65" s="30"/>
      <c r="FS65" s="30"/>
      <c r="FT65" s="30">
        <f t="shared" si="27"/>
        <v>0</v>
      </c>
      <c r="FU65" s="28">
        <f t="shared" si="28"/>
        <v>0</v>
      </c>
      <c r="FW65" s="677" t="s">
        <v>115</v>
      </c>
      <c r="FX65" s="677"/>
      <c r="FY65" s="677"/>
      <c r="FZ65" s="677"/>
      <c r="GA65" s="677"/>
      <c r="GB65" s="677"/>
      <c r="GC65" s="28"/>
      <c r="GD65" s="30"/>
      <c r="GE65" s="28"/>
      <c r="GF65" s="28"/>
      <c r="GG65" s="28"/>
      <c r="GH65" s="28"/>
      <c r="GI65" s="28"/>
      <c r="GJ65" s="28"/>
      <c r="GK65" s="28"/>
      <c r="GL65" s="28"/>
      <c r="GM65" s="28"/>
      <c r="GN65" s="30"/>
      <c r="GO65" s="30"/>
      <c r="GP65" s="30"/>
      <c r="GQ65" s="30">
        <f t="shared" si="29"/>
        <v>0</v>
      </c>
      <c r="GR65" s="28">
        <f t="shared" si="30"/>
        <v>0</v>
      </c>
      <c r="GT65" s="677" t="s">
        <v>115</v>
      </c>
      <c r="GU65" s="677"/>
      <c r="GV65" s="677"/>
      <c r="GW65" s="677"/>
      <c r="GX65" s="677"/>
      <c r="GY65" s="677"/>
      <c r="GZ65" s="28"/>
      <c r="HA65" s="28"/>
      <c r="HB65" s="28"/>
      <c r="HC65" s="28"/>
      <c r="HD65" s="28"/>
      <c r="HE65" s="28"/>
      <c r="HF65" s="28"/>
      <c r="HG65" s="28"/>
      <c r="HH65" s="28"/>
      <c r="HI65" s="28"/>
      <c r="HJ65" s="30"/>
      <c r="HK65" s="30"/>
      <c r="HL65" s="30">
        <f t="shared" si="43"/>
        <v>0</v>
      </c>
      <c r="HM65" s="28">
        <f t="shared" si="32"/>
        <v>0</v>
      </c>
      <c r="HO65" s="677" t="s">
        <v>115</v>
      </c>
      <c r="HP65" s="677"/>
      <c r="HQ65" s="677"/>
      <c r="HR65" s="677"/>
      <c r="HS65" s="677"/>
      <c r="HT65" s="677"/>
      <c r="HU65" s="28"/>
      <c r="HV65" s="28"/>
      <c r="HW65" s="30">
        <f t="shared" si="44"/>
        <v>0</v>
      </c>
      <c r="HX65" s="28">
        <f t="shared" si="45"/>
        <v>0</v>
      </c>
      <c r="HZ65" s="677" t="s">
        <v>115</v>
      </c>
      <c r="IA65" s="677"/>
      <c r="IB65" s="677"/>
      <c r="IC65" s="677"/>
      <c r="ID65" s="677"/>
      <c r="IE65" s="677"/>
      <c r="IF65" s="28">
        <v>6</v>
      </c>
      <c r="IG65" s="28"/>
      <c r="IH65" s="30"/>
      <c r="II65" s="30"/>
      <c r="IJ65" s="30">
        <v>6</v>
      </c>
      <c r="IK65" s="30"/>
      <c r="IL65" s="30"/>
      <c r="IM65" s="30">
        <f t="shared" si="41"/>
        <v>6</v>
      </c>
      <c r="IN65" s="28">
        <f t="shared" si="46"/>
        <v>36</v>
      </c>
      <c r="IP65" s="677" t="s">
        <v>115</v>
      </c>
      <c r="IQ65" s="677"/>
      <c r="IR65" s="677"/>
      <c r="IS65" s="677"/>
      <c r="IT65" s="677"/>
      <c r="IU65" s="677"/>
      <c r="IV65" s="28">
        <v>6</v>
      </c>
      <c r="IW65" s="28"/>
      <c r="IX65" s="30"/>
      <c r="IY65" s="30">
        <f t="shared" si="47"/>
        <v>0</v>
      </c>
      <c r="IZ65" s="28">
        <f t="shared" si="48"/>
        <v>0</v>
      </c>
      <c r="JB65" s="677" t="s">
        <v>115</v>
      </c>
      <c r="JC65" s="677"/>
      <c r="JD65" s="677"/>
      <c r="JE65" s="677"/>
      <c r="JF65" s="677"/>
      <c r="JG65" s="677"/>
      <c r="JH65" s="28">
        <v>6</v>
      </c>
      <c r="JI65" s="28"/>
      <c r="JJ65" s="30"/>
      <c r="JK65" s="30"/>
      <c r="JL65" s="30"/>
      <c r="JM65" s="30"/>
      <c r="JN65" s="30"/>
      <c r="JO65" s="30"/>
      <c r="JP65" s="30"/>
      <c r="JQ65" s="30"/>
      <c r="JR65" s="30"/>
      <c r="JS65" s="30"/>
      <c r="JT65" s="30"/>
      <c r="JU65" s="30"/>
      <c r="JV65" s="30"/>
      <c r="JW65" s="30"/>
      <c r="JX65" s="30"/>
      <c r="JY65" s="30"/>
      <c r="JZ65" s="30"/>
      <c r="KA65" s="30"/>
      <c r="KB65" s="30"/>
      <c r="KC65" s="30"/>
      <c r="KD65" s="30"/>
      <c r="KE65" s="30">
        <f t="shared" si="34"/>
        <v>0</v>
      </c>
      <c r="KF65" s="28">
        <f t="shared" si="49"/>
        <v>0</v>
      </c>
      <c r="KH65" s="677" t="s">
        <v>115</v>
      </c>
      <c r="KI65" s="677"/>
      <c r="KJ65" s="677"/>
      <c r="KK65" s="677"/>
      <c r="KL65" s="677"/>
      <c r="KM65" s="677"/>
      <c r="KN65" s="28">
        <v>6</v>
      </c>
      <c r="KO65" s="28"/>
      <c r="KP65" s="30"/>
      <c r="KQ65" s="30"/>
      <c r="KR65" s="30"/>
      <c r="KS65" s="30">
        <f t="shared" si="50"/>
        <v>0</v>
      </c>
      <c r="KT65" s="28">
        <f t="shared" si="51"/>
        <v>0</v>
      </c>
      <c r="KV65" s="677" t="s">
        <v>115</v>
      </c>
      <c r="KW65" s="677"/>
      <c r="KX65" s="677"/>
      <c r="KY65" s="677"/>
      <c r="KZ65" s="677"/>
      <c r="LA65" s="677"/>
      <c r="LB65" s="28">
        <v>9</v>
      </c>
      <c r="LC65" s="28"/>
      <c r="LD65" s="30"/>
      <c r="LE65" s="30"/>
      <c r="LF65" s="30">
        <f t="shared" si="52"/>
        <v>0</v>
      </c>
      <c r="LG65" s="28">
        <f t="shared" si="53"/>
        <v>0</v>
      </c>
      <c r="LI65" s="677" t="s">
        <v>115</v>
      </c>
      <c r="LJ65" s="677"/>
      <c r="LK65" s="677"/>
      <c r="LL65" s="677"/>
      <c r="LM65" s="677"/>
      <c r="LN65" s="677"/>
      <c r="LO65" s="28">
        <v>9</v>
      </c>
      <c r="LP65" s="28"/>
      <c r="LQ65" s="30"/>
      <c r="LR65" s="30"/>
      <c r="LS65" s="30"/>
      <c r="LT65" s="30"/>
      <c r="LU65" s="30"/>
      <c r="LV65" s="30"/>
      <c r="LW65" s="30"/>
      <c r="LX65" s="30"/>
      <c r="LY65" s="30"/>
      <c r="LZ65" s="30"/>
      <c r="MA65" s="30"/>
      <c r="MB65" s="30"/>
      <c r="MC65" s="30"/>
      <c r="MD65" s="30"/>
      <c r="ME65" s="30">
        <f t="shared" si="35"/>
        <v>0</v>
      </c>
      <c r="MF65" s="28">
        <f t="shared" si="8"/>
        <v>0</v>
      </c>
      <c r="MH65" s="677" t="s">
        <v>115</v>
      </c>
      <c r="MI65" s="677"/>
      <c r="MJ65" s="677"/>
      <c r="MK65" s="677"/>
      <c r="ML65" s="677"/>
      <c r="MM65" s="677"/>
      <c r="MN65" s="28">
        <v>9</v>
      </c>
      <c r="MO65" s="28"/>
      <c r="MP65" s="30"/>
      <c r="MQ65" s="30"/>
      <c r="MR65" s="30"/>
      <c r="MS65" s="30"/>
      <c r="MT65" s="30"/>
      <c r="MU65" s="30"/>
      <c r="MV65" s="30"/>
      <c r="MW65" s="30"/>
      <c r="MX65" s="30"/>
      <c r="MY65" s="30"/>
      <c r="MZ65" s="30"/>
      <c r="NA65" s="30"/>
      <c r="NB65" s="30"/>
      <c r="NC65" s="30"/>
      <c r="ND65" s="30">
        <f t="shared" si="36"/>
        <v>0</v>
      </c>
      <c r="NE65" s="28">
        <f t="shared" si="37"/>
        <v>0</v>
      </c>
      <c r="NG65" s="677" t="s">
        <v>115</v>
      </c>
      <c r="NH65" s="677"/>
      <c r="NI65" s="677"/>
      <c r="NJ65" s="677"/>
      <c r="NK65" s="677"/>
      <c r="NL65" s="677"/>
      <c r="NM65" s="28">
        <v>9</v>
      </c>
      <c r="NN65" s="30"/>
      <c r="NO65" s="30"/>
      <c r="NP65" s="30"/>
      <c r="NQ65" s="30"/>
      <c r="NR65" s="30"/>
      <c r="NS65" s="30"/>
      <c r="NT65" s="30"/>
      <c r="NU65" s="30"/>
      <c r="NV65" s="30"/>
      <c r="NW65" s="30"/>
      <c r="NX65" s="30"/>
      <c r="NY65" s="30"/>
      <c r="NZ65" s="30"/>
      <c r="OA65" s="30"/>
      <c r="OB65" s="30"/>
      <c r="OC65" s="30">
        <f t="shared" si="38"/>
        <v>0</v>
      </c>
      <c r="OD65" s="28">
        <f t="shared" si="39"/>
        <v>0</v>
      </c>
    </row>
    <row r="66" spans="1:394" ht="14.45" customHeight="1" x14ac:dyDescent="0.25">
      <c r="A66" s="47"/>
      <c r="B66" s="12"/>
      <c r="C66" s="709" t="s">
        <v>43</v>
      </c>
      <c r="D66" s="709"/>
      <c r="E66" s="709"/>
      <c r="F66" s="709"/>
      <c r="G66" s="709"/>
      <c r="H66" s="709"/>
      <c r="I66" s="13"/>
      <c r="J66" s="13"/>
      <c r="K66" s="19"/>
      <c r="L66" s="19"/>
      <c r="M66" s="19">
        <f t="shared" si="40"/>
        <v>0</v>
      </c>
      <c r="N66" s="19">
        <f t="shared" si="9"/>
        <v>0</v>
      </c>
      <c r="O66" s="12"/>
      <c r="P66" s="709" t="s">
        <v>43</v>
      </c>
      <c r="Q66" s="709"/>
      <c r="R66" s="709"/>
      <c r="S66" s="709"/>
      <c r="T66" s="709"/>
      <c r="U66" s="709"/>
      <c r="V66" s="13"/>
      <c r="W66" s="19"/>
      <c r="X66" s="19"/>
      <c r="Y66" s="23">
        <f t="shared" si="10"/>
        <v>0</v>
      </c>
      <c r="Z66" s="19">
        <f t="shared" si="11"/>
        <v>0</v>
      </c>
      <c r="AA66" s="34"/>
      <c r="AB66" s="34"/>
      <c r="AC66" s="34"/>
      <c r="AD66" s="34"/>
      <c r="AE66" s="34"/>
      <c r="AF66" s="34"/>
      <c r="AG66" s="6"/>
      <c r="AH66" s="709" t="s">
        <v>43</v>
      </c>
      <c r="AI66" s="709"/>
      <c r="AJ66" s="709"/>
      <c r="AK66" s="709"/>
      <c r="AL66" s="709"/>
      <c r="AM66" s="709"/>
      <c r="AN66" s="13"/>
      <c r="AO66" s="19"/>
      <c r="AP66" s="23">
        <f t="shared" si="12"/>
        <v>0</v>
      </c>
      <c r="AQ66" s="19">
        <f t="shared" si="13"/>
        <v>0</v>
      </c>
      <c r="AS66" s="709" t="s">
        <v>43</v>
      </c>
      <c r="AT66" s="709"/>
      <c r="AU66" s="709"/>
      <c r="AV66" s="709"/>
      <c r="AW66" s="709"/>
      <c r="AX66" s="709"/>
      <c r="AY66" s="13"/>
      <c r="AZ66" s="19"/>
      <c r="BA66" s="19"/>
      <c r="BB66" s="19"/>
      <c r="BC66" s="19"/>
      <c r="BD66" s="30">
        <f t="shared" si="14"/>
        <v>0</v>
      </c>
      <c r="BE66" s="28">
        <f t="shared" si="15"/>
        <v>0</v>
      </c>
      <c r="BF66" s="14"/>
      <c r="BG66" s="709" t="s">
        <v>43</v>
      </c>
      <c r="BH66" s="709"/>
      <c r="BI66" s="709"/>
      <c r="BJ66" s="709"/>
      <c r="BK66" s="709"/>
      <c r="BL66" s="709"/>
      <c r="BM66" s="13"/>
      <c r="BN66" s="19"/>
      <c r="BO66" s="19"/>
      <c r="BP66" s="30">
        <f t="shared" si="16"/>
        <v>0</v>
      </c>
      <c r="BQ66" s="28">
        <f t="shared" si="17"/>
        <v>0</v>
      </c>
      <c r="BR66" s="14"/>
      <c r="BS66" s="709" t="s">
        <v>43</v>
      </c>
      <c r="BT66" s="709"/>
      <c r="BU66" s="709"/>
      <c r="BV66" s="709"/>
      <c r="BW66" s="709"/>
      <c r="BX66" s="709"/>
      <c r="BY66" s="13"/>
      <c r="BZ66" s="19"/>
      <c r="CA66" s="19"/>
      <c r="CB66" s="19"/>
      <c r="CC66" s="19"/>
      <c r="CD66" s="19"/>
      <c r="CE66" s="19"/>
      <c r="CF66" s="19"/>
      <c r="CG66" s="19"/>
      <c r="CH66" s="19"/>
      <c r="CI66" s="30">
        <f t="shared" si="18"/>
        <v>0</v>
      </c>
      <c r="CJ66" s="28">
        <f t="shared" si="19"/>
        <v>0</v>
      </c>
      <c r="CK66" s="14"/>
      <c r="CL66" s="709" t="s">
        <v>43</v>
      </c>
      <c r="CM66" s="709"/>
      <c r="CN66" s="709"/>
      <c r="CO66" s="709"/>
      <c r="CP66" s="709"/>
      <c r="CQ66" s="709"/>
      <c r="CR66" s="13"/>
      <c r="CS66" s="19"/>
      <c r="CT66" s="19"/>
      <c r="CU66" s="19"/>
      <c r="CV66" s="19"/>
      <c r="CW66" s="19"/>
      <c r="CX66" s="19"/>
      <c r="CY66" s="19"/>
      <c r="CZ66" s="19"/>
      <c r="DA66" s="30">
        <f t="shared" si="20"/>
        <v>0</v>
      </c>
      <c r="DB66" s="28">
        <f t="shared" si="21"/>
        <v>0</v>
      </c>
      <c r="DC66" s="14"/>
      <c r="DD66" s="709" t="s">
        <v>43</v>
      </c>
      <c r="DE66" s="709"/>
      <c r="DF66" s="709"/>
      <c r="DG66" s="709"/>
      <c r="DH66" s="709"/>
      <c r="DI66" s="709"/>
      <c r="DJ66" s="13">
        <v>6</v>
      </c>
      <c r="DK66" s="19">
        <v>3</v>
      </c>
      <c r="DL66" s="19"/>
      <c r="DM66" s="19"/>
      <c r="DN66" s="19"/>
      <c r="DO66" s="19"/>
      <c r="DP66" s="19"/>
      <c r="DQ66" s="19"/>
      <c r="DR66" s="19"/>
      <c r="DS66" s="19"/>
      <c r="DT66" s="19"/>
      <c r="DU66" s="30">
        <f t="shared" si="22"/>
        <v>3</v>
      </c>
      <c r="DV66" s="28">
        <f t="shared" si="23"/>
        <v>18</v>
      </c>
      <c r="DX66" s="709" t="s">
        <v>43</v>
      </c>
      <c r="DY66" s="709"/>
      <c r="DZ66" s="709"/>
      <c r="EA66" s="709"/>
      <c r="EB66" s="709"/>
      <c r="EC66" s="709"/>
      <c r="ED66" s="13">
        <v>6</v>
      </c>
      <c r="EE66" s="19"/>
      <c r="EF66" s="19"/>
      <c r="EG66" s="19"/>
      <c r="EH66" s="19"/>
      <c r="EI66" s="19"/>
      <c r="EJ66" s="19"/>
      <c r="EK66" s="19"/>
      <c r="EL66" s="19"/>
      <c r="EM66" s="23"/>
      <c r="EN66" s="23"/>
      <c r="EO66" s="30">
        <f t="shared" si="24"/>
        <v>0</v>
      </c>
      <c r="EP66" s="28">
        <f t="shared" si="25"/>
        <v>0</v>
      </c>
      <c r="EQ66" t="str">
        <f t="shared" si="26"/>
        <v>IGUAL</v>
      </c>
      <c r="ER66" s="709" t="s">
        <v>43</v>
      </c>
      <c r="ES66" s="709"/>
      <c r="ET66" s="709"/>
      <c r="EU66" s="709"/>
      <c r="EV66" s="709"/>
      <c r="EW66" s="709"/>
      <c r="EX66" s="13">
        <v>6</v>
      </c>
      <c r="EY66" s="19"/>
      <c r="EZ66" s="19"/>
      <c r="FA66" s="19"/>
      <c r="FB66" s="19"/>
      <c r="FC66" s="19"/>
      <c r="FD66" s="19"/>
      <c r="FE66" s="19"/>
      <c r="FF66" s="19"/>
      <c r="FG66" s="19"/>
      <c r="FH66" s="19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30">
        <f t="shared" si="27"/>
        <v>0</v>
      </c>
      <c r="FU66" s="28">
        <f t="shared" si="28"/>
        <v>0</v>
      </c>
      <c r="FW66" s="709" t="s">
        <v>43</v>
      </c>
      <c r="FX66" s="709"/>
      <c r="FY66" s="709"/>
      <c r="FZ66" s="709"/>
      <c r="GA66" s="709"/>
      <c r="GB66" s="709"/>
      <c r="GC66" s="13">
        <v>6</v>
      </c>
      <c r="GD66" s="23"/>
      <c r="GE66" s="19"/>
      <c r="GF66" s="19"/>
      <c r="GG66" s="19"/>
      <c r="GH66" s="19"/>
      <c r="GI66" s="19"/>
      <c r="GJ66" s="19"/>
      <c r="GK66" s="19"/>
      <c r="GL66" s="19"/>
      <c r="GM66" s="19"/>
      <c r="GN66" s="23"/>
      <c r="GO66" s="23"/>
      <c r="GP66" s="23"/>
      <c r="GQ66" s="30">
        <f t="shared" si="29"/>
        <v>0</v>
      </c>
      <c r="GR66" s="28">
        <f t="shared" si="30"/>
        <v>0</v>
      </c>
      <c r="GT66" s="709" t="s">
        <v>43</v>
      </c>
      <c r="GU66" s="709"/>
      <c r="GV66" s="709"/>
      <c r="GW66" s="709"/>
      <c r="GX66" s="709"/>
      <c r="GY66" s="709"/>
      <c r="GZ66" s="13">
        <v>6</v>
      </c>
      <c r="HA66" s="19"/>
      <c r="HB66" s="19"/>
      <c r="HC66" s="19"/>
      <c r="HD66" s="19"/>
      <c r="HE66" s="19"/>
      <c r="HF66" s="19"/>
      <c r="HG66" s="19"/>
      <c r="HH66" s="19"/>
      <c r="HI66" s="19"/>
      <c r="HJ66" s="23"/>
      <c r="HK66" s="23"/>
      <c r="HL66" s="30">
        <f t="shared" si="43"/>
        <v>0</v>
      </c>
      <c r="HM66" s="28">
        <f t="shared" si="32"/>
        <v>0</v>
      </c>
      <c r="HO66" s="709" t="s">
        <v>43</v>
      </c>
      <c r="HP66" s="709"/>
      <c r="HQ66" s="709"/>
      <c r="HR66" s="709"/>
      <c r="HS66" s="709"/>
      <c r="HT66" s="709"/>
      <c r="HU66" s="13">
        <v>6</v>
      </c>
      <c r="HV66" s="19"/>
      <c r="HW66" s="30">
        <f t="shared" si="44"/>
        <v>0</v>
      </c>
      <c r="HX66" s="28">
        <f t="shared" si="45"/>
        <v>0</v>
      </c>
      <c r="HZ66" s="709" t="s">
        <v>43</v>
      </c>
      <c r="IA66" s="709"/>
      <c r="IB66" s="709"/>
      <c r="IC66" s="709"/>
      <c r="ID66" s="709"/>
      <c r="IE66" s="709"/>
      <c r="IF66" s="13">
        <v>6</v>
      </c>
      <c r="IG66" s="19"/>
      <c r="IH66" s="23"/>
      <c r="II66" s="23"/>
      <c r="IJ66" s="23">
        <v>2</v>
      </c>
      <c r="IK66" s="23"/>
      <c r="IL66" s="23"/>
      <c r="IM66" s="30">
        <f t="shared" si="41"/>
        <v>2</v>
      </c>
      <c r="IN66" s="28">
        <f t="shared" si="46"/>
        <v>12</v>
      </c>
      <c r="IP66" s="709" t="s">
        <v>43</v>
      </c>
      <c r="IQ66" s="709"/>
      <c r="IR66" s="709"/>
      <c r="IS66" s="709"/>
      <c r="IT66" s="709"/>
      <c r="IU66" s="709"/>
      <c r="IV66" s="13">
        <v>6</v>
      </c>
      <c r="IW66" s="19"/>
      <c r="IX66" s="23"/>
      <c r="IY66" s="30">
        <f t="shared" si="47"/>
        <v>0</v>
      </c>
      <c r="IZ66" s="28">
        <f t="shared" si="48"/>
        <v>0</v>
      </c>
      <c r="JB66" s="709" t="s">
        <v>43</v>
      </c>
      <c r="JC66" s="709"/>
      <c r="JD66" s="709"/>
      <c r="JE66" s="709"/>
      <c r="JF66" s="709"/>
      <c r="JG66" s="709"/>
      <c r="JH66" s="13">
        <v>6</v>
      </c>
      <c r="JI66" s="19"/>
      <c r="JJ66" s="23"/>
      <c r="JK66" s="23"/>
      <c r="JL66" s="23"/>
      <c r="JM66" s="23"/>
      <c r="JN66" s="23"/>
      <c r="JO66" s="23"/>
      <c r="JP66" s="23"/>
      <c r="JQ66" s="23"/>
      <c r="JR66" s="23"/>
      <c r="JS66" s="23"/>
      <c r="JT66" s="23"/>
      <c r="JU66" s="23"/>
      <c r="JV66" s="23"/>
      <c r="JW66" s="23"/>
      <c r="JX66" s="23"/>
      <c r="JY66" s="23"/>
      <c r="JZ66" s="23"/>
      <c r="KA66" s="23"/>
      <c r="KB66" s="23"/>
      <c r="KC66" s="23"/>
      <c r="KD66" s="23"/>
      <c r="KE66" s="30">
        <f t="shared" si="34"/>
        <v>0</v>
      </c>
      <c r="KF66" s="28">
        <f t="shared" si="49"/>
        <v>0</v>
      </c>
      <c r="KH66" s="709" t="s">
        <v>43</v>
      </c>
      <c r="KI66" s="709"/>
      <c r="KJ66" s="709"/>
      <c r="KK66" s="709"/>
      <c r="KL66" s="709"/>
      <c r="KM66" s="709"/>
      <c r="KN66" s="13">
        <v>6</v>
      </c>
      <c r="KO66" s="19"/>
      <c r="KP66" s="23"/>
      <c r="KQ66" s="23"/>
      <c r="KR66" s="23"/>
      <c r="KS66" s="30">
        <f t="shared" si="50"/>
        <v>0</v>
      </c>
      <c r="KT66" s="28">
        <f t="shared" si="51"/>
        <v>0</v>
      </c>
      <c r="KV66" s="709" t="s">
        <v>43</v>
      </c>
      <c r="KW66" s="709"/>
      <c r="KX66" s="709"/>
      <c r="KY66" s="709"/>
      <c r="KZ66" s="709"/>
      <c r="LA66" s="709"/>
      <c r="LB66" s="13">
        <v>9</v>
      </c>
      <c r="LC66" s="19"/>
      <c r="LD66" s="23"/>
      <c r="LE66" s="23"/>
      <c r="LF66" s="30">
        <f t="shared" si="52"/>
        <v>0</v>
      </c>
      <c r="LG66" s="28">
        <f t="shared" si="53"/>
        <v>0</v>
      </c>
      <c r="LI66" s="709" t="s">
        <v>43</v>
      </c>
      <c r="LJ66" s="709"/>
      <c r="LK66" s="709"/>
      <c r="LL66" s="709"/>
      <c r="LM66" s="709"/>
      <c r="LN66" s="709"/>
      <c r="LO66" s="13">
        <v>9</v>
      </c>
      <c r="LP66" s="19"/>
      <c r="LQ66" s="23"/>
      <c r="LR66" s="23"/>
      <c r="LS66" s="23"/>
      <c r="LT66" s="23"/>
      <c r="LU66" s="23"/>
      <c r="LV66" s="23"/>
      <c r="LW66" s="23"/>
      <c r="LX66" s="23"/>
      <c r="LY66" s="23"/>
      <c r="LZ66" s="23"/>
      <c r="MA66" s="23"/>
      <c r="MB66" s="23"/>
      <c r="MC66" s="23"/>
      <c r="MD66" s="23"/>
      <c r="ME66" s="30">
        <f t="shared" si="35"/>
        <v>0</v>
      </c>
      <c r="MF66" s="28">
        <f t="shared" si="8"/>
        <v>0</v>
      </c>
      <c r="MH66" s="709" t="s">
        <v>43</v>
      </c>
      <c r="MI66" s="709"/>
      <c r="MJ66" s="709"/>
      <c r="MK66" s="709"/>
      <c r="ML66" s="709"/>
      <c r="MM66" s="709"/>
      <c r="MN66" s="13">
        <v>9</v>
      </c>
      <c r="MO66" s="19"/>
      <c r="MP66" s="23"/>
      <c r="MQ66" s="23"/>
      <c r="MR66" s="23"/>
      <c r="MS66" s="23"/>
      <c r="MT66" s="23"/>
      <c r="MU66" s="23"/>
      <c r="MV66" s="23"/>
      <c r="MW66" s="23"/>
      <c r="MX66" s="23"/>
      <c r="MY66" s="23"/>
      <c r="MZ66" s="23"/>
      <c r="NA66" s="23"/>
      <c r="NB66" s="23"/>
      <c r="NC66" s="23"/>
      <c r="ND66" s="30">
        <f t="shared" si="36"/>
        <v>0</v>
      </c>
      <c r="NE66" s="28">
        <f t="shared" si="37"/>
        <v>0</v>
      </c>
      <c r="NG66" s="709" t="s">
        <v>43</v>
      </c>
      <c r="NH66" s="709"/>
      <c r="NI66" s="709"/>
      <c r="NJ66" s="709"/>
      <c r="NK66" s="709"/>
      <c r="NL66" s="709"/>
      <c r="NM66" s="13">
        <v>9</v>
      </c>
      <c r="NN66" s="23"/>
      <c r="NO66" s="23"/>
      <c r="NP66" s="23"/>
      <c r="NQ66" s="23"/>
      <c r="NR66" s="23"/>
      <c r="NS66" s="23"/>
      <c r="NT66" s="23"/>
      <c r="NU66" s="23"/>
      <c r="NV66" s="23"/>
      <c r="NW66" s="23"/>
      <c r="NX66" s="23"/>
      <c r="NY66" s="23"/>
      <c r="NZ66" s="23"/>
      <c r="OA66" s="23"/>
      <c r="OB66" s="23"/>
      <c r="OC66" s="30">
        <f t="shared" si="38"/>
        <v>0</v>
      </c>
      <c r="OD66" s="28">
        <f t="shared" si="39"/>
        <v>0</v>
      </c>
    </row>
    <row r="67" spans="1:394" ht="14.45" customHeight="1" x14ac:dyDescent="0.25">
      <c r="A67" s="47"/>
      <c r="B67" s="12"/>
      <c r="C67" s="709" t="s">
        <v>46</v>
      </c>
      <c r="D67" s="709"/>
      <c r="E67" s="709"/>
      <c r="F67" s="709"/>
      <c r="G67" s="709"/>
      <c r="H67" s="709"/>
      <c r="I67" s="13"/>
      <c r="J67" s="13"/>
      <c r="K67" s="19"/>
      <c r="L67" s="19"/>
      <c r="M67" s="19">
        <f t="shared" si="40"/>
        <v>0</v>
      </c>
      <c r="N67" s="19">
        <f t="shared" si="9"/>
        <v>0</v>
      </c>
      <c r="O67" s="12"/>
      <c r="P67" s="709" t="s">
        <v>46</v>
      </c>
      <c r="Q67" s="709"/>
      <c r="R67" s="709"/>
      <c r="S67" s="709"/>
      <c r="T67" s="709"/>
      <c r="U67" s="709"/>
      <c r="V67" s="13"/>
      <c r="W67" s="19"/>
      <c r="X67" s="19"/>
      <c r="Y67" s="23">
        <f t="shared" si="10"/>
        <v>0</v>
      </c>
      <c r="Z67" s="19">
        <f t="shared" si="11"/>
        <v>0</v>
      </c>
      <c r="AA67" s="34"/>
      <c r="AB67" s="34"/>
      <c r="AC67" s="34"/>
      <c r="AD67" s="34"/>
      <c r="AE67" s="34"/>
      <c r="AF67" s="34"/>
      <c r="AG67" s="6"/>
      <c r="AH67" s="709" t="s">
        <v>46</v>
      </c>
      <c r="AI67" s="709"/>
      <c r="AJ67" s="709"/>
      <c r="AK67" s="709"/>
      <c r="AL67" s="709"/>
      <c r="AM67" s="709"/>
      <c r="AN67" s="13"/>
      <c r="AO67" s="19"/>
      <c r="AP67" s="23">
        <f t="shared" si="12"/>
        <v>0</v>
      </c>
      <c r="AQ67" s="19">
        <f t="shared" si="13"/>
        <v>0</v>
      </c>
      <c r="AS67" s="677" t="s">
        <v>46</v>
      </c>
      <c r="AT67" s="677"/>
      <c r="AU67" s="677"/>
      <c r="AV67" s="677"/>
      <c r="AW67" s="677"/>
      <c r="AX67" s="677"/>
      <c r="AY67" s="28"/>
      <c r="AZ67" s="28"/>
      <c r="BA67" s="28"/>
      <c r="BB67" s="28"/>
      <c r="BC67" s="28"/>
      <c r="BD67" s="30">
        <f t="shared" si="14"/>
        <v>0</v>
      </c>
      <c r="BE67" s="28">
        <f t="shared" si="15"/>
        <v>0</v>
      </c>
      <c r="BF67" s="14"/>
      <c r="BG67" s="677" t="s">
        <v>46</v>
      </c>
      <c r="BH67" s="677"/>
      <c r="BI67" s="677"/>
      <c r="BJ67" s="677"/>
      <c r="BK67" s="677"/>
      <c r="BL67" s="677"/>
      <c r="BM67" s="28"/>
      <c r="BN67" s="28"/>
      <c r="BO67" s="28"/>
      <c r="BP67" s="30">
        <f t="shared" si="16"/>
        <v>0</v>
      </c>
      <c r="BQ67" s="28">
        <f t="shared" si="17"/>
        <v>0</v>
      </c>
      <c r="BR67" s="14"/>
      <c r="BS67" s="677" t="s">
        <v>46</v>
      </c>
      <c r="BT67" s="677"/>
      <c r="BU67" s="677"/>
      <c r="BV67" s="677"/>
      <c r="BW67" s="677"/>
      <c r="BX67" s="677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30">
        <f t="shared" si="18"/>
        <v>0</v>
      </c>
      <c r="CJ67" s="28">
        <f t="shared" si="19"/>
        <v>0</v>
      </c>
      <c r="CK67" s="14"/>
      <c r="CL67" s="677" t="s">
        <v>46</v>
      </c>
      <c r="CM67" s="677"/>
      <c r="CN67" s="677"/>
      <c r="CO67" s="677"/>
      <c r="CP67" s="677"/>
      <c r="CQ67" s="677"/>
      <c r="CR67" s="28"/>
      <c r="CS67" s="28"/>
      <c r="CT67" s="28"/>
      <c r="CU67" s="28"/>
      <c r="CV67" s="28"/>
      <c r="CW67" s="28"/>
      <c r="CX67" s="28"/>
      <c r="CY67" s="28"/>
      <c r="CZ67" s="28"/>
      <c r="DA67" s="30">
        <f t="shared" si="20"/>
        <v>0</v>
      </c>
      <c r="DB67" s="28">
        <f t="shared" si="21"/>
        <v>0</v>
      </c>
      <c r="DC67" s="14"/>
      <c r="DD67" s="677" t="s">
        <v>46</v>
      </c>
      <c r="DE67" s="677"/>
      <c r="DF67" s="677"/>
      <c r="DG67" s="677"/>
      <c r="DH67" s="677"/>
      <c r="DI67" s="677"/>
      <c r="DJ67" s="28"/>
      <c r="DK67" s="28"/>
      <c r="DL67" s="28"/>
      <c r="DM67" s="28"/>
      <c r="DN67" s="28"/>
      <c r="DO67" s="28"/>
      <c r="DP67" s="28"/>
      <c r="DQ67" s="28"/>
      <c r="DR67" s="28"/>
      <c r="DS67" s="28"/>
      <c r="DT67" s="28"/>
      <c r="DU67" s="30">
        <f t="shared" si="22"/>
        <v>0</v>
      </c>
      <c r="DV67" s="28">
        <f t="shared" si="23"/>
        <v>0</v>
      </c>
      <c r="DX67" s="677" t="s">
        <v>46</v>
      </c>
      <c r="DY67" s="677"/>
      <c r="DZ67" s="677"/>
      <c r="EA67" s="677"/>
      <c r="EB67" s="677"/>
      <c r="EC67" s="677"/>
      <c r="ED67" s="28"/>
      <c r="EE67" s="28"/>
      <c r="EF67" s="28"/>
      <c r="EG67" s="28"/>
      <c r="EH67" s="28"/>
      <c r="EI67" s="28"/>
      <c r="EJ67" s="28"/>
      <c r="EK67" s="28"/>
      <c r="EL67" s="28"/>
      <c r="EM67" s="30"/>
      <c r="EN67" s="30"/>
      <c r="EO67" s="30">
        <f t="shared" si="24"/>
        <v>0</v>
      </c>
      <c r="EP67" s="28">
        <f t="shared" si="25"/>
        <v>0</v>
      </c>
      <c r="EQ67" t="str">
        <f t="shared" si="26"/>
        <v>IGUAL</v>
      </c>
      <c r="ER67" s="677" t="s">
        <v>46</v>
      </c>
      <c r="ES67" s="677"/>
      <c r="ET67" s="677"/>
      <c r="EU67" s="677"/>
      <c r="EV67" s="677"/>
      <c r="EW67" s="677"/>
      <c r="EX67" s="28"/>
      <c r="EY67" s="28"/>
      <c r="EZ67" s="28"/>
      <c r="FA67" s="28"/>
      <c r="FB67" s="28"/>
      <c r="FC67" s="28"/>
      <c r="FD67" s="28"/>
      <c r="FE67" s="28"/>
      <c r="FF67" s="28"/>
      <c r="FG67" s="28"/>
      <c r="FH67" s="28"/>
      <c r="FI67" s="30"/>
      <c r="FJ67" s="30"/>
      <c r="FK67" s="30"/>
      <c r="FL67" s="30"/>
      <c r="FM67" s="30"/>
      <c r="FN67" s="30"/>
      <c r="FO67" s="30"/>
      <c r="FP67" s="30"/>
      <c r="FQ67" s="30"/>
      <c r="FR67" s="30"/>
      <c r="FS67" s="30"/>
      <c r="FT67" s="30">
        <f t="shared" si="27"/>
        <v>0</v>
      </c>
      <c r="FU67" s="28">
        <f t="shared" si="28"/>
        <v>0</v>
      </c>
      <c r="FW67" s="677" t="s">
        <v>46</v>
      </c>
      <c r="FX67" s="677"/>
      <c r="FY67" s="677"/>
      <c r="FZ67" s="677"/>
      <c r="GA67" s="677"/>
      <c r="GB67" s="677"/>
      <c r="GC67" s="28"/>
      <c r="GD67" s="30"/>
      <c r="GE67" s="28"/>
      <c r="GF67" s="28"/>
      <c r="GG67" s="28"/>
      <c r="GH67" s="28"/>
      <c r="GI67" s="28"/>
      <c r="GJ67" s="28"/>
      <c r="GK67" s="28"/>
      <c r="GL67" s="28"/>
      <c r="GM67" s="28"/>
      <c r="GN67" s="30"/>
      <c r="GO67" s="30"/>
      <c r="GP67" s="30"/>
      <c r="GQ67" s="30">
        <f t="shared" si="29"/>
        <v>0</v>
      </c>
      <c r="GR67" s="28">
        <f t="shared" si="30"/>
        <v>0</v>
      </c>
      <c r="GT67" s="677" t="s">
        <v>46</v>
      </c>
      <c r="GU67" s="677"/>
      <c r="GV67" s="677"/>
      <c r="GW67" s="677"/>
      <c r="GX67" s="677"/>
      <c r="GY67" s="677"/>
      <c r="GZ67" s="28"/>
      <c r="HA67" s="28"/>
      <c r="HB67" s="28"/>
      <c r="HC67" s="28"/>
      <c r="HD67" s="28"/>
      <c r="HE67" s="28"/>
      <c r="HF67" s="28"/>
      <c r="HG67" s="28"/>
      <c r="HH67" s="28"/>
      <c r="HI67" s="28"/>
      <c r="HJ67" s="30"/>
      <c r="HK67" s="30"/>
      <c r="HL67" s="30">
        <f t="shared" si="43"/>
        <v>0</v>
      </c>
      <c r="HM67" s="28">
        <f t="shared" si="32"/>
        <v>0</v>
      </c>
      <c r="HO67" s="677" t="s">
        <v>46</v>
      </c>
      <c r="HP67" s="677"/>
      <c r="HQ67" s="677"/>
      <c r="HR67" s="677"/>
      <c r="HS67" s="677"/>
      <c r="HT67" s="677"/>
      <c r="HU67" s="28"/>
      <c r="HV67" s="28"/>
      <c r="HW67" s="30">
        <f t="shared" si="44"/>
        <v>0</v>
      </c>
      <c r="HX67" s="28">
        <f t="shared" si="45"/>
        <v>0</v>
      </c>
      <c r="HZ67" s="677" t="s">
        <v>46</v>
      </c>
      <c r="IA67" s="677"/>
      <c r="IB67" s="677"/>
      <c r="IC67" s="677"/>
      <c r="ID67" s="677"/>
      <c r="IE67" s="677"/>
      <c r="IF67" s="28">
        <v>11.5</v>
      </c>
      <c r="IG67" s="28"/>
      <c r="IH67" s="30"/>
      <c r="II67" s="30"/>
      <c r="IJ67" s="30">
        <v>3</v>
      </c>
      <c r="IK67" s="30"/>
      <c r="IL67" s="30"/>
      <c r="IM67" s="30">
        <f t="shared" si="41"/>
        <v>3</v>
      </c>
      <c r="IN67" s="28">
        <f t="shared" si="46"/>
        <v>34.5</v>
      </c>
      <c r="IP67" s="677" t="s">
        <v>46</v>
      </c>
      <c r="IQ67" s="677"/>
      <c r="IR67" s="677"/>
      <c r="IS67" s="677"/>
      <c r="IT67" s="677"/>
      <c r="IU67" s="677"/>
      <c r="IV67" s="28">
        <v>11.5</v>
      </c>
      <c r="IW67" s="28"/>
      <c r="IX67" s="30"/>
      <c r="IY67" s="30">
        <f t="shared" si="47"/>
        <v>0</v>
      </c>
      <c r="IZ67" s="28">
        <f t="shared" si="48"/>
        <v>0</v>
      </c>
      <c r="JB67" s="677" t="s">
        <v>46</v>
      </c>
      <c r="JC67" s="677"/>
      <c r="JD67" s="677"/>
      <c r="JE67" s="677"/>
      <c r="JF67" s="677"/>
      <c r="JG67" s="677"/>
      <c r="JH67" s="28">
        <v>11.5</v>
      </c>
      <c r="JI67" s="28"/>
      <c r="JJ67" s="30"/>
      <c r="JK67" s="30"/>
      <c r="JL67" s="30"/>
      <c r="JM67" s="30"/>
      <c r="JN67" s="30"/>
      <c r="JO67" s="30"/>
      <c r="JP67" s="30"/>
      <c r="JQ67" s="30"/>
      <c r="JR67" s="30"/>
      <c r="JS67" s="30"/>
      <c r="JT67" s="30"/>
      <c r="JU67" s="30"/>
      <c r="JV67" s="30"/>
      <c r="JW67" s="30"/>
      <c r="JX67" s="30"/>
      <c r="JY67" s="30"/>
      <c r="JZ67" s="30"/>
      <c r="KA67" s="30"/>
      <c r="KB67" s="30"/>
      <c r="KC67" s="30"/>
      <c r="KD67" s="30"/>
      <c r="KE67" s="30">
        <f t="shared" si="34"/>
        <v>0</v>
      </c>
      <c r="KF67" s="28">
        <f t="shared" si="49"/>
        <v>0</v>
      </c>
      <c r="KH67" s="677" t="s">
        <v>46</v>
      </c>
      <c r="KI67" s="677"/>
      <c r="KJ67" s="677"/>
      <c r="KK67" s="677"/>
      <c r="KL67" s="677"/>
      <c r="KM67" s="677"/>
      <c r="KN67" s="28">
        <v>11.5</v>
      </c>
      <c r="KO67" s="28"/>
      <c r="KP67" s="30"/>
      <c r="KQ67" s="30"/>
      <c r="KR67" s="30"/>
      <c r="KS67" s="30">
        <f t="shared" si="50"/>
        <v>0</v>
      </c>
      <c r="KT67" s="28">
        <f t="shared" si="51"/>
        <v>0</v>
      </c>
      <c r="KV67" s="677" t="s">
        <v>46</v>
      </c>
      <c r="KW67" s="677"/>
      <c r="KX67" s="677"/>
      <c r="KY67" s="677"/>
      <c r="KZ67" s="677"/>
      <c r="LA67" s="677"/>
      <c r="LB67" s="28">
        <v>17</v>
      </c>
      <c r="LC67" s="28"/>
      <c r="LD67" s="30"/>
      <c r="LE67" s="30"/>
      <c r="LF67" s="30">
        <f t="shared" si="52"/>
        <v>0</v>
      </c>
      <c r="LG67" s="28">
        <f t="shared" si="53"/>
        <v>0</v>
      </c>
      <c r="LI67" s="677" t="s">
        <v>46</v>
      </c>
      <c r="LJ67" s="677"/>
      <c r="LK67" s="677"/>
      <c r="LL67" s="677"/>
      <c r="LM67" s="677"/>
      <c r="LN67" s="677"/>
      <c r="LO67" s="28">
        <v>17</v>
      </c>
      <c r="LP67" s="28"/>
      <c r="LQ67" s="30"/>
      <c r="LR67" s="30"/>
      <c r="LS67" s="30"/>
      <c r="LT67" s="30"/>
      <c r="LU67" s="30"/>
      <c r="LV67" s="30"/>
      <c r="LW67" s="30"/>
      <c r="LX67" s="30"/>
      <c r="LY67" s="30"/>
      <c r="LZ67" s="30"/>
      <c r="MA67" s="30"/>
      <c r="MB67" s="30"/>
      <c r="MC67" s="30"/>
      <c r="MD67" s="30"/>
      <c r="ME67" s="30">
        <f t="shared" si="35"/>
        <v>0</v>
      </c>
      <c r="MF67" s="28">
        <f t="shared" si="8"/>
        <v>0</v>
      </c>
      <c r="MH67" s="677" t="s">
        <v>46</v>
      </c>
      <c r="MI67" s="677"/>
      <c r="MJ67" s="677"/>
      <c r="MK67" s="677"/>
      <c r="ML67" s="677"/>
      <c r="MM67" s="677"/>
      <c r="MN67" s="28">
        <v>17</v>
      </c>
      <c r="MO67" s="28"/>
      <c r="MP67" s="30"/>
      <c r="MQ67" s="30"/>
      <c r="MR67" s="30"/>
      <c r="MS67" s="30"/>
      <c r="MT67" s="30"/>
      <c r="MU67" s="30"/>
      <c r="MV67" s="30"/>
      <c r="MW67" s="30"/>
      <c r="MX67" s="30"/>
      <c r="MY67" s="30"/>
      <c r="MZ67" s="30"/>
      <c r="NA67" s="30"/>
      <c r="NB67" s="30"/>
      <c r="NC67" s="30"/>
      <c r="ND67" s="30">
        <f t="shared" si="36"/>
        <v>0</v>
      </c>
      <c r="NE67" s="28">
        <f t="shared" si="37"/>
        <v>0</v>
      </c>
      <c r="NG67" s="677" t="s">
        <v>46</v>
      </c>
      <c r="NH67" s="677"/>
      <c r="NI67" s="677"/>
      <c r="NJ67" s="677"/>
      <c r="NK67" s="677"/>
      <c r="NL67" s="677"/>
      <c r="NM67" s="28">
        <v>17</v>
      </c>
      <c r="NN67" s="30"/>
      <c r="NO67" s="30"/>
      <c r="NP67" s="30"/>
      <c r="NQ67" s="30"/>
      <c r="NR67" s="30"/>
      <c r="NS67" s="30"/>
      <c r="NT67" s="30"/>
      <c r="NU67" s="30"/>
      <c r="NV67" s="30"/>
      <c r="NW67" s="30"/>
      <c r="NX67" s="30"/>
      <c r="NY67" s="30"/>
      <c r="NZ67" s="30"/>
      <c r="OA67" s="30"/>
      <c r="OB67" s="30"/>
      <c r="OC67" s="30">
        <f t="shared" si="38"/>
        <v>0</v>
      </c>
      <c r="OD67" s="28">
        <f t="shared" si="39"/>
        <v>0</v>
      </c>
    </row>
    <row r="68" spans="1:394" ht="14.45" customHeight="1" x14ac:dyDescent="0.25">
      <c r="A68" s="47"/>
      <c r="B68" s="12"/>
      <c r="C68" s="709" t="s">
        <v>44</v>
      </c>
      <c r="D68" s="709"/>
      <c r="E68" s="709"/>
      <c r="F68" s="709"/>
      <c r="G68" s="709"/>
      <c r="H68" s="709"/>
      <c r="I68" s="13"/>
      <c r="J68" s="13"/>
      <c r="K68" s="19"/>
      <c r="L68" s="19"/>
      <c r="M68" s="19">
        <f t="shared" si="40"/>
        <v>0</v>
      </c>
      <c r="N68" s="19">
        <f t="shared" si="9"/>
        <v>0</v>
      </c>
      <c r="O68" s="12"/>
      <c r="P68" s="709" t="s">
        <v>44</v>
      </c>
      <c r="Q68" s="709"/>
      <c r="R68" s="709"/>
      <c r="S68" s="709"/>
      <c r="T68" s="709"/>
      <c r="U68" s="709"/>
      <c r="V68" s="13"/>
      <c r="W68" s="19"/>
      <c r="X68" s="19"/>
      <c r="Y68" s="23">
        <f t="shared" si="10"/>
        <v>0</v>
      </c>
      <c r="Z68" s="19">
        <f t="shared" si="11"/>
        <v>0</v>
      </c>
      <c r="AA68" s="34"/>
      <c r="AB68" s="34"/>
      <c r="AC68" s="34"/>
      <c r="AD68" s="34"/>
      <c r="AE68" s="34"/>
      <c r="AF68" s="34"/>
      <c r="AG68" s="6"/>
      <c r="AH68" s="709" t="s">
        <v>44</v>
      </c>
      <c r="AI68" s="709"/>
      <c r="AJ68" s="709"/>
      <c r="AK68" s="709"/>
      <c r="AL68" s="709"/>
      <c r="AM68" s="709"/>
      <c r="AN68" s="13"/>
      <c r="AO68" s="19"/>
      <c r="AP68" s="23">
        <f t="shared" si="12"/>
        <v>0</v>
      </c>
      <c r="AQ68" s="19">
        <f t="shared" si="13"/>
        <v>0</v>
      </c>
      <c r="AS68" s="709" t="s">
        <v>44</v>
      </c>
      <c r="AT68" s="709"/>
      <c r="AU68" s="709"/>
      <c r="AV68" s="709"/>
      <c r="AW68" s="709"/>
      <c r="AX68" s="709"/>
      <c r="AY68" s="13"/>
      <c r="AZ68" s="19"/>
      <c r="BA68" s="19"/>
      <c r="BB68" s="19"/>
      <c r="BC68" s="19"/>
      <c r="BD68" s="30">
        <f t="shared" si="14"/>
        <v>0</v>
      </c>
      <c r="BE68" s="28">
        <f t="shared" si="15"/>
        <v>0</v>
      </c>
      <c r="BF68" s="14"/>
      <c r="BG68" s="709" t="s">
        <v>44</v>
      </c>
      <c r="BH68" s="709"/>
      <c r="BI68" s="709"/>
      <c r="BJ68" s="709"/>
      <c r="BK68" s="709"/>
      <c r="BL68" s="709"/>
      <c r="BM68" s="13"/>
      <c r="BN68" s="19"/>
      <c r="BO68" s="19"/>
      <c r="BP68" s="30">
        <f t="shared" si="16"/>
        <v>0</v>
      </c>
      <c r="BQ68" s="28">
        <f t="shared" si="17"/>
        <v>0</v>
      </c>
      <c r="BR68" s="14"/>
      <c r="BS68" s="709" t="s">
        <v>44</v>
      </c>
      <c r="BT68" s="709"/>
      <c r="BU68" s="709"/>
      <c r="BV68" s="709"/>
      <c r="BW68" s="709"/>
      <c r="BX68" s="709"/>
      <c r="BY68" s="13"/>
      <c r="BZ68" s="19"/>
      <c r="CA68" s="19"/>
      <c r="CB68" s="19"/>
      <c r="CC68" s="19"/>
      <c r="CD68" s="19"/>
      <c r="CE68" s="19"/>
      <c r="CF68" s="19"/>
      <c r="CG68" s="19"/>
      <c r="CH68" s="19"/>
      <c r="CI68" s="30">
        <f t="shared" si="18"/>
        <v>0</v>
      </c>
      <c r="CJ68" s="28">
        <f t="shared" si="19"/>
        <v>0</v>
      </c>
      <c r="CK68" s="25"/>
      <c r="CL68" s="709" t="s">
        <v>44</v>
      </c>
      <c r="CM68" s="709"/>
      <c r="CN68" s="709"/>
      <c r="CO68" s="709"/>
      <c r="CP68" s="709"/>
      <c r="CQ68" s="709"/>
      <c r="CR68" s="13"/>
      <c r="CS68" s="19"/>
      <c r="CT68" s="19"/>
      <c r="CU68" s="19"/>
      <c r="CV68" s="19"/>
      <c r="CW68" s="19"/>
      <c r="CX68" s="19"/>
      <c r="CY68" s="19"/>
      <c r="CZ68" s="19"/>
      <c r="DA68" s="30">
        <f t="shared" si="20"/>
        <v>0</v>
      </c>
      <c r="DB68" s="28">
        <f t="shared" si="21"/>
        <v>0</v>
      </c>
      <c r="DC68" s="14"/>
      <c r="DD68" s="709" t="s">
        <v>44</v>
      </c>
      <c r="DE68" s="709"/>
      <c r="DF68" s="709"/>
      <c r="DG68" s="709"/>
      <c r="DH68" s="709"/>
      <c r="DI68" s="709"/>
      <c r="DJ68" s="13">
        <v>6</v>
      </c>
      <c r="DK68" s="19">
        <v>3</v>
      </c>
      <c r="DL68" s="19"/>
      <c r="DM68" s="19"/>
      <c r="DN68" s="19"/>
      <c r="DO68" s="19"/>
      <c r="DP68" s="19"/>
      <c r="DQ68" s="19"/>
      <c r="DR68" s="19"/>
      <c r="DS68" s="19"/>
      <c r="DT68" s="19"/>
      <c r="DU68" s="30">
        <f t="shared" si="22"/>
        <v>3</v>
      </c>
      <c r="DV68" s="28">
        <f t="shared" si="23"/>
        <v>18</v>
      </c>
      <c r="DX68" s="709" t="s">
        <v>44</v>
      </c>
      <c r="DY68" s="709"/>
      <c r="DZ68" s="709"/>
      <c r="EA68" s="709"/>
      <c r="EB68" s="709"/>
      <c r="EC68" s="709"/>
      <c r="ED68" s="13">
        <v>6</v>
      </c>
      <c r="EE68" s="19"/>
      <c r="EF68" s="19"/>
      <c r="EG68" s="19"/>
      <c r="EH68" s="19"/>
      <c r="EI68" s="19"/>
      <c r="EJ68" s="19"/>
      <c r="EK68" s="19"/>
      <c r="EL68" s="19"/>
      <c r="EM68" s="23"/>
      <c r="EN68" s="23"/>
      <c r="EO68" s="30">
        <f t="shared" si="24"/>
        <v>0</v>
      </c>
      <c r="EP68" s="28">
        <f t="shared" si="25"/>
        <v>0</v>
      </c>
      <c r="EQ68" t="str">
        <f t="shared" si="26"/>
        <v>IGUAL</v>
      </c>
      <c r="ER68" s="709" t="s">
        <v>44</v>
      </c>
      <c r="ES68" s="709"/>
      <c r="ET68" s="709"/>
      <c r="EU68" s="709"/>
      <c r="EV68" s="709"/>
      <c r="EW68" s="709"/>
      <c r="EX68" s="13">
        <v>6</v>
      </c>
      <c r="EY68" s="19"/>
      <c r="EZ68" s="19"/>
      <c r="FA68" s="19"/>
      <c r="FB68" s="19"/>
      <c r="FC68" s="19"/>
      <c r="FD68" s="19"/>
      <c r="FE68" s="19"/>
      <c r="FF68" s="19"/>
      <c r="FG68" s="19"/>
      <c r="FH68" s="19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30">
        <f t="shared" si="27"/>
        <v>0</v>
      </c>
      <c r="FU68" s="28">
        <f t="shared" si="28"/>
        <v>0</v>
      </c>
      <c r="FW68" s="709" t="s">
        <v>44</v>
      </c>
      <c r="FX68" s="709"/>
      <c r="FY68" s="709"/>
      <c r="FZ68" s="709"/>
      <c r="GA68" s="709"/>
      <c r="GB68" s="709"/>
      <c r="GC68" s="13">
        <v>6</v>
      </c>
      <c r="GD68" s="23"/>
      <c r="GE68" s="19"/>
      <c r="GF68" s="19"/>
      <c r="GG68" s="19"/>
      <c r="GH68" s="19"/>
      <c r="GI68" s="19"/>
      <c r="GJ68" s="19"/>
      <c r="GK68" s="19"/>
      <c r="GL68" s="19"/>
      <c r="GM68" s="19"/>
      <c r="GN68" s="23"/>
      <c r="GO68" s="23"/>
      <c r="GP68" s="23"/>
      <c r="GQ68" s="30">
        <f t="shared" si="29"/>
        <v>0</v>
      </c>
      <c r="GR68" s="28">
        <f t="shared" si="30"/>
        <v>0</v>
      </c>
      <c r="GT68" s="709" t="s">
        <v>44</v>
      </c>
      <c r="GU68" s="709"/>
      <c r="GV68" s="709"/>
      <c r="GW68" s="709"/>
      <c r="GX68" s="709"/>
      <c r="GY68" s="709"/>
      <c r="GZ68" s="13">
        <v>6</v>
      </c>
      <c r="HA68" s="19"/>
      <c r="HB68" s="19"/>
      <c r="HC68" s="19"/>
      <c r="HD68" s="19"/>
      <c r="HE68" s="19"/>
      <c r="HF68" s="19"/>
      <c r="HG68" s="19"/>
      <c r="HH68" s="19"/>
      <c r="HI68" s="19"/>
      <c r="HJ68" s="23"/>
      <c r="HK68" s="23"/>
      <c r="HL68" s="30">
        <f t="shared" si="43"/>
        <v>0</v>
      </c>
      <c r="HM68" s="28">
        <f t="shared" si="32"/>
        <v>0</v>
      </c>
      <c r="HO68" s="709" t="s">
        <v>44</v>
      </c>
      <c r="HP68" s="709"/>
      <c r="HQ68" s="709"/>
      <c r="HR68" s="709"/>
      <c r="HS68" s="709"/>
      <c r="HT68" s="709"/>
      <c r="HU68" s="13">
        <v>6</v>
      </c>
      <c r="HV68" s="19"/>
      <c r="HW68" s="30">
        <f t="shared" si="44"/>
        <v>0</v>
      </c>
      <c r="HX68" s="28">
        <f t="shared" si="45"/>
        <v>0</v>
      </c>
      <c r="HZ68" s="709" t="s">
        <v>219</v>
      </c>
      <c r="IA68" s="709"/>
      <c r="IB68" s="709"/>
      <c r="IC68" s="709"/>
      <c r="ID68" s="709"/>
      <c r="IE68" s="709"/>
      <c r="IF68" s="13">
        <v>6</v>
      </c>
      <c r="IG68" s="19"/>
      <c r="IH68" s="23"/>
      <c r="II68" s="23"/>
      <c r="IJ68" s="23">
        <v>3</v>
      </c>
      <c r="IK68" s="23"/>
      <c r="IL68" s="23"/>
      <c r="IM68" s="30">
        <f t="shared" si="41"/>
        <v>3</v>
      </c>
      <c r="IN68" s="28">
        <f t="shared" si="46"/>
        <v>18</v>
      </c>
      <c r="IP68" s="709" t="s">
        <v>219</v>
      </c>
      <c r="IQ68" s="709"/>
      <c r="IR68" s="709"/>
      <c r="IS68" s="709"/>
      <c r="IT68" s="709"/>
      <c r="IU68" s="709"/>
      <c r="IV68" s="13">
        <v>6</v>
      </c>
      <c r="IW68" s="19"/>
      <c r="IX68" s="23"/>
      <c r="IY68" s="30">
        <f t="shared" si="47"/>
        <v>0</v>
      </c>
      <c r="IZ68" s="28">
        <f t="shared" si="48"/>
        <v>0</v>
      </c>
      <c r="JB68" s="709" t="s">
        <v>219</v>
      </c>
      <c r="JC68" s="709"/>
      <c r="JD68" s="709"/>
      <c r="JE68" s="709"/>
      <c r="JF68" s="709"/>
      <c r="JG68" s="709"/>
      <c r="JH68" s="13">
        <v>6</v>
      </c>
      <c r="JI68" s="19"/>
      <c r="JJ68" s="23"/>
      <c r="JK68" s="23"/>
      <c r="JL68" s="23"/>
      <c r="JM68" s="23"/>
      <c r="JN68" s="23"/>
      <c r="JO68" s="23"/>
      <c r="JP68" s="23"/>
      <c r="JQ68" s="23"/>
      <c r="JR68" s="23"/>
      <c r="JS68" s="23"/>
      <c r="JT68" s="23"/>
      <c r="JU68" s="23"/>
      <c r="JV68" s="23"/>
      <c r="JW68" s="23"/>
      <c r="JX68" s="23"/>
      <c r="JY68" s="23"/>
      <c r="JZ68" s="23"/>
      <c r="KA68" s="23"/>
      <c r="KB68" s="23"/>
      <c r="KC68" s="23"/>
      <c r="KD68" s="23"/>
      <c r="KE68" s="30">
        <f t="shared" si="34"/>
        <v>0</v>
      </c>
      <c r="KF68" s="28">
        <f t="shared" si="49"/>
        <v>0</v>
      </c>
      <c r="KH68" s="709" t="s">
        <v>219</v>
      </c>
      <c r="KI68" s="709"/>
      <c r="KJ68" s="709"/>
      <c r="KK68" s="709"/>
      <c r="KL68" s="709"/>
      <c r="KM68" s="709"/>
      <c r="KN68" s="13">
        <v>6</v>
      </c>
      <c r="KO68" s="19"/>
      <c r="KP68" s="23"/>
      <c r="KQ68" s="23"/>
      <c r="KR68" s="23"/>
      <c r="KS68" s="30">
        <f t="shared" si="50"/>
        <v>0</v>
      </c>
      <c r="KT68" s="28">
        <f t="shared" si="51"/>
        <v>0</v>
      </c>
      <c r="KV68" s="709" t="s">
        <v>219</v>
      </c>
      <c r="KW68" s="709"/>
      <c r="KX68" s="709"/>
      <c r="KY68" s="709"/>
      <c r="KZ68" s="709"/>
      <c r="LA68" s="709"/>
      <c r="LB68" s="13">
        <v>9</v>
      </c>
      <c r="LC68" s="19"/>
      <c r="LD68" s="23"/>
      <c r="LE68" s="23"/>
      <c r="LF68" s="30">
        <f t="shared" si="52"/>
        <v>0</v>
      </c>
      <c r="LG68" s="28">
        <f t="shared" si="53"/>
        <v>0</v>
      </c>
      <c r="LI68" s="709" t="s">
        <v>219</v>
      </c>
      <c r="LJ68" s="709"/>
      <c r="LK68" s="709"/>
      <c r="LL68" s="709"/>
      <c r="LM68" s="709"/>
      <c r="LN68" s="709"/>
      <c r="LO68" s="13">
        <v>9</v>
      </c>
      <c r="LP68" s="19"/>
      <c r="LQ68" s="23"/>
      <c r="LR68" s="23"/>
      <c r="LS68" s="23"/>
      <c r="LT68" s="23"/>
      <c r="LU68" s="23"/>
      <c r="LV68" s="23"/>
      <c r="LW68" s="23"/>
      <c r="LX68" s="23"/>
      <c r="LY68" s="23"/>
      <c r="LZ68" s="23"/>
      <c r="MA68" s="23"/>
      <c r="MB68" s="23"/>
      <c r="MC68" s="23"/>
      <c r="MD68" s="23"/>
      <c r="ME68" s="30">
        <f t="shared" si="35"/>
        <v>0</v>
      </c>
      <c r="MF68" s="28">
        <f t="shared" si="8"/>
        <v>0</v>
      </c>
      <c r="MH68" s="709" t="s">
        <v>219</v>
      </c>
      <c r="MI68" s="709"/>
      <c r="MJ68" s="709"/>
      <c r="MK68" s="709"/>
      <c r="ML68" s="709"/>
      <c r="MM68" s="709"/>
      <c r="MN68" s="13">
        <v>9</v>
      </c>
      <c r="MO68" s="19"/>
      <c r="MP68" s="23"/>
      <c r="MQ68" s="23"/>
      <c r="MR68" s="23"/>
      <c r="MS68" s="23"/>
      <c r="MT68" s="23"/>
      <c r="MU68" s="23"/>
      <c r="MV68" s="23"/>
      <c r="MW68" s="23"/>
      <c r="MX68" s="23"/>
      <c r="MY68" s="23"/>
      <c r="MZ68" s="23"/>
      <c r="NA68" s="23"/>
      <c r="NB68" s="23"/>
      <c r="NC68" s="23"/>
      <c r="ND68" s="30">
        <f t="shared" si="36"/>
        <v>0</v>
      </c>
      <c r="NE68" s="28">
        <f t="shared" si="37"/>
        <v>0</v>
      </c>
      <c r="NG68" s="709" t="s">
        <v>219</v>
      </c>
      <c r="NH68" s="709"/>
      <c r="NI68" s="709"/>
      <c r="NJ68" s="709"/>
      <c r="NK68" s="709"/>
      <c r="NL68" s="709"/>
      <c r="NM68" s="13">
        <v>9</v>
      </c>
      <c r="NN68" s="23"/>
      <c r="NO68" s="23"/>
      <c r="NP68" s="23"/>
      <c r="NQ68" s="23"/>
      <c r="NR68" s="23"/>
      <c r="NS68" s="23"/>
      <c r="NT68" s="23"/>
      <c r="NU68" s="23"/>
      <c r="NV68" s="23"/>
      <c r="NW68" s="23"/>
      <c r="NX68" s="23"/>
      <c r="NY68" s="23"/>
      <c r="NZ68" s="23"/>
      <c r="OA68" s="23"/>
      <c r="OB68" s="23"/>
      <c r="OC68" s="30">
        <f t="shared" si="38"/>
        <v>0</v>
      </c>
      <c r="OD68" s="28">
        <f t="shared" si="39"/>
        <v>0</v>
      </c>
    </row>
    <row r="69" spans="1:394" ht="14.45" customHeight="1" x14ac:dyDescent="0.25">
      <c r="A69" s="47"/>
      <c r="B69" s="12"/>
      <c r="C69" s="13"/>
      <c r="D69" s="13"/>
      <c r="E69" s="13"/>
      <c r="F69" s="13"/>
      <c r="G69" s="13"/>
      <c r="H69" s="13"/>
      <c r="I69" s="13"/>
      <c r="J69" s="13"/>
      <c r="K69" s="19"/>
      <c r="L69" s="19"/>
      <c r="M69" s="19"/>
      <c r="N69" s="19"/>
      <c r="O69" s="12"/>
      <c r="P69" s="13"/>
      <c r="Q69" s="13"/>
      <c r="R69" s="13"/>
      <c r="S69" s="13"/>
      <c r="T69" s="13"/>
      <c r="U69" s="13"/>
      <c r="V69" s="13"/>
      <c r="W69" s="19"/>
      <c r="X69" s="19"/>
      <c r="Y69" s="23"/>
      <c r="Z69" s="19"/>
      <c r="AA69" s="34"/>
      <c r="AB69" s="34"/>
      <c r="AC69" s="34"/>
      <c r="AD69" s="34"/>
      <c r="AE69" s="34"/>
      <c r="AF69" s="34"/>
      <c r="AG69" s="6"/>
      <c r="AH69" s="13"/>
      <c r="AI69" s="13"/>
      <c r="AJ69" s="13"/>
      <c r="AK69" s="13"/>
      <c r="AL69" s="13"/>
      <c r="AM69" s="13"/>
      <c r="AN69" s="13"/>
      <c r="AO69" s="19"/>
      <c r="AP69" s="23"/>
      <c r="AQ69" s="19"/>
      <c r="AS69" s="13"/>
      <c r="AT69" s="13"/>
      <c r="AU69" s="13"/>
      <c r="AV69" s="13"/>
      <c r="AW69" s="13"/>
      <c r="AX69" s="13"/>
      <c r="AY69" s="13"/>
      <c r="AZ69" s="19"/>
      <c r="BA69" s="19"/>
      <c r="BB69" s="19"/>
      <c r="BC69" s="19"/>
      <c r="BD69" s="30"/>
      <c r="BE69" s="28"/>
      <c r="BF69" s="14"/>
      <c r="BG69" s="13"/>
      <c r="BH69" s="13"/>
      <c r="BI69" s="13"/>
      <c r="BJ69" s="13"/>
      <c r="BK69" s="13"/>
      <c r="BL69" s="13"/>
      <c r="BM69" s="13"/>
      <c r="BN69" s="19"/>
      <c r="BO69" s="19"/>
      <c r="BP69" s="30"/>
      <c r="BQ69" s="28"/>
      <c r="BR69" s="14"/>
      <c r="BS69" s="13"/>
      <c r="BT69" s="13"/>
      <c r="BU69" s="13"/>
      <c r="BV69" s="13"/>
      <c r="BW69" s="13"/>
      <c r="BX69" s="13"/>
      <c r="BY69" s="13"/>
      <c r="BZ69" s="19"/>
      <c r="CA69" s="19"/>
      <c r="CB69" s="19"/>
      <c r="CC69" s="19"/>
      <c r="CD69" s="19"/>
      <c r="CE69" s="19"/>
      <c r="CF69" s="19"/>
      <c r="CG69" s="19"/>
      <c r="CH69" s="19"/>
      <c r="CI69" s="30"/>
      <c r="CJ69" s="28"/>
      <c r="CK69" s="25"/>
      <c r="CL69" s="13"/>
      <c r="CM69" s="13"/>
      <c r="CN69" s="13"/>
      <c r="CO69" s="13"/>
      <c r="CP69" s="13"/>
      <c r="CQ69" s="13"/>
      <c r="CR69" s="13"/>
      <c r="CS69" s="19"/>
      <c r="CT69" s="19"/>
      <c r="CU69" s="19"/>
      <c r="CV69" s="19"/>
      <c r="CW69" s="19"/>
      <c r="CX69" s="19"/>
      <c r="CY69" s="19"/>
      <c r="CZ69" s="19"/>
      <c r="DA69" s="30"/>
      <c r="DB69" s="28"/>
      <c r="DC69" s="14"/>
      <c r="DD69" s="13"/>
      <c r="DE69" s="13"/>
      <c r="DF69" s="13"/>
      <c r="DG69" s="13"/>
      <c r="DH69" s="13"/>
      <c r="DI69" s="13"/>
      <c r="DJ69" s="13"/>
      <c r="DK69" s="19"/>
      <c r="DL69" s="19"/>
      <c r="DM69" s="19"/>
      <c r="DN69" s="19"/>
      <c r="DO69" s="19"/>
      <c r="DP69" s="19"/>
      <c r="DQ69" s="19"/>
      <c r="DR69" s="19"/>
      <c r="DS69" s="19"/>
      <c r="DT69" s="19"/>
      <c r="DU69" s="30"/>
      <c r="DV69" s="28"/>
      <c r="DX69" s="13"/>
      <c r="DY69" s="13"/>
      <c r="DZ69" s="13"/>
      <c r="EA69" s="13"/>
      <c r="EB69" s="13"/>
      <c r="EC69" s="13"/>
      <c r="ED69" s="13"/>
      <c r="EE69" s="19"/>
      <c r="EF69" s="19"/>
      <c r="EG69" s="19"/>
      <c r="EH69" s="19"/>
      <c r="EI69" s="19"/>
      <c r="EJ69" s="19"/>
      <c r="EK69" s="19"/>
      <c r="EL69" s="19"/>
      <c r="EM69" s="23"/>
      <c r="EN69" s="23"/>
      <c r="EO69" s="30">
        <f t="shared" si="24"/>
        <v>0</v>
      </c>
      <c r="EP69" s="28">
        <f t="shared" si="25"/>
        <v>0</v>
      </c>
      <c r="EQ69" t="str">
        <f t="shared" si="26"/>
        <v>IGUAL</v>
      </c>
      <c r="ER69" s="709" t="s">
        <v>114</v>
      </c>
      <c r="ES69" s="709"/>
      <c r="ET69" s="709"/>
      <c r="EU69" s="709"/>
      <c r="EV69" s="709"/>
      <c r="EW69" s="709"/>
      <c r="EX69" s="13"/>
      <c r="EY69" s="19"/>
      <c r="EZ69" s="19"/>
      <c r="FA69" s="19"/>
      <c r="FB69" s="19"/>
      <c r="FC69" s="19"/>
      <c r="FD69" s="19"/>
      <c r="FE69" s="19"/>
      <c r="FF69" s="19"/>
      <c r="FG69" s="19"/>
      <c r="FH69" s="19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30">
        <f t="shared" si="27"/>
        <v>0</v>
      </c>
      <c r="FU69" s="28">
        <f t="shared" si="28"/>
        <v>0</v>
      </c>
      <c r="FW69" s="709" t="s">
        <v>114</v>
      </c>
      <c r="FX69" s="709"/>
      <c r="FY69" s="709"/>
      <c r="FZ69" s="709"/>
      <c r="GA69" s="709"/>
      <c r="GB69" s="709"/>
      <c r="GC69" s="13"/>
      <c r="GD69" s="23"/>
      <c r="GE69" s="19"/>
      <c r="GF69" s="19"/>
      <c r="GG69" s="19"/>
      <c r="GH69" s="19"/>
      <c r="GI69" s="19"/>
      <c r="GJ69" s="19"/>
      <c r="GK69" s="19"/>
      <c r="GL69" s="19"/>
      <c r="GM69" s="19"/>
      <c r="GN69" s="23"/>
      <c r="GO69" s="23"/>
      <c r="GP69" s="23"/>
      <c r="GQ69" s="30">
        <f t="shared" si="29"/>
        <v>0</v>
      </c>
      <c r="GR69" s="28">
        <f t="shared" si="30"/>
        <v>0</v>
      </c>
      <c r="GT69" s="709" t="s">
        <v>114</v>
      </c>
      <c r="GU69" s="709"/>
      <c r="GV69" s="709"/>
      <c r="GW69" s="709"/>
      <c r="GX69" s="709"/>
      <c r="GY69" s="709"/>
      <c r="GZ69" s="13"/>
      <c r="HA69" s="19"/>
      <c r="HB69" s="19"/>
      <c r="HC69" s="19"/>
      <c r="HD69" s="19"/>
      <c r="HE69" s="19"/>
      <c r="HF69" s="19"/>
      <c r="HG69" s="19"/>
      <c r="HH69" s="19"/>
      <c r="HI69" s="19"/>
      <c r="HJ69" s="23"/>
      <c r="HK69" s="23"/>
      <c r="HL69" s="30">
        <f t="shared" si="43"/>
        <v>0</v>
      </c>
      <c r="HM69" s="28">
        <f t="shared" si="32"/>
        <v>0</v>
      </c>
      <c r="HO69" s="709" t="s">
        <v>114</v>
      </c>
      <c r="HP69" s="709"/>
      <c r="HQ69" s="709"/>
      <c r="HR69" s="709"/>
      <c r="HS69" s="709"/>
      <c r="HT69" s="709"/>
      <c r="HU69" s="13"/>
      <c r="HV69" s="19"/>
      <c r="HW69" s="30">
        <f t="shared" si="44"/>
        <v>0</v>
      </c>
      <c r="HX69" s="28">
        <f t="shared" si="45"/>
        <v>0</v>
      </c>
      <c r="HZ69" s="709" t="s">
        <v>114</v>
      </c>
      <c r="IA69" s="709"/>
      <c r="IB69" s="709"/>
      <c r="IC69" s="709"/>
      <c r="ID69" s="709"/>
      <c r="IE69" s="709"/>
      <c r="IF69" s="13">
        <v>6</v>
      </c>
      <c r="IG69" s="19"/>
      <c r="IH69" s="23"/>
      <c r="II69" s="23"/>
      <c r="IJ69" s="23">
        <v>6</v>
      </c>
      <c r="IK69" s="23"/>
      <c r="IL69" s="23"/>
      <c r="IM69" s="30">
        <f t="shared" si="41"/>
        <v>6</v>
      </c>
      <c r="IN69" s="28">
        <f t="shared" si="46"/>
        <v>36</v>
      </c>
      <c r="IP69" s="709" t="s">
        <v>114</v>
      </c>
      <c r="IQ69" s="709"/>
      <c r="IR69" s="709"/>
      <c r="IS69" s="709"/>
      <c r="IT69" s="709"/>
      <c r="IU69" s="709"/>
      <c r="IV69" s="13">
        <v>6</v>
      </c>
      <c r="IW69" s="19"/>
      <c r="IX69" s="23"/>
      <c r="IY69" s="30">
        <f t="shared" si="47"/>
        <v>0</v>
      </c>
      <c r="IZ69" s="28">
        <f t="shared" si="48"/>
        <v>0</v>
      </c>
      <c r="JB69" s="709" t="s">
        <v>114</v>
      </c>
      <c r="JC69" s="709"/>
      <c r="JD69" s="709"/>
      <c r="JE69" s="709"/>
      <c r="JF69" s="709"/>
      <c r="JG69" s="709"/>
      <c r="JH69" s="13">
        <v>6</v>
      </c>
      <c r="JI69" s="19"/>
      <c r="JJ69" s="23"/>
      <c r="JK69" s="23"/>
      <c r="JL69" s="23"/>
      <c r="JM69" s="23"/>
      <c r="JN69" s="23"/>
      <c r="JO69" s="23"/>
      <c r="JP69" s="23"/>
      <c r="JQ69" s="23"/>
      <c r="JR69" s="23"/>
      <c r="JS69" s="23"/>
      <c r="JT69" s="23"/>
      <c r="JU69" s="23"/>
      <c r="JV69" s="23"/>
      <c r="JW69" s="23"/>
      <c r="JX69" s="23"/>
      <c r="JY69" s="23"/>
      <c r="JZ69" s="23"/>
      <c r="KA69" s="23"/>
      <c r="KB69" s="23"/>
      <c r="KC69" s="23"/>
      <c r="KD69" s="23"/>
      <c r="KE69" s="30">
        <f t="shared" si="34"/>
        <v>0</v>
      </c>
      <c r="KF69" s="28">
        <f t="shared" si="49"/>
        <v>0</v>
      </c>
      <c r="KH69" s="709" t="s">
        <v>114</v>
      </c>
      <c r="KI69" s="709"/>
      <c r="KJ69" s="709"/>
      <c r="KK69" s="709"/>
      <c r="KL69" s="709"/>
      <c r="KM69" s="709"/>
      <c r="KN69" s="13">
        <v>6</v>
      </c>
      <c r="KO69" s="19"/>
      <c r="KP69" s="23"/>
      <c r="KQ69" s="23"/>
      <c r="KR69" s="23"/>
      <c r="KS69" s="30">
        <f t="shared" si="50"/>
        <v>0</v>
      </c>
      <c r="KT69" s="28">
        <f t="shared" si="51"/>
        <v>0</v>
      </c>
      <c r="KV69" s="709" t="s">
        <v>114</v>
      </c>
      <c r="KW69" s="709"/>
      <c r="KX69" s="709"/>
      <c r="KY69" s="709"/>
      <c r="KZ69" s="709"/>
      <c r="LA69" s="709"/>
      <c r="LB69" s="13">
        <v>9</v>
      </c>
      <c r="LC69" s="19"/>
      <c r="LD69" s="23"/>
      <c r="LE69" s="23"/>
      <c r="LF69" s="30">
        <f t="shared" si="52"/>
        <v>0</v>
      </c>
      <c r="LG69" s="28">
        <f t="shared" si="53"/>
        <v>0</v>
      </c>
      <c r="LI69" s="709" t="s">
        <v>114</v>
      </c>
      <c r="LJ69" s="709"/>
      <c r="LK69" s="709"/>
      <c r="LL69" s="709"/>
      <c r="LM69" s="709"/>
      <c r="LN69" s="709"/>
      <c r="LO69" s="13">
        <v>9</v>
      </c>
      <c r="LP69" s="19"/>
      <c r="LQ69" s="23"/>
      <c r="LR69" s="23"/>
      <c r="LS69" s="23"/>
      <c r="LT69" s="23"/>
      <c r="LU69" s="23"/>
      <c r="LV69" s="23"/>
      <c r="LW69" s="23"/>
      <c r="LX69" s="23"/>
      <c r="LY69" s="23"/>
      <c r="LZ69" s="23"/>
      <c r="MA69" s="23"/>
      <c r="MB69" s="23"/>
      <c r="MC69" s="23"/>
      <c r="MD69" s="23"/>
      <c r="ME69" s="30">
        <f t="shared" si="35"/>
        <v>0</v>
      </c>
      <c r="MF69" s="28">
        <f t="shared" si="8"/>
        <v>0</v>
      </c>
      <c r="MH69" s="709" t="s">
        <v>114</v>
      </c>
      <c r="MI69" s="709"/>
      <c r="MJ69" s="709"/>
      <c r="MK69" s="709"/>
      <c r="ML69" s="709"/>
      <c r="MM69" s="709"/>
      <c r="MN69" s="13">
        <v>9</v>
      </c>
      <c r="MO69" s="19"/>
      <c r="MP69" s="23"/>
      <c r="MQ69" s="23"/>
      <c r="MR69" s="23"/>
      <c r="MS69" s="23"/>
      <c r="MT69" s="23"/>
      <c r="MU69" s="23"/>
      <c r="MV69" s="23"/>
      <c r="MW69" s="23"/>
      <c r="MX69" s="23"/>
      <c r="MY69" s="23"/>
      <c r="MZ69" s="23"/>
      <c r="NA69" s="23"/>
      <c r="NB69" s="23"/>
      <c r="NC69" s="23"/>
      <c r="ND69" s="30">
        <f t="shared" si="36"/>
        <v>0</v>
      </c>
      <c r="NE69" s="28">
        <f t="shared" si="37"/>
        <v>0</v>
      </c>
      <c r="NG69" s="709" t="s">
        <v>114</v>
      </c>
      <c r="NH69" s="709"/>
      <c r="NI69" s="709"/>
      <c r="NJ69" s="709"/>
      <c r="NK69" s="709"/>
      <c r="NL69" s="709"/>
      <c r="NM69" s="13">
        <v>9</v>
      </c>
      <c r="NN69" s="23"/>
      <c r="NO69" s="23"/>
      <c r="NP69" s="23"/>
      <c r="NQ69" s="23"/>
      <c r="NR69" s="23"/>
      <c r="NS69" s="23"/>
      <c r="NT69" s="23"/>
      <c r="NU69" s="23"/>
      <c r="NV69" s="23"/>
      <c r="NW69" s="23"/>
      <c r="NX69" s="23"/>
      <c r="NY69" s="23"/>
      <c r="NZ69" s="23"/>
      <c r="OA69" s="23"/>
      <c r="OB69" s="23"/>
      <c r="OC69" s="30">
        <f t="shared" si="38"/>
        <v>0</v>
      </c>
      <c r="OD69" s="28">
        <f t="shared" si="39"/>
        <v>0</v>
      </c>
    </row>
    <row r="70" spans="1:394" ht="14.45" customHeight="1" x14ac:dyDescent="0.25">
      <c r="A70" s="47"/>
      <c r="B70" s="12"/>
      <c r="C70" s="709" t="s">
        <v>47</v>
      </c>
      <c r="D70" s="709"/>
      <c r="E70" s="709"/>
      <c r="F70" s="709"/>
      <c r="G70" s="709"/>
      <c r="H70" s="709"/>
      <c r="I70" s="13"/>
      <c r="J70" s="13"/>
      <c r="K70" s="20"/>
      <c r="L70" s="19"/>
      <c r="M70" s="19">
        <f t="shared" si="40"/>
        <v>0</v>
      </c>
      <c r="N70" s="19">
        <f t="shared" si="9"/>
        <v>0</v>
      </c>
      <c r="O70" s="12"/>
      <c r="P70" s="709" t="s">
        <v>47</v>
      </c>
      <c r="Q70" s="709"/>
      <c r="R70" s="709"/>
      <c r="S70" s="709"/>
      <c r="T70" s="709"/>
      <c r="U70" s="709"/>
      <c r="V70" s="13"/>
      <c r="W70" s="20"/>
      <c r="X70" s="19"/>
      <c r="Y70" s="23">
        <f t="shared" si="10"/>
        <v>0</v>
      </c>
      <c r="Z70" s="19">
        <f t="shared" si="11"/>
        <v>0</v>
      </c>
      <c r="AA70" s="34"/>
      <c r="AB70" s="34"/>
      <c r="AC70" s="34"/>
      <c r="AD70" s="34"/>
      <c r="AE70" s="34"/>
      <c r="AF70" s="34"/>
      <c r="AG70" s="6"/>
      <c r="AH70" s="709" t="s">
        <v>47</v>
      </c>
      <c r="AI70" s="709"/>
      <c r="AJ70" s="709"/>
      <c r="AK70" s="709"/>
      <c r="AL70" s="709"/>
      <c r="AM70" s="709"/>
      <c r="AN70" s="13"/>
      <c r="AO70" s="20"/>
      <c r="AP70" s="23">
        <f t="shared" si="12"/>
        <v>0</v>
      </c>
      <c r="AQ70" s="19">
        <f t="shared" si="13"/>
        <v>0</v>
      </c>
      <c r="AS70" s="677" t="s">
        <v>47</v>
      </c>
      <c r="AT70" s="677"/>
      <c r="AU70" s="677"/>
      <c r="AV70" s="677"/>
      <c r="AW70" s="677"/>
      <c r="AX70" s="677"/>
      <c r="AY70" s="28"/>
      <c r="AZ70" s="29"/>
      <c r="BA70" s="29"/>
      <c r="BB70" s="29"/>
      <c r="BC70" s="29"/>
      <c r="BD70" s="30">
        <f t="shared" si="14"/>
        <v>0</v>
      </c>
      <c r="BE70" s="28">
        <f t="shared" si="15"/>
        <v>0</v>
      </c>
      <c r="BF70" s="25"/>
      <c r="BG70" s="677" t="s">
        <v>47</v>
      </c>
      <c r="BH70" s="677"/>
      <c r="BI70" s="677"/>
      <c r="BJ70" s="677"/>
      <c r="BK70" s="677"/>
      <c r="BL70" s="677"/>
      <c r="BM70" s="28"/>
      <c r="BN70" s="29"/>
      <c r="BO70" s="29"/>
      <c r="BP70" s="30">
        <f t="shared" si="16"/>
        <v>0</v>
      </c>
      <c r="BQ70" s="28">
        <f t="shared" si="17"/>
        <v>0</v>
      </c>
      <c r="BR70" s="25"/>
      <c r="BS70" s="677" t="s">
        <v>47</v>
      </c>
      <c r="BT70" s="677"/>
      <c r="BU70" s="677"/>
      <c r="BV70" s="677"/>
      <c r="BW70" s="677"/>
      <c r="BX70" s="677"/>
      <c r="BY70" s="28"/>
      <c r="BZ70" s="29"/>
      <c r="CA70" s="29"/>
      <c r="CB70" s="29"/>
      <c r="CC70" s="29"/>
      <c r="CD70" s="29"/>
      <c r="CE70" s="29"/>
      <c r="CF70" s="29"/>
      <c r="CG70" s="29"/>
      <c r="CH70" s="29"/>
      <c r="CI70" s="30">
        <f t="shared" si="18"/>
        <v>0</v>
      </c>
      <c r="CJ70" s="28">
        <f t="shared" si="19"/>
        <v>0</v>
      </c>
      <c r="CK70" s="25"/>
      <c r="CL70" s="677" t="s">
        <v>47</v>
      </c>
      <c r="CM70" s="677"/>
      <c r="CN70" s="677"/>
      <c r="CO70" s="677"/>
      <c r="CP70" s="677"/>
      <c r="CQ70" s="677"/>
      <c r="CR70" s="28"/>
      <c r="CS70" s="29"/>
      <c r="CT70" s="29"/>
      <c r="CU70" s="29"/>
      <c r="CV70" s="29"/>
      <c r="CW70" s="29"/>
      <c r="CX70" s="29"/>
      <c r="CY70" s="29"/>
      <c r="CZ70" s="29"/>
      <c r="DA70" s="30">
        <f t="shared" si="20"/>
        <v>0</v>
      </c>
      <c r="DB70" s="28">
        <f t="shared" si="21"/>
        <v>0</v>
      </c>
      <c r="DC70" s="25"/>
      <c r="DD70" s="677" t="s">
        <v>47</v>
      </c>
      <c r="DE70" s="677"/>
      <c r="DF70" s="677"/>
      <c r="DG70" s="677"/>
      <c r="DH70" s="677"/>
      <c r="DI70" s="677"/>
      <c r="DJ70" s="28"/>
      <c r="DK70" s="29"/>
      <c r="DL70" s="29"/>
      <c r="DM70" s="29"/>
      <c r="DN70" s="29"/>
      <c r="DO70" s="29"/>
      <c r="DP70" s="29"/>
      <c r="DQ70" s="29"/>
      <c r="DR70" s="29"/>
      <c r="DS70" s="29"/>
      <c r="DT70" s="29"/>
      <c r="DU70" s="30">
        <f t="shared" si="22"/>
        <v>0</v>
      </c>
      <c r="DV70" s="28">
        <f t="shared" si="23"/>
        <v>0</v>
      </c>
      <c r="DX70" s="677" t="s">
        <v>47</v>
      </c>
      <c r="DY70" s="677"/>
      <c r="DZ70" s="677"/>
      <c r="EA70" s="677"/>
      <c r="EB70" s="677"/>
      <c r="EC70" s="677"/>
      <c r="ED70" s="28"/>
      <c r="EE70" s="29"/>
      <c r="EF70" s="29"/>
      <c r="EG70" s="29"/>
      <c r="EH70" s="29"/>
      <c r="EI70" s="29"/>
      <c r="EJ70" s="29"/>
      <c r="EK70" s="29"/>
      <c r="EL70" s="29"/>
      <c r="EM70" s="92"/>
      <c r="EN70" s="92"/>
      <c r="EO70" s="30">
        <f t="shared" si="24"/>
        <v>0</v>
      </c>
      <c r="EP70" s="28">
        <f t="shared" si="25"/>
        <v>0</v>
      </c>
      <c r="EQ70" t="str">
        <f t="shared" si="26"/>
        <v>IGUAL</v>
      </c>
      <c r="ER70" s="677" t="s">
        <v>47</v>
      </c>
      <c r="ES70" s="677"/>
      <c r="ET70" s="677"/>
      <c r="EU70" s="677"/>
      <c r="EV70" s="677"/>
      <c r="EW70" s="677"/>
      <c r="EX70" s="28"/>
      <c r="EY70" s="29"/>
      <c r="EZ70" s="29"/>
      <c r="FA70" s="29"/>
      <c r="FB70" s="29"/>
      <c r="FC70" s="29"/>
      <c r="FD70" s="29"/>
      <c r="FE70" s="29"/>
      <c r="FF70" s="29"/>
      <c r="FG70" s="29"/>
      <c r="FH70" s="29"/>
      <c r="FI70" s="92"/>
      <c r="FJ70" s="92"/>
      <c r="FK70" s="92"/>
      <c r="FL70" s="92"/>
      <c r="FM70" s="92"/>
      <c r="FN70" s="92"/>
      <c r="FO70" s="92"/>
      <c r="FP70" s="92"/>
      <c r="FQ70" s="92"/>
      <c r="FR70" s="92"/>
      <c r="FS70" s="92"/>
      <c r="FT70" s="30">
        <f t="shared" si="27"/>
        <v>0</v>
      </c>
      <c r="FU70" s="28">
        <f t="shared" si="28"/>
        <v>0</v>
      </c>
      <c r="FW70" s="677" t="s">
        <v>47</v>
      </c>
      <c r="FX70" s="677"/>
      <c r="FY70" s="677"/>
      <c r="FZ70" s="677"/>
      <c r="GA70" s="677"/>
      <c r="GB70" s="677"/>
      <c r="GC70" s="28"/>
      <c r="GD70" s="92"/>
      <c r="GE70" s="29"/>
      <c r="GF70" s="29"/>
      <c r="GG70" s="29"/>
      <c r="GH70" s="29"/>
      <c r="GI70" s="29"/>
      <c r="GJ70" s="29"/>
      <c r="GK70" s="29"/>
      <c r="GL70" s="29"/>
      <c r="GM70" s="29"/>
      <c r="GN70" s="92"/>
      <c r="GO70" s="92"/>
      <c r="GP70" s="92"/>
      <c r="GQ70" s="30">
        <f t="shared" si="29"/>
        <v>0</v>
      </c>
      <c r="GR70" s="28">
        <f t="shared" si="30"/>
        <v>0</v>
      </c>
      <c r="GT70" s="677" t="s">
        <v>47</v>
      </c>
      <c r="GU70" s="677"/>
      <c r="GV70" s="677"/>
      <c r="GW70" s="677"/>
      <c r="GX70" s="677"/>
      <c r="GY70" s="677"/>
      <c r="GZ70" s="28"/>
      <c r="HA70" s="29"/>
      <c r="HB70" s="29"/>
      <c r="HC70" s="29"/>
      <c r="HD70" s="29"/>
      <c r="HE70" s="29"/>
      <c r="HF70" s="29"/>
      <c r="HG70" s="29"/>
      <c r="HH70" s="29"/>
      <c r="HI70" s="29"/>
      <c r="HJ70" s="92"/>
      <c r="HK70" s="92"/>
      <c r="HL70" s="30">
        <f t="shared" si="43"/>
        <v>0</v>
      </c>
      <c r="HM70" s="28">
        <f t="shared" si="32"/>
        <v>0</v>
      </c>
      <c r="HO70" s="677" t="s">
        <v>47</v>
      </c>
      <c r="HP70" s="677"/>
      <c r="HQ70" s="677"/>
      <c r="HR70" s="677"/>
      <c r="HS70" s="677"/>
      <c r="HT70" s="677"/>
      <c r="HU70" s="28"/>
      <c r="HV70" s="29"/>
      <c r="HW70" s="30">
        <f t="shared" si="44"/>
        <v>0</v>
      </c>
      <c r="HX70" s="28">
        <f t="shared" si="45"/>
        <v>0</v>
      </c>
      <c r="HZ70" s="677" t="s">
        <v>47</v>
      </c>
      <c r="IA70" s="677"/>
      <c r="IB70" s="677"/>
      <c r="IC70" s="677"/>
      <c r="ID70" s="677"/>
      <c r="IE70" s="677"/>
      <c r="IF70" s="28">
        <v>11.5</v>
      </c>
      <c r="IG70" s="29"/>
      <c r="IH70" s="92"/>
      <c r="II70" s="23"/>
      <c r="IJ70" s="30">
        <v>3</v>
      </c>
      <c r="IK70" s="30"/>
      <c r="IL70" s="30"/>
      <c r="IM70" s="30">
        <f t="shared" si="41"/>
        <v>3</v>
      </c>
      <c r="IN70" s="28">
        <f t="shared" si="46"/>
        <v>34.5</v>
      </c>
      <c r="IP70" s="677" t="s">
        <v>47</v>
      </c>
      <c r="IQ70" s="677"/>
      <c r="IR70" s="677"/>
      <c r="IS70" s="677"/>
      <c r="IT70" s="677"/>
      <c r="IU70" s="677"/>
      <c r="IV70" s="28">
        <v>11.5</v>
      </c>
      <c r="IW70" s="29"/>
      <c r="IX70" s="92"/>
      <c r="IY70" s="30">
        <f t="shared" si="47"/>
        <v>0</v>
      </c>
      <c r="IZ70" s="28">
        <f t="shared" si="48"/>
        <v>0</v>
      </c>
      <c r="JB70" s="677" t="s">
        <v>47</v>
      </c>
      <c r="JC70" s="677"/>
      <c r="JD70" s="677"/>
      <c r="JE70" s="677"/>
      <c r="JF70" s="677"/>
      <c r="JG70" s="677"/>
      <c r="JH70" s="28">
        <v>11.5</v>
      </c>
      <c r="JI70" s="29"/>
      <c r="JJ70" s="92"/>
      <c r="JK70" s="92"/>
      <c r="JL70" s="92"/>
      <c r="JM70" s="92"/>
      <c r="JN70" s="92"/>
      <c r="JO70" s="92"/>
      <c r="JP70" s="92"/>
      <c r="JQ70" s="92"/>
      <c r="JR70" s="92"/>
      <c r="JS70" s="92"/>
      <c r="JT70" s="92"/>
      <c r="JU70" s="92"/>
      <c r="JV70" s="92"/>
      <c r="JW70" s="92"/>
      <c r="JX70" s="92"/>
      <c r="JY70" s="92"/>
      <c r="JZ70" s="92"/>
      <c r="KA70" s="92"/>
      <c r="KB70" s="92"/>
      <c r="KC70" s="92"/>
      <c r="KD70" s="92"/>
      <c r="KE70" s="30">
        <f t="shared" si="34"/>
        <v>0</v>
      </c>
      <c r="KF70" s="28">
        <f t="shared" si="49"/>
        <v>0</v>
      </c>
      <c r="KH70" s="677" t="s">
        <v>47</v>
      </c>
      <c r="KI70" s="677"/>
      <c r="KJ70" s="677"/>
      <c r="KK70" s="677"/>
      <c r="KL70" s="677"/>
      <c r="KM70" s="677"/>
      <c r="KN70" s="28">
        <v>11.5</v>
      </c>
      <c r="KO70" s="29"/>
      <c r="KP70" s="92"/>
      <c r="KQ70" s="92"/>
      <c r="KR70" s="92"/>
      <c r="KS70" s="30">
        <f t="shared" si="50"/>
        <v>0</v>
      </c>
      <c r="KT70" s="28">
        <f t="shared" si="51"/>
        <v>0</v>
      </c>
      <c r="KV70" s="677" t="s">
        <v>47</v>
      </c>
      <c r="KW70" s="677"/>
      <c r="KX70" s="677"/>
      <c r="KY70" s="677"/>
      <c r="KZ70" s="677"/>
      <c r="LA70" s="677"/>
      <c r="LB70" s="28">
        <v>17</v>
      </c>
      <c r="LC70" s="29"/>
      <c r="LD70" s="92"/>
      <c r="LE70" s="92"/>
      <c r="LF70" s="30">
        <f t="shared" si="52"/>
        <v>0</v>
      </c>
      <c r="LG70" s="28">
        <f t="shared" si="53"/>
        <v>0</v>
      </c>
      <c r="LI70" s="677" t="s">
        <v>47</v>
      </c>
      <c r="LJ70" s="677"/>
      <c r="LK70" s="677"/>
      <c r="LL70" s="677"/>
      <c r="LM70" s="677"/>
      <c r="LN70" s="677"/>
      <c r="LO70" s="28">
        <v>17</v>
      </c>
      <c r="LP70" s="29"/>
      <c r="LQ70" s="92"/>
      <c r="LR70" s="92"/>
      <c r="LS70" s="92"/>
      <c r="LT70" s="92"/>
      <c r="LU70" s="92"/>
      <c r="LV70" s="92"/>
      <c r="LW70" s="92"/>
      <c r="LX70" s="92"/>
      <c r="LY70" s="92"/>
      <c r="LZ70" s="92"/>
      <c r="MA70" s="92"/>
      <c r="MB70" s="92"/>
      <c r="MC70" s="92"/>
      <c r="MD70" s="92"/>
      <c r="ME70" s="30">
        <f t="shared" si="35"/>
        <v>0</v>
      </c>
      <c r="MF70" s="28">
        <f t="shared" si="8"/>
        <v>0</v>
      </c>
      <c r="MH70" s="677" t="s">
        <v>47</v>
      </c>
      <c r="MI70" s="677"/>
      <c r="MJ70" s="677"/>
      <c r="MK70" s="677"/>
      <c r="ML70" s="677"/>
      <c r="MM70" s="677"/>
      <c r="MN70" s="28">
        <v>17</v>
      </c>
      <c r="MO70" s="29"/>
      <c r="MP70" s="92"/>
      <c r="MQ70" s="92"/>
      <c r="MR70" s="92"/>
      <c r="MS70" s="92"/>
      <c r="MT70" s="92"/>
      <c r="MU70" s="92"/>
      <c r="MV70" s="92"/>
      <c r="MW70" s="92"/>
      <c r="MX70" s="92"/>
      <c r="MY70" s="92"/>
      <c r="MZ70" s="92"/>
      <c r="NA70" s="92"/>
      <c r="NB70" s="92"/>
      <c r="NC70" s="92"/>
      <c r="ND70" s="30">
        <f t="shared" si="36"/>
        <v>0</v>
      </c>
      <c r="NE70" s="28">
        <f t="shared" si="37"/>
        <v>0</v>
      </c>
      <c r="NG70" s="677" t="s">
        <v>47</v>
      </c>
      <c r="NH70" s="677"/>
      <c r="NI70" s="677"/>
      <c r="NJ70" s="677"/>
      <c r="NK70" s="677"/>
      <c r="NL70" s="677"/>
      <c r="NM70" s="28">
        <v>17</v>
      </c>
      <c r="NN70" s="92"/>
      <c r="NO70" s="92"/>
      <c r="NP70" s="92"/>
      <c r="NQ70" s="92"/>
      <c r="NR70" s="92"/>
      <c r="NS70" s="92"/>
      <c r="NT70" s="92"/>
      <c r="NU70" s="92"/>
      <c r="NV70" s="92"/>
      <c r="NW70" s="92"/>
      <c r="NX70" s="92"/>
      <c r="NY70" s="92"/>
      <c r="NZ70" s="92"/>
      <c r="OA70" s="92"/>
      <c r="OB70" s="92"/>
      <c r="OC70" s="30">
        <f t="shared" si="38"/>
        <v>0</v>
      </c>
      <c r="OD70" s="28">
        <f t="shared" si="39"/>
        <v>0</v>
      </c>
    </row>
    <row r="71" spans="1:394" ht="14.45" customHeight="1" x14ac:dyDescent="0.25">
      <c r="A71" s="47"/>
      <c r="B71" s="12"/>
      <c r="C71" s="709" t="s">
        <v>58</v>
      </c>
      <c r="D71" s="709"/>
      <c r="E71" s="709"/>
      <c r="F71" s="709"/>
      <c r="G71" s="709"/>
      <c r="H71" s="13"/>
      <c r="I71" s="13"/>
      <c r="J71" s="13"/>
      <c r="K71" s="20"/>
      <c r="L71" s="19"/>
      <c r="M71" s="19">
        <f t="shared" si="40"/>
        <v>0</v>
      </c>
      <c r="N71" s="19">
        <f t="shared" si="9"/>
        <v>0</v>
      </c>
      <c r="O71" s="12"/>
      <c r="P71" s="709" t="s">
        <v>58</v>
      </c>
      <c r="Q71" s="709"/>
      <c r="R71" s="709"/>
      <c r="S71" s="709"/>
      <c r="T71" s="709"/>
      <c r="U71" s="13"/>
      <c r="V71" s="13"/>
      <c r="W71" s="20"/>
      <c r="X71" s="19"/>
      <c r="Y71" s="23">
        <f t="shared" si="10"/>
        <v>0</v>
      </c>
      <c r="Z71" s="19">
        <f t="shared" si="11"/>
        <v>0</v>
      </c>
      <c r="AA71" s="34"/>
      <c r="AB71" s="34"/>
      <c r="AC71" s="34"/>
      <c r="AD71" s="34"/>
      <c r="AE71" s="34"/>
      <c r="AF71" s="34"/>
      <c r="AG71" s="6"/>
      <c r="AH71" s="709" t="s">
        <v>58</v>
      </c>
      <c r="AI71" s="709"/>
      <c r="AJ71" s="709"/>
      <c r="AK71" s="709"/>
      <c r="AL71" s="709"/>
      <c r="AM71" s="13"/>
      <c r="AN71" s="13"/>
      <c r="AO71" s="20"/>
      <c r="AP71" s="23">
        <f t="shared" si="12"/>
        <v>0</v>
      </c>
      <c r="AQ71" s="19">
        <f t="shared" si="13"/>
        <v>0</v>
      </c>
      <c r="AS71" s="710" t="s">
        <v>58</v>
      </c>
      <c r="AT71" s="711"/>
      <c r="AU71" s="711"/>
      <c r="AV71" s="711"/>
      <c r="AW71" s="711"/>
      <c r="AX71" s="712"/>
      <c r="AY71" s="13"/>
      <c r="AZ71" s="20"/>
      <c r="BA71" s="20"/>
      <c r="BB71" s="20"/>
      <c r="BC71" s="20"/>
      <c r="BD71" s="30">
        <f t="shared" si="14"/>
        <v>0</v>
      </c>
      <c r="BE71" s="28">
        <f t="shared" si="15"/>
        <v>0</v>
      </c>
      <c r="BF71" s="25"/>
      <c r="BG71" s="710" t="s">
        <v>58</v>
      </c>
      <c r="BH71" s="711"/>
      <c r="BI71" s="711"/>
      <c r="BJ71" s="711"/>
      <c r="BK71" s="711"/>
      <c r="BL71" s="712"/>
      <c r="BM71" s="13"/>
      <c r="BN71" s="20"/>
      <c r="BO71" s="20"/>
      <c r="BP71" s="30">
        <f t="shared" si="16"/>
        <v>0</v>
      </c>
      <c r="BQ71" s="28">
        <f t="shared" si="17"/>
        <v>0</v>
      </c>
      <c r="BR71" s="25"/>
      <c r="BS71" s="710" t="s">
        <v>58</v>
      </c>
      <c r="BT71" s="711"/>
      <c r="BU71" s="711"/>
      <c r="BV71" s="711"/>
      <c r="BW71" s="711"/>
      <c r="BX71" s="712"/>
      <c r="BY71" s="13"/>
      <c r="BZ71" s="20"/>
      <c r="CA71" s="20"/>
      <c r="CB71" s="20"/>
      <c r="CC71" s="20"/>
      <c r="CD71" s="20"/>
      <c r="CE71" s="20"/>
      <c r="CF71" s="20"/>
      <c r="CG71" s="20"/>
      <c r="CH71" s="20"/>
      <c r="CI71" s="30">
        <f t="shared" si="18"/>
        <v>0</v>
      </c>
      <c r="CJ71" s="28">
        <f t="shared" si="19"/>
        <v>0</v>
      </c>
      <c r="CL71" s="710" t="s">
        <v>58</v>
      </c>
      <c r="CM71" s="711"/>
      <c r="CN71" s="711"/>
      <c r="CO71" s="711"/>
      <c r="CP71" s="711"/>
      <c r="CQ71" s="712"/>
      <c r="CR71" s="13">
        <v>15</v>
      </c>
      <c r="CS71" s="20"/>
      <c r="CT71" s="20"/>
      <c r="CU71" s="20"/>
      <c r="CV71" s="20"/>
      <c r="CW71" s="20"/>
      <c r="CX71" s="20"/>
      <c r="CY71" s="20"/>
      <c r="CZ71" s="32"/>
      <c r="DA71" s="30">
        <f t="shared" si="20"/>
        <v>0</v>
      </c>
      <c r="DB71" s="28">
        <f t="shared" si="21"/>
        <v>0</v>
      </c>
      <c r="DC71" s="33"/>
      <c r="DD71" s="710" t="s">
        <v>58</v>
      </c>
      <c r="DE71" s="711"/>
      <c r="DF71" s="711"/>
      <c r="DG71" s="711"/>
      <c r="DH71" s="711"/>
      <c r="DI71" s="712"/>
      <c r="DJ71" s="13">
        <v>15</v>
      </c>
      <c r="DK71" s="32">
        <v>11</v>
      </c>
      <c r="DL71" s="32"/>
      <c r="DM71" s="32"/>
      <c r="DN71" s="32"/>
      <c r="DO71" s="32"/>
      <c r="DP71" s="32"/>
      <c r="DQ71" s="32"/>
      <c r="DR71" s="32">
        <v>10</v>
      </c>
      <c r="DS71" s="32"/>
      <c r="DT71" s="32"/>
      <c r="DU71" s="30">
        <f t="shared" si="22"/>
        <v>21</v>
      </c>
      <c r="DV71" s="28">
        <f t="shared" si="23"/>
        <v>315</v>
      </c>
      <c r="DX71" s="710" t="s">
        <v>58</v>
      </c>
      <c r="DY71" s="711"/>
      <c r="DZ71" s="711"/>
      <c r="EA71" s="711"/>
      <c r="EB71" s="711"/>
      <c r="EC71" s="712"/>
      <c r="ED71" s="13">
        <v>15</v>
      </c>
      <c r="EE71" s="32"/>
      <c r="EF71" s="32"/>
      <c r="EG71" s="32"/>
      <c r="EH71" s="32"/>
      <c r="EI71" s="32"/>
      <c r="EJ71" s="32">
        <v>10</v>
      </c>
      <c r="EK71" s="32"/>
      <c r="EL71" s="32"/>
      <c r="EM71" s="93"/>
      <c r="EN71" s="93"/>
      <c r="EO71" s="30">
        <f t="shared" si="24"/>
        <v>10</v>
      </c>
      <c r="EP71" s="28">
        <f t="shared" si="25"/>
        <v>150</v>
      </c>
      <c r="EQ71" t="str">
        <f t="shared" si="26"/>
        <v>IGUAL</v>
      </c>
      <c r="ER71" s="710" t="s">
        <v>58</v>
      </c>
      <c r="ES71" s="711"/>
      <c r="ET71" s="711"/>
      <c r="EU71" s="711"/>
      <c r="EV71" s="711"/>
      <c r="EW71" s="712"/>
      <c r="EX71" s="13">
        <v>15</v>
      </c>
      <c r="EY71" s="32"/>
      <c r="EZ71" s="32"/>
      <c r="FA71" s="32"/>
      <c r="FB71" s="32">
        <v>15</v>
      </c>
      <c r="FC71" s="32"/>
      <c r="FD71" s="32"/>
      <c r="FE71" s="32"/>
      <c r="FF71" s="32"/>
      <c r="FG71" s="32"/>
      <c r="FH71" s="32"/>
      <c r="FI71" s="93"/>
      <c r="FJ71" s="93"/>
      <c r="FK71" s="93"/>
      <c r="FL71" s="93"/>
      <c r="FM71" s="93"/>
      <c r="FN71" s="93"/>
      <c r="FO71" s="93"/>
      <c r="FP71" s="93"/>
      <c r="FQ71" s="93"/>
      <c r="FR71" s="93"/>
      <c r="FS71" s="93"/>
      <c r="FT71" s="30">
        <f t="shared" si="27"/>
        <v>15</v>
      </c>
      <c r="FU71" s="28">
        <f t="shared" si="28"/>
        <v>225</v>
      </c>
      <c r="FW71" s="710" t="s">
        <v>58</v>
      </c>
      <c r="FX71" s="711"/>
      <c r="FY71" s="711"/>
      <c r="FZ71" s="711"/>
      <c r="GA71" s="711"/>
      <c r="GB71" s="712"/>
      <c r="GC71" s="13">
        <v>17</v>
      </c>
      <c r="GD71" s="93">
        <v>1</v>
      </c>
      <c r="GE71" s="32"/>
      <c r="GF71" s="32"/>
      <c r="GG71" s="32"/>
      <c r="GH71" s="32"/>
      <c r="GI71" s="32"/>
      <c r="GJ71" s="32"/>
      <c r="GK71" s="32"/>
      <c r="GL71" s="32"/>
      <c r="GM71" s="32"/>
      <c r="GN71" s="93"/>
      <c r="GO71" s="93"/>
      <c r="GP71" s="93"/>
      <c r="GQ71" s="30">
        <f t="shared" si="29"/>
        <v>1</v>
      </c>
      <c r="GR71" s="28">
        <f t="shared" si="30"/>
        <v>17</v>
      </c>
      <c r="GT71" s="710" t="s">
        <v>58</v>
      </c>
      <c r="GU71" s="711"/>
      <c r="GV71" s="711"/>
      <c r="GW71" s="711"/>
      <c r="GX71" s="711"/>
      <c r="GY71" s="712"/>
      <c r="GZ71" s="13">
        <v>17</v>
      </c>
      <c r="HA71" s="32"/>
      <c r="HB71" s="32"/>
      <c r="HC71" s="32"/>
      <c r="HD71" s="32"/>
      <c r="HE71" s="32"/>
      <c r="HF71" s="32"/>
      <c r="HG71" s="32"/>
      <c r="HH71" s="32"/>
      <c r="HI71" s="32"/>
      <c r="HJ71" s="93"/>
      <c r="HK71" s="93"/>
      <c r="HL71" s="30">
        <f t="shared" si="43"/>
        <v>0</v>
      </c>
      <c r="HM71" s="28">
        <f t="shared" si="32"/>
        <v>0</v>
      </c>
      <c r="HO71" s="710" t="s">
        <v>58</v>
      </c>
      <c r="HP71" s="711"/>
      <c r="HQ71" s="711"/>
      <c r="HR71" s="711"/>
      <c r="HS71" s="711"/>
      <c r="HT71" s="712"/>
      <c r="HU71" s="13">
        <v>17</v>
      </c>
      <c r="HV71" s="32"/>
      <c r="HW71" s="30">
        <f t="shared" si="44"/>
        <v>0</v>
      </c>
      <c r="HX71" s="28">
        <f t="shared" si="45"/>
        <v>0</v>
      </c>
      <c r="HZ71" s="710" t="s">
        <v>58</v>
      </c>
      <c r="IA71" s="711"/>
      <c r="IB71" s="711"/>
      <c r="IC71" s="711"/>
      <c r="ID71" s="711"/>
      <c r="IE71" s="712"/>
      <c r="IF71" s="13">
        <v>16.5</v>
      </c>
      <c r="IG71" s="32"/>
      <c r="IH71" s="93"/>
      <c r="II71" s="93"/>
      <c r="IJ71" s="23"/>
      <c r="IK71" s="23"/>
      <c r="IL71" s="23"/>
      <c r="IM71" s="30">
        <f t="shared" si="41"/>
        <v>0</v>
      </c>
      <c r="IN71" s="28">
        <f t="shared" si="46"/>
        <v>0</v>
      </c>
      <c r="IP71" s="710" t="s">
        <v>58</v>
      </c>
      <c r="IQ71" s="711"/>
      <c r="IR71" s="711"/>
      <c r="IS71" s="711"/>
      <c r="IT71" s="711"/>
      <c r="IU71" s="712"/>
      <c r="IV71" s="13">
        <v>16.5</v>
      </c>
      <c r="IW71" s="32"/>
      <c r="IX71" s="93">
        <v>35</v>
      </c>
      <c r="IY71" s="30">
        <f t="shared" si="47"/>
        <v>35</v>
      </c>
      <c r="IZ71" s="28">
        <f t="shared" si="48"/>
        <v>577.5</v>
      </c>
      <c r="JB71" s="710" t="s">
        <v>58</v>
      </c>
      <c r="JC71" s="711"/>
      <c r="JD71" s="711"/>
      <c r="JE71" s="711"/>
      <c r="JF71" s="711"/>
      <c r="JG71" s="712"/>
      <c r="JH71" s="13">
        <v>17</v>
      </c>
      <c r="JI71" s="32"/>
      <c r="JJ71" s="93"/>
      <c r="JK71" s="93"/>
      <c r="JL71" s="93"/>
      <c r="JM71" s="93"/>
      <c r="JN71" s="93"/>
      <c r="JO71" s="93"/>
      <c r="JP71" s="93"/>
      <c r="JQ71" s="93"/>
      <c r="JR71" s="93"/>
      <c r="JS71" s="93"/>
      <c r="JT71" s="93"/>
      <c r="JU71" s="93"/>
      <c r="JV71" s="93"/>
      <c r="JW71" s="93"/>
      <c r="JX71" s="93"/>
      <c r="JY71" s="93"/>
      <c r="JZ71" s="93"/>
      <c r="KA71" s="93"/>
      <c r="KB71" s="93"/>
      <c r="KC71" s="93"/>
      <c r="KD71" s="93"/>
      <c r="KE71" s="30">
        <f t="shared" si="34"/>
        <v>0</v>
      </c>
      <c r="KF71" s="28">
        <f t="shared" si="49"/>
        <v>0</v>
      </c>
      <c r="KH71" s="710" t="s">
        <v>58</v>
      </c>
      <c r="KI71" s="711"/>
      <c r="KJ71" s="711"/>
      <c r="KK71" s="711"/>
      <c r="KL71" s="711"/>
      <c r="KM71" s="712"/>
      <c r="KN71" s="13">
        <v>17</v>
      </c>
      <c r="KO71" s="32"/>
      <c r="KP71" s="93"/>
      <c r="KQ71" s="93"/>
      <c r="KR71" s="93"/>
      <c r="KS71" s="30">
        <f t="shared" si="50"/>
        <v>0</v>
      </c>
      <c r="KT71" s="28">
        <f t="shared" si="51"/>
        <v>0</v>
      </c>
      <c r="KV71" s="710" t="s">
        <v>58</v>
      </c>
      <c r="KW71" s="711"/>
      <c r="KX71" s="711"/>
      <c r="KY71" s="711"/>
      <c r="KZ71" s="711"/>
      <c r="LA71" s="712"/>
      <c r="LB71" s="13">
        <v>17</v>
      </c>
      <c r="LC71" s="32"/>
      <c r="LD71" s="93"/>
      <c r="LE71" s="93"/>
      <c r="LF71" s="30">
        <f t="shared" si="52"/>
        <v>0</v>
      </c>
      <c r="LG71" s="28">
        <f t="shared" si="53"/>
        <v>0</v>
      </c>
      <c r="LI71" s="710" t="s">
        <v>58</v>
      </c>
      <c r="LJ71" s="711"/>
      <c r="LK71" s="711"/>
      <c r="LL71" s="711"/>
      <c r="LM71" s="711"/>
      <c r="LN71" s="712"/>
      <c r="LO71" s="13">
        <v>17</v>
      </c>
      <c r="LP71" s="32"/>
      <c r="LQ71" s="93"/>
      <c r="LR71" s="93"/>
      <c r="LS71" s="93"/>
      <c r="LT71" s="93"/>
      <c r="LU71" s="93"/>
      <c r="LV71" s="93"/>
      <c r="LW71" s="93"/>
      <c r="LX71" s="93"/>
      <c r="LY71" s="93"/>
      <c r="LZ71" s="93"/>
      <c r="MA71" s="93"/>
      <c r="MB71" s="93"/>
      <c r="MC71" s="93"/>
      <c r="MD71" s="93"/>
      <c r="ME71" s="30">
        <f t="shared" si="35"/>
        <v>0</v>
      </c>
      <c r="MF71" s="28">
        <f t="shared" si="8"/>
        <v>0</v>
      </c>
      <c r="MH71" s="710" t="s">
        <v>58</v>
      </c>
      <c r="MI71" s="711"/>
      <c r="MJ71" s="711"/>
      <c r="MK71" s="711"/>
      <c r="ML71" s="711"/>
      <c r="MM71" s="712"/>
      <c r="MN71" s="13">
        <v>17</v>
      </c>
      <c r="MO71" s="32"/>
      <c r="MP71" s="93"/>
      <c r="MQ71" s="93"/>
      <c r="MR71" s="93"/>
      <c r="MS71" s="93"/>
      <c r="MT71" s="93"/>
      <c r="MU71" s="93"/>
      <c r="MV71" s="93"/>
      <c r="MW71" s="93"/>
      <c r="MX71" s="93"/>
      <c r="MY71" s="93"/>
      <c r="MZ71" s="93"/>
      <c r="NA71" s="93"/>
      <c r="NB71" s="93"/>
      <c r="NC71" s="93"/>
      <c r="ND71" s="30">
        <f t="shared" si="36"/>
        <v>0</v>
      </c>
      <c r="NE71" s="28">
        <f t="shared" si="37"/>
        <v>0</v>
      </c>
      <c r="NG71" s="710" t="s">
        <v>58</v>
      </c>
      <c r="NH71" s="711"/>
      <c r="NI71" s="711"/>
      <c r="NJ71" s="711"/>
      <c r="NK71" s="711"/>
      <c r="NL71" s="712"/>
      <c r="NM71" s="13">
        <v>18</v>
      </c>
      <c r="NN71" s="93">
        <v>2</v>
      </c>
      <c r="NO71" s="93"/>
      <c r="NP71" s="93"/>
      <c r="NQ71" s="93"/>
      <c r="NR71" s="93"/>
      <c r="NS71" s="93"/>
      <c r="NT71" s="93">
        <v>8</v>
      </c>
      <c r="NU71" s="93"/>
      <c r="NV71" s="93"/>
      <c r="NW71" s="93"/>
      <c r="NX71" s="93"/>
      <c r="NY71" s="93"/>
      <c r="NZ71" s="93"/>
      <c r="OA71" s="93"/>
      <c r="OB71" s="93"/>
      <c r="OC71" s="30">
        <f t="shared" si="38"/>
        <v>10</v>
      </c>
      <c r="OD71" s="28">
        <f t="shared" si="39"/>
        <v>180</v>
      </c>
    </row>
    <row r="72" spans="1:394" ht="14.45" customHeight="1" x14ac:dyDescent="0.25">
      <c r="A72" s="47"/>
      <c r="B72" s="12"/>
      <c r="C72" s="12"/>
      <c r="D72" s="12"/>
      <c r="E72" s="12"/>
      <c r="F72" s="12"/>
      <c r="G72" s="12"/>
      <c r="H72" s="12"/>
      <c r="I72" s="12"/>
      <c r="J72" s="12"/>
      <c r="K72" s="99"/>
      <c r="L72" s="34"/>
      <c r="M72" s="34"/>
      <c r="N72" s="19"/>
      <c r="O72" s="12"/>
      <c r="P72" s="12"/>
      <c r="Q72" s="12"/>
      <c r="R72" s="12"/>
      <c r="S72" s="12"/>
      <c r="T72" s="12"/>
      <c r="U72" s="12"/>
      <c r="V72" s="12"/>
      <c r="W72" s="99"/>
      <c r="X72" s="34"/>
      <c r="Y72" s="34"/>
      <c r="Z72" s="19"/>
      <c r="AA72" s="34"/>
      <c r="AB72" s="34"/>
      <c r="AC72" s="34"/>
      <c r="AD72" s="34"/>
      <c r="AE72" s="34"/>
      <c r="AF72" s="34"/>
      <c r="AG72" s="6"/>
      <c r="AH72" s="12"/>
      <c r="AI72" s="12"/>
      <c r="AJ72" s="12"/>
      <c r="AK72" s="12"/>
      <c r="AL72" s="12"/>
      <c r="AM72" s="12"/>
      <c r="AN72" s="12"/>
      <c r="AO72" s="99"/>
      <c r="AP72" s="34"/>
      <c r="AQ72" s="19"/>
      <c r="AS72" s="12"/>
      <c r="AT72" s="12"/>
      <c r="AU72" s="12"/>
      <c r="AV72" s="12"/>
      <c r="AW72" s="12"/>
      <c r="AX72" s="12"/>
      <c r="AY72" s="12"/>
      <c r="AZ72" s="99"/>
      <c r="BA72" s="99"/>
      <c r="BB72" s="99"/>
      <c r="BC72" s="99"/>
      <c r="BD72" s="100"/>
      <c r="BE72" s="28"/>
      <c r="BF72" s="25"/>
      <c r="BG72" s="12"/>
      <c r="BH72" s="12"/>
      <c r="BI72" s="12"/>
      <c r="BJ72" s="12"/>
      <c r="BK72" s="12"/>
      <c r="BL72" s="12"/>
      <c r="BM72" s="12"/>
      <c r="BN72" s="99"/>
      <c r="BO72" s="99"/>
      <c r="BP72" s="100"/>
      <c r="BQ72" s="28"/>
      <c r="BR72" s="25"/>
      <c r="BS72" s="89"/>
      <c r="BT72" s="97"/>
      <c r="BU72" s="97"/>
      <c r="BV72" s="97"/>
      <c r="BW72" s="97"/>
      <c r="BX72" s="98"/>
      <c r="BY72" s="12"/>
      <c r="BZ72" s="99"/>
      <c r="CA72" s="99"/>
      <c r="CB72" s="99"/>
      <c r="CC72" s="99"/>
      <c r="CD72" s="99"/>
      <c r="CE72" s="99"/>
      <c r="CF72" s="99"/>
      <c r="CG72" s="99"/>
      <c r="CH72" s="99"/>
      <c r="CI72" s="100"/>
      <c r="CJ72" s="28"/>
      <c r="CL72" s="89"/>
      <c r="CM72" s="97"/>
      <c r="CN72" s="97"/>
      <c r="CO72" s="97"/>
      <c r="CP72" s="97"/>
      <c r="CQ72" s="98"/>
      <c r="CR72" s="12"/>
      <c r="CS72" s="99"/>
      <c r="CT72" s="99"/>
      <c r="CU72" s="99"/>
      <c r="CV72" s="99"/>
      <c r="CW72" s="99"/>
      <c r="CX72" s="99"/>
      <c r="CY72" s="99"/>
      <c r="CZ72" s="101"/>
      <c r="DA72" s="100"/>
      <c r="DB72" s="28"/>
      <c r="DC72" s="33"/>
      <c r="DD72" s="12"/>
      <c r="DE72" s="12"/>
      <c r="DF72" s="12"/>
      <c r="DG72" s="12"/>
      <c r="DH72" s="12"/>
      <c r="DI72" s="12"/>
      <c r="DJ72" s="12"/>
      <c r="DK72" s="101"/>
      <c r="DL72" s="101"/>
      <c r="DM72" s="101"/>
      <c r="DN72" s="101"/>
      <c r="DO72" s="101"/>
      <c r="DP72" s="101"/>
      <c r="DQ72" s="101"/>
      <c r="DR72" s="101"/>
      <c r="DS72" s="101"/>
      <c r="DT72" s="101"/>
      <c r="DU72" s="100"/>
      <c r="DV72" s="28"/>
      <c r="DX72" s="12"/>
      <c r="DY72" s="12"/>
      <c r="DZ72" s="12"/>
      <c r="EA72" s="12"/>
      <c r="EB72" s="12"/>
      <c r="EC72" s="12"/>
      <c r="ED72" s="12"/>
      <c r="EE72" s="101"/>
      <c r="EF72" s="101"/>
      <c r="EG72" s="101"/>
      <c r="EH72" s="101"/>
      <c r="EI72" s="101"/>
      <c r="EJ72" s="101"/>
      <c r="EK72" s="101"/>
      <c r="EL72" s="101"/>
      <c r="EM72" s="101"/>
      <c r="EN72" s="101"/>
      <c r="EO72" s="100"/>
      <c r="EP72" s="28"/>
      <c r="EQ72" t="str">
        <f t="shared" si="26"/>
        <v>DIFERENTE</v>
      </c>
      <c r="ER72" s="709" t="s">
        <v>117</v>
      </c>
      <c r="ES72" s="709"/>
      <c r="ET72" s="709"/>
      <c r="EU72" s="709"/>
      <c r="EV72" s="709"/>
      <c r="EW72" s="709"/>
      <c r="EX72" s="13">
        <v>18</v>
      </c>
      <c r="EY72" s="32"/>
      <c r="EZ72" s="32"/>
      <c r="FA72" s="32"/>
      <c r="FB72" s="32"/>
      <c r="FC72" s="32"/>
      <c r="FD72" s="32"/>
      <c r="FE72" s="32"/>
      <c r="FF72" s="32"/>
      <c r="FG72" s="32"/>
      <c r="FH72" s="32"/>
      <c r="FI72" s="93"/>
      <c r="FJ72" s="93"/>
      <c r="FK72" s="93"/>
      <c r="FL72" s="93"/>
      <c r="FM72" s="93"/>
      <c r="FN72" s="93"/>
      <c r="FO72" s="93"/>
      <c r="FP72" s="93"/>
      <c r="FQ72" s="93"/>
      <c r="FR72" s="93"/>
      <c r="FS72" s="93"/>
      <c r="FT72" s="30">
        <f t="shared" si="27"/>
        <v>0</v>
      </c>
      <c r="FU72" s="28">
        <f t="shared" si="28"/>
        <v>0</v>
      </c>
      <c r="FW72" s="709" t="s">
        <v>117</v>
      </c>
      <c r="FX72" s="709"/>
      <c r="FY72" s="709"/>
      <c r="FZ72" s="709"/>
      <c r="GA72" s="709"/>
      <c r="GB72" s="709"/>
      <c r="GC72" s="13">
        <v>18</v>
      </c>
      <c r="GD72" s="93"/>
      <c r="GE72" s="32"/>
      <c r="GF72" s="32"/>
      <c r="GG72" s="32"/>
      <c r="GH72" s="32"/>
      <c r="GI72" s="32"/>
      <c r="GJ72" s="32"/>
      <c r="GK72" s="32"/>
      <c r="GL72" s="32"/>
      <c r="GM72" s="32"/>
      <c r="GN72" s="93"/>
      <c r="GO72" s="93"/>
      <c r="GP72" s="93"/>
      <c r="GQ72" s="30">
        <f t="shared" si="29"/>
        <v>0</v>
      </c>
      <c r="GR72" s="28">
        <f t="shared" si="30"/>
        <v>0</v>
      </c>
      <c r="GT72" s="709" t="s">
        <v>117</v>
      </c>
      <c r="GU72" s="709"/>
      <c r="GV72" s="709"/>
      <c r="GW72" s="709"/>
      <c r="GX72" s="709"/>
      <c r="GY72" s="709"/>
      <c r="GZ72" s="13">
        <v>18</v>
      </c>
      <c r="HA72" s="32"/>
      <c r="HB72" s="32"/>
      <c r="HC72" s="32"/>
      <c r="HD72" s="32"/>
      <c r="HE72" s="32"/>
      <c r="HF72" s="32"/>
      <c r="HG72" s="32"/>
      <c r="HH72" s="32"/>
      <c r="HI72" s="32"/>
      <c r="HJ72" s="93"/>
      <c r="HK72" s="93"/>
      <c r="HL72" s="30">
        <f>SUM(HA72:HK72)</f>
        <v>0</v>
      </c>
      <c r="HM72" s="28">
        <f t="shared" si="32"/>
        <v>0</v>
      </c>
      <c r="HO72" s="709" t="s">
        <v>117</v>
      </c>
      <c r="HP72" s="709"/>
      <c r="HQ72" s="709"/>
      <c r="HR72" s="709"/>
      <c r="HS72" s="709"/>
      <c r="HT72" s="709"/>
      <c r="HU72" s="13">
        <v>18</v>
      </c>
      <c r="HV72" s="32"/>
      <c r="HW72" s="30">
        <f>SUM(HV72:HV72)</f>
        <v>0</v>
      </c>
      <c r="HX72" s="28">
        <f>HW72*HU72</f>
        <v>0</v>
      </c>
      <c r="HZ72" s="709" t="s">
        <v>117</v>
      </c>
      <c r="IA72" s="709"/>
      <c r="IB72" s="709"/>
      <c r="IC72" s="709"/>
      <c r="ID72" s="709"/>
      <c r="IE72" s="709"/>
      <c r="IF72" s="13">
        <v>18</v>
      </c>
      <c r="IG72" s="32"/>
      <c r="IH72" s="93"/>
      <c r="II72" s="93"/>
      <c r="IJ72" s="93"/>
      <c r="IK72" s="93"/>
      <c r="IL72" s="93"/>
      <c r="IM72" s="30">
        <f t="shared" si="41"/>
        <v>0</v>
      </c>
      <c r="IN72" s="28">
        <f>IM72*IF72</f>
        <v>0</v>
      </c>
      <c r="IP72" s="709" t="s">
        <v>117</v>
      </c>
      <c r="IQ72" s="709"/>
      <c r="IR72" s="709"/>
      <c r="IS72" s="709"/>
      <c r="IT72" s="709"/>
      <c r="IU72" s="709"/>
      <c r="IV72" s="13">
        <v>18</v>
      </c>
      <c r="IW72" s="32"/>
      <c r="IX72" s="93"/>
      <c r="IY72" s="30">
        <f>SUM(IW72:IX72)</f>
        <v>0</v>
      </c>
      <c r="IZ72" s="28">
        <f>IY72*IV72</f>
        <v>0</v>
      </c>
      <c r="JB72" s="709" t="s">
        <v>117</v>
      </c>
      <c r="JC72" s="709"/>
      <c r="JD72" s="709"/>
      <c r="JE72" s="709"/>
      <c r="JF72" s="709"/>
      <c r="JG72" s="709"/>
      <c r="JH72" s="13">
        <v>18</v>
      </c>
      <c r="JI72" s="32"/>
      <c r="JJ72" s="93"/>
      <c r="JK72" s="93"/>
      <c r="JL72" s="93"/>
      <c r="JM72" s="93"/>
      <c r="JN72" s="93"/>
      <c r="JO72" s="93"/>
      <c r="JP72" s="93"/>
      <c r="JQ72" s="93"/>
      <c r="JR72" s="93"/>
      <c r="JS72" s="93"/>
      <c r="JT72" s="93"/>
      <c r="JU72" s="93"/>
      <c r="JV72" s="93"/>
      <c r="JW72" s="93"/>
      <c r="JX72" s="93"/>
      <c r="JY72" s="93"/>
      <c r="JZ72" s="93"/>
      <c r="KA72" s="93">
        <v>4</v>
      </c>
      <c r="KB72" s="93"/>
      <c r="KC72" s="93"/>
      <c r="KD72" s="93"/>
      <c r="KE72" s="30">
        <f t="shared" si="34"/>
        <v>4</v>
      </c>
      <c r="KF72" s="28">
        <f>KE72*JH72</f>
        <v>72</v>
      </c>
      <c r="KH72" s="709" t="s">
        <v>117</v>
      </c>
      <c r="KI72" s="709"/>
      <c r="KJ72" s="709"/>
      <c r="KK72" s="709"/>
      <c r="KL72" s="709"/>
      <c r="KM72" s="709"/>
      <c r="KN72" s="13">
        <v>18</v>
      </c>
      <c r="KO72" s="32"/>
      <c r="KP72" s="93"/>
      <c r="KQ72" s="93"/>
      <c r="KR72" s="93"/>
      <c r="KS72" s="30">
        <f>SUM(KO72:KR72)</f>
        <v>0</v>
      </c>
      <c r="KT72" s="28">
        <f>KS72*KN72</f>
        <v>0</v>
      </c>
      <c r="KV72" s="677" t="s">
        <v>117</v>
      </c>
      <c r="KW72" s="677"/>
      <c r="KX72" s="677"/>
      <c r="KY72" s="677"/>
      <c r="KZ72" s="677"/>
      <c r="LA72" s="677"/>
      <c r="LB72" s="28">
        <v>18</v>
      </c>
      <c r="LC72" s="51"/>
      <c r="LD72" s="73"/>
      <c r="LE72" s="73"/>
      <c r="LF72" s="30">
        <f>SUM(LC72:LE72)</f>
        <v>0</v>
      </c>
      <c r="LG72" s="28">
        <f>LF72*LB72</f>
        <v>0</v>
      </c>
      <c r="LI72" s="677" t="s">
        <v>117</v>
      </c>
      <c r="LJ72" s="677"/>
      <c r="LK72" s="677"/>
      <c r="LL72" s="677"/>
      <c r="LM72" s="677"/>
      <c r="LN72" s="677"/>
      <c r="LO72" s="28">
        <v>18</v>
      </c>
      <c r="LP72" s="51"/>
      <c r="LQ72" s="73"/>
      <c r="LR72" s="73"/>
      <c r="LS72" s="73"/>
      <c r="LT72" s="73"/>
      <c r="LU72" s="73"/>
      <c r="LV72" s="73"/>
      <c r="LW72" s="73"/>
      <c r="LX72" s="73"/>
      <c r="LY72" s="73"/>
      <c r="LZ72" s="73"/>
      <c r="MA72" s="73"/>
      <c r="MB72" s="73"/>
      <c r="MC72" s="73"/>
      <c r="MD72" s="73"/>
      <c r="ME72" s="30">
        <f t="shared" si="35"/>
        <v>0</v>
      </c>
      <c r="MF72" s="28">
        <f t="shared" ref="MF72:MF90" si="54">ME72*LO72</f>
        <v>0</v>
      </c>
      <c r="MH72" s="677" t="s">
        <v>117</v>
      </c>
      <c r="MI72" s="677"/>
      <c r="MJ72" s="677"/>
      <c r="MK72" s="677"/>
      <c r="ML72" s="677"/>
      <c r="MM72" s="677"/>
      <c r="MN72" s="28">
        <v>18</v>
      </c>
      <c r="MO72" s="51"/>
      <c r="MP72" s="73"/>
      <c r="MQ72" s="73"/>
      <c r="MR72" s="73"/>
      <c r="MS72" s="73"/>
      <c r="MT72" s="73"/>
      <c r="MU72" s="73"/>
      <c r="MV72" s="73"/>
      <c r="MW72" s="73"/>
      <c r="MX72" s="73"/>
      <c r="MY72" s="73"/>
      <c r="MZ72" s="73"/>
      <c r="NA72" s="73"/>
      <c r="NB72" s="73"/>
      <c r="NC72" s="73"/>
      <c r="ND72" s="30">
        <f t="shared" si="36"/>
        <v>0</v>
      </c>
      <c r="NE72" s="28">
        <f t="shared" ref="NE72:NE90" si="55">ND72*MN72</f>
        <v>0</v>
      </c>
      <c r="NG72" s="677" t="s">
        <v>117</v>
      </c>
      <c r="NH72" s="677"/>
      <c r="NI72" s="677"/>
      <c r="NJ72" s="677"/>
      <c r="NK72" s="677"/>
      <c r="NL72" s="677"/>
      <c r="NM72" s="28">
        <v>18</v>
      </c>
      <c r="NN72" s="73"/>
      <c r="NO72" s="73"/>
      <c r="NP72" s="73"/>
      <c r="NQ72" s="73"/>
      <c r="NR72" s="73"/>
      <c r="NS72" s="73">
        <v>5</v>
      </c>
      <c r="NT72" s="73"/>
      <c r="NU72" s="73"/>
      <c r="NV72" s="73"/>
      <c r="NW72" s="73"/>
      <c r="NX72" s="73"/>
      <c r="NY72" s="73"/>
      <c r="NZ72" s="73"/>
      <c r="OA72" s="73"/>
      <c r="OB72" s="73"/>
      <c r="OC72" s="30">
        <f t="shared" si="38"/>
        <v>5</v>
      </c>
      <c r="OD72" s="28">
        <f t="shared" si="39"/>
        <v>90</v>
      </c>
    </row>
    <row r="73" spans="1:394" ht="14.45" customHeight="1" x14ac:dyDescent="0.25">
      <c r="A73" s="47"/>
      <c r="B73" s="12"/>
      <c r="C73" s="12"/>
      <c r="D73" s="12"/>
      <c r="E73" s="12"/>
      <c r="F73" s="12"/>
      <c r="G73" s="12"/>
      <c r="H73" s="12"/>
      <c r="I73" s="12"/>
      <c r="J73" s="12"/>
      <c r="K73" s="99"/>
      <c r="L73" s="34"/>
      <c r="M73" s="34"/>
      <c r="N73" s="19"/>
      <c r="O73" s="12"/>
      <c r="P73" s="12"/>
      <c r="Q73" s="12"/>
      <c r="R73" s="12"/>
      <c r="S73" s="12"/>
      <c r="T73" s="12"/>
      <c r="U73" s="12"/>
      <c r="V73" s="12"/>
      <c r="W73" s="99"/>
      <c r="X73" s="34"/>
      <c r="Y73" s="34"/>
      <c r="Z73" s="19"/>
      <c r="AA73" s="34"/>
      <c r="AB73" s="34"/>
      <c r="AC73" s="34"/>
      <c r="AD73" s="34"/>
      <c r="AE73" s="34"/>
      <c r="AF73" s="34"/>
      <c r="AG73" s="6"/>
      <c r="AH73" s="12"/>
      <c r="AI73" s="12"/>
      <c r="AJ73" s="12"/>
      <c r="AK73" s="12"/>
      <c r="AL73" s="12"/>
      <c r="AM73" s="12"/>
      <c r="AN73" s="12"/>
      <c r="AO73" s="99"/>
      <c r="AP73" s="34"/>
      <c r="AQ73" s="19"/>
      <c r="AS73" s="12"/>
      <c r="AT73" s="12"/>
      <c r="AU73" s="12"/>
      <c r="AV73" s="12"/>
      <c r="AW73" s="12"/>
      <c r="AX73" s="12"/>
      <c r="AY73" s="12"/>
      <c r="AZ73" s="99"/>
      <c r="BA73" s="99"/>
      <c r="BB73" s="99"/>
      <c r="BC73" s="99"/>
      <c r="BD73" s="100"/>
      <c r="BE73" s="28"/>
      <c r="BF73" s="25"/>
      <c r="BG73" s="12"/>
      <c r="BH73" s="12"/>
      <c r="BI73" s="12"/>
      <c r="BJ73" s="12"/>
      <c r="BK73" s="12"/>
      <c r="BL73" s="12"/>
      <c r="BM73" s="12"/>
      <c r="BN73" s="99"/>
      <c r="BO73" s="99"/>
      <c r="BP73" s="100"/>
      <c r="BQ73" s="28"/>
      <c r="BR73" s="25"/>
      <c r="BS73" s="89"/>
      <c r="BT73" s="97"/>
      <c r="BU73" s="97"/>
      <c r="BV73" s="97"/>
      <c r="BW73" s="97"/>
      <c r="BX73" s="98"/>
      <c r="BY73" s="12"/>
      <c r="BZ73" s="99"/>
      <c r="CA73" s="99"/>
      <c r="CB73" s="99"/>
      <c r="CC73" s="99"/>
      <c r="CD73" s="99"/>
      <c r="CE73" s="99"/>
      <c r="CF73" s="99"/>
      <c r="CG73" s="99"/>
      <c r="CH73" s="99"/>
      <c r="CI73" s="100"/>
      <c r="CJ73" s="28"/>
      <c r="CL73" s="89"/>
      <c r="CM73" s="97"/>
      <c r="CN73" s="97"/>
      <c r="CO73" s="97"/>
      <c r="CP73" s="97"/>
      <c r="CQ73" s="98"/>
      <c r="CR73" s="12"/>
      <c r="CS73" s="99"/>
      <c r="CT73" s="99"/>
      <c r="CU73" s="99"/>
      <c r="CV73" s="99"/>
      <c r="CW73" s="99"/>
      <c r="CX73" s="99"/>
      <c r="CY73" s="99"/>
      <c r="CZ73" s="101"/>
      <c r="DA73" s="100"/>
      <c r="DB73" s="28"/>
      <c r="DC73" s="33"/>
      <c r="DD73" s="12"/>
      <c r="DE73" s="12"/>
      <c r="DF73" s="12"/>
      <c r="DG73" s="12"/>
      <c r="DH73" s="12"/>
      <c r="DI73" s="12"/>
      <c r="DJ73" s="12"/>
      <c r="DK73" s="101"/>
      <c r="DL73" s="101"/>
      <c r="DM73" s="101"/>
      <c r="DN73" s="101"/>
      <c r="DO73" s="101"/>
      <c r="DP73" s="101"/>
      <c r="DQ73" s="101"/>
      <c r="DR73" s="101"/>
      <c r="DS73" s="101"/>
      <c r="DT73" s="101"/>
      <c r="DU73" s="100"/>
      <c r="DV73" s="28"/>
      <c r="DX73" s="12"/>
      <c r="DY73" s="12"/>
      <c r="DZ73" s="12"/>
      <c r="EA73" s="12"/>
      <c r="EB73" s="12"/>
      <c r="EC73" s="12"/>
      <c r="ED73" s="12"/>
      <c r="EE73" s="101"/>
      <c r="EF73" s="101"/>
      <c r="EG73" s="101"/>
      <c r="EH73" s="101"/>
      <c r="EI73" s="101"/>
      <c r="EJ73" s="101"/>
      <c r="EK73" s="101"/>
      <c r="EL73" s="101"/>
      <c r="EM73" s="101"/>
      <c r="EN73" s="101"/>
      <c r="EO73" s="100"/>
      <c r="EP73" s="28"/>
      <c r="ER73" s="12"/>
      <c r="ES73" s="12"/>
      <c r="ET73" s="12"/>
      <c r="EU73" s="12"/>
      <c r="EV73" s="12"/>
      <c r="EW73" s="12"/>
      <c r="EX73" s="12"/>
      <c r="EY73" s="101"/>
      <c r="EZ73" s="101"/>
      <c r="FA73" s="101"/>
      <c r="FB73" s="101"/>
      <c r="FC73" s="101"/>
      <c r="FD73" s="101"/>
      <c r="FE73" s="101"/>
      <c r="FF73" s="101"/>
      <c r="FG73" s="101"/>
      <c r="FH73" s="101"/>
      <c r="FI73" s="101"/>
      <c r="FJ73" s="101"/>
      <c r="FK73" s="101"/>
      <c r="FL73" s="101"/>
      <c r="FM73" s="101"/>
      <c r="FN73" s="101"/>
      <c r="FO73" s="101"/>
      <c r="FP73" s="101"/>
      <c r="FQ73" s="101"/>
      <c r="FR73" s="101"/>
      <c r="FS73" s="101"/>
      <c r="FT73" s="100"/>
      <c r="FU73" s="114"/>
      <c r="FW73" s="12"/>
      <c r="FX73" s="12"/>
      <c r="FY73" s="12"/>
      <c r="FZ73" s="12"/>
      <c r="GA73" s="12"/>
      <c r="GB73" s="12"/>
      <c r="GC73" s="12"/>
      <c r="GD73" s="4">
        <f>$GC$8*GD8+$GC$9*GD9+$GC$10*GD10+$GC$11*GD11+$GC$12*GD12+$GC$13*GD13+$GC$14*GD14+$GC$15*GD15+$GC$16*GD16+$GC$17*GD17+$GC$18*GD18+$GC$19*GD19+$GC$20*GD20+$GC$21*GD21+$GC$22*GD22+$GC$23*GD23+$GC$24*GD24+$GC$25*GD25+$GC$26*GD26+$GC$27*GD27+$GC$28*GD28+$GC$29*GD29+$GC$30*GD30+$GC$31*GD31+$GC$32*GD32+$GC$33*GD33+$GC$34*GD34+$GC$35*GD35+$GC$36*GD36+$GC$37*GD37+$GC$38*GD38+$GC$39*GD39+$GC$40*GD40+$GC$41*GD41+$GC$42*GD42+$GC$43*GD43+$GC$44*GD44+$GC$45*GD45+$GC$46*GD46+$GC$47*GD47+$GC$48*GD48+$GC$49*GD49+$GC$50*GD50+$GC$51*GD51+$GC$52*GD52+$GC$53*GD53+$GC$54*GD54+$GC$55*GD55+$GC$56*GD56+$GC$57*GD57+$GC$58*GD58+$GC$59*GD59+$GC$60*GD60+$GC$61*GD61+$GC$62*GD62+$GC$63*GD63+$GC$64*GD64+$GC$65*GD65+$GC$66*GD66+$GC$67*GD67+$GC$68*GD68+$GC$69*GD69+$GC$70*GD70+$GC$71*GD71+$GC$72*GD72</f>
        <v>194.5</v>
      </c>
      <c r="GE73" s="4">
        <f t="shared" ref="GE73:GP73" si="56">$GC$8*GE8+$GC$9*GE9+$GC$10*GE10+$GC$11*GE11+$GC$12*GE12+$GC$13*GE13+$GC$14*GE14+$GC$15*GE15+$GC$16*GE16+$GC$17*GE17+$GC$18*GE18+$GC$19*GE19+$GC$20*GE20+$GC$21*GE21+$GC$22*GE22+$GC$23*GE23+$GC$24*GE24+$GC$25*GE25+$GC$26*GE26+$GC$27*GE27+$GC$28*GE28+$GC$29*GE29+$GC$30*GE30+$GC$31*GE31+$GC$32*GE32+$GC$33*GE33+$GC$34*GE34+$GC$35*GE35+$GC$36*GE36+$GC$37*GE37+$GC$38*GE38+$GC$39*GE39+$GC$40*GE40+$GC$41*GE41+$GC$42*GE42+$GC$43*GE43+$GC$44*GE44+$GC$45*GE45+$GC$46*GE46+$GC$47*GE47+$GC$48*GE48+$GC$49*GE49+$GC$50*GE50+$GC$51*GE51+$GC$52*GE52+$GC$53*GE53+$GC$54*GE54+$GC$55*GE55+$GC$56*GE56+$GC$57*GE57+$GC$58*GE58+$GC$59*GE59+$GC$60*GE60+$GC$61*GE61+$GC$62*GE62+$GC$63*GE63+$GC$64*GE64+$GC$65*GE65+$GC$66*GE66+$GC$67*GE67+$GC$68*GE68+$GC$69*GE69+$GC$70*GE70+$GC$71*GE71+$GC$72*GE72</f>
        <v>229</v>
      </c>
      <c r="GF73" s="4">
        <f t="shared" si="56"/>
        <v>385</v>
      </c>
      <c r="GG73" s="4">
        <f t="shared" si="56"/>
        <v>609</v>
      </c>
      <c r="GH73" s="4">
        <f t="shared" si="56"/>
        <v>212.5</v>
      </c>
      <c r="GI73" s="4">
        <f t="shared" si="56"/>
        <v>784</v>
      </c>
      <c r="GJ73" s="4">
        <f>$GC$8*GJ8+$GC$9*GJ9+$GC$10*GJ10+$GC$11*GJ11+$GC$12*GJ12+$GC$13*GJ13+$GC$14*GJ14+$GC$15*GJ15+$GC$16*GJ16+$GC$17*GJ17+$GC$18*GJ18+$GC$19*GJ19+$GC$20*GJ20+$GC$21*GJ21+$GC$22*GJ22+$GC$23*GJ23+$GC$24*GJ24+$GC$25*GJ25+$GC$26*GJ26+$GC$27*GJ27+$GC$28*GJ28+$GC$29*GJ29+$GC$30*GJ30+$GC$31*GJ31+$GC$32*GJ32+$GC$33*GJ33+$GC$34*GJ34+$GC$35*GJ35+$GC$36*GJ36+$GC$37*GJ37+$GC$38*GJ38+$GC$39*GJ39+$GC$40*GJ40+$GC$41*GJ41+$GC$42*GJ42+$GC$43*GJ43+$GC$44*GJ44+$GC$45*GJ45+$GC$46*GJ46+$GC$47*GJ47+$GC$48*GJ48+$GC$49*GJ49+$GC$50*GJ50+$GC$51*GJ51+$GC$52*GJ52+$GC$53*GJ53+$GC$54*GJ54+$GC$55*GJ55+$GC$56*GJ56+$GC$57*GJ57+$GC$58*GJ58+$GC$59*GJ59+$GC$60*GJ60+$GC$61*GJ61+$GC$62*GJ62+$GC$63*GJ63+$GC$64*GJ64+$GC$65*GJ65+$GC$66*GJ66+$GC$67*GJ67+$GC$68*GJ68+$GC$69*GJ69+$GC$70*GJ70+$GC$71*GJ71+$GC$72*GJ72</f>
        <v>0</v>
      </c>
      <c r="GK73" s="4">
        <f t="shared" si="56"/>
        <v>607</v>
      </c>
      <c r="GL73" s="4">
        <f>$GC$8*GL8+$GC$9*GL9+$GC$10*GL10+$GC$11*GL11+$GC$12*GL12+$GC$13*GL13+$GC$14*GL14+$GC$15*GL15+$GC$16*GL16+$GC$17*GL17+$GC$18*GL18+$GC$19*GL19+$GC$20*GL20+$GC$21*GL21+$GC$22*GL22+$GC$23*GL23+$GC$24*GL24+$GC$25*GL25+$GC$26*GL26+$GC$27*GL27+$GC$28*GL28+$GC$29*GL29+$GC$30*GL30+$GC$31*GL31+$GC$32*GL32+$GC$33*GL33+$GC$34*GL34+$GC$35*GL35+$GC$36*GL36+$GC$37*GL37+$GC$38*GL38+$GC$39*GL39+$GC$40*GL40+$GC$41*GL41+$GC$42*GL42+$GC$43*GL43+$GC$44*GL44+$GC$45*GL45+$GC$46*GL46+$GC$47*GL47+$GC$48*GL48+$GC$49*GL49+$GC$50*GL50+$GC$51*GL51+$GC$52*GL52+$GC$53*GL53+$GC$54*GL54+$GC$55*GL55+$GC$56*GL56+$GC$57*GL57+$GC$58*GL58+$GC$59*GL59+$GC$60*GL60+$GC$61*GL61+$GC$62*GL62+$GC$63*GL63+$GC$64*GL64+$GC$65*GL65+$GC$66*GL66+$GC$67*GL67+$GC$68*GL68+$GC$69*GL69+$GC$70*GL70+$GC$71*GL71+$GC$72*GL72</f>
        <v>703</v>
      </c>
      <c r="GM73" s="4">
        <f t="shared" si="56"/>
        <v>822</v>
      </c>
      <c r="GN73" s="4">
        <f t="shared" si="56"/>
        <v>177</v>
      </c>
      <c r="GO73" s="4">
        <f t="shared" si="56"/>
        <v>834</v>
      </c>
      <c r="GP73" s="4">
        <f t="shared" si="56"/>
        <v>125</v>
      </c>
      <c r="GQ73" s="100"/>
      <c r="GR73" s="114"/>
      <c r="GT73" s="709" t="s">
        <v>194</v>
      </c>
      <c r="GU73" s="709"/>
      <c r="GV73" s="709"/>
      <c r="GW73" s="709"/>
      <c r="GX73" s="709"/>
      <c r="GY73" s="709"/>
      <c r="GZ73" s="13">
        <v>75</v>
      </c>
      <c r="HA73" s="32"/>
      <c r="HB73" s="32"/>
      <c r="HC73" s="32"/>
      <c r="HD73" s="32">
        <v>3</v>
      </c>
      <c r="HE73" s="32"/>
      <c r="HF73" s="32"/>
      <c r="HG73" s="32"/>
      <c r="HH73" s="32"/>
      <c r="HI73" s="32"/>
      <c r="HJ73" s="32"/>
      <c r="HK73" s="32"/>
      <c r="HL73" s="30">
        <f>SUM(HA73:HK73)</f>
        <v>3</v>
      </c>
      <c r="HM73" s="28">
        <f>HL73*GZ73</f>
        <v>225</v>
      </c>
      <c r="HO73" s="709" t="s">
        <v>194</v>
      </c>
      <c r="HP73" s="709"/>
      <c r="HQ73" s="709"/>
      <c r="HR73" s="709"/>
      <c r="HS73" s="709"/>
      <c r="HT73" s="709"/>
      <c r="HU73" s="13">
        <v>75</v>
      </c>
      <c r="HV73" s="32"/>
      <c r="HW73" s="30">
        <f>SUM(HV73:HV73)</f>
        <v>0</v>
      </c>
      <c r="HX73" s="28">
        <f>HW73*HU73</f>
        <v>0</v>
      </c>
      <c r="HZ73" s="709" t="s">
        <v>194</v>
      </c>
      <c r="IA73" s="709"/>
      <c r="IB73" s="709"/>
      <c r="IC73" s="709"/>
      <c r="ID73" s="709"/>
      <c r="IE73" s="709"/>
      <c r="IF73" s="13">
        <v>75</v>
      </c>
      <c r="IG73" s="32"/>
      <c r="IH73" s="93"/>
      <c r="II73" s="93"/>
      <c r="IJ73" s="93"/>
      <c r="IK73" s="93"/>
      <c r="IL73" s="93"/>
      <c r="IM73" s="30">
        <f>SUM(IG73:IL73)</f>
        <v>0</v>
      </c>
      <c r="IN73" s="28">
        <f>IM73*IF73</f>
        <v>0</v>
      </c>
      <c r="IP73" s="709" t="s">
        <v>194</v>
      </c>
      <c r="IQ73" s="709"/>
      <c r="IR73" s="709"/>
      <c r="IS73" s="709"/>
      <c r="IT73" s="709"/>
      <c r="IU73" s="709"/>
      <c r="IV73" s="13">
        <v>75</v>
      </c>
      <c r="IW73" s="32"/>
      <c r="IX73" s="93"/>
      <c r="IY73" s="30">
        <f>SUM(IW73:IX73)</f>
        <v>0</v>
      </c>
      <c r="IZ73" s="28">
        <f>IY73*IV73</f>
        <v>0</v>
      </c>
      <c r="JB73" s="709" t="s">
        <v>194</v>
      </c>
      <c r="JC73" s="709"/>
      <c r="JD73" s="709"/>
      <c r="JE73" s="709"/>
      <c r="JF73" s="709"/>
      <c r="JG73" s="709"/>
      <c r="JH73" s="13">
        <v>75</v>
      </c>
      <c r="JI73" s="32"/>
      <c r="JJ73" s="93"/>
      <c r="JK73" s="93"/>
      <c r="JL73" s="93"/>
      <c r="JM73" s="93"/>
      <c r="JN73" s="93"/>
      <c r="JO73" s="93"/>
      <c r="JP73" s="93"/>
      <c r="JQ73" s="93"/>
      <c r="JR73" s="93"/>
      <c r="JS73" s="93"/>
      <c r="JT73" s="93"/>
      <c r="JU73" s="93"/>
      <c r="JV73" s="93"/>
      <c r="JW73" s="93"/>
      <c r="JX73" s="93"/>
      <c r="JY73" s="93"/>
      <c r="JZ73" s="93"/>
      <c r="KA73" s="93"/>
      <c r="KB73" s="93"/>
      <c r="KC73" s="93"/>
      <c r="KD73" s="93"/>
      <c r="KE73" s="30">
        <f>SUM(JI73:KD73)</f>
        <v>0</v>
      </c>
      <c r="KF73" s="28">
        <f>KE73*JH73</f>
        <v>0</v>
      </c>
      <c r="KH73" s="709" t="s">
        <v>194</v>
      </c>
      <c r="KI73" s="709"/>
      <c r="KJ73" s="709"/>
      <c r="KK73" s="709"/>
      <c r="KL73" s="709"/>
      <c r="KM73" s="709"/>
      <c r="KN73" s="13">
        <v>75</v>
      </c>
      <c r="KO73" s="32"/>
      <c r="KP73" s="93"/>
      <c r="KQ73" s="93"/>
      <c r="KR73" s="93"/>
      <c r="KS73" s="30">
        <f>SUM(KO73:KR73)</f>
        <v>0</v>
      </c>
      <c r="KT73" s="28">
        <f>KS73*KN73</f>
        <v>0</v>
      </c>
      <c r="KV73" s="709" t="s">
        <v>194</v>
      </c>
      <c r="KW73" s="709"/>
      <c r="KX73" s="709"/>
      <c r="KY73" s="709"/>
      <c r="KZ73" s="709"/>
      <c r="LA73" s="709"/>
      <c r="LB73" s="13">
        <v>75</v>
      </c>
      <c r="LC73" s="32"/>
      <c r="LD73" s="93"/>
      <c r="LE73" s="93"/>
      <c r="LF73" s="30">
        <f>SUM(LC73:LE73)</f>
        <v>0</v>
      </c>
      <c r="LG73" s="28">
        <f>LF73*LB73</f>
        <v>0</v>
      </c>
      <c r="LI73" s="709" t="s">
        <v>194</v>
      </c>
      <c r="LJ73" s="709"/>
      <c r="LK73" s="709"/>
      <c r="LL73" s="709"/>
      <c r="LM73" s="709"/>
      <c r="LN73" s="709"/>
      <c r="LO73" s="13">
        <v>75</v>
      </c>
      <c r="LP73" s="32"/>
      <c r="LQ73" s="93"/>
      <c r="LR73" s="93"/>
      <c r="LS73" s="93"/>
      <c r="LT73" s="93"/>
      <c r="LU73" s="93"/>
      <c r="LV73" s="93"/>
      <c r="LW73" s="93"/>
      <c r="LX73" s="93"/>
      <c r="LY73" s="93"/>
      <c r="LZ73" s="93"/>
      <c r="MA73" s="93"/>
      <c r="MB73" s="93"/>
      <c r="MC73" s="93"/>
      <c r="MD73" s="93"/>
      <c r="ME73" s="30">
        <f t="shared" ref="ME73:ME90" si="57">SUM(LP73:MD73)</f>
        <v>0</v>
      </c>
      <c r="MF73" s="28">
        <f t="shared" si="54"/>
        <v>0</v>
      </c>
      <c r="MH73" s="709" t="s">
        <v>194</v>
      </c>
      <c r="MI73" s="709"/>
      <c r="MJ73" s="709"/>
      <c r="MK73" s="709"/>
      <c r="ML73" s="709"/>
      <c r="MM73" s="709"/>
      <c r="MN73" s="13">
        <v>75</v>
      </c>
      <c r="MO73" s="32"/>
      <c r="MP73" s="93"/>
      <c r="MQ73" s="93"/>
      <c r="MR73" s="93"/>
      <c r="MS73" s="93"/>
      <c r="MT73" s="93"/>
      <c r="MU73" s="93"/>
      <c r="MV73" s="93"/>
      <c r="MW73" s="93"/>
      <c r="MX73" s="93"/>
      <c r="MY73" s="93"/>
      <c r="MZ73" s="93"/>
      <c r="NA73" s="93"/>
      <c r="NB73" s="93"/>
      <c r="NC73" s="93"/>
      <c r="ND73" s="30">
        <f t="shared" ref="ND73:ND99" si="58">SUM(MO73:NC73)</f>
        <v>0</v>
      </c>
      <c r="NE73" s="28">
        <f t="shared" si="55"/>
        <v>0</v>
      </c>
      <c r="NG73" s="709" t="s">
        <v>194</v>
      </c>
      <c r="NH73" s="709"/>
      <c r="NI73" s="709"/>
      <c r="NJ73" s="709"/>
      <c r="NK73" s="709"/>
      <c r="NL73" s="709"/>
      <c r="NM73" s="13">
        <v>75</v>
      </c>
      <c r="NN73" s="93"/>
      <c r="NO73" s="93"/>
      <c r="NP73" s="93"/>
      <c r="NQ73" s="93"/>
      <c r="NR73" s="93"/>
      <c r="NS73" s="93"/>
      <c r="NT73" s="93"/>
      <c r="NU73" s="93"/>
      <c r="NV73" s="93"/>
      <c r="NW73" s="93"/>
      <c r="NX73" s="93"/>
      <c r="NY73" s="93"/>
      <c r="NZ73" s="93"/>
      <c r="OA73" s="93"/>
      <c r="OB73" s="93"/>
      <c r="OC73" s="30">
        <f t="shared" ref="OC73:OC99" si="59">SUM(NN73:OB73)</f>
        <v>0</v>
      </c>
      <c r="OD73" s="28">
        <f t="shared" ref="OD73:OD100" si="60">OC73*NM73</f>
        <v>0</v>
      </c>
    </row>
    <row r="74" spans="1:394" ht="14.45" customHeight="1" x14ac:dyDescent="0.25">
      <c r="A74" s="47"/>
      <c r="B74" s="12"/>
      <c r="C74" s="12"/>
      <c r="D74" s="12"/>
      <c r="E74" s="12"/>
      <c r="F74" s="12"/>
      <c r="G74" s="12"/>
      <c r="H74" s="12"/>
      <c r="I74" s="12"/>
      <c r="J74" s="12"/>
      <c r="K74" s="99"/>
      <c r="L74" s="34"/>
      <c r="M74" s="34"/>
      <c r="N74" s="19"/>
      <c r="O74" s="12"/>
      <c r="P74" s="12"/>
      <c r="Q74" s="12"/>
      <c r="R74" s="12"/>
      <c r="S74" s="12"/>
      <c r="T74" s="12"/>
      <c r="U74" s="12"/>
      <c r="V74" s="12"/>
      <c r="W74" s="99"/>
      <c r="X74" s="34"/>
      <c r="Y74" s="34"/>
      <c r="Z74" s="19"/>
      <c r="AA74" s="34"/>
      <c r="AB74" s="34"/>
      <c r="AC74" s="34"/>
      <c r="AD74" s="34"/>
      <c r="AE74" s="34"/>
      <c r="AF74" s="34"/>
      <c r="AG74" s="6"/>
      <c r="AH74" s="12"/>
      <c r="AI74" s="12"/>
      <c r="AJ74" s="12"/>
      <c r="AK74" s="12"/>
      <c r="AL74" s="12"/>
      <c r="AM74" s="12"/>
      <c r="AN74" s="12"/>
      <c r="AO74" s="99"/>
      <c r="AP74" s="34"/>
      <c r="AQ74" s="19"/>
      <c r="AS74" s="12"/>
      <c r="AT74" s="12"/>
      <c r="AU74" s="12"/>
      <c r="AV74" s="12"/>
      <c r="AW74" s="12"/>
      <c r="AX74" s="12"/>
      <c r="AY74" s="12"/>
      <c r="AZ74" s="99"/>
      <c r="BA74" s="99"/>
      <c r="BB74" s="99"/>
      <c r="BC74" s="99"/>
      <c r="BD74" s="100"/>
      <c r="BE74" s="28"/>
      <c r="BF74" s="25"/>
      <c r="BG74" s="12"/>
      <c r="BH74" s="12"/>
      <c r="BI74" s="12"/>
      <c r="BJ74" s="12"/>
      <c r="BK74" s="12"/>
      <c r="BL74" s="12"/>
      <c r="BM74" s="12"/>
      <c r="BN74" s="99"/>
      <c r="BO74" s="99"/>
      <c r="BP74" s="100"/>
      <c r="BQ74" s="28"/>
      <c r="BR74" s="25"/>
      <c r="BS74" s="89"/>
      <c r="BT74" s="97"/>
      <c r="BU74" s="97"/>
      <c r="BV74" s="97"/>
      <c r="BW74" s="97"/>
      <c r="BX74" s="98"/>
      <c r="BY74" s="12"/>
      <c r="BZ74" s="99"/>
      <c r="CA74" s="99"/>
      <c r="CB74" s="99"/>
      <c r="CC74" s="99"/>
      <c r="CD74" s="99"/>
      <c r="CE74" s="99"/>
      <c r="CF74" s="99"/>
      <c r="CG74" s="99"/>
      <c r="CH74" s="99"/>
      <c r="CI74" s="100"/>
      <c r="CJ74" s="28"/>
      <c r="CL74" s="89"/>
      <c r="CM74" s="97"/>
      <c r="CN74" s="97"/>
      <c r="CO74" s="97"/>
      <c r="CP74" s="97"/>
      <c r="CQ74" s="98"/>
      <c r="CR74" s="12"/>
      <c r="CS74" s="99"/>
      <c r="CT74" s="99"/>
      <c r="CU74" s="99"/>
      <c r="CV74" s="99"/>
      <c r="CW74" s="99"/>
      <c r="CX74" s="99"/>
      <c r="CY74" s="99"/>
      <c r="CZ74" s="101"/>
      <c r="DA74" s="100"/>
      <c r="DB74" s="28"/>
      <c r="DC74" s="33"/>
      <c r="DD74" s="12"/>
      <c r="DE74" s="12"/>
      <c r="DF74" s="12"/>
      <c r="DG74" s="12"/>
      <c r="DH74" s="12"/>
      <c r="DI74" s="12"/>
      <c r="DJ74" s="12"/>
      <c r="DK74" s="101"/>
      <c r="DL74" s="101"/>
      <c r="DM74" s="101"/>
      <c r="DN74" s="101"/>
      <c r="DO74" s="101"/>
      <c r="DP74" s="101"/>
      <c r="DQ74" s="101"/>
      <c r="DR74" s="101"/>
      <c r="DS74" s="101"/>
      <c r="DT74" s="101"/>
      <c r="DU74" s="100"/>
      <c r="DV74" s="28"/>
      <c r="DX74" s="12"/>
      <c r="DY74" s="12"/>
      <c r="DZ74" s="12"/>
      <c r="EA74" s="12"/>
      <c r="EB74" s="12"/>
      <c r="EC74" s="12"/>
      <c r="ED74" s="12"/>
      <c r="EE74" s="101"/>
      <c r="EF74" s="101"/>
      <c r="EG74" s="101"/>
      <c r="EH74" s="101"/>
      <c r="EI74" s="101"/>
      <c r="EJ74" s="101"/>
      <c r="EK74" s="101"/>
      <c r="EL74" s="101"/>
      <c r="EM74" s="101"/>
      <c r="EN74" s="101"/>
      <c r="EO74" s="100"/>
      <c r="EP74" s="28"/>
      <c r="ER74" s="12"/>
      <c r="ES74" s="12"/>
      <c r="ET74" s="12"/>
      <c r="EU74" s="12"/>
      <c r="EV74" s="12"/>
      <c r="EW74" s="12"/>
      <c r="EX74" s="12"/>
      <c r="EY74" s="101"/>
      <c r="EZ74" s="101"/>
      <c r="FA74" s="101"/>
      <c r="FB74" s="101"/>
      <c r="FC74" s="101"/>
      <c r="FD74" s="101"/>
      <c r="FE74" s="101"/>
      <c r="FF74" s="101"/>
      <c r="FG74" s="101"/>
      <c r="FH74" s="101"/>
      <c r="FI74" s="101"/>
      <c r="FJ74" s="101"/>
      <c r="FK74" s="101"/>
      <c r="FL74" s="101"/>
      <c r="FM74" s="101"/>
      <c r="FN74" s="101"/>
      <c r="FO74" s="101"/>
      <c r="FP74" s="101"/>
      <c r="FQ74" s="101"/>
      <c r="FR74" s="101"/>
      <c r="FS74" s="101"/>
      <c r="FT74" s="100"/>
      <c r="FU74" s="114"/>
      <c r="FW74" s="12"/>
      <c r="FX74" s="12"/>
      <c r="FY74" s="12"/>
      <c r="FZ74" s="12"/>
      <c r="GA74" s="12"/>
      <c r="GB74" s="12"/>
      <c r="GC74" s="12"/>
      <c r="GD74" s="103"/>
      <c r="GE74" s="103"/>
      <c r="GF74" s="103"/>
      <c r="GG74" s="103"/>
      <c r="GH74" s="103"/>
      <c r="GI74" s="103"/>
      <c r="GJ74" s="103"/>
      <c r="GK74" s="103"/>
      <c r="GL74" s="103"/>
      <c r="GM74" s="103"/>
      <c r="GN74" s="103"/>
      <c r="GO74" s="103"/>
      <c r="GP74" s="103"/>
      <c r="GQ74" s="100"/>
      <c r="GR74" s="114"/>
      <c r="GT74" s="12"/>
      <c r="GU74" s="12"/>
      <c r="GV74" s="12"/>
      <c r="GW74" s="12"/>
      <c r="GX74" s="12"/>
      <c r="GY74" s="12"/>
      <c r="GZ74" s="12"/>
      <c r="HA74" s="32"/>
      <c r="HB74" s="32"/>
      <c r="HC74" s="32"/>
      <c r="HD74" s="32"/>
      <c r="HE74" s="32"/>
      <c r="HF74" s="32"/>
      <c r="HG74" s="32"/>
      <c r="HH74" s="32"/>
      <c r="HI74" s="32"/>
      <c r="HJ74" s="32"/>
      <c r="HK74" s="32"/>
      <c r="HL74" s="100"/>
      <c r="HM74" s="114"/>
      <c r="HO74" s="12"/>
      <c r="HP74" s="12"/>
      <c r="HQ74" s="12"/>
      <c r="HR74" s="12"/>
      <c r="HS74" s="12"/>
      <c r="HT74" s="12"/>
      <c r="HU74" s="12"/>
      <c r="HV74" s="32"/>
      <c r="HW74" s="100"/>
      <c r="HX74" s="114"/>
      <c r="HZ74" s="12"/>
      <c r="IA74" s="12"/>
      <c r="IB74" s="12"/>
      <c r="IC74" s="12"/>
      <c r="ID74" s="12"/>
      <c r="IE74" s="12"/>
      <c r="IF74" s="12"/>
      <c r="IG74" s="32"/>
      <c r="IH74" s="93"/>
      <c r="II74" s="93"/>
      <c r="IJ74" s="93"/>
      <c r="IK74" s="93"/>
      <c r="IL74" s="93"/>
      <c r="IM74" s="100"/>
      <c r="IN74" s="114"/>
      <c r="IP74" s="12"/>
      <c r="IQ74" s="12"/>
      <c r="IR74" s="12"/>
      <c r="IS74" s="12"/>
      <c r="IT74" s="12"/>
      <c r="IU74" s="12"/>
      <c r="IV74" s="12"/>
      <c r="IW74" s="32"/>
      <c r="IX74" s="93"/>
      <c r="IY74" s="100"/>
      <c r="IZ74" s="114"/>
      <c r="JB74" s="709" t="s">
        <v>232</v>
      </c>
      <c r="JC74" s="709"/>
      <c r="JD74" s="709"/>
      <c r="JE74" s="709"/>
      <c r="JF74" s="709"/>
      <c r="JG74" s="709"/>
      <c r="JH74" s="13">
        <v>42</v>
      </c>
      <c r="JI74" s="32"/>
      <c r="JJ74" s="93"/>
      <c r="JK74" s="93"/>
      <c r="JL74" s="93"/>
      <c r="JM74" s="93"/>
      <c r="JN74" s="93"/>
      <c r="JO74" s="93"/>
      <c r="JP74" s="93"/>
      <c r="JQ74" s="93"/>
      <c r="JR74" s="93"/>
      <c r="JS74" s="93"/>
      <c r="JT74" s="93"/>
      <c r="JU74" s="93"/>
      <c r="JV74" s="93"/>
      <c r="JW74" s="93"/>
      <c r="JX74" s="93"/>
      <c r="JY74" s="93"/>
      <c r="JZ74" s="93"/>
      <c r="KA74" s="93"/>
      <c r="KB74" s="93"/>
      <c r="KC74" s="93"/>
      <c r="KD74" s="93"/>
      <c r="KE74" s="30">
        <f>SUM(JI74:KD74)</f>
        <v>0</v>
      </c>
      <c r="KF74" s="28">
        <f>KE74*JH74</f>
        <v>0</v>
      </c>
      <c r="KH74" s="709" t="s">
        <v>232</v>
      </c>
      <c r="KI74" s="709"/>
      <c r="KJ74" s="709"/>
      <c r="KK74" s="709"/>
      <c r="KL74" s="709"/>
      <c r="KM74" s="709"/>
      <c r="KN74" s="13">
        <v>42</v>
      </c>
      <c r="KO74" s="32"/>
      <c r="KP74" s="93"/>
      <c r="KQ74" s="93"/>
      <c r="KR74" s="93"/>
      <c r="KS74" s="30">
        <f>SUM(KO74:KR74)</f>
        <v>0</v>
      </c>
      <c r="KT74" s="28">
        <f>KS74*KN74</f>
        <v>0</v>
      </c>
      <c r="KV74" s="677" t="s">
        <v>232</v>
      </c>
      <c r="KW74" s="677"/>
      <c r="KX74" s="677"/>
      <c r="KY74" s="677"/>
      <c r="KZ74" s="677"/>
      <c r="LA74" s="677"/>
      <c r="LB74" s="28">
        <v>42</v>
      </c>
      <c r="LC74" s="51"/>
      <c r="LD74" s="73"/>
      <c r="LE74" s="73"/>
      <c r="LF74" s="30">
        <f>SUM(LC74:LE74)</f>
        <v>0</v>
      </c>
      <c r="LG74" s="28">
        <f>LF74*LB74</f>
        <v>0</v>
      </c>
      <c r="LI74" s="677" t="s">
        <v>232</v>
      </c>
      <c r="LJ74" s="677"/>
      <c r="LK74" s="677"/>
      <c r="LL74" s="677"/>
      <c r="LM74" s="677"/>
      <c r="LN74" s="677"/>
      <c r="LO74" s="28">
        <v>41</v>
      </c>
      <c r="LP74" s="51"/>
      <c r="LQ74" s="73"/>
      <c r="LR74" s="30">
        <v>1</v>
      </c>
      <c r="LS74" s="30"/>
      <c r="LT74" s="30"/>
      <c r="LU74" s="30"/>
      <c r="LV74" s="30">
        <v>4</v>
      </c>
      <c r="LW74" s="30"/>
      <c r="LX74" s="30"/>
      <c r="LY74" s="30"/>
      <c r="LZ74" s="30"/>
      <c r="MA74" s="30"/>
      <c r="MB74" s="30"/>
      <c r="MC74" s="30"/>
      <c r="MD74" s="30"/>
      <c r="ME74" s="30">
        <f t="shared" si="57"/>
        <v>5</v>
      </c>
      <c r="MF74" s="28">
        <f t="shared" si="54"/>
        <v>205</v>
      </c>
      <c r="MH74" s="677" t="s">
        <v>232</v>
      </c>
      <c r="MI74" s="677"/>
      <c r="MJ74" s="677"/>
      <c r="MK74" s="677"/>
      <c r="ML74" s="677"/>
      <c r="MM74" s="677"/>
      <c r="MN74" s="28">
        <v>41</v>
      </c>
      <c r="MO74" s="51"/>
      <c r="MP74" s="73"/>
      <c r="MQ74" s="30"/>
      <c r="MR74" s="30"/>
      <c r="MS74" s="30"/>
      <c r="MT74" s="30"/>
      <c r="MU74" s="30"/>
      <c r="MV74" s="30"/>
      <c r="MW74" s="30"/>
      <c r="MX74" s="30"/>
      <c r="MY74" s="30"/>
      <c r="MZ74" s="30"/>
      <c r="NA74" s="30"/>
      <c r="NB74" s="30"/>
      <c r="NC74" s="30"/>
      <c r="ND74" s="30">
        <f t="shared" si="58"/>
        <v>0</v>
      </c>
      <c r="NE74" s="28">
        <f t="shared" si="55"/>
        <v>0</v>
      </c>
      <c r="NG74" s="677" t="s">
        <v>232</v>
      </c>
      <c r="NH74" s="677"/>
      <c r="NI74" s="677"/>
      <c r="NJ74" s="677"/>
      <c r="NK74" s="677"/>
      <c r="NL74" s="677"/>
      <c r="NM74" s="28">
        <v>38</v>
      </c>
      <c r="NN74" s="30"/>
      <c r="NO74" s="73"/>
      <c r="NP74" s="30">
        <v>6</v>
      </c>
      <c r="NQ74" s="30">
        <v>4</v>
      </c>
      <c r="NR74" s="30"/>
      <c r="NS74" s="30"/>
      <c r="NT74" s="30"/>
      <c r="NU74" s="30">
        <v>1</v>
      </c>
      <c r="NV74" s="30"/>
      <c r="NW74" s="30"/>
      <c r="NX74" s="30"/>
      <c r="NY74" s="30"/>
      <c r="NZ74" s="30"/>
      <c r="OA74" s="30"/>
      <c r="OB74" s="30"/>
      <c r="OC74" s="30">
        <f t="shared" si="59"/>
        <v>11</v>
      </c>
      <c r="OD74" s="28">
        <f t="shared" si="60"/>
        <v>418</v>
      </c>
    </row>
    <row r="75" spans="1:394" ht="14.45" customHeight="1" x14ac:dyDescent="0.25">
      <c r="A75" s="47"/>
      <c r="B75" s="12"/>
      <c r="C75" s="12"/>
      <c r="D75" s="12"/>
      <c r="E75" s="12"/>
      <c r="F75" s="12"/>
      <c r="G75" s="12"/>
      <c r="H75" s="12"/>
      <c r="I75" s="12"/>
      <c r="J75" s="12"/>
      <c r="K75" s="99"/>
      <c r="L75" s="34"/>
      <c r="M75" s="34"/>
      <c r="N75" s="19"/>
      <c r="O75" s="12"/>
      <c r="P75" s="12"/>
      <c r="Q75" s="12"/>
      <c r="R75" s="12"/>
      <c r="S75" s="12"/>
      <c r="T75" s="12"/>
      <c r="U75" s="12"/>
      <c r="V75" s="12"/>
      <c r="W75" s="99"/>
      <c r="X75" s="34"/>
      <c r="Y75" s="34"/>
      <c r="Z75" s="19"/>
      <c r="AA75" s="34"/>
      <c r="AB75" s="34"/>
      <c r="AC75" s="34"/>
      <c r="AD75" s="34"/>
      <c r="AE75" s="34"/>
      <c r="AF75" s="34"/>
      <c r="AG75" s="6"/>
      <c r="AH75" s="12"/>
      <c r="AI75" s="12"/>
      <c r="AJ75" s="12"/>
      <c r="AK75" s="12"/>
      <c r="AL75" s="12"/>
      <c r="AM75" s="12"/>
      <c r="AN75" s="12"/>
      <c r="AO75" s="99"/>
      <c r="AP75" s="34"/>
      <c r="AQ75" s="19"/>
      <c r="AS75" s="12"/>
      <c r="AT75" s="12"/>
      <c r="AU75" s="12"/>
      <c r="AV75" s="12"/>
      <c r="AW75" s="12"/>
      <c r="AX75" s="12"/>
      <c r="AY75" s="12"/>
      <c r="AZ75" s="99"/>
      <c r="BA75" s="99"/>
      <c r="BB75" s="99"/>
      <c r="BC75" s="99"/>
      <c r="BD75" s="100"/>
      <c r="BE75" s="28"/>
      <c r="BF75" s="25"/>
      <c r="BG75" s="12"/>
      <c r="BH75" s="12"/>
      <c r="BI75" s="12"/>
      <c r="BJ75" s="12"/>
      <c r="BK75" s="12"/>
      <c r="BL75" s="12"/>
      <c r="BM75" s="12"/>
      <c r="BN75" s="99"/>
      <c r="BO75" s="99"/>
      <c r="BP75" s="100"/>
      <c r="BQ75" s="28"/>
      <c r="BR75" s="25"/>
      <c r="BS75" s="89"/>
      <c r="BT75" s="97"/>
      <c r="BU75" s="97"/>
      <c r="BV75" s="97"/>
      <c r="BW75" s="97"/>
      <c r="BX75" s="98"/>
      <c r="BY75" s="12"/>
      <c r="BZ75" s="99"/>
      <c r="CA75" s="99"/>
      <c r="CB75" s="99"/>
      <c r="CC75" s="99"/>
      <c r="CD75" s="99"/>
      <c r="CE75" s="99"/>
      <c r="CF75" s="99"/>
      <c r="CG75" s="99"/>
      <c r="CH75" s="99"/>
      <c r="CI75" s="100"/>
      <c r="CJ75" s="28"/>
      <c r="CL75" s="89"/>
      <c r="CM75" s="97"/>
      <c r="CN75" s="97"/>
      <c r="CO75" s="97"/>
      <c r="CP75" s="97"/>
      <c r="CQ75" s="98"/>
      <c r="CR75" s="12"/>
      <c r="CS75" s="99"/>
      <c r="CT75" s="99"/>
      <c r="CU75" s="99"/>
      <c r="CV75" s="99"/>
      <c r="CW75" s="99"/>
      <c r="CX75" s="99"/>
      <c r="CY75" s="99"/>
      <c r="CZ75" s="101"/>
      <c r="DA75" s="100"/>
      <c r="DB75" s="28"/>
      <c r="DC75" s="33"/>
      <c r="DD75" s="12"/>
      <c r="DE75" s="12"/>
      <c r="DF75" s="12"/>
      <c r="DG75" s="12"/>
      <c r="DH75" s="12"/>
      <c r="DI75" s="12"/>
      <c r="DJ75" s="12"/>
      <c r="DK75" s="101"/>
      <c r="DL75" s="101"/>
      <c r="DM75" s="101"/>
      <c r="DN75" s="101"/>
      <c r="DO75" s="101"/>
      <c r="DP75" s="101"/>
      <c r="DQ75" s="101"/>
      <c r="DR75" s="101"/>
      <c r="DS75" s="101"/>
      <c r="DT75" s="101"/>
      <c r="DU75" s="100"/>
      <c r="DV75" s="28"/>
      <c r="DX75" s="12"/>
      <c r="DY75" s="12"/>
      <c r="DZ75" s="12"/>
      <c r="EA75" s="12"/>
      <c r="EB75" s="12"/>
      <c r="EC75" s="12"/>
      <c r="ED75" s="12"/>
      <c r="EE75" s="101"/>
      <c r="EF75" s="101"/>
      <c r="EG75" s="101"/>
      <c r="EH75" s="101"/>
      <c r="EI75" s="101"/>
      <c r="EJ75" s="101"/>
      <c r="EK75" s="101"/>
      <c r="EL75" s="101"/>
      <c r="EM75" s="101"/>
      <c r="EN75" s="101"/>
      <c r="EO75" s="100"/>
      <c r="EP75" s="28"/>
      <c r="ER75" s="12"/>
      <c r="ES75" s="12"/>
      <c r="ET75" s="12"/>
      <c r="EU75" s="12"/>
      <c r="EV75" s="12"/>
      <c r="EW75" s="12"/>
      <c r="EX75" s="12"/>
      <c r="EY75" s="101"/>
      <c r="EZ75" s="101"/>
      <c r="FA75" s="101"/>
      <c r="FB75" s="101"/>
      <c r="FC75" s="101"/>
      <c r="FD75" s="101"/>
      <c r="FE75" s="101"/>
      <c r="FF75" s="101"/>
      <c r="FG75" s="101"/>
      <c r="FH75" s="101"/>
      <c r="FI75" s="101"/>
      <c r="FJ75" s="101"/>
      <c r="FK75" s="101"/>
      <c r="FL75" s="101"/>
      <c r="FM75" s="101"/>
      <c r="FN75" s="101"/>
      <c r="FO75" s="101"/>
      <c r="FP75" s="101"/>
      <c r="FQ75" s="101"/>
      <c r="FR75" s="101"/>
      <c r="FS75" s="101"/>
      <c r="FT75" s="100"/>
      <c r="FU75" s="114"/>
      <c r="FW75" s="12"/>
      <c r="FX75" s="12"/>
      <c r="FY75" s="12"/>
      <c r="FZ75" s="12"/>
      <c r="GA75" s="12"/>
      <c r="GB75" s="12"/>
      <c r="GC75" s="12"/>
      <c r="GD75" s="103"/>
      <c r="GE75" s="103"/>
      <c r="GF75" s="103"/>
      <c r="GG75" s="103"/>
      <c r="GH75" s="103"/>
      <c r="GI75" s="103"/>
      <c r="GJ75" s="103"/>
      <c r="GK75" s="103"/>
      <c r="GL75" s="103"/>
      <c r="GM75" s="103"/>
      <c r="GN75" s="103"/>
      <c r="GO75" s="103"/>
      <c r="GP75" s="103"/>
      <c r="GQ75" s="100"/>
      <c r="GR75" s="114"/>
      <c r="GT75" s="12"/>
      <c r="GU75" s="12"/>
      <c r="GV75" s="12"/>
      <c r="GW75" s="12"/>
      <c r="GX75" s="12"/>
      <c r="GY75" s="12"/>
      <c r="GZ75" s="12"/>
      <c r="HA75" s="32"/>
      <c r="HB75" s="32"/>
      <c r="HC75" s="32"/>
      <c r="HD75" s="32"/>
      <c r="HE75" s="32"/>
      <c r="HF75" s="32"/>
      <c r="HG75" s="32"/>
      <c r="HH75" s="32"/>
      <c r="HI75" s="32"/>
      <c r="HJ75" s="32"/>
      <c r="HK75" s="32"/>
      <c r="HL75" s="100"/>
      <c r="HM75" s="114"/>
      <c r="HO75" s="12"/>
      <c r="HP75" s="12"/>
      <c r="HQ75" s="12"/>
      <c r="HR75" s="12"/>
      <c r="HS75" s="12"/>
      <c r="HT75" s="12"/>
      <c r="HU75" s="12"/>
      <c r="HV75" s="32"/>
      <c r="HW75" s="100"/>
      <c r="HX75" s="114"/>
      <c r="HZ75" s="12"/>
      <c r="IA75" s="12"/>
      <c r="IB75" s="12"/>
      <c r="IC75" s="12"/>
      <c r="ID75" s="12"/>
      <c r="IE75" s="12"/>
      <c r="IF75" s="12"/>
      <c r="IG75" s="32"/>
      <c r="IH75" s="93"/>
      <c r="II75" s="93"/>
      <c r="IJ75" s="93"/>
      <c r="IK75" s="93"/>
      <c r="IL75" s="93"/>
      <c r="IM75" s="100"/>
      <c r="IN75" s="114"/>
      <c r="IP75" s="12"/>
      <c r="IQ75" s="12"/>
      <c r="IR75" s="12"/>
      <c r="IS75" s="12"/>
      <c r="IT75" s="12"/>
      <c r="IU75" s="12"/>
      <c r="IV75" s="12"/>
      <c r="IW75" s="32"/>
      <c r="IX75" s="93"/>
      <c r="IY75" s="100"/>
      <c r="IZ75" s="114"/>
      <c r="JB75" s="710" t="s">
        <v>235</v>
      </c>
      <c r="JC75" s="711"/>
      <c r="JD75" s="711"/>
      <c r="JE75" s="711"/>
      <c r="JF75" s="711"/>
      <c r="JG75" s="712"/>
      <c r="JH75" s="13">
        <v>15</v>
      </c>
      <c r="JI75" s="32"/>
      <c r="JJ75" s="93"/>
      <c r="JK75" s="93"/>
      <c r="JL75" s="93"/>
      <c r="JM75" s="93"/>
      <c r="JN75" s="93"/>
      <c r="JO75" s="93"/>
      <c r="JP75" s="93"/>
      <c r="JQ75" s="93"/>
      <c r="JR75" s="93"/>
      <c r="JS75" s="93"/>
      <c r="JT75" s="93"/>
      <c r="JU75" s="93"/>
      <c r="JV75" s="93"/>
      <c r="JW75" s="93"/>
      <c r="JX75" s="93"/>
      <c r="JY75" s="93"/>
      <c r="JZ75" s="93"/>
      <c r="KA75" s="93">
        <v>17</v>
      </c>
      <c r="KB75" s="93">
        <v>1</v>
      </c>
      <c r="KC75" s="93"/>
      <c r="KD75" s="93"/>
      <c r="KE75" s="30">
        <f>SUM(JI75:KD75)</f>
        <v>18</v>
      </c>
      <c r="KF75" s="28">
        <f>KE75*JH75</f>
        <v>270</v>
      </c>
      <c r="KH75" s="693" t="s">
        <v>235</v>
      </c>
      <c r="KI75" s="694"/>
      <c r="KJ75" s="694"/>
      <c r="KK75" s="694"/>
      <c r="KL75" s="694"/>
      <c r="KM75" s="695"/>
      <c r="KN75" s="13">
        <v>15</v>
      </c>
      <c r="KO75" s="32">
        <v>4</v>
      </c>
      <c r="KP75" s="93"/>
      <c r="KQ75" s="93"/>
      <c r="KR75" s="93">
        <v>4</v>
      </c>
      <c r="KS75" s="30">
        <f>SUM(KO75:KR75)</f>
        <v>8</v>
      </c>
      <c r="KT75" s="28">
        <f>KS75*KN75</f>
        <v>120</v>
      </c>
      <c r="KV75" s="693" t="s">
        <v>235</v>
      </c>
      <c r="KW75" s="694"/>
      <c r="KX75" s="694"/>
      <c r="KY75" s="694"/>
      <c r="KZ75" s="694"/>
      <c r="LA75" s="695"/>
      <c r="LB75" s="13">
        <v>15</v>
      </c>
      <c r="LC75" s="32"/>
      <c r="LD75" s="93"/>
      <c r="LE75" s="93"/>
      <c r="LF75" s="30">
        <f>SUM(LC75:LE75)</f>
        <v>0</v>
      </c>
      <c r="LG75" s="28">
        <f>LF75*LB75</f>
        <v>0</v>
      </c>
      <c r="LI75" s="693" t="s">
        <v>235</v>
      </c>
      <c r="LJ75" s="694"/>
      <c r="LK75" s="694"/>
      <c r="LL75" s="694"/>
      <c r="LM75" s="694"/>
      <c r="LN75" s="695"/>
      <c r="LO75" s="13">
        <v>15</v>
      </c>
      <c r="LP75" s="32"/>
      <c r="LQ75" s="93"/>
      <c r="LR75" s="93"/>
      <c r="LS75" s="93"/>
      <c r="LT75" s="93"/>
      <c r="LU75" s="93"/>
      <c r="LV75" s="93"/>
      <c r="LW75" s="93"/>
      <c r="LX75" s="93"/>
      <c r="LY75" s="93">
        <v>1</v>
      </c>
      <c r="LZ75" s="93"/>
      <c r="MA75" s="93"/>
      <c r="MB75" s="93"/>
      <c r="MC75" s="93">
        <v>17</v>
      </c>
      <c r="MD75" s="93"/>
      <c r="ME75" s="30">
        <f t="shared" si="57"/>
        <v>18</v>
      </c>
      <c r="MF75" s="28">
        <f t="shared" si="54"/>
        <v>270</v>
      </c>
      <c r="MH75" s="693" t="s">
        <v>235</v>
      </c>
      <c r="MI75" s="694"/>
      <c r="MJ75" s="694"/>
      <c r="MK75" s="694"/>
      <c r="ML75" s="694"/>
      <c r="MM75" s="695"/>
      <c r="MN75" s="13">
        <v>15</v>
      </c>
      <c r="MO75" s="32"/>
      <c r="MP75" s="93"/>
      <c r="MQ75" s="93"/>
      <c r="MR75" s="93"/>
      <c r="MS75" s="93">
        <v>2</v>
      </c>
      <c r="MT75" s="93">
        <v>8</v>
      </c>
      <c r="MU75" s="93"/>
      <c r="MV75" s="93"/>
      <c r="MW75" s="93"/>
      <c r="MX75" s="93"/>
      <c r="MY75" s="93"/>
      <c r="MZ75" s="93"/>
      <c r="NA75" s="93"/>
      <c r="NB75" s="93"/>
      <c r="NC75" s="93"/>
      <c r="ND75" s="30">
        <f t="shared" si="58"/>
        <v>10</v>
      </c>
      <c r="NE75" s="28">
        <f t="shared" si="55"/>
        <v>150</v>
      </c>
      <c r="NG75" s="693" t="s">
        <v>235</v>
      </c>
      <c r="NH75" s="694"/>
      <c r="NI75" s="694"/>
      <c r="NJ75" s="694"/>
      <c r="NK75" s="694"/>
      <c r="NL75" s="695"/>
      <c r="NM75" s="13">
        <v>15</v>
      </c>
      <c r="NN75" s="93"/>
      <c r="NO75" s="93"/>
      <c r="NP75" s="93"/>
      <c r="NQ75" s="93"/>
      <c r="NR75" s="93"/>
      <c r="NS75" s="93"/>
      <c r="NT75" s="93"/>
      <c r="NU75" s="93"/>
      <c r="NV75" s="93"/>
      <c r="NW75" s="93"/>
      <c r="NX75" s="93"/>
      <c r="NY75" s="93"/>
      <c r="NZ75" s="93"/>
      <c r="OA75" s="93"/>
      <c r="OB75" s="93"/>
      <c r="OC75" s="30">
        <f t="shared" si="59"/>
        <v>0</v>
      </c>
      <c r="OD75" s="28">
        <f t="shared" si="60"/>
        <v>0</v>
      </c>
    </row>
    <row r="76" spans="1:394" ht="14.45" customHeight="1" x14ac:dyDescent="0.25">
      <c r="A76" s="47"/>
      <c r="B76" s="12"/>
      <c r="C76" s="12"/>
      <c r="D76" s="12"/>
      <c r="E76" s="12"/>
      <c r="F76" s="12"/>
      <c r="G76" s="12"/>
      <c r="H76" s="12"/>
      <c r="I76" s="12"/>
      <c r="J76" s="12"/>
      <c r="K76" s="99"/>
      <c r="L76" s="34"/>
      <c r="M76" s="34"/>
      <c r="N76" s="19"/>
      <c r="O76" s="12"/>
      <c r="P76" s="12"/>
      <c r="Q76" s="12"/>
      <c r="R76" s="12"/>
      <c r="S76" s="12"/>
      <c r="T76" s="12"/>
      <c r="U76" s="12"/>
      <c r="V76" s="12"/>
      <c r="W76" s="99"/>
      <c r="X76" s="34"/>
      <c r="Y76" s="34"/>
      <c r="Z76" s="19"/>
      <c r="AA76" s="34"/>
      <c r="AB76" s="34"/>
      <c r="AC76" s="34"/>
      <c r="AD76" s="34"/>
      <c r="AE76" s="34"/>
      <c r="AF76" s="34"/>
      <c r="AG76" s="6"/>
      <c r="AH76" s="12"/>
      <c r="AI76" s="12"/>
      <c r="AJ76" s="12"/>
      <c r="AK76" s="12"/>
      <c r="AL76" s="12"/>
      <c r="AM76" s="12"/>
      <c r="AN76" s="12"/>
      <c r="AO76" s="99"/>
      <c r="AP76" s="34"/>
      <c r="AQ76" s="19"/>
      <c r="AS76" s="12"/>
      <c r="AT76" s="12"/>
      <c r="AU76" s="12"/>
      <c r="AV76" s="12"/>
      <c r="AW76" s="12"/>
      <c r="AX76" s="12"/>
      <c r="AY76" s="12"/>
      <c r="AZ76" s="99"/>
      <c r="BA76" s="99"/>
      <c r="BB76" s="99"/>
      <c r="BC76" s="99"/>
      <c r="BD76" s="100"/>
      <c r="BE76" s="28"/>
      <c r="BF76" s="25"/>
      <c r="BG76" s="12"/>
      <c r="BH76" s="12"/>
      <c r="BI76" s="12"/>
      <c r="BJ76" s="12"/>
      <c r="BK76" s="12"/>
      <c r="BL76" s="12"/>
      <c r="BM76" s="12"/>
      <c r="BN76" s="99"/>
      <c r="BO76" s="99"/>
      <c r="BP76" s="100"/>
      <c r="BQ76" s="28"/>
      <c r="BR76" s="25"/>
      <c r="BS76" s="89"/>
      <c r="BT76" s="97"/>
      <c r="BU76" s="97"/>
      <c r="BV76" s="97"/>
      <c r="BW76" s="97"/>
      <c r="BX76" s="98"/>
      <c r="BY76" s="12"/>
      <c r="BZ76" s="99"/>
      <c r="CA76" s="99"/>
      <c r="CB76" s="99"/>
      <c r="CC76" s="99"/>
      <c r="CD76" s="99"/>
      <c r="CE76" s="99"/>
      <c r="CF76" s="99"/>
      <c r="CG76" s="99"/>
      <c r="CH76" s="99"/>
      <c r="CI76" s="100"/>
      <c r="CJ76" s="28"/>
      <c r="CL76" s="89"/>
      <c r="CM76" s="97"/>
      <c r="CN76" s="97"/>
      <c r="CO76" s="97"/>
      <c r="CP76" s="97"/>
      <c r="CQ76" s="98"/>
      <c r="CR76" s="12"/>
      <c r="CS76" s="99"/>
      <c r="CT76" s="99"/>
      <c r="CU76" s="99"/>
      <c r="CV76" s="99"/>
      <c r="CW76" s="99"/>
      <c r="CX76" s="99"/>
      <c r="CY76" s="99"/>
      <c r="CZ76" s="101"/>
      <c r="DA76" s="100"/>
      <c r="DB76" s="28"/>
      <c r="DC76" s="33"/>
      <c r="DD76" s="12"/>
      <c r="DE76" s="12"/>
      <c r="DF76" s="12"/>
      <c r="DG76" s="12"/>
      <c r="DH76" s="12"/>
      <c r="DI76" s="12"/>
      <c r="DJ76" s="12"/>
      <c r="DK76" s="101"/>
      <c r="DL76" s="101"/>
      <c r="DM76" s="101"/>
      <c r="DN76" s="101"/>
      <c r="DO76" s="101"/>
      <c r="DP76" s="101"/>
      <c r="DQ76" s="101"/>
      <c r="DR76" s="101"/>
      <c r="DS76" s="101"/>
      <c r="DT76" s="101"/>
      <c r="DU76" s="100"/>
      <c r="DV76" s="28"/>
      <c r="DX76" s="12"/>
      <c r="DY76" s="12"/>
      <c r="DZ76" s="12"/>
      <c r="EA76" s="12"/>
      <c r="EB76" s="12"/>
      <c r="EC76" s="12"/>
      <c r="ED76" s="12"/>
      <c r="EE76" s="101"/>
      <c r="EF76" s="101"/>
      <c r="EG76" s="101"/>
      <c r="EH76" s="101"/>
      <c r="EI76" s="101"/>
      <c r="EJ76" s="101"/>
      <c r="EK76" s="101"/>
      <c r="EL76" s="101"/>
      <c r="EM76" s="101"/>
      <c r="EN76" s="101"/>
      <c r="EO76" s="100"/>
      <c r="EP76" s="28"/>
      <c r="ER76" s="12"/>
      <c r="ES76" s="12"/>
      <c r="ET76" s="12"/>
      <c r="EU76" s="12"/>
      <c r="EV76" s="12"/>
      <c r="EW76" s="12"/>
      <c r="EX76" s="12"/>
      <c r="EY76" s="101"/>
      <c r="EZ76" s="101"/>
      <c r="FA76" s="101"/>
      <c r="FB76" s="101"/>
      <c r="FC76" s="101"/>
      <c r="FD76" s="101"/>
      <c r="FE76" s="101"/>
      <c r="FF76" s="101"/>
      <c r="FG76" s="101"/>
      <c r="FH76" s="101"/>
      <c r="FI76" s="101"/>
      <c r="FJ76" s="101"/>
      <c r="FK76" s="101"/>
      <c r="FL76" s="101"/>
      <c r="FM76" s="101"/>
      <c r="FN76" s="101"/>
      <c r="FO76" s="101"/>
      <c r="FP76" s="101"/>
      <c r="FQ76" s="101"/>
      <c r="FR76" s="101"/>
      <c r="FS76" s="101"/>
      <c r="FT76" s="100"/>
      <c r="FU76" s="114"/>
      <c r="FW76" s="12"/>
      <c r="FX76" s="12"/>
      <c r="FY76" s="12"/>
      <c r="FZ76" s="12"/>
      <c r="GA76" s="12"/>
      <c r="GB76" s="12"/>
      <c r="GC76" s="12"/>
      <c r="GD76" s="103"/>
      <c r="GE76" s="103"/>
      <c r="GF76" s="103"/>
      <c r="GG76" s="103"/>
      <c r="GH76" s="103"/>
      <c r="GI76" s="103"/>
      <c r="GJ76" s="103"/>
      <c r="GK76" s="103"/>
      <c r="GL76" s="103"/>
      <c r="GM76" s="103"/>
      <c r="GN76" s="103"/>
      <c r="GO76" s="103"/>
      <c r="GP76" s="103"/>
      <c r="GQ76" s="100"/>
      <c r="GR76" s="114"/>
      <c r="GT76" s="12"/>
      <c r="GU76" s="12"/>
      <c r="GV76" s="12"/>
      <c r="GW76" s="12"/>
      <c r="GX76" s="12"/>
      <c r="GY76" s="12"/>
      <c r="GZ76" s="12"/>
      <c r="HA76" s="32"/>
      <c r="HB76" s="32"/>
      <c r="HC76" s="32"/>
      <c r="HD76" s="32"/>
      <c r="HE76" s="32"/>
      <c r="HF76" s="32"/>
      <c r="HG76" s="32"/>
      <c r="HH76" s="32"/>
      <c r="HI76" s="32"/>
      <c r="HJ76" s="32"/>
      <c r="HK76" s="32"/>
      <c r="HL76" s="100"/>
      <c r="HM76" s="114"/>
      <c r="HO76" s="12"/>
      <c r="HP76" s="12"/>
      <c r="HQ76" s="12"/>
      <c r="HR76" s="12"/>
      <c r="HS76" s="12"/>
      <c r="HT76" s="12"/>
      <c r="HU76" s="12"/>
      <c r="HV76" s="32"/>
      <c r="HW76" s="100"/>
      <c r="HX76" s="114"/>
      <c r="HZ76" s="12"/>
      <c r="IA76" s="12"/>
      <c r="IB76" s="12"/>
      <c r="IC76" s="12"/>
      <c r="ID76" s="12"/>
      <c r="IE76" s="12"/>
      <c r="IF76" s="12"/>
      <c r="IG76" s="32"/>
      <c r="IH76" s="93"/>
      <c r="II76" s="93"/>
      <c r="IJ76" s="93"/>
      <c r="IK76" s="93"/>
      <c r="IL76" s="93"/>
      <c r="IM76" s="100"/>
      <c r="IN76" s="114"/>
      <c r="IP76" s="12"/>
      <c r="IQ76" s="12"/>
      <c r="IR76" s="12"/>
      <c r="IS76" s="12"/>
      <c r="IT76" s="12"/>
      <c r="IU76" s="12"/>
      <c r="IV76" s="12"/>
      <c r="IW76" s="32"/>
      <c r="IX76" s="93"/>
      <c r="IY76" s="100"/>
      <c r="IZ76" s="114"/>
      <c r="JB76" s="12"/>
      <c r="JC76" s="12"/>
      <c r="JD76" s="12"/>
      <c r="JE76" s="12"/>
      <c r="JF76" s="12"/>
      <c r="JG76" s="12"/>
      <c r="JH76" s="12"/>
      <c r="JI76" s="32"/>
      <c r="JJ76" s="93"/>
      <c r="JK76" s="93"/>
      <c r="JL76" s="93"/>
      <c r="JM76" s="93"/>
      <c r="JN76" s="93"/>
      <c r="JO76" s="93"/>
      <c r="JP76" s="93"/>
      <c r="JQ76" s="93"/>
      <c r="JR76" s="93"/>
      <c r="JS76" s="93"/>
      <c r="JT76" s="93"/>
      <c r="JU76" s="93"/>
      <c r="JV76" s="93"/>
      <c r="JW76" s="93"/>
      <c r="JX76" s="93"/>
      <c r="JY76" s="93"/>
      <c r="JZ76" s="93"/>
      <c r="KA76" s="93"/>
      <c r="KB76" s="93"/>
      <c r="KC76" s="93"/>
      <c r="KD76" s="101"/>
      <c r="KE76" s="100"/>
      <c r="KF76" s="114"/>
      <c r="KH76" s="12"/>
      <c r="KI76" s="12"/>
      <c r="KJ76" s="12"/>
      <c r="KK76" s="12"/>
      <c r="KL76" s="12"/>
      <c r="KM76" s="12"/>
      <c r="KN76" s="12"/>
      <c r="KO76" s="192"/>
      <c r="KP76" s="193"/>
      <c r="KQ76" s="193"/>
      <c r="KR76" s="193"/>
      <c r="KS76" s="100"/>
      <c r="KT76" s="114"/>
      <c r="KV76" s="702" t="s">
        <v>260</v>
      </c>
      <c r="KW76" s="703"/>
      <c r="KX76" s="703"/>
      <c r="KY76" s="703"/>
      <c r="KZ76" s="703"/>
      <c r="LA76" s="704"/>
      <c r="LB76" s="28">
        <v>9</v>
      </c>
      <c r="LC76" s="51">
        <v>1</v>
      </c>
      <c r="LD76" s="73"/>
      <c r="LE76" s="73"/>
      <c r="LF76" s="30">
        <f t="shared" ref="LF76:LF90" si="61">SUM(LC76:LE76)</f>
        <v>1</v>
      </c>
      <c r="LG76" s="28">
        <f t="shared" ref="LG76:LG90" si="62">LF76*LB76</f>
        <v>9</v>
      </c>
      <c r="LI76" s="702" t="s">
        <v>260</v>
      </c>
      <c r="LJ76" s="703"/>
      <c r="LK76" s="703"/>
      <c r="LL76" s="703"/>
      <c r="LM76" s="703"/>
      <c r="LN76" s="704"/>
      <c r="LO76" s="28">
        <v>9</v>
      </c>
      <c r="LP76" s="51"/>
      <c r="LQ76" s="73"/>
      <c r="LR76" s="73"/>
      <c r="LS76" s="73"/>
      <c r="LT76" s="73"/>
      <c r="LU76" s="73"/>
      <c r="LV76" s="73"/>
      <c r="LW76" s="73"/>
      <c r="LX76" s="73"/>
      <c r="LY76" s="73"/>
      <c r="LZ76" s="73"/>
      <c r="MA76" s="73"/>
      <c r="MB76" s="73"/>
      <c r="MC76" s="73"/>
      <c r="MD76" s="73"/>
      <c r="ME76" s="30">
        <f t="shared" si="57"/>
        <v>0</v>
      </c>
      <c r="MF76" s="28">
        <f t="shared" si="54"/>
        <v>0</v>
      </c>
      <c r="MH76" s="702" t="s">
        <v>260</v>
      </c>
      <c r="MI76" s="703"/>
      <c r="MJ76" s="703"/>
      <c r="MK76" s="703"/>
      <c r="ML76" s="703"/>
      <c r="MM76" s="704"/>
      <c r="MN76" s="28">
        <v>9</v>
      </c>
      <c r="MO76" s="51"/>
      <c r="MP76" s="73"/>
      <c r="MQ76" s="73"/>
      <c r="MR76" s="73"/>
      <c r="MS76" s="73"/>
      <c r="MT76" s="73"/>
      <c r="MU76" s="73"/>
      <c r="MV76" s="73"/>
      <c r="MW76" s="73"/>
      <c r="MX76" s="73"/>
      <c r="MY76" s="73"/>
      <c r="MZ76" s="73"/>
      <c r="NA76" s="73"/>
      <c r="NB76" s="73"/>
      <c r="NC76" s="73"/>
      <c r="ND76" s="30">
        <f t="shared" si="58"/>
        <v>0</v>
      </c>
      <c r="NE76" s="28">
        <f t="shared" si="55"/>
        <v>0</v>
      </c>
      <c r="NG76" s="702" t="s">
        <v>260</v>
      </c>
      <c r="NH76" s="703"/>
      <c r="NI76" s="703"/>
      <c r="NJ76" s="703"/>
      <c r="NK76" s="703"/>
      <c r="NL76" s="704"/>
      <c r="NM76" s="28">
        <v>9</v>
      </c>
      <c r="NN76" s="73"/>
      <c r="NO76" s="73"/>
      <c r="NP76" s="73"/>
      <c r="NQ76" s="73"/>
      <c r="NR76" s="73"/>
      <c r="NS76" s="73"/>
      <c r="NT76" s="73"/>
      <c r="NU76" s="73"/>
      <c r="NV76" s="73"/>
      <c r="NW76" s="73"/>
      <c r="NX76" s="73"/>
      <c r="NY76" s="73"/>
      <c r="NZ76" s="73"/>
      <c r="OA76" s="73"/>
      <c r="OB76" s="73"/>
      <c r="OC76" s="30">
        <f t="shared" si="59"/>
        <v>0</v>
      </c>
      <c r="OD76" s="28">
        <f t="shared" si="60"/>
        <v>0</v>
      </c>
    </row>
    <row r="77" spans="1:394" ht="14.45" customHeight="1" x14ac:dyDescent="0.25">
      <c r="A77" s="47"/>
      <c r="B77" s="12"/>
      <c r="C77" s="12"/>
      <c r="D77" s="12"/>
      <c r="E77" s="12"/>
      <c r="F77" s="12"/>
      <c r="G77" s="12"/>
      <c r="H77" s="12"/>
      <c r="I77" s="12"/>
      <c r="J77" s="12"/>
      <c r="K77" s="99"/>
      <c r="L77" s="34"/>
      <c r="M77" s="34"/>
      <c r="N77" s="19"/>
      <c r="O77" s="12"/>
      <c r="P77" s="12"/>
      <c r="Q77" s="12"/>
      <c r="R77" s="12"/>
      <c r="S77" s="12"/>
      <c r="T77" s="12"/>
      <c r="U77" s="12"/>
      <c r="V77" s="12"/>
      <c r="W77" s="99"/>
      <c r="X77" s="34"/>
      <c r="Y77" s="34"/>
      <c r="Z77" s="19"/>
      <c r="AA77" s="34"/>
      <c r="AB77" s="34"/>
      <c r="AC77" s="34"/>
      <c r="AD77" s="34"/>
      <c r="AE77" s="34"/>
      <c r="AF77" s="34"/>
      <c r="AG77" s="6"/>
      <c r="AH77" s="12"/>
      <c r="AI77" s="12"/>
      <c r="AJ77" s="12"/>
      <c r="AK77" s="12"/>
      <c r="AL77" s="12"/>
      <c r="AM77" s="12"/>
      <c r="AN77" s="12"/>
      <c r="AO77" s="99"/>
      <c r="AP77" s="34"/>
      <c r="AQ77" s="19"/>
      <c r="AS77" s="12"/>
      <c r="AT77" s="12"/>
      <c r="AU77" s="12"/>
      <c r="AV77" s="12"/>
      <c r="AW77" s="12"/>
      <c r="AX77" s="12"/>
      <c r="AY77" s="12"/>
      <c r="AZ77" s="99"/>
      <c r="BA77" s="99"/>
      <c r="BB77" s="99"/>
      <c r="BC77" s="99"/>
      <c r="BD77" s="100"/>
      <c r="BE77" s="28"/>
      <c r="BF77" s="25"/>
      <c r="BG77" s="12"/>
      <c r="BH77" s="12"/>
      <c r="BI77" s="12"/>
      <c r="BJ77" s="12"/>
      <c r="BK77" s="12"/>
      <c r="BL77" s="12"/>
      <c r="BM77" s="12"/>
      <c r="BN77" s="99"/>
      <c r="BO77" s="99"/>
      <c r="BP77" s="100"/>
      <c r="BQ77" s="28"/>
      <c r="BR77" s="25"/>
      <c r="BS77" s="89"/>
      <c r="BT77" s="97"/>
      <c r="BU77" s="97"/>
      <c r="BV77" s="97"/>
      <c r="BW77" s="97"/>
      <c r="BX77" s="98"/>
      <c r="BY77" s="12"/>
      <c r="BZ77" s="99"/>
      <c r="CA77" s="99"/>
      <c r="CB77" s="99"/>
      <c r="CC77" s="99"/>
      <c r="CD77" s="99"/>
      <c r="CE77" s="99"/>
      <c r="CF77" s="99"/>
      <c r="CG77" s="99"/>
      <c r="CH77" s="99"/>
      <c r="CI77" s="100"/>
      <c r="CJ77" s="28"/>
      <c r="CL77" s="89"/>
      <c r="CM77" s="97"/>
      <c r="CN77" s="97"/>
      <c r="CO77" s="97"/>
      <c r="CP77" s="97"/>
      <c r="CQ77" s="98"/>
      <c r="CR77" s="12"/>
      <c r="CS77" s="99"/>
      <c r="CT77" s="99"/>
      <c r="CU77" s="99"/>
      <c r="CV77" s="99"/>
      <c r="CW77" s="99"/>
      <c r="CX77" s="99"/>
      <c r="CY77" s="99"/>
      <c r="CZ77" s="101"/>
      <c r="DA77" s="100"/>
      <c r="DB77" s="28"/>
      <c r="DC77" s="33"/>
      <c r="DD77" s="12"/>
      <c r="DE77" s="12"/>
      <c r="DF77" s="12"/>
      <c r="DG77" s="12"/>
      <c r="DH77" s="12"/>
      <c r="DI77" s="12"/>
      <c r="DJ77" s="12"/>
      <c r="DK77" s="101"/>
      <c r="DL77" s="101"/>
      <c r="DM77" s="101"/>
      <c r="DN77" s="101"/>
      <c r="DO77" s="101"/>
      <c r="DP77" s="101"/>
      <c r="DQ77" s="101"/>
      <c r="DR77" s="101"/>
      <c r="DS77" s="101"/>
      <c r="DT77" s="101"/>
      <c r="DU77" s="100"/>
      <c r="DV77" s="28"/>
      <c r="DX77" s="12"/>
      <c r="DY77" s="12"/>
      <c r="DZ77" s="12"/>
      <c r="EA77" s="12"/>
      <c r="EB77" s="12"/>
      <c r="EC77" s="12"/>
      <c r="ED77" s="12"/>
      <c r="EE77" s="101"/>
      <c r="EF77" s="101"/>
      <c r="EG77" s="101"/>
      <c r="EH77" s="101"/>
      <c r="EI77" s="101"/>
      <c r="EJ77" s="101"/>
      <c r="EK77" s="101"/>
      <c r="EL77" s="101"/>
      <c r="EM77" s="101"/>
      <c r="EN77" s="101"/>
      <c r="EO77" s="100"/>
      <c r="EP77" s="28"/>
      <c r="ER77" s="12"/>
      <c r="ES77" s="12"/>
      <c r="ET77" s="12"/>
      <c r="EU77" s="12"/>
      <c r="EV77" s="12"/>
      <c r="EW77" s="12"/>
      <c r="EX77" s="12"/>
      <c r="EY77" s="101"/>
      <c r="EZ77" s="101"/>
      <c r="FA77" s="101"/>
      <c r="FB77" s="101"/>
      <c r="FC77" s="101"/>
      <c r="FD77" s="101"/>
      <c r="FE77" s="101"/>
      <c r="FF77" s="101"/>
      <c r="FG77" s="101"/>
      <c r="FH77" s="101"/>
      <c r="FI77" s="101"/>
      <c r="FJ77" s="101"/>
      <c r="FK77" s="101"/>
      <c r="FL77" s="101"/>
      <c r="FM77" s="101"/>
      <c r="FN77" s="101"/>
      <c r="FO77" s="101"/>
      <c r="FP77" s="101"/>
      <c r="FQ77" s="101"/>
      <c r="FR77" s="101"/>
      <c r="FS77" s="101"/>
      <c r="FT77" s="100"/>
      <c r="FU77" s="114"/>
      <c r="FW77" s="12"/>
      <c r="FX77" s="12"/>
      <c r="FY77" s="12"/>
      <c r="FZ77" s="12"/>
      <c r="GA77" s="12"/>
      <c r="GB77" s="12"/>
      <c r="GC77" s="12"/>
      <c r="GD77" s="103"/>
      <c r="GE77" s="103"/>
      <c r="GF77" s="103"/>
      <c r="GG77" s="103"/>
      <c r="GH77" s="103"/>
      <c r="GI77" s="103"/>
      <c r="GJ77" s="103"/>
      <c r="GK77" s="103"/>
      <c r="GL77" s="103"/>
      <c r="GM77" s="103"/>
      <c r="GN77" s="103"/>
      <c r="GO77" s="103"/>
      <c r="GP77" s="103"/>
      <c r="GQ77" s="100"/>
      <c r="GR77" s="114"/>
      <c r="GT77" s="12"/>
      <c r="GU77" s="12"/>
      <c r="GV77" s="12"/>
      <c r="GW77" s="12"/>
      <c r="GX77" s="12"/>
      <c r="GY77" s="12"/>
      <c r="GZ77" s="12"/>
      <c r="HA77" s="32"/>
      <c r="HB77" s="32"/>
      <c r="HC77" s="32"/>
      <c r="HD77" s="32"/>
      <c r="HE77" s="32"/>
      <c r="HF77" s="32"/>
      <c r="HG77" s="32"/>
      <c r="HH77" s="32"/>
      <c r="HI77" s="32"/>
      <c r="HJ77" s="32"/>
      <c r="HK77" s="32"/>
      <c r="HL77" s="100"/>
      <c r="HM77" s="114"/>
      <c r="HO77" s="12"/>
      <c r="HP77" s="12"/>
      <c r="HQ77" s="12"/>
      <c r="HR77" s="12"/>
      <c r="HS77" s="12"/>
      <c r="HT77" s="12"/>
      <c r="HU77" s="12"/>
      <c r="HV77" s="32"/>
      <c r="HW77" s="100"/>
      <c r="HX77" s="114"/>
      <c r="HZ77" s="12"/>
      <c r="IA77" s="12"/>
      <c r="IB77" s="12"/>
      <c r="IC77" s="12"/>
      <c r="ID77" s="12"/>
      <c r="IE77" s="12"/>
      <c r="IF77" s="12"/>
      <c r="IG77" s="32"/>
      <c r="IH77" s="93"/>
      <c r="II77" s="93"/>
      <c r="IJ77" s="93"/>
      <c r="IK77" s="93"/>
      <c r="IL77" s="93"/>
      <c r="IM77" s="100"/>
      <c r="IN77" s="114"/>
      <c r="IP77" s="12"/>
      <c r="IQ77" s="12"/>
      <c r="IR77" s="12"/>
      <c r="IS77" s="12"/>
      <c r="IT77" s="12"/>
      <c r="IU77" s="12"/>
      <c r="IV77" s="12"/>
      <c r="IW77" s="32"/>
      <c r="IX77" s="93"/>
      <c r="IY77" s="100"/>
      <c r="IZ77" s="114"/>
      <c r="JB77" s="12"/>
      <c r="JC77" s="12"/>
      <c r="JD77" s="12"/>
      <c r="JE77" s="12"/>
      <c r="JF77" s="12"/>
      <c r="JG77" s="12"/>
      <c r="JH77" s="12"/>
      <c r="JI77" s="32"/>
      <c r="JJ77" s="93"/>
      <c r="JK77" s="93"/>
      <c r="JL77" s="93"/>
      <c r="JM77" s="93"/>
      <c r="JN77" s="93"/>
      <c r="JO77" s="93"/>
      <c r="JP77" s="93"/>
      <c r="JQ77" s="93"/>
      <c r="JR77" s="93"/>
      <c r="JS77" s="93"/>
      <c r="JT77" s="93"/>
      <c r="JU77" s="93"/>
      <c r="JV77" s="93"/>
      <c r="JW77" s="93"/>
      <c r="JX77" s="93"/>
      <c r="JY77" s="93"/>
      <c r="JZ77" s="93"/>
      <c r="KA77" s="93"/>
      <c r="KB77" s="93"/>
      <c r="KC77" s="93"/>
      <c r="KD77" s="101"/>
      <c r="KE77" s="100"/>
      <c r="KF77" s="114"/>
      <c r="KH77" s="12"/>
      <c r="KI77" s="12"/>
      <c r="KJ77" s="12"/>
      <c r="KK77" s="12"/>
      <c r="KL77" s="12"/>
      <c r="KM77" s="12"/>
      <c r="KN77" s="12"/>
      <c r="KO77" s="192"/>
      <c r="KP77" s="193"/>
      <c r="KQ77" s="193"/>
      <c r="KR77" s="193"/>
      <c r="KS77" s="100"/>
      <c r="KT77" s="114"/>
      <c r="KV77" s="642" t="s">
        <v>246</v>
      </c>
      <c r="KW77" s="643"/>
      <c r="KX77" s="643"/>
      <c r="KY77" s="643"/>
      <c r="KZ77" s="643"/>
      <c r="LA77" s="705"/>
      <c r="LB77" s="13">
        <v>13</v>
      </c>
      <c r="LC77" s="32"/>
      <c r="LD77" s="93"/>
      <c r="LE77" s="93"/>
      <c r="LF77" s="30">
        <f t="shared" si="61"/>
        <v>0</v>
      </c>
      <c r="LG77" s="28">
        <f t="shared" si="62"/>
        <v>0</v>
      </c>
      <c r="LI77" s="642" t="s">
        <v>246</v>
      </c>
      <c r="LJ77" s="643"/>
      <c r="LK77" s="643"/>
      <c r="LL77" s="643"/>
      <c r="LM77" s="643"/>
      <c r="LN77" s="705"/>
      <c r="LO77" s="13">
        <v>13</v>
      </c>
      <c r="LP77" s="32"/>
      <c r="LQ77" s="93"/>
      <c r="LR77" s="93"/>
      <c r="LS77" s="93"/>
      <c r="LT77" s="93"/>
      <c r="LU77" s="93"/>
      <c r="LV77" s="93"/>
      <c r="LW77" s="93"/>
      <c r="LX77" s="93"/>
      <c r="LY77" s="93"/>
      <c r="LZ77" s="93"/>
      <c r="MA77" s="93"/>
      <c r="MB77" s="93"/>
      <c r="MC77" s="93"/>
      <c r="MD77" s="93"/>
      <c r="ME77" s="30">
        <f t="shared" si="57"/>
        <v>0</v>
      </c>
      <c r="MF77" s="28">
        <f t="shared" si="54"/>
        <v>0</v>
      </c>
      <c r="MH77" s="642" t="s">
        <v>246</v>
      </c>
      <c r="MI77" s="643"/>
      <c r="MJ77" s="643"/>
      <c r="MK77" s="643"/>
      <c r="ML77" s="643"/>
      <c r="MM77" s="705"/>
      <c r="MN77" s="13">
        <v>13</v>
      </c>
      <c r="MO77" s="32"/>
      <c r="MP77" s="93"/>
      <c r="MQ77" s="93"/>
      <c r="MR77" s="93"/>
      <c r="MS77" s="93"/>
      <c r="MT77" s="93"/>
      <c r="MU77" s="93"/>
      <c r="MV77" s="93"/>
      <c r="MW77" s="93"/>
      <c r="MX77" s="93"/>
      <c r="MY77" s="93"/>
      <c r="MZ77" s="93"/>
      <c r="NA77" s="93"/>
      <c r="NB77" s="93"/>
      <c r="NC77" s="93"/>
      <c r="ND77" s="30">
        <f t="shared" si="58"/>
        <v>0</v>
      </c>
      <c r="NE77" s="28">
        <f t="shared" si="55"/>
        <v>0</v>
      </c>
      <c r="NG77" s="642" t="s">
        <v>246</v>
      </c>
      <c r="NH77" s="643"/>
      <c r="NI77" s="643"/>
      <c r="NJ77" s="643"/>
      <c r="NK77" s="643"/>
      <c r="NL77" s="705"/>
      <c r="NM77" s="13">
        <v>13</v>
      </c>
      <c r="NN77" s="93"/>
      <c r="NO77" s="93"/>
      <c r="NP77" s="93"/>
      <c r="NQ77" s="93"/>
      <c r="NR77" s="93"/>
      <c r="NS77" s="93">
        <v>5</v>
      </c>
      <c r="NT77" s="93"/>
      <c r="NU77" s="93"/>
      <c r="NV77" s="93"/>
      <c r="NW77" s="93"/>
      <c r="NX77" s="93"/>
      <c r="NY77" s="93"/>
      <c r="NZ77" s="93"/>
      <c r="OA77" s="93"/>
      <c r="OB77" s="93"/>
      <c r="OC77" s="30">
        <f t="shared" si="59"/>
        <v>5</v>
      </c>
      <c r="OD77" s="28">
        <f t="shared" si="60"/>
        <v>65</v>
      </c>
    </row>
    <row r="78" spans="1:394" ht="14.45" customHeight="1" x14ac:dyDescent="0.25">
      <c r="A78" s="47"/>
      <c r="B78" s="12"/>
      <c r="C78" s="12"/>
      <c r="D78" s="12"/>
      <c r="E78" s="12"/>
      <c r="F78" s="12"/>
      <c r="G78" s="12"/>
      <c r="H78" s="12"/>
      <c r="I78" s="12"/>
      <c r="J78" s="12"/>
      <c r="K78" s="99"/>
      <c r="L78" s="34"/>
      <c r="M78" s="34"/>
      <c r="N78" s="19"/>
      <c r="O78" s="12"/>
      <c r="P78" s="12"/>
      <c r="Q78" s="12"/>
      <c r="R78" s="12"/>
      <c r="S78" s="12"/>
      <c r="T78" s="12"/>
      <c r="U78" s="12"/>
      <c r="V78" s="12"/>
      <c r="W78" s="99"/>
      <c r="X78" s="34"/>
      <c r="Y78" s="34"/>
      <c r="Z78" s="19"/>
      <c r="AA78" s="34"/>
      <c r="AB78" s="34"/>
      <c r="AC78" s="34"/>
      <c r="AD78" s="34"/>
      <c r="AE78" s="34"/>
      <c r="AF78" s="34"/>
      <c r="AG78" s="6"/>
      <c r="AH78" s="12"/>
      <c r="AI78" s="12"/>
      <c r="AJ78" s="12"/>
      <c r="AK78" s="12"/>
      <c r="AL78" s="12"/>
      <c r="AM78" s="12"/>
      <c r="AN78" s="12"/>
      <c r="AO78" s="99"/>
      <c r="AP78" s="34"/>
      <c r="AQ78" s="19"/>
      <c r="AS78" s="12"/>
      <c r="AT78" s="12"/>
      <c r="AU78" s="12"/>
      <c r="AV78" s="12"/>
      <c r="AW78" s="12"/>
      <c r="AX78" s="12"/>
      <c r="AY78" s="12"/>
      <c r="AZ78" s="99"/>
      <c r="BA78" s="99"/>
      <c r="BB78" s="99"/>
      <c r="BC78" s="99"/>
      <c r="BD78" s="100"/>
      <c r="BE78" s="28"/>
      <c r="BF78" s="25"/>
      <c r="BG78" s="12"/>
      <c r="BH78" s="12"/>
      <c r="BI78" s="12"/>
      <c r="BJ78" s="12"/>
      <c r="BK78" s="12"/>
      <c r="BL78" s="12"/>
      <c r="BM78" s="12"/>
      <c r="BN78" s="99"/>
      <c r="BO78" s="99"/>
      <c r="BP78" s="100"/>
      <c r="BQ78" s="28"/>
      <c r="BR78" s="25"/>
      <c r="BS78" s="89"/>
      <c r="BT78" s="97"/>
      <c r="BU78" s="97"/>
      <c r="BV78" s="97"/>
      <c r="BW78" s="97"/>
      <c r="BX78" s="98"/>
      <c r="BY78" s="12"/>
      <c r="BZ78" s="99"/>
      <c r="CA78" s="99"/>
      <c r="CB78" s="99"/>
      <c r="CC78" s="99"/>
      <c r="CD78" s="99"/>
      <c r="CE78" s="99"/>
      <c r="CF78" s="99"/>
      <c r="CG78" s="99"/>
      <c r="CH78" s="99"/>
      <c r="CI78" s="100"/>
      <c r="CJ78" s="28"/>
      <c r="CL78" s="89"/>
      <c r="CM78" s="97"/>
      <c r="CN78" s="97"/>
      <c r="CO78" s="97"/>
      <c r="CP78" s="97"/>
      <c r="CQ78" s="98"/>
      <c r="CR78" s="12"/>
      <c r="CS78" s="99"/>
      <c r="CT78" s="99"/>
      <c r="CU78" s="99"/>
      <c r="CV78" s="99"/>
      <c r="CW78" s="99"/>
      <c r="CX78" s="99"/>
      <c r="CY78" s="99"/>
      <c r="CZ78" s="101"/>
      <c r="DA78" s="100"/>
      <c r="DB78" s="28"/>
      <c r="DC78" s="33"/>
      <c r="DD78" s="12"/>
      <c r="DE78" s="12"/>
      <c r="DF78" s="12"/>
      <c r="DG78" s="12"/>
      <c r="DH78" s="12"/>
      <c r="DI78" s="12"/>
      <c r="DJ78" s="12"/>
      <c r="DK78" s="101"/>
      <c r="DL78" s="101"/>
      <c r="DM78" s="101"/>
      <c r="DN78" s="101"/>
      <c r="DO78" s="101"/>
      <c r="DP78" s="101"/>
      <c r="DQ78" s="101"/>
      <c r="DR78" s="101"/>
      <c r="DS78" s="101"/>
      <c r="DT78" s="101"/>
      <c r="DU78" s="100"/>
      <c r="DV78" s="28"/>
      <c r="DX78" s="12"/>
      <c r="DY78" s="12"/>
      <c r="DZ78" s="12"/>
      <c r="EA78" s="12"/>
      <c r="EB78" s="12"/>
      <c r="EC78" s="12"/>
      <c r="ED78" s="12"/>
      <c r="EE78" s="101"/>
      <c r="EF78" s="101"/>
      <c r="EG78" s="101"/>
      <c r="EH78" s="101"/>
      <c r="EI78" s="101"/>
      <c r="EJ78" s="101"/>
      <c r="EK78" s="101"/>
      <c r="EL78" s="101"/>
      <c r="EM78" s="101"/>
      <c r="EN78" s="101"/>
      <c r="EO78" s="100"/>
      <c r="EP78" s="28"/>
      <c r="ER78" s="12"/>
      <c r="ES78" s="12"/>
      <c r="ET78" s="12"/>
      <c r="EU78" s="12"/>
      <c r="EV78" s="12"/>
      <c r="EW78" s="12"/>
      <c r="EX78" s="12"/>
      <c r="EY78" s="101"/>
      <c r="EZ78" s="101"/>
      <c r="FA78" s="101"/>
      <c r="FB78" s="101"/>
      <c r="FC78" s="101"/>
      <c r="FD78" s="101"/>
      <c r="FE78" s="101"/>
      <c r="FF78" s="101"/>
      <c r="FG78" s="101"/>
      <c r="FH78" s="101"/>
      <c r="FI78" s="101"/>
      <c r="FJ78" s="101"/>
      <c r="FK78" s="101"/>
      <c r="FL78" s="101"/>
      <c r="FM78" s="101"/>
      <c r="FN78" s="101"/>
      <c r="FO78" s="101"/>
      <c r="FP78" s="101"/>
      <c r="FQ78" s="101"/>
      <c r="FR78" s="101"/>
      <c r="FS78" s="101"/>
      <c r="FT78" s="100"/>
      <c r="FU78" s="114"/>
      <c r="FW78" s="12"/>
      <c r="FX78" s="12"/>
      <c r="FY78" s="12"/>
      <c r="FZ78" s="12"/>
      <c r="GA78" s="12"/>
      <c r="GB78" s="12"/>
      <c r="GC78" s="12"/>
      <c r="GD78" s="103"/>
      <c r="GE78" s="103"/>
      <c r="GF78" s="103"/>
      <c r="GG78" s="103"/>
      <c r="GH78" s="103"/>
      <c r="GI78" s="103"/>
      <c r="GJ78" s="103"/>
      <c r="GK78" s="103"/>
      <c r="GL78" s="103"/>
      <c r="GM78" s="103"/>
      <c r="GN78" s="103"/>
      <c r="GO78" s="103"/>
      <c r="GP78" s="103"/>
      <c r="GQ78" s="100"/>
      <c r="GR78" s="114"/>
      <c r="GT78" s="12"/>
      <c r="GU78" s="12"/>
      <c r="GV78" s="12"/>
      <c r="GW78" s="12"/>
      <c r="GX78" s="12"/>
      <c r="GY78" s="12"/>
      <c r="GZ78" s="12"/>
      <c r="HA78" s="32"/>
      <c r="HB78" s="32"/>
      <c r="HC78" s="32"/>
      <c r="HD78" s="32"/>
      <c r="HE78" s="32"/>
      <c r="HF78" s="32"/>
      <c r="HG78" s="32"/>
      <c r="HH78" s="32"/>
      <c r="HI78" s="32"/>
      <c r="HJ78" s="32"/>
      <c r="HK78" s="32"/>
      <c r="HL78" s="100"/>
      <c r="HM78" s="114"/>
      <c r="HO78" s="12"/>
      <c r="HP78" s="12"/>
      <c r="HQ78" s="12"/>
      <c r="HR78" s="12"/>
      <c r="HS78" s="12"/>
      <c r="HT78" s="12"/>
      <c r="HU78" s="12"/>
      <c r="HV78" s="32"/>
      <c r="HW78" s="100"/>
      <c r="HX78" s="114"/>
      <c r="HZ78" s="12"/>
      <c r="IA78" s="12"/>
      <c r="IB78" s="12"/>
      <c r="IC78" s="12"/>
      <c r="ID78" s="12"/>
      <c r="IE78" s="12"/>
      <c r="IF78" s="12"/>
      <c r="IG78" s="32"/>
      <c r="IH78" s="93"/>
      <c r="II78" s="93"/>
      <c r="IJ78" s="93"/>
      <c r="IK78" s="93"/>
      <c r="IL78" s="93"/>
      <c r="IM78" s="100"/>
      <c r="IN78" s="114"/>
      <c r="IP78" s="12"/>
      <c r="IQ78" s="12"/>
      <c r="IR78" s="12"/>
      <c r="IS78" s="12"/>
      <c r="IT78" s="12"/>
      <c r="IU78" s="12"/>
      <c r="IV78" s="12"/>
      <c r="IW78" s="32"/>
      <c r="IX78" s="93"/>
      <c r="IY78" s="100"/>
      <c r="IZ78" s="114"/>
      <c r="JB78" s="12"/>
      <c r="JC78" s="12"/>
      <c r="JD78" s="12"/>
      <c r="JE78" s="12"/>
      <c r="JF78" s="12"/>
      <c r="JG78" s="12"/>
      <c r="JH78" s="12"/>
      <c r="JI78" s="32"/>
      <c r="JJ78" s="93"/>
      <c r="JK78" s="93"/>
      <c r="JL78" s="93"/>
      <c r="JM78" s="93"/>
      <c r="JN78" s="93"/>
      <c r="JO78" s="93"/>
      <c r="JP78" s="93"/>
      <c r="JQ78" s="93"/>
      <c r="JR78" s="93"/>
      <c r="JS78" s="93"/>
      <c r="JT78" s="93"/>
      <c r="JU78" s="93"/>
      <c r="JV78" s="93"/>
      <c r="JW78" s="93"/>
      <c r="JX78" s="93"/>
      <c r="JY78" s="93"/>
      <c r="JZ78" s="93"/>
      <c r="KA78" s="93"/>
      <c r="KB78" s="93"/>
      <c r="KC78" s="93"/>
      <c r="KD78" s="101"/>
      <c r="KE78" s="100"/>
      <c r="KF78" s="114"/>
      <c r="KH78" s="12"/>
      <c r="KI78" s="12"/>
      <c r="KJ78" s="12"/>
      <c r="KK78" s="12"/>
      <c r="KL78" s="12"/>
      <c r="KM78" s="12"/>
      <c r="KN78" s="12"/>
      <c r="KO78" s="192"/>
      <c r="KP78" s="193"/>
      <c r="KQ78" s="193"/>
      <c r="KR78" s="193"/>
      <c r="KS78" s="100"/>
      <c r="KT78" s="114"/>
      <c r="KV78" s="706" t="s">
        <v>247</v>
      </c>
      <c r="KW78" s="707"/>
      <c r="KX78" s="707"/>
      <c r="KY78" s="707"/>
      <c r="KZ78" s="707"/>
      <c r="LA78" s="708"/>
      <c r="LB78" s="28">
        <v>10</v>
      </c>
      <c r="LC78" s="51"/>
      <c r="LD78" s="73"/>
      <c r="LE78" s="73"/>
      <c r="LF78" s="30">
        <f t="shared" si="61"/>
        <v>0</v>
      </c>
      <c r="LG78" s="28">
        <f t="shared" si="62"/>
        <v>0</v>
      </c>
      <c r="LI78" s="706" t="s">
        <v>247</v>
      </c>
      <c r="LJ78" s="707"/>
      <c r="LK78" s="707"/>
      <c r="LL78" s="707"/>
      <c r="LM78" s="707"/>
      <c r="LN78" s="708"/>
      <c r="LO78" s="28">
        <v>10</v>
      </c>
      <c r="LP78" s="51"/>
      <c r="LQ78" s="73"/>
      <c r="LR78" s="73"/>
      <c r="LS78" s="73"/>
      <c r="LT78" s="73"/>
      <c r="LU78" s="73"/>
      <c r="LV78" s="73"/>
      <c r="LW78" s="73"/>
      <c r="LX78" s="73"/>
      <c r="LY78" s="73"/>
      <c r="LZ78" s="73"/>
      <c r="MA78" s="73"/>
      <c r="MB78" s="73"/>
      <c r="MC78" s="73"/>
      <c r="MD78" s="73"/>
      <c r="ME78" s="30">
        <f t="shared" si="57"/>
        <v>0</v>
      </c>
      <c r="MF78" s="28">
        <f t="shared" si="54"/>
        <v>0</v>
      </c>
      <c r="MH78" s="706" t="s">
        <v>247</v>
      </c>
      <c r="MI78" s="707"/>
      <c r="MJ78" s="707"/>
      <c r="MK78" s="707"/>
      <c r="ML78" s="707"/>
      <c r="MM78" s="708"/>
      <c r="MN78" s="28">
        <v>10</v>
      </c>
      <c r="MO78" s="51"/>
      <c r="MP78" s="73"/>
      <c r="MQ78" s="73"/>
      <c r="MR78" s="73"/>
      <c r="MS78" s="73"/>
      <c r="MT78" s="73"/>
      <c r="MU78" s="73"/>
      <c r="MV78" s="73"/>
      <c r="MW78" s="73"/>
      <c r="MX78" s="73"/>
      <c r="MY78" s="73"/>
      <c r="MZ78" s="73"/>
      <c r="NA78" s="73"/>
      <c r="NB78" s="73"/>
      <c r="NC78" s="73"/>
      <c r="ND78" s="30">
        <f t="shared" si="58"/>
        <v>0</v>
      </c>
      <c r="NE78" s="28">
        <f t="shared" si="55"/>
        <v>0</v>
      </c>
      <c r="NG78" s="706" t="s">
        <v>247</v>
      </c>
      <c r="NH78" s="707"/>
      <c r="NI78" s="707"/>
      <c r="NJ78" s="707"/>
      <c r="NK78" s="707"/>
      <c r="NL78" s="708"/>
      <c r="NM78" s="28">
        <v>10</v>
      </c>
      <c r="NN78" s="73"/>
      <c r="NO78" s="73"/>
      <c r="NP78" s="73"/>
      <c r="NQ78" s="73"/>
      <c r="NR78" s="73"/>
      <c r="NS78" s="73"/>
      <c r="NT78" s="73">
        <v>8</v>
      </c>
      <c r="NU78" s="73"/>
      <c r="NV78" s="73"/>
      <c r="NW78" s="73"/>
      <c r="NX78" s="73"/>
      <c r="NY78" s="73"/>
      <c r="NZ78" s="73"/>
      <c r="OA78" s="73"/>
      <c r="OB78" s="73"/>
      <c r="OC78" s="30">
        <f t="shared" si="59"/>
        <v>8</v>
      </c>
      <c r="OD78" s="28">
        <f t="shared" si="60"/>
        <v>80</v>
      </c>
    </row>
    <row r="79" spans="1:394" ht="14.45" customHeight="1" x14ac:dyDescent="0.25">
      <c r="A79" s="47"/>
      <c r="B79" s="12"/>
      <c r="C79" s="12"/>
      <c r="D79" s="12"/>
      <c r="E79" s="12"/>
      <c r="F79" s="12"/>
      <c r="G79" s="12"/>
      <c r="H79" s="12"/>
      <c r="I79" s="12"/>
      <c r="J79" s="12"/>
      <c r="K79" s="99"/>
      <c r="L79" s="34"/>
      <c r="M79" s="34"/>
      <c r="N79" s="19"/>
      <c r="O79" s="12"/>
      <c r="P79" s="12"/>
      <c r="Q79" s="12"/>
      <c r="R79" s="12"/>
      <c r="S79" s="12"/>
      <c r="T79" s="12"/>
      <c r="U79" s="12"/>
      <c r="V79" s="12"/>
      <c r="W79" s="99"/>
      <c r="X79" s="34"/>
      <c r="Y79" s="34"/>
      <c r="Z79" s="19"/>
      <c r="AA79" s="34"/>
      <c r="AB79" s="34"/>
      <c r="AC79" s="34"/>
      <c r="AD79" s="34"/>
      <c r="AE79" s="34"/>
      <c r="AF79" s="34"/>
      <c r="AG79" s="6"/>
      <c r="AH79" s="12"/>
      <c r="AI79" s="12"/>
      <c r="AJ79" s="12"/>
      <c r="AK79" s="12"/>
      <c r="AL79" s="12"/>
      <c r="AM79" s="12"/>
      <c r="AN79" s="12"/>
      <c r="AO79" s="99"/>
      <c r="AP79" s="34"/>
      <c r="AQ79" s="19"/>
      <c r="AS79" s="12"/>
      <c r="AT79" s="12"/>
      <c r="AU79" s="12"/>
      <c r="AV79" s="12"/>
      <c r="AW79" s="12"/>
      <c r="AX79" s="12"/>
      <c r="AY79" s="12"/>
      <c r="AZ79" s="99"/>
      <c r="BA79" s="99"/>
      <c r="BB79" s="99"/>
      <c r="BC79" s="99"/>
      <c r="BD79" s="100"/>
      <c r="BE79" s="28"/>
      <c r="BF79" s="25"/>
      <c r="BG79" s="12"/>
      <c r="BH79" s="12"/>
      <c r="BI79" s="12"/>
      <c r="BJ79" s="12"/>
      <c r="BK79" s="12"/>
      <c r="BL79" s="12"/>
      <c r="BM79" s="12"/>
      <c r="BN79" s="99"/>
      <c r="BO79" s="99"/>
      <c r="BP79" s="100"/>
      <c r="BQ79" s="28"/>
      <c r="BR79" s="25"/>
      <c r="BS79" s="89"/>
      <c r="BT79" s="97"/>
      <c r="BU79" s="97"/>
      <c r="BV79" s="97"/>
      <c r="BW79" s="97"/>
      <c r="BX79" s="98"/>
      <c r="BY79" s="12"/>
      <c r="BZ79" s="99"/>
      <c r="CA79" s="99"/>
      <c r="CB79" s="99"/>
      <c r="CC79" s="99"/>
      <c r="CD79" s="99"/>
      <c r="CE79" s="99"/>
      <c r="CF79" s="99"/>
      <c r="CG79" s="99"/>
      <c r="CH79" s="99"/>
      <c r="CI79" s="100"/>
      <c r="CJ79" s="28"/>
      <c r="CL79" s="89"/>
      <c r="CM79" s="97"/>
      <c r="CN79" s="97"/>
      <c r="CO79" s="97"/>
      <c r="CP79" s="97"/>
      <c r="CQ79" s="98"/>
      <c r="CR79" s="12"/>
      <c r="CS79" s="99"/>
      <c r="CT79" s="99"/>
      <c r="CU79" s="99"/>
      <c r="CV79" s="99"/>
      <c r="CW79" s="99"/>
      <c r="CX79" s="99"/>
      <c r="CY79" s="99"/>
      <c r="CZ79" s="101"/>
      <c r="DA79" s="100"/>
      <c r="DB79" s="28"/>
      <c r="DC79" s="33"/>
      <c r="DD79" s="12"/>
      <c r="DE79" s="12"/>
      <c r="DF79" s="12"/>
      <c r="DG79" s="12"/>
      <c r="DH79" s="12"/>
      <c r="DI79" s="12"/>
      <c r="DJ79" s="12"/>
      <c r="DK79" s="101"/>
      <c r="DL79" s="101"/>
      <c r="DM79" s="101"/>
      <c r="DN79" s="101"/>
      <c r="DO79" s="101"/>
      <c r="DP79" s="101"/>
      <c r="DQ79" s="101"/>
      <c r="DR79" s="101"/>
      <c r="DS79" s="101"/>
      <c r="DT79" s="101"/>
      <c r="DU79" s="100"/>
      <c r="DV79" s="28"/>
      <c r="DX79" s="12"/>
      <c r="DY79" s="12"/>
      <c r="DZ79" s="12"/>
      <c r="EA79" s="12"/>
      <c r="EB79" s="12"/>
      <c r="EC79" s="12"/>
      <c r="ED79" s="12"/>
      <c r="EE79" s="101"/>
      <c r="EF79" s="101"/>
      <c r="EG79" s="101"/>
      <c r="EH79" s="101"/>
      <c r="EI79" s="101"/>
      <c r="EJ79" s="101"/>
      <c r="EK79" s="101"/>
      <c r="EL79" s="101"/>
      <c r="EM79" s="101"/>
      <c r="EN79" s="101"/>
      <c r="EO79" s="100"/>
      <c r="EP79" s="28"/>
      <c r="ER79" s="12"/>
      <c r="ES79" s="12"/>
      <c r="ET79" s="12"/>
      <c r="EU79" s="12"/>
      <c r="EV79" s="12"/>
      <c r="EW79" s="12"/>
      <c r="EX79" s="12"/>
      <c r="EY79" s="101"/>
      <c r="EZ79" s="101"/>
      <c r="FA79" s="101"/>
      <c r="FB79" s="101"/>
      <c r="FC79" s="101"/>
      <c r="FD79" s="101"/>
      <c r="FE79" s="101"/>
      <c r="FF79" s="101"/>
      <c r="FG79" s="101"/>
      <c r="FH79" s="101"/>
      <c r="FI79" s="101"/>
      <c r="FJ79" s="101"/>
      <c r="FK79" s="101"/>
      <c r="FL79" s="101"/>
      <c r="FM79" s="101"/>
      <c r="FN79" s="101"/>
      <c r="FO79" s="101"/>
      <c r="FP79" s="101"/>
      <c r="FQ79" s="101"/>
      <c r="FR79" s="101"/>
      <c r="FS79" s="101"/>
      <c r="FT79" s="100"/>
      <c r="FU79" s="114"/>
      <c r="FW79" s="12"/>
      <c r="FX79" s="12"/>
      <c r="FY79" s="12"/>
      <c r="FZ79" s="12"/>
      <c r="GA79" s="12"/>
      <c r="GB79" s="12"/>
      <c r="GC79" s="12"/>
      <c r="GD79" s="103"/>
      <c r="GE79" s="103"/>
      <c r="GF79" s="103"/>
      <c r="GG79" s="103"/>
      <c r="GH79" s="103"/>
      <c r="GI79" s="103"/>
      <c r="GJ79" s="103"/>
      <c r="GK79" s="103"/>
      <c r="GL79" s="103"/>
      <c r="GM79" s="103"/>
      <c r="GN79" s="103"/>
      <c r="GO79" s="103"/>
      <c r="GP79" s="103"/>
      <c r="GQ79" s="100"/>
      <c r="GR79" s="114"/>
      <c r="GT79" s="12"/>
      <c r="GU79" s="12"/>
      <c r="GV79" s="12"/>
      <c r="GW79" s="12"/>
      <c r="GX79" s="12"/>
      <c r="GY79" s="12"/>
      <c r="GZ79" s="12"/>
      <c r="HA79" s="32"/>
      <c r="HB79" s="32"/>
      <c r="HC79" s="32"/>
      <c r="HD79" s="32"/>
      <c r="HE79" s="32"/>
      <c r="HF79" s="32"/>
      <c r="HG79" s="32"/>
      <c r="HH79" s="32"/>
      <c r="HI79" s="32"/>
      <c r="HJ79" s="32"/>
      <c r="HK79" s="32"/>
      <c r="HL79" s="100"/>
      <c r="HM79" s="114"/>
      <c r="HO79" s="12"/>
      <c r="HP79" s="12"/>
      <c r="HQ79" s="12"/>
      <c r="HR79" s="12"/>
      <c r="HS79" s="12"/>
      <c r="HT79" s="12"/>
      <c r="HU79" s="12"/>
      <c r="HV79" s="32"/>
      <c r="HW79" s="100"/>
      <c r="HX79" s="114"/>
      <c r="HZ79" s="12"/>
      <c r="IA79" s="12"/>
      <c r="IB79" s="12"/>
      <c r="IC79" s="12"/>
      <c r="ID79" s="12"/>
      <c r="IE79" s="12"/>
      <c r="IF79" s="12"/>
      <c r="IG79" s="32"/>
      <c r="IH79" s="93"/>
      <c r="II79" s="93"/>
      <c r="IJ79" s="93"/>
      <c r="IK79" s="93"/>
      <c r="IL79" s="93"/>
      <c r="IM79" s="100"/>
      <c r="IN79" s="114"/>
      <c r="IP79" s="12"/>
      <c r="IQ79" s="12"/>
      <c r="IR79" s="12"/>
      <c r="IS79" s="12"/>
      <c r="IT79" s="12"/>
      <c r="IU79" s="12"/>
      <c r="IV79" s="12"/>
      <c r="IW79" s="32"/>
      <c r="IX79" s="93"/>
      <c r="IY79" s="100"/>
      <c r="IZ79" s="114"/>
      <c r="JB79" s="12"/>
      <c r="JC79" s="12"/>
      <c r="JD79" s="12"/>
      <c r="JE79" s="12"/>
      <c r="JF79" s="12"/>
      <c r="JG79" s="12"/>
      <c r="JH79" s="12"/>
      <c r="JI79" s="32"/>
      <c r="JJ79" s="93"/>
      <c r="JK79" s="93"/>
      <c r="JL79" s="93"/>
      <c r="JM79" s="93"/>
      <c r="JN79" s="93"/>
      <c r="JO79" s="93"/>
      <c r="JP79" s="93"/>
      <c r="JQ79" s="93"/>
      <c r="JR79" s="93"/>
      <c r="JS79" s="93"/>
      <c r="JT79" s="93"/>
      <c r="JU79" s="93"/>
      <c r="JV79" s="93"/>
      <c r="JW79" s="93"/>
      <c r="JX79" s="93"/>
      <c r="JY79" s="93"/>
      <c r="JZ79" s="93"/>
      <c r="KA79" s="93"/>
      <c r="KB79" s="93"/>
      <c r="KC79" s="93"/>
      <c r="KD79" s="101"/>
      <c r="KE79" s="100"/>
      <c r="KF79" s="114"/>
      <c r="KH79" s="12"/>
      <c r="KI79" s="12"/>
      <c r="KJ79" s="12"/>
      <c r="KK79" s="12"/>
      <c r="KL79" s="12"/>
      <c r="KM79" s="12"/>
      <c r="KN79" s="12"/>
      <c r="KO79" s="192"/>
      <c r="KP79" s="193"/>
      <c r="KQ79" s="193"/>
      <c r="KR79" s="193"/>
      <c r="KS79" s="100"/>
      <c r="KT79" s="114"/>
      <c r="KV79" s="642" t="s">
        <v>249</v>
      </c>
      <c r="KW79" s="643"/>
      <c r="KX79" s="643"/>
      <c r="KY79" s="643"/>
      <c r="KZ79" s="643"/>
      <c r="LA79" s="705"/>
      <c r="LB79" s="13">
        <v>33</v>
      </c>
      <c r="LC79" s="32"/>
      <c r="LD79" s="93"/>
      <c r="LE79" s="93"/>
      <c r="LF79" s="30">
        <f t="shared" si="61"/>
        <v>0</v>
      </c>
      <c r="LG79" s="28">
        <f t="shared" si="62"/>
        <v>0</v>
      </c>
      <c r="LI79" s="642" t="s">
        <v>249</v>
      </c>
      <c r="LJ79" s="643"/>
      <c r="LK79" s="643"/>
      <c r="LL79" s="643"/>
      <c r="LM79" s="643"/>
      <c r="LN79" s="705"/>
      <c r="LO79" s="13">
        <v>33</v>
      </c>
      <c r="LP79" s="32"/>
      <c r="LQ79" s="93"/>
      <c r="LR79" s="93"/>
      <c r="LS79" s="93"/>
      <c r="LT79" s="93"/>
      <c r="LU79" s="93"/>
      <c r="LV79" s="93"/>
      <c r="LW79" s="93"/>
      <c r="LX79" s="93"/>
      <c r="LY79" s="93"/>
      <c r="LZ79" s="93"/>
      <c r="MA79" s="93"/>
      <c r="MB79" s="93"/>
      <c r="MC79" s="93"/>
      <c r="MD79" s="93"/>
      <c r="ME79" s="30">
        <f t="shared" si="57"/>
        <v>0</v>
      </c>
      <c r="MF79" s="28">
        <f t="shared" si="54"/>
        <v>0</v>
      </c>
      <c r="MH79" s="642" t="s">
        <v>249</v>
      </c>
      <c r="MI79" s="643"/>
      <c r="MJ79" s="643"/>
      <c r="MK79" s="643"/>
      <c r="ML79" s="643"/>
      <c r="MM79" s="705"/>
      <c r="MN79" s="13">
        <v>33</v>
      </c>
      <c r="MO79" s="32"/>
      <c r="MP79" s="93"/>
      <c r="MQ79" s="93"/>
      <c r="MR79" s="93"/>
      <c r="MS79" s="93"/>
      <c r="MT79" s="93"/>
      <c r="MU79" s="93"/>
      <c r="MV79" s="93"/>
      <c r="MW79" s="93"/>
      <c r="MX79" s="93"/>
      <c r="MY79" s="93"/>
      <c r="MZ79" s="93"/>
      <c r="NA79" s="93"/>
      <c r="NB79" s="93"/>
      <c r="NC79" s="93"/>
      <c r="ND79" s="30">
        <f t="shared" si="58"/>
        <v>0</v>
      </c>
      <c r="NE79" s="28">
        <f t="shared" si="55"/>
        <v>0</v>
      </c>
      <c r="NG79" s="642" t="s">
        <v>249</v>
      </c>
      <c r="NH79" s="643"/>
      <c r="NI79" s="643"/>
      <c r="NJ79" s="643"/>
      <c r="NK79" s="643"/>
      <c r="NL79" s="705"/>
      <c r="NM79" s="13">
        <v>33</v>
      </c>
      <c r="NN79" s="93"/>
      <c r="NO79" s="93"/>
      <c r="NP79" s="93"/>
      <c r="NQ79" s="93"/>
      <c r="NR79" s="93"/>
      <c r="NS79" s="93"/>
      <c r="NT79" s="93"/>
      <c r="NU79" s="93"/>
      <c r="NV79" s="93"/>
      <c r="NW79" s="93"/>
      <c r="NX79" s="93"/>
      <c r="NY79" s="93"/>
      <c r="NZ79" s="93"/>
      <c r="OA79" s="93"/>
      <c r="OB79" s="93"/>
      <c r="OC79" s="30">
        <f t="shared" si="59"/>
        <v>0</v>
      </c>
      <c r="OD79" s="28">
        <f t="shared" si="60"/>
        <v>0</v>
      </c>
    </row>
    <row r="80" spans="1:394" ht="14.45" customHeight="1" x14ac:dyDescent="0.25">
      <c r="A80" s="47"/>
      <c r="B80" s="12"/>
      <c r="C80" s="12"/>
      <c r="D80" s="12"/>
      <c r="E80" s="12"/>
      <c r="F80" s="12"/>
      <c r="G80" s="12"/>
      <c r="H80" s="12"/>
      <c r="I80" s="12"/>
      <c r="J80" s="12"/>
      <c r="K80" s="99"/>
      <c r="L80" s="34"/>
      <c r="M80" s="34"/>
      <c r="N80" s="19"/>
      <c r="O80" s="12"/>
      <c r="P80" s="12"/>
      <c r="Q80" s="12"/>
      <c r="R80" s="12"/>
      <c r="S80" s="12"/>
      <c r="T80" s="12"/>
      <c r="U80" s="12"/>
      <c r="V80" s="12"/>
      <c r="W80" s="99"/>
      <c r="X80" s="34"/>
      <c r="Y80" s="34"/>
      <c r="Z80" s="19"/>
      <c r="AA80" s="34"/>
      <c r="AB80" s="34"/>
      <c r="AC80" s="34"/>
      <c r="AD80" s="34"/>
      <c r="AE80" s="34"/>
      <c r="AF80" s="34"/>
      <c r="AG80" s="6"/>
      <c r="AH80" s="12"/>
      <c r="AI80" s="12"/>
      <c r="AJ80" s="12"/>
      <c r="AK80" s="12"/>
      <c r="AL80" s="12"/>
      <c r="AM80" s="12"/>
      <c r="AN80" s="12"/>
      <c r="AO80" s="99"/>
      <c r="AP80" s="34"/>
      <c r="AQ80" s="19"/>
      <c r="AS80" s="12"/>
      <c r="AT80" s="12"/>
      <c r="AU80" s="12"/>
      <c r="AV80" s="12"/>
      <c r="AW80" s="12"/>
      <c r="AX80" s="12"/>
      <c r="AY80" s="12"/>
      <c r="AZ80" s="99"/>
      <c r="BA80" s="99"/>
      <c r="BB80" s="99"/>
      <c r="BC80" s="99"/>
      <c r="BD80" s="100"/>
      <c r="BE80" s="28"/>
      <c r="BF80" s="25"/>
      <c r="BG80" s="12"/>
      <c r="BH80" s="12"/>
      <c r="BI80" s="12"/>
      <c r="BJ80" s="12"/>
      <c r="BK80" s="12"/>
      <c r="BL80" s="12"/>
      <c r="BM80" s="12"/>
      <c r="BN80" s="99"/>
      <c r="BO80" s="99"/>
      <c r="BP80" s="100"/>
      <c r="BQ80" s="28"/>
      <c r="BR80" s="25"/>
      <c r="BS80" s="89"/>
      <c r="BT80" s="97"/>
      <c r="BU80" s="97"/>
      <c r="BV80" s="97"/>
      <c r="BW80" s="97"/>
      <c r="BX80" s="98"/>
      <c r="BY80" s="12"/>
      <c r="BZ80" s="99"/>
      <c r="CA80" s="99"/>
      <c r="CB80" s="99"/>
      <c r="CC80" s="99"/>
      <c r="CD80" s="99"/>
      <c r="CE80" s="99"/>
      <c r="CF80" s="99"/>
      <c r="CG80" s="99"/>
      <c r="CH80" s="99"/>
      <c r="CI80" s="100"/>
      <c r="CJ80" s="28"/>
      <c r="CL80" s="89"/>
      <c r="CM80" s="97"/>
      <c r="CN80" s="97"/>
      <c r="CO80" s="97"/>
      <c r="CP80" s="97"/>
      <c r="CQ80" s="98"/>
      <c r="CR80" s="12"/>
      <c r="CS80" s="99"/>
      <c r="CT80" s="99"/>
      <c r="CU80" s="99"/>
      <c r="CV80" s="99"/>
      <c r="CW80" s="99"/>
      <c r="CX80" s="99"/>
      <c r="CY80" s="99"/>
      <c r="CZ80" s="101"/>
      <c r="DA80" s="100"/>
      <c r="DB80" s="28"/>
      <c r="DC80" s="33"/>
      <c r="DD80" s="12"/>
      <c r="DE80" s="12"/>
      <c r="DF80" s="12"/>
      <c r="DG80" s="12"/>
      <c r="DH80" s="12"/>
      <c r="DI80" s="12"/>
      <c r="DJ80" s="12"/>
      <c r="DK80" s="101"/>
      <c r="DL80" s="101"/>
      <c r="DM80" s="101"/>
      <c r="DN80" s="101"/>
      <c r="DO80" s="101"/>
      <c r="DP80" s="101"/>
      <c r="DQ80" s="101"/>
      <c r="DR80" s="101"/>
      <c r="DS80" s="101"/>
      <c r="DT80" s="101"/>
      <c r="DU80" s="100"/>
      <c r="DV80" s="28"/>
      <c r="DX80" s="12"/>
      <c r="DY80" s="12"/>
      <c r="DZ80" s="12"/>
      <c r="EA80" s="12"/>
      <c r="EB80" s="12"/>
      <c r="EC80" s="12"/>
      <c r="ED80" s="12"/>
      <c r="EE80" s="101"/>
      <c r="EF80" s="101"/>
      <c r="EG80" s="101"/>
      <c r="EH80" s="101"/>
      <c r="EI80" s="101"/>
      <c r="EJ80" s="101"/>
      <c r="EK80" s="101"/>
      <c r="EL80" s="101"/>
      <c r="EM80" s="101"/>
      <c r="EN80" s="101"/>
      <c r="EO80" s="100"/>
      <c r="EP80" s="28"/>
      <c r="ER80" s="12"/>
      <c r="ES80" s="12"/>
      <c r="ET80" s="12"/>
      <c r="EU80" s="12"/>
      <c r="EV80" s="12"/>
      <c r="EW80" s="12"/>
      <c r="EX80" s="12"/>
      <c r="EY80" s="101"/>
      <c r="EZ80" s="101"/>
      <c r="FA80" s="101"/>
      <c r="FB80" s="101"/>
      <c r="FC80" s="101"/>
      <c r="FD80" s="101"/>
      <c r="FE80" s="101"/>
      <c r="FF80" s="101"/>
      <c r="FG80" s="101"/>
      <c r="FH80" s="101"/>
      <c r="FI80" s="101"/>
      <c r="FJ80" s="101"/>
      <c r="FK80" s="101"/>
      <c r="FL80" s="101"/>
      <c r="FM80" s="101"/>
      <c r="FN80" s="101"/>
      <c r="FO80" s="101"/>
      <c r="FP80" s="101"/>
      <c r="FQ80" s="101"/>
      <c r="FR80" s="101"/>
      <c r="FS80" s="101"/>
      <c r="FT80" s="100"/>
      <c r="FU80" s="114"/>
      <c r="FW80" s="12"/>
      <c r="FX80" s="12"/>
      <c r="FY80" s="12"/>
      <c r="FZ80" s="12"/>
      <c r="GA80" s="12"/>
      <c r="GB80" s="12"/>
      <c r="GC80" s="12"/>
      <c r="GD80" s="103"/>
      <c r="GE80" s="103"/>
      <c r="GF80" s="103"/>
      <c r="GG80" s="103"/>
      <c r="GH80" s="103"/>
      <c r="GI80" s="103"/>
      <c r="GJ80" s="103"/>
      <c r="GK80" s="103"/>
      <c r="GL80" s="103"/>
      <c r="GM80" s="103"/>
      <c r="GN80" s="103"/>
      <c r="GO80" s="103"/>
      <c r="GP80" s="103"/>
      <c r="GQ80" s="100"/>
      <c r="GR80" s="114"/>
      <c r="GT80" s="12"/>
      <c r="GU80" s="12"/>
      <c r="GV80" s="12"/>
      <c r="GW80" s="12"/>
      <c r="GX80" s="12"/>
      <c r="GY80" s="12"/>
      <c r="GZ80" s="12"/>
      <c r="HA80" s="32"/>
      <c r="HB80" s="32"/>
      <c r="HC80" s="32"/>
      <c r="HD80" s="32"/>
      <c r="HE80" s="32"/>
      <c r="HF80" s="32"/>
      <c r="HG80" s="32"/>
      <c r="HH80" s="32"/>
      <c r="HI80" s="32"/>
      <c r="HJ80" s="32"/>
      <c r="HK80" s="32"/>
      <c r="HL80" s="100"/>
      <c r="HM80" s="114"/>
      <c r="HO80" s="12"/>
      <c r="HP80" s="12"/>
      <c r="HQ80" s="12"/>
      <c r="HR80" s="12"/>
      <c r="HS80" s="12"/>
      <c r="HT80" s="12"/>
      <c r="HU80" s="12"/>
      <c r="HV80" s="32"/>
      <c r="HW80" s="100"/>
      <c r="HX80" s="114"/>
      <c r="HZ80" s="12"/>
      <c r="IA80" s="12"/>
      <c r="IB80" s="12"/>
      <c r="IC80" s="12"/>
      <c r="ID80" s="12"/>
      <c r="IE80" s="12"/>
      <c r="IF80" s="12"/>
      <c r="IG80" s="32"/>
      <c r="IH80" s="93"/>
      <c r="II80" s="93"/>
      <c r="IJ80" s="93"/>
      <c r="IK80" s="93"/>
      <c r="IL80" s="93"/>
      <c r="IM80" s="100"/>
      <c r="IN80" s="114"/>
      <c r="IP80" s="12"/>
      <c r="IQ80" s="12"/>
      <c r="IR80" s="12"/>
      <c r="IS80" s="12"/>
      <c r="IT80" s="12"/>
      <c r="IU80" s="12"/>
      <c r="IV80" s="12"/>
      <c r="IW80" s="32"/>
      <c r="IX80" s="93"/>
      <c r="IY80" s="100"/>
      <c r="IZ80" s="114"/>
      <c r="JB80" s="12"/>
      <c r="JC80" s="12"/>
      <c r="JD80" s="12"/>
      <c r="JE80" s="12"/>
      <c r="JF80" s="12"/>
      <c r="JG80" s="12"/>
      <c r="JH80" s="12"/>
      <c r="JI80" s="32"/>
      <c r="JJ80" s="93"/>
      <c r="JK80" s="93"/>
      <c r="JL80" s="93"/>
      <c r="JM80" s="93"/>
      <c r="JN80" s="93"/>
      <c r="JO80" s="93"/>
      <c r="JP80" s="93"/>
      <c r="JQ80" s="93"/>
      <c r="JR80" s="93"/>
      <c r="JS80" s="93"/>
      <c r="JT80" s="93"/>
      <c r="JU80" s="93"/>
      <c r="JV80" s="93"/>
      <c r="JW80" s="93"/>
      <c r="JX80" s="93"/>
      <c r="JY80" s="93"/>
      <c r="JZ80" s="93"/>
      <c r="KA80" s="93"/>
      <c r="KB80" s="93"/>
      <c r="KC80" s="93"/>
      <c r="KD80" s="101"/>
      <c r="KE80" s="100"/>
      <c r="KF80" s="114"/>
      <c r="KH80" s="12"/>
      <c r="KI80" s="12"/>
      <c r="KJ80" s="12"/>
      <c r="KK80" s="12"/>
      <c r="KL80" s="12"/>
      <c r="KM80" s="12"/>
      <c r="KN80" s="12"/>
      <c r="KO80" s="192"/>
      <c r="KP80" s="193"/>
      <c r="KQ80" s="193"/>
      <c r="KR80" s="193"/>
      <c r="KS80" s="100"/>
      <c r="KT80" s="114"/>
      <c r="KV80" s="706" t="s">
        <v>250</v>
      </c>
      <c r="KW80" s="707"/>
      <c r="KX80" s="707"/>
      <c r="KY80" s="707"/>
      <c r="KZ80" s="707"/>
      <c r="LA80" s="708"/>
      <c r="LB80" s="28">
        <v>13</v>
      </c>
      <c r="LC80" s="51"/>
      <c r="LD80" s="73"/>
      <c r="LE80" s="73"/>
      <c r="LF80" s="30">
        <f t="shared" si="61"/>
        <v>0</v>
      </c>
      <c r="LG80" s="28">
        <f t="shared" si="62"/>
        <v>0</v>
      </c>
      <c r="LI80" s="706" t="s">
        <v>250</v>
      </c>
      <c r="LJ80" s="707"/>
      <c r="LK80" s="707"/>
      <c r="LL80" s="707"/>
      <c r="LM80" s="707"/>
      <c r="LN80" s="708"/>
      <c r="LO80" s="28">
        <v>13</v>
      </c>
      <c r="LP80" s="51"/>
      <c r="LQ80" s="73"/>
      <c r="LR80" s="73"/>
      <c r="LS80" s="73"/>
      <c r="LT80" s="73"/>
      <c r="LU80" s="73"/>
      <c r="LV80" s="73"/>
      <c r="LW80" s="73"/>
      <c r="LX80" s="73"/>
      <c r="LY80" s="73"/>
      <c r="LZ80" s="73"/>
      <c r="MA80" s="73"/>
      <c r="MB80" s="73"/>
      <c r="MC80" s="73"/>
      <c r="MD80" s="73"/>
      <c r="ME80" s="30">
        <f t="shared" si="57"/>
        <v>0</v>
      </c>
      <c r="MF80" s="28">
        <f t="shared" si="54"/>
        <v>0</v>
      </c>
      <c r="MH80" s="706" t="s">
        <v>250</v>
      </c>
      <c r="MI80" s="707"/>
      <c r="MJ80" s="707"/>
      <c r="MK80" s="707"/>
      <c r="ML80" s="707"/>
      <c r="MM80" s="708"/>
      <c r="MN80" s="28">
        <v>13</v>
      </c>
      <c r="MO80" s="51"/>
      <c r="MP80" s="73"/>
      <c r="MQ80" s="73"/>
      <c r="MR80" s="73"/>
      <c r="MS80" s="73"/>
      <c r="MT80" s="73"/>
      <c r="MU80" s="73"/>
      <c r="MV80" s="73"/>
      <c r="MW80" s="73"/>
      <c r="MX80" s="73"/>
      <c r="MY80" s="73"/>
      <c r="MZ80" s="73"/>
      <c r="NA80" s="73"/>
      <c r="NB80" s="73"/>
      <c r="NC80" s="73"/>
      <c r="ND80" s="30">
        <f t="shared" si="58"/>
        <v>0</v>
      </c>
      <c r="NE80" s="28">
        <f t="shared" si="55"/>
        <v>0</v>
      </c>
      <c r="NG80" s="706" t="s">
        <v>250</v>
      </c>
      <c r="NH80" s="707"/>
      <c r="NI80" s="707"/>
      <c r="NJ80" s="707"/>
      <c r="NK80" s="707"/>
      <c r="NL80" s="708"/>
      <c r="NM80" s="28">
        <v>13</v>
      </c>
      <c r="NN80" s="73"/>
      <c r="NO80" s="73"/>
      <c r="NP80" s="73"/>
      <c r="NQ80" s="73"/>
      <c r="NR80" s="73"/>
      <c r="NS80" s="73"/>
      <c r="NT80" s="73"/>
      <c r="NU80" s="73"/>
      <c r="NV80" s="73"/>
      <c r="NW80" s="73"/>
      <c r="NX80" s="73"/>
      <c r="NY80" s="73"/>
      <c r="NZ80" s="73"/>
      <c r="OA80" s="73"/>
      <c r="OB80" s="73"/>
      <c r="OC80" s="30">
        <f t="shared" si="59"/>
        <v>0</v>
      </c>
      <c r="OD80" s="28">
        <f t="shared" si="60"/>
        <v>0</v>
      </c>
    </row>
    <row r="81" spans="1:394" ht="14.45" customHeight="1" x14ac:dyDescent="0.25">
      <c r="A81" s="47"/>
      <c r="B81" s="12"/>
      <c r="C81" s="12"/>
      <c r="D81" s="12"/>
      <c r="E81" s="12"/>
      <c r="F81" s="12"/>
      <c r="G81" s="12"/>
      <c r="H81" s="12"/>
      <c r="I81" s="12"/>
      <c r="J81" s="12"/>
      <c r="K81" s="99"/>
      <c r="L81" s="34"/>
      <c r="M81" s="34"/>
      <c r="N81" s="19"/>
      <c r="O81" s="12"/>
      <c r="P81" s="12"/>
      <c r="Q81" s="12"/>
      <c r="R81" s="12"/>
      <c r="S81" s="12"/>
      <c r="T81" s="12"/>
      <c r="U81" s="12"/>
      <c r="V81" s="12"/>
      <c r="W81" s="99"/>
      <c r="X81" s="34"/>
      <c r="Y81" s="34"/>
      <c r="Z81" s="19"/>
      <c r="AA81" s="34"/>
      <c r="AB81" s="34"/>
      <c r="AC81" s="34"/>
      <c r="AD81" s="34"/>
      <c r="AE81" s="34"/>
      <c r="AF81" s="34"/>
      <c r="AG81" s="6"/>
      <c r="AH81" s="12"/>
      <c r="AI81" s="12"/>
      <c r="AJ81" s="12"/>
      <c r="AK81" s="12"/>
      <c r="AL81" s="12"/>
      <c r="AM81" s="12"/>
      <c r="AN81" s="12"/>
      <c r="AO81" s="99"/>
      <c r="AP81" s="34"/>
      <c r="AQ81" s="19"/>
      <c r="AS81" s="12"/>
      <c r="AT81" s="12"/>
      <c r="AU81" s="12"/>
      <c r="AV81" s="12"/>
      <c r="AW81" s="12"/>
      <c r="AX81" s="12"/>
      <c r="AY81" s="12"/>
      <c r="AZ81" s="99"/>
      <c r="BA81" s="99"/>
      <c r="BB81" s="99"/>
      <c r="BC81" s="99"/>
      <c r="BD81" s="100"/>
      <c r="BE81" s="28"/>
      <c r="BF81" s="25"/>
      <c r="BG81" s="12"/>
      <c r="BH81" s="12"/>
      <c r="BI81" s="12"/>
      <c r="BJ81" s="12"/>
      <c r="BK81" s="12"/>
      <c r="BL81" s="12"/>
      <c r="BM81" s="12"/>
      <c r="BN81" s="99"/>
      <c r="BO81" s="99"/>
      <c r="BP81" s="100"/>
      <c r="BQ81" s="28"/>
      <c r="BR81" s="25"/>
      <c r="BS81" s="89"/>
      <c r="BT81" s="97"/>
      <c r="BU81" s="97"/>
      <c r="BV81" s="97"/>
      <c r="BW81" s="97"/>
      <c r="BX81" s="98"/>
      <c r="BY81" s="12"/>
      <c r="BZ81" s="99"/>
      <c r="CA81" s="99"/>
      <c r="CB81" s="99"/>
      <c r="CC81" s="99"/>
      <c r="CD81" s="99"/>
      <c r="CE81" s="99"/>
      <c r="CF81" s="99"/>
      <c r="CG81" s="99"/>
      <c r="CH81" s="99"/>
      <c r="CI81" s="100"/>
      <c r="CJ81" s="28"/>
      <c r="CL81" s="89"/>
      <c r="CM81" s="97"/>
      <c r="CN81" s="97"/>
      <c r="CO81" s="97"/>
      <c r="CP81" s="97"/>
      <c r="CQ81" s="98"/>
      <c r="CR81" s="12"/>
      <c r="CS81" s="99"/>
      <c r="CT81" s="99"/>
      <c r="CU81" s="99"/>
      <c r="CV81" s="99"/>
      <c r="CW81" s="99"/>
      <c r="CX81" s="99"/>
      <c r="CY81" s="99"/>
      <c r="CZ81" s="101"/>
      <c r="DA81" s="100"/>
      <c r="DB81" s="28"/>
      <c r="DC81" s="33"/>
      <c r="DD81" s="12"/>
      <c r="DE81" s="12"/>
      <c r="DF81" s="12"/>
      <c r="DG81" s="12"/>
      <c r="DH81" s="12"/>
      <c r="DI81" s="12"/>
      <c r="DJ81" s="12"/>
      <c r="DK81" s="101"/>
      <c r="DL81" s="101"/>
      <c r="DM81" s="101"/>
      <c r="DN81" s="101"/>
      <c r="DO81" s="101"/>
      <c r="DP81" s="101"/>
      <c r="DQ81" s="101"/>
      <c r="DR81" s="101"/>
      <c r="DS81" s="101"/>
      <c r="DT81" s="101"/>
      <c r="DU81" s="100"/>
      <c r="DV81" s="28"/>
      <c r="DX81" s="12"/>
      <c r="DY81" s="12"/>
      <c r="DZ81" s="12"/>
      <c r="EA81" s="12"/>
      <c r="EB81" s="12"/>
      <c r="EC81" s="12"/>
      <c r="ED81" s="12"/>
      <c r="EE81" s="101"/>
      <c r="EF81" s="101"/>
      <c r="EG81" s="101"/>
      <c r="EH81" s="101"/>
      <c r="EI81" s="101"/>
      <c r="EJ81" s="101"/>
      <c r="EK81" s="101"/>
      <c r="EL81" s="101"/>
      <c r="EM81" s="101"/>
      <c r="EN81" s="101"/>
      <c r="EO81" s="100"/>
      <c r="EP81" s="28"/>
      <c r="ER81" s="12"/>
      <c r="ES81" s="12"/>
      <c r="ET81" s="12"/>
      <c r="EU81" s="12"/>
      <c r="EV81" s="12"/>
      <c r="EW81" s="12"/>
      <c r="EX81" s="12"/>
      <c r="EY81" s="101"/>
      <c r="EZ81" s="101"/>
      <c r="FA81" s="101"/>
      <c r="FB81" s="101"/>
      <c r="FC81" s="101"/>
      <c r="FD81" s="101"/>
      <c r="FE81" s="101"/>
      <c r="FF81" s="101"/>
      <c r="FG81" s="101"/>
      <c r="FH81" s="101"/>
      <c r="FI81" s="101"/>
      <c r="FJ81" s="101"/>
      <c r="FK81" s="101"/>
      <c r="FL81" s="101"/>
      <c r="FM81" s="101"/>
      <c r="FN81" s="101"/>
      <c r="FO81" s="101"/>
      <c r="FP81" s="101"/>
      <c r="FQ81" s="101"/>
      <c r="FR81" s="101"/>
      <c r="FS81" s="101"/>
      <c r="FT81" s="100"/>
      <c r="FU81" s="114"/>
      <c r="FW81" s="12"/>
      <c r="FX81" s="12"/>
      <c r="FY81" s="12"/>
      <c r="FZ81" s="12"/>
      <c r="GA81" s="12"/>
      <c r="GB81" s="12"/>
      <c r="GC81" s="12"/>
      <c r="GD81" s="103"/>
      <c r="GE81" s="103"/>
      <c r="GF81" s="103"/>
      <c r="GG81" s="103"/>
      <c r="GH81" s="103"/>
      <c r="GI81" s="103"/>
      <c r="GJ81" s="103"/>
      <c r="GK81" s="103"/>
      <c r="GL81" s="103"/>
      <c r="GM81" s="103"/>
      <c r="GN81" s="103"/>
      <c r="GO81" s="103"/>
      <c r="GP81" s="103"/>
      <c r="GQ81" s="100"/>
      <c r="GR81" s="114"/>
      <c r="GT81" s="12"/>
      <c r="GU81" s="12"/>
      <c r="GV81" s="12"/>
      <c r="GW81" s="12"/>
      <c r="GX81" s="12"/>
      <c r="GY81" s="12"/>
      <c r="GZ81" s="12"/>
      <c r="HA81" s="32"/>
      <c r="HB81" s="32"/>
      <c r="HC81" s="32"/>
      <c r="HD81" s="32"/>
      <c r="HE81" s="32"/>
      <c r="HF81" s="32"/>
      <c r="HG81" s="32"/>
      <c r="HH81" s="32"/>
      <c r="HI81" s="32"/>
      <c r="HJ81" s="32"/>
      <c r="HK81" s="32"/>
      <c r="HL81" s="100"/>
      <c r="HM81" s="114"/>
      <c r="HO81" s="12"/>
      <c r="HP81" s="12"/>
      <c r="HQ81" s="12"/>
      <c r="HR81" s="12"/>
      <c r="HS81" s="12"/>
      <c r="HT81" s="12"/>
      <c r="HU81" s="12"/>
      <c r="HV81" s="32"/>
      <c r="HW81" s="100"/>
      <c r="HX81" s="114"/>
      <c r="HZ81" s="12"/>
      <c r="IA81" s="12"/>
      <c r="IB81" s="12"/>
      <c r="IC81" s="12"/>
      <c r="ID81" s="12"/>
      <c r="IE81" s="12"/>
      <c r="IF81" s="12"/>
      <c r="IG81" s="32"/>
      <c r="IH81" s="93"/>
      <c r="II81" s="93"/>
      <c r="IJ81" s="93"/>
      <c r="IK81" s="93"/>
      <c r="IL81" s="93"/>
      <c r="IM81" s="100"/>
      <c r="IN81" s="114"/>
      <c r="IP81" s="12"/>
      <c r="IQ81" s="12"/>
      <c r="IR81" s="12"/>
      <c r="IS81" s="12"/>
      <c r="IT81" s="12"/>
      <c r="IU81" s="12"/>
      <c r="IV81" s="12"/>
      <c r="IW81" s="32"/>
      <c r="IX81" s="93"/>
      <c r="IY81" s="100"/>
      <c r="IZ81" s="114"/>
      <c r="JB81" s="12"/>
      <c r="JC81" s="12"/>
      <c r="JD81" s="12"/>
      <c r="JE81" s="12"/>
      <c r="JF81" s="12"/>
      <c r="JG81" s="12"/>
      <c r="JH81" s="12"/>
      <c r="JI81" s="32"/>
      <c r="JJ81" s="93"/>
      <c r="JK81" s="93"/>
      <c r="JL81" s="93"/>
      <c r="JM81" s="93"/>
      <c r="JN81" s="93"/>
      <c r="JO81" s="93"/>
      <c r="JP81" s="93"/>
      <c r="JQ81" s="93"/>
      <c r="JR81" s="93"/>
      <c r="JS81" s="93"/>
      <c r="JT81" s="93"/>
      <c r="JU81" s="93"/>
      <c r="JV81" s="93"/>
      <c r="JW81" s="93"/>
      <c r="JX81" s="93"/>
      <c r="JY81" s="93"/>
      <c r="JZ81" s="93"/>
      <c r="KA81" s="93"/>
      <c r="KB81" s="93"/>
      <c r="KC81" s="93"/>
      <c r="KD81" s="101"/>
      <c r="KE81" s="100"/>
      <c r="KF81" s="114"/>
      <c r="KH81" s="12"/>
      <c r="KI81" s="12"/>
      <c r="KJ81" s="12"/>
      <c r="KK81" s="12"/>
      <c r="KL81" s="12"/>
      <c r="KM81" s="12"/>
      <c r="KN81" s="12"/>
      <c r="KO81" s="192"/>
      <c r="KP81" s="193"/>
      <c r="KQ81" s="193"/>
      <c r="KR81" s="193"/>
      <c r="KS81" s="100"/>
      <c r="KT81" s="114"/>
      <c r="KV81" s="642" t="s">
        <v>251</v>
      </c>
      <c r="KW81" s="643"/>
      <c r="KX81" s="643"/>
      <c r="KY81" s="643"/>
      <c r="KZ81" s="643"/>
      <c r="LA81" s="705"/>
      <c r="LB81" s="13">
        <v>9</v>
      </c>
      <c r="LC81" s="32"/>
      <c r="LD81" s="93"/>
      <c r="LE81" s="93"/>
      <c r="LF81" s="30">
        <f t="shared" si="61"/>
        <v>0</v>
      </c>
      <c r="LG81" s="28">
        <f t="shared" si="62"/>
        <v>0</v>
      </c>
      <c r="LI81" s="642" t="s">
        <v>251</v>
      </c>
      <c r="LJ81" s="643"/>
      <c r="LK81" s="643"/>
      <c r="LL81" s="643"/>
      <c r="LM81" s="643"/>
      <c r="LN81" s="705"/>
      <c r="LO81" s="13">
        <v>9</v>
      </c>
      <c r="LP81" s="32"/>
      <c r="LQ81" s="93"/>
      <c r="LR81" s="93"/>
      <c r="LS81" s="93"/>
      <c r="LT81" s="93"/>
      <c r="LU81" s="93"/>
      <c r="LV81" s="93"/>
      <c r="LW81" s="93"/>
      <c r="LX81" s="93"/>
      <c r="LY81" s="93"/>
      <c r="LZ81" s="93"/>
      <c r="MA81" s="93"/>
      <c r="MB81" s="93"/>
      <c r="MC81" s="93">
        <v>3</v>
      </c>
      <c r="MD81" s="93"/>
      <c r="ME81" s="30">
        <f t="shared" si="57"/>
        <v>3</v>
      </c>
      <c r="MF81" s="28">
        <f t="shared" si="54"/>
        <v>27</v>
      </c>
      <c r="MH81" s="642" t="s">
        <v>251</v>
      </c>
      <c r="MI81" s="643"/>
      <c r="MJ81" s="643"/>
      <c r="MK81" s="643"/>
      <c r="ML81" s="643"/>
      <c r="MM81" s="705"/>
      <c r="MN81" s="13">
        <v>9</v>
      </c>
      <c r="MO81" s="32"/>
      <c r="MP81" s="93"/>
      <c r="MQ81" s="93"/>
      <c r="MR81" s="93"/>
      <c r="MS81" s="93">
        <v>1</v>
      </c>
      <c r="MT81" s="93"/>
      <c r="MU81" s="93"/>
      <c r="MV81" s="93"/>
      <c r="MW81" s="93"/>
      <c r="MX81" s="93"/>
      <c r="MY81" s="93"/>
      <c r="MZ81" s="93"/>
      <c r="NA81" s="93"/>
      <c r="NB81" s="93"/>
      <c r="NC81" s="93"/>
      <c r="ND81" s="30">
        <f t="shared" si="58"/>
        <v>1</v>
      </c>
      <c r="NE81" s="28">
        <f t="shared" si="55"/>
        <v>9</v>
      </c>
      <c r="NG81" s="642" t="s">
        <v>251</v>
      </c>
      <c r="NH81" s="643"/>
      <c r="NI81" s="643"/>
      <c r="NJ81" s="643"/>
      <c r="NK81" s="643"/>
      <c r="NL81" s="705"/>
      <c r="NM81" s="13">
        <v>9</v>
      </c>
      <c r="NN81" s="93"/>
      <c r="NO81" s="93"/>
      <c r="NP81" s="93"/>
      <c r="NQ81" s="93"/>
      <c r="NR81" s="93"/>
      <c r="NS81" s="93">
        <v>3</v>
      </c>
      <c r="NT81" s="93"/>
      <c r="NU81" s="93"/>
      <c r="NV81" s="93"/>
      <c r="NW81" s="93"/>
      <c r="NX81" s="93"/>
      <c r="NY81" s="93"/>
      <c r="NZ81" s="93"/>
      <c r="OA81" s="93"/>
      <c r="OB81" s="93"/>
      <c r="OC81" s="30">
        <f t="shared" si="59"/>
        <v>3</v>
      </c>
      <c r="OD81" s="28">
        <f t="shared" si="60"/>
        <v>27</v>
      </c>
    </row>
    <row r="82" spans="1:394" ht="14.45" customHeight="1" x14ac:dyDescent="0.25">
      <c r="A82" s="47"/>
      <c r="B82" s="12"/>
      <c r="C82" s="12"/>
      <c r="D82" s="12"/>
      <c r="E82" s="12"/>
      <c r="F82" s="12"/>
      <c r="G82" s="12"/>
      <c r="H82" s="12"/>
      <c r="I82" s="12"/>
      <c r="J82" s="12"/>
      <c r="K82" s="99"/>
      <c r="L82" s="34"/>
      <c r="M82" s="34"/>
      <c r="N82" s="19"/>
      <c r="O82" s="12"/>
      <c r="P82" s="12"/>
      <c r="Q82" s="12"/>
      <c r="R82" s="12"/>
      <c r="S82" s="12"/>
      <c r="T82" s="12"/>
      <c r="U82" s="12"/>
      <c r="V82" s="12"/>
      <c r="W82" s="99"/>
      <c r="X82" s="34"/>
      <c r="Y82" s="34"/>
      <c r="Z82" s="19"/>
      <c r="AA82" s="34"/>
      <c r="AB82" s="34"/>
      <c r="AC82" s="34"/>
      <c r="AD82" s="34"/>
      <c r="AE82" s="34"/>
      <c r="AF82" s="34"/>
      <c r="AG82" s="6"/>
      <c r="AH82" s="12"/>
      <c r="AI82" s="12"/>
      <c r="AJ82" s="12"/>
      <c r="AK82" s="12"/>
      <c r="AL82" s="12"/>
      <c r="AM82" s="12"/>
      <c r="AN82" s="12"/>
      <c r="AO82" s="99"/>
      <c r="AP82" s="34"/>
      <c r="AQ82" s="19"/>
      <c r="AS82" s="12"/>
      <c r="AT82" s="12"/>
      <c r="AU82" s="12"/>
      <c r="AV82" s="12"/>
      <c r="AW82" s="12"/>
      <c r="AX82" s="12"/>
      <c r="AY82" s="12"/>
      <c r="AZ82" s="99"/>
      <c r="BA82" s="99"/>
      <c r="BB82" s="99"/>
      <c r="BC82" s="99"/>
      <c r="BD82" s="100"/>
      <c r="BE82" s="28"/>
      <c r="BF82" s="25"/>
      <c r="BG82" s="12"/>
      <c r="BH82" s="12"/>
      <c r="BI82" s="12"/>
      <c r="BJ82" s="12"/>
      <c r="BK82" s="12"/>
      <c r="BL82" s="12"/>
      <c r="BM82" s="12"/>
      <c r="BN82" s="99"/>
      <c r="BO82" s="99"/>
      <c r="BP82" s="100"/>
      <c r="BQ82" s="28"/>
      <c r="BR82" s="25"/>
      <c r="BS82" s="89"/>
      <c r="BT82" s="97"/>
      <c r="BU82" s="97"/>
      <c r="BV82" s="97"/>
      <c r="BW82" s="97"/>
      <c r="BX82" s="98"/>
      <c r="BY82" s="12"/>
      <c r="BZ82" s="99"/>
      <c r="CA82" s="99"/>
      <c r="CB82" s="99"/>
      <c r="CC82" s="99"/>
      <c r="CD82" s="99"/>
      <c r="CE82" s="99"/>
      <c r="CF82" s="99"/>
      <c r="CG82" s="99"/>
      <c r="CH82" s="99"/>
      <c r="CI82" s="100"/>
      <c r="CJ82" s="28"/>
      <c r="CL82" s="89"/>
      <c r="CM82" s="97"/>
      <c r="CN82" s="97"/>
      <c r="CO82" s="97"/>
      <c r="CP82" s="97"/>
      <c r="CQ82" s="98"/>
      <c r="CR82" s="12"/>
      <c r="CS82" s="99"/>
      <c r="CT82" s="99"/>
      <c r="CU82" s="99"/>
      <c r="CV82" s="99"/>
      <c r="CW82" s="99"/>
      <c r="CX82" s="99"/>
      <c r="CY82" s="99"/>
      <c r="CZ82" s="101"/>
      <c r="DA82" s="100"/>
      <c r="DB82" s="28"/>
      <c r="DC82" s="33"/>
      <c r="DD82" s="12"/>
      <c r="DE82" s="12"/>
      <c r="DF82" s="12"/>
      <c r="DG82" s="12"/>
      <c r="DH82" s="12"/>
      <c r="DI82" s="12"/>
      <c r="DJ82" s="12"/>
      <c r="DK82" s="101"/>
      <c r="DL82" s="101"/>
      <c r="DM82" s="101"/>
      <c r="DN82" s="101"/>
      <c r="DO82" s="101"/>
      <c r="DP82" s="101"/>
      <c r="DQ82" s="101"/>
      <c r="DR82" s="101"/>
      <c r="DS82" s="101"/>
      <c r="DT82" s="101"/>
      <c r="DU82" s="100"/>
      <c r="DV82" s="28"/>
      <c r="DX82" s="12"/>
      <c r="DY82" s="12"/>
      <c r="DZ82" s="12"/>
      <c r="EA82" s="12"/>
      <c r="EB82" s="12"/>
      <c r="EC82" s="12"/>
      <c r="ED82" s="12"/>
      <c r="EE82" s="101"/>
      <c r="EF82" s="101"/>
      <c r="EG82" s="101"/>
      <c r="EH82" s="101"/>
      <c r="EI82" s="101"/>
      <c r="EJ82" s="101"/>
      <c r="EK82" s="101"/>
      <c r="EL82" s="101"/>
      <c r="EM82" s="101"/>
      <c r="EN82" s="101"/>
      <c r="EO82" s="100"/>
      <c r="EP82" s="28"/>
      <c r="ER82" s="12"/>
      <c r="ES82" s="12"/>
      <c r="ET82" s="12"/>
      <c r="EU82" s="12"/>
      <c r="EV82" s="12"/>
      <c r="EW82" s="12"/>
      <c r="EX82" s="12"/>
      <c r="EY82" s="101"/>
      <c r="EZ82" s="101"/>
      <c r="FA82" s="101"/>
      <c r="FB82" s="101"/>
      <c r="FC82" s="101"/>
      <c r="FD82" s="101"/>
      <c r="FE82" s="101"/>
      <c r="FF82" s="101"/>
      <c r="FG82" s="101"/>
      <c r="FH82" s="101"/>
      <c r="FI82" s="101"/>
      <c r="FJ82" s="101"/>
      <c r="FK82" s="101"/>
      <c r="FL82" s="101"/>
      <c r="FM82" s="101"/>
      <c r="FN82" s="101"/>
      <c r="FO82" s="101"/>
      <c r="FP82" s="101"/>
      <c r="FQ82" s="101"/>
      <c r="FR82" s="101"/>
      <c r="FS82" s="101"/>
      <c r="FT82" s="100"/>
      <c r="FU82" s="114"/>
      <c r="FW82" s="12"/>
      <c r="FX82" s="12"/>
      <c r="FY82" s="12"/>
      <c r="FZ82" s="12"/>
      <c r="GA82" s="12"/>
      <c r="GB82" s="12"/>
      <c r="GC82" s="12"/>
      <c r="GD82" s="103"/>
      <c r="GE82" s="103"/>
      <c r="GF82" s="103"/>
      <c r="GG82" s="103"/>
      <c r="GH82" s="103"/>
      <c r="GI82" s="103"/>
      <c r="GJ82" s="103"/>
      <c r="GK82" s="103"/>
      <c r="GL82" s="103"/>
      <c r="GM82" s="103"/>
      <c r="GN82" s="103"/>
      <c r="GO82" s="103"/>
      <c r="GP82" s="103"/>
      <c r="GQ82" s="100"/>
      <c r="GR82" s="114"/>
      <c r="GT82" s="12"/>
      <c r="GU82" s="12"/>
      <c r="GV82" s="12"/>
      <c r="GW82" s="12"/>
      <c r="GX82" s="12"/>
      <c r="GY82" s="12"/>
      <c r="GZ82" s="12"/>
      <c r="HA82" s="32"/>
      <c r="HB82" s="32"/>
      <c r="HC82" s="32"/>
      <c r="HD82" s="32"/>
      <c r="HE82" s="32"/>
      <c r="HF82" s="32"/>
      <c r="HG82" s="32"/>
      <c r="HH82" s="32"/>
      <c r="HI82" s="32"/>
      <c r="HJ82" s="32"/>
      <c r="HK82" s="32"/>
      <c r="HL82" s="100"/>
      <c r="HM82" s="114"/>
      <c r="HO82" s="12"/>
      <c r="HP82" s="12"/>
      <c r="HQ82" s="12"/>
      <c r="HR82" s="12"/>
      <c r="HS82" s="12"/>
      <c r="HT82" s="12"/>
      <c r="HU82" s="12"/>
      <c r="HV82" s="32"/>
      <c r="HW82" s="100"/>
      <c r="HX82" s="114"/>
      <c r="HZ82" s="12"/>
      <c r="IA82" s="12"/>
      <c r="IB82" s="12"/>
      <c r="IC82" s="12"/>
      <c r="ID82" s="12"/>
      <c r="IE82" s="12"/>
      <c r="IF82" s="12"/>
      <c r="IG82" s="32"/>
      <c r="IH82" s="93"/>
      <c r="II82" s="93"/>
      <c r="IJ82" s="93"/>
      <c r="IK82" s="93"/>
      <c r="IL82" s="93"/>
      <c r="IM82" s="100"/>
      <c r="IN82" s="114"/>
      <c r="IP82" s="12"/>
      <c r="IQ82" s="12"/>
      <c r="IR82" s="12"/>
      <c r="IS82" s="12"/>
      <c r="IT82" s="12"/>
      <c r="IU82" s="12"/>
      <c r="IV82" s="12"/>
      <c r="IW82" s="32"/>
      <c r="IX82" s="93"/>
      <c r="IY82" s="100"/>
      <c r="IZ82" s="114"/>
      <c r="JB82" s="12"/>
      <c r="JC82" s="12"/>
      <c r="JD82" s="12"/>
      <c r="JE82" s="12"/>
      <c r="JF82" s="12"/>
      <c r="JG82" s="12"/>
      <c r="JH82" s="12"/>
      <c r="JI82" s="32"/>
      <c r="JJ82" s="93"/>
      <c r="JK82" s="93"/>
      <c r="JL82" s="93"/>
      <c r="JM82" s="93"/>
      <c r="JN82" s="93"/>
      <c r="JO82" s="93"/>
      <c r="JP82" s="93"/>
      <c r="JQ82" s="93"/>
      <c r="JR82" s="93"/>
      <c r="JS82" s="93"/>
      <c r="JT82" s="93"/>
      <c r="JU82" s="93"/>
      <c r="JV82" s="93"/>
      <c r="JW82" s="93"/>
      <c r="JX82" s="93"/>
      <c r="JY82" s="93"/>
      <c r="JZ82" s="93"/>
      <c r="KA82" s="93"/>
      <c r="KB82" s="93"/>
      <c r="KC82" s="93"/>
      <c r="KD82" s="101"/>
      <c r="KE82" s="100"/>
      <c r="KF82" s="114"/>
      <c r="KH82" s="12"/>
      <c r="KI82" s="12"/>
      <c r="KJ82" s="12"/>
      <c r="KK82" s="12"/>
      <c r="KL82" s="12"/>
      <c r="KM82" s="12"/>
      <c r="KN82" s="12"/>
      <c r="KO82" s="192"/>
      <c r="KP82" s="193"/>
      <c r="KQ82" s="193"/>
      <c r="KR82" s="193"/>
      <c r="KS82" s="100"/>
      <c r="KT82" s="114"/>
      <c r="KV82" s="706" t="s">
        <v>252</v>
      </c>
      <c r="KW82" s="707"/>
      <c r="KX82" s="707"/>
      <c r="KY82" s="707"/>
      <c r="KZ82" s="707"/>
      <c r="LA82" s="708"/>
      <c r="LB82" s="28">
        <v>33</v>
      </c>
      <c r="LC82" s="51"/>
      <c r="LD82" s="73"/>
      <c r="LE82" s="73"/>
      <c r="LF82" s="30">
        <f t="shared" si="61"/>
        <v>0</v>
      </c>
      <c r="LG82" s="28">
        <f t="shared" si="62"/>
        <v>0</v>
      </c>
      <c r="LI82" s="706" t="s">
        <v>252</v>
      </c>
      <c r="LJ82" s="707"/>
      <c r="LK82" s="707"/>
      <c r="LL82" s="707"/>
      <c r="LM82" s="707"/>
      <c r="LN82" s="708"/>
      <c r="LO82" s="28">
        <v>33</v>
      </c>
      <c r="LP82" s="51"/>
      <c r="LQ82" s="73"/>
      <c r="LR82" s="73"/>
      <c r="LS82" s="73"/>
      <c r="LT82" s="73"/>
      <c r="LU82" s="73"/>
      <c r="LV82" s="73"/>
      <c r="LW82" s="73"/>
      <c r="LX82" s="73"/>
      <c r="LY82" s="73"/>
      <c r="LZ82" s="73"/>
      <c r="MA82" s="73"/>
      <c r="MB82" s="73"/>
      <c r="MC82" s="73"/>
      <c r="MD82" s="73"/>
      <c r="ME82" s="30">
        <f t="shared" si="57"/>
        <v>0</v>
      </c>
      <c r="MF82" s="28">
        <f t="shared" si="54"/>
        <v>0</v>
      </c>
      <c r="MH82" s="706" t="s">
        <v>252</v>
      </c>
      <c r="MI82" s="707"/>
      <c r="MJ82" s="707"/>
      <c r="MK82" s="707"/>
      <c r="ML82" s="707"/>
      <c r="MM82" s="708"/>
      <c r="MN82" s="28">
        <v>33</v>
      </c>
      <c r="MO82" s="51"/>
      <c r="MP82" s="73"/>
      <c r="MQ82" s="73"/>
      <c r="MR82" s="73"/>
      <c r="MS82" s="73"/>
      <c r="MT82" s="73"/>
      <c r="MU82" s="73"/>
      <c r="MV82" s="73"/>
      <c r="MW82" s="73"/>
      <c r="MX82" s="73"/>
      <c r="MY82" s="73"/>
      <c r="MZ82" s="73"/>
      <c r="NA82" s="73"/>
      <c r="NB82" s="73"/>
      <c r="NC82" s="73"/>
      <c r="ND82" s="30">
        <f t="shared" si="58"/>
        <v>0</v>
      </c>
      <c r="NE82" s="28">
        <f t="shared" si="55"/>
        <v>0</v>
      </c>
      <c r="NG82" s="706" t="s">
        <v>252</v>
      </c>
      <c r="NH82" s="707"/>
      <c r="NI82" s="707"/>
      <c r="NJ82" s="707"/>
      <c r="NK82" s="707"/>
      <c r="NL82" s="708"/>
      <c r="NM82" s="28">
        <v>33</v>
      </c>
      <c r="NN82" s="73"/>
      <c r="NO82" s="73"/>
      <c r="NP82" s="73"/>
      <c r="NQ82" s="73"/>
      <c r="NR82" s="73"/>
      <c r="NS82" s="73"/>
      <c r="NT82" s="73"/>
      <c r="NU82" s="73"/>
      <c r="NV82" s="73"/>
      <c r="NW82" s="73"/>
      <c r="NX82" s="73"/>
      <c r="NY82" s="73"/>
      <c r="NZ82" s="73"/>
      <c r="OA82" s="73"/>
      <c r="OB82" s="73"/>
      <c r="OC82" s="30">
        <f t="shared" si="59"/>
        <v>0</v>
      </c>
      <c r="OD82" s="28">
        <f t="shared" si="60"/>
        <v>0</v>
      </c>
    </row>
    <row r="83" spans="1:394" ht="14.45" customHeight="1" x14ac:dyDescent="0.25">
      <c r="A83" s="47"/>
      <c r="B83" s="12"/>
      <c r="C83" s="12"/>
      <c r="D83" s="12"/>
      <c r="E83" s="12"/>
      <c r="F83" s="12"/>
      <c r="G83" s="12"/>
      <c r="H83" s="12"/>
      <c r="I83" s="12"/>
      <c r="J83" s="12"/>
      <c r="K83" s="99"/>
      <c r="L83" s="34"/>
      <c r="M83" s="34"/>
      <c r="N83" s="19"/>
      <c r="O83" s="12"/>
      <c r="P83" s="12"/>
      <c r="Q83" s="12"/>
      <c r="R83" s="12"/>
      <c r="S83" s="12"/>
      <c r="T83" s="12"/>
      <c r="U83" s="12"/>
      <c r="V83" s="12"/>
      <c r="W83" s="99"/>
      <c r="X83" s="34"/>
      <c r="Y83" s="34"/>
      <c r="Z83" s="19"/>
      <c r="AA83" s="34"/>
      <c r="AB83" s="34"/>
      <c r="AC83" s="34"/>
      <c r="AD83" s="34"/>
      <c r="AE83" s="34"/>
      <c r="AF83" s="34"/>
      <c r="AG83" s="6"/>
      <c r="AH83" s="12"/>
      <c r="AI83" s="12"/>
      <c r="AJ83" s="12"/>
      <c r="AK83" s="12"/>
      <c r="AL83" s="12"/>
      <c r="AM83" s="12"/>
      <c r="AN83" s="12"/>
      <c r="AO83" s="99"/>
      <c r="AP83" s="34"/>
      <c r="AQ83" s="19"/>
      <c r="AS83" s="12"/>
      <c r="AT83" s="12"/>
      <c r="AU83" s="12"/>
      <c r="AV83" s="12"/>
      <c r="AW83" s="12"/>
      <c r="AX83" s="12"/>
      <c r="AY83" s="12"/>
      <c r="AZ83" s="99"/>
      <c r="BA83" s="99"/>
      <c r="BB83" s="99"/>
      <c r="BC83" s="99"/>
      <c r="BD83" s="100"/>
      <c r="BE83" s="28"/>
      <c r="BF83" s="25"/>
      <c r="BG83" s="12"/>
      <c r="BH83" s="12"/>
      <c r="BI83" s="12"/>
      <c r="BJ83" s="12"/>
      <c r="BK83" s="12"/>
      <c r="BL83" s="12"/>
      <c r="BM83" s="12"/>
      <c r="BN83" s="99"/>
      <c r="BO83" s="99"/>
      <c r="BP83" s="100"/>
      <c r="BQ83" s="28"/>
      <c r="BR83" s="25"/>
      <c r="BS83" s="89"/>
      <c r="BT83" s="97"/>
      <c r="BU83" s="97"/>
      <c r="BV83" s="97"/>
      <c r="BW83" s="97"/>
      <c r="BX83" s="98"/>
      <c r="BY83" s="12"/>
      <c r="BZ83" s="99"/>
      <c r="CA83" s="99"/>
      <c r="CB83" s="99"/>
      <c r="CC83" s="99"/>
      <c r="CD83" s="99"/>
      <c r="CE83" s="99"/>
      <c r="CF83" s="99"/>
      <c r="CG83" s="99"/>
      <c r="CH83" s="99"/>
      <c r="CI83" s="100"/>
      <c r="CJ83" s="28"/>
      <c r="CL83" s="89"/>
      <c r="CM83" s="97"/>
      <c r="CN83" s="97"/>
      <c r="CO83" s="97"/>
      <c r="CP83" s="97"/>
      <c r="CQ83" s="98"/>
      <c r="CR83" s="12"/>
      <c r="CS83" s="99"/>
      <c r="CT83" s="99"/>
      <c r="CU83" s="99"/>
      <c r="CV83" s="99"/>
      <c r="CW83" s="99"/>
      <c r="CX83" s="99"/>
      <c r="CY83" s="99"/>
      <c r="CZ83" s="101"/>
      <c r="DA83" s="100"/>
      <c r="DB83" s="28"/>
      <c r="DC83" s="33"/>
      <c r="DD83" s="12"/>
      <c r="DE83" s="12"/>
      <c r="DF83" s="12"/>
      <c r="DG83" s="12"/>
      <c r="DH83" s="12"/>
      <c r="DI83" s="12"/>
      <c r="DJ83" s="12"/>
      <c r="DK83" s="101"/>
      <c r="DL83" s="101"/>
      <c r="DM83" s="101"/>
      <c r="DN83" s="101"/>
      <c r="DO83" s="101"/>
      <c r="DP83" s="101"/>
      <c r="DQ83" s="101"/>
      <c r="DR83" s="101"/>
      <c r="DS83" s="101"/>
      <c r="DT83" s="101"/>
      <c r="DU83" s="100"/>
      <c r="DV83" s="28"/>
      <c r="DX83" s="12"/>
      <c r="DY83" s="12"/>
      <c r="DZ83" s="12"/>
      <c r="EA83" s="12"/>
      <c r="EB83" s="12"/>
      <c r="EC83" s="12"/>
      <c r="ED83" s="12"/>
      <c r="EE83" s="101"/>
      <c r="EF83" s="101"/>
      <c r="EG83" s="101"/>
      <c r="EH83" s="101"/>
      <c r="EI83" s="101"/>
      <c r="EJ83" s="101"/>
      <c r="EK83" s="101"/>
      <c r="EL83" s="101"/>
      <c r="EM83" s="101"/>
      <c r="EN83" s="101"/>
      <c r="EO83" s="100"/>
      <c r="EP83" s="28"/>
      <c r="ER83" s="12"/>
      <c r="ES83" s="12"/>
      <c r="ET83" s="12"/>
      <c r="EU83" s="12"/>
      <c r="EV83" s="12"/>
      <c r="EW83" s="12"/>
      <c r="EX83" s="12"/>
      <c r="EY83" s="101"/>
      <c r="EZ83" s="101"/>
      <c r="FA83" s="101"/>
      <c r="FB83" s="101"/>
      <c r="FC83" s="101"/>
      <c r="FD83" s="101"/>
      <c r="FE83" s="101"/>
      <c r="FF83" s="101"/>
      <c r="FG83" s="101"/>
      <c r="FH83" s="101"/>
      <c r="FI83" s="101"/>
      <c r="FJ83" s="101"/>
      <c r="FK83" s="101"/>
      <c r="FL83" s="101"/>
      <c r="FM83" s="101"/>
      <c r="FN83" s="101"/>
      <c r="FO83" s="101"/>
      <c r="FP83" s="101"/>
      <c r="FQ83" s="101"/>
      <c r="FR83" s="101"/>
      <c r="FS83" s="101"/>
      <c r="FT83" s="100"/>
      <c r="FU83" s="114"/>
      <c r="FW83" s="12"/>
      <c r="FX83" s="12"/>
      <c r="FY83" s="12"/>
      <c r="FZ83" s="12"/>
      <c r="GA83" s="12"/>
      <c r="GB83" s="12"/>
      <c r="GC83" s="12"/>
      <c r="GD83" s="103"/>
      <c r="GE83" s="103"/>
      <c r="GF83" s="103"/>
      <c r="GG83" s="103"/>
      <c r="GH83" s="103"/>
      <c r="GI83" s="103"/>
      <c r="GJ83" s="103"/>
      <c r="GK83" s="103"/>
      <c r="GL83" s="103"/>
      <c r="GM83" s="103"/>
      <c r="GN83" s="103"/>
      <c r="GO83" s="103"/>
      <c r="GP83" s="103"/>
      <c r="GQ83" s="100"/>
      <c r="GR83" s="114"/>
      <c r="GT83" s="12"/>
      <c r="GU83" s="12"/>
      <c r="GV83" s="12"/>
      <c r="GW83" s="12"/>
      <c r="GX83" s="12"/>
      <c r="GY83" s="12"/>
      <c r="GZ83" s="12"/>
      <c r="HA83" s="32"/>
      <c r="HB83" s="32"/>
      <c r="HC83" s="32"/>
      <c r="HD83" s="32"/>
      <c r="HE83" s="32"/>
      <c r="HF83" s="32"/>
      <c r="HG83" s="32"/>
      <c r="HH83" s="32"/>
      <c r="HI83" s="32"/>
      <c r="HJ83" s="32"/>
      <c r="HK83" s="32"/>
      <c r="HL83" s="100"/>
      <c r="HM83" s="114"/>
      <c r="HO83" s="12"/>
      <c r="HP83" s="12"/>
      <c r="HQ83" s="12"/>
      <c r="HR83" s="12"/>
      <c r="HS83" s="12"/>
      <c r="HT83" s="12"/>
      <c r="HU83" s="12"/>
      <c r="HV83" s="32"/>
      <c r="HW83" s="100"/>
      <c r="HX83" s="114"/>
      <c r="HZ83" s="12"/>
      <c r="IA83" s="12"/>
      <c r="IB83" s="12"/>
      <c r="IC83" s="12"/>
      <c r="ID83" s="12"/>
      <c r="IE83" s="12"/>
      <c r="IF83" s="12"/>
      <c r="IG83" s="32"/>
      <c r="IH83" s="93"/>
      <c r="II83" s="93"/>
      <c r="IJ83" s="93"/>
      <c r="IK83" s="93"/>
      <c r="IL83" s="93"/>
      <c r="IM83" s="100"/>
      <c r="IN83" s="114"/>
      <c r="IP83" s="12"/>
      <c r="IQ83" s="12"/>
      <c r="IR83" s="12"/>
      <c r="IS83" s="12"/>
      <c r="IT83" s="12"/>
      <c r="IU83" s="12"/>
      <c r="IV83" s="12"/>
      <c r="IW83" s="32"/>
      <c r="IX83" s="93"/>
      <c r="IY83" s="100"/>
      <c r="IZ83" s="114"/>
      <c r="JB83" s="12"/>
      <c r="JC83" s="12"/>
      <c r="JD83" s="12"/>
      <c r="JE83" s="12"/>
      <c r="JF83" s="12"/>
      <c r="JG83" s="12"/>
      <c r="JH83" s="12"/>
      <c r="JI83" s="32"/>
      <c r="JJ83" s="93"/>
      <c r="JK83" s="93"/>
      <c r="JL83" s="93"/>
      <c r="JM83" s="93"/>
      <c r="JN83" s="93"/>
      <c r="JO83" s="93"/>
      <c r="JP83" s="93"/>
      <c r="JQ83" s="93"/>
      <c r="JR83" s="93"/>
      <c r="JS83" s="93"/>
      <c r="JT83" s="93"/>
      <c r="JU83" s="93"/>
      <c r="JV83" s="93"/>
      <c r="JW83" s="93"/>
      <c r="JX83" s="93"/>
      <c r="JY83" s="93"/>
      <c r="JZ83" s="93"/>
      <c r="KA83" s="93"/>
      <c r="KB83" s="93"/>
      <c r="KC83" s="93"/>
      <c r="KD83" s="101"/>
      <c r="KE83" s="100"/>
      <c r="KF83" s="114"/>
      <c r="KH83" s="12"/>
      <c r="KI83" s="12"/>
      <c r="KJ83" s="12"/>
      <c r="KK83" s="12"/>
      <c r="KL83" s="12"/>
      <c r="KM83" s="12"/>
      <c r="KN83" s="12"/>
      <c r="KO83" s="192"/>
      <c r="KP83" s="193"/>
      <c r="KQ83" s="193"/>
      <c r="KR83" s="193"/>
      <c r="KS83" s="100"/>
      <c r="KT83" s="114"/>
      <c r="KV83" s="642" t="s">
        <v>253</v>
      </c>
      <c r="KW83" s="643"/>
      <c r="KX83" s="643"/>
      <c r="KY83" s="643"/>
      <c r="KZ83" s="643"/>
      <c r="LA83" s="705"/>
      <c r="LB83" s="13">
        <v>16</v>
      </c>
      <c r="LC83" s="32"/>
      <c r="LD83" s="93"/>
      <c r="LE83" s="93"/>
      <c r="LF83" s="30">
        <f t="shared" si="61"/>
        <v>0</v>
      </c>
      <c r="LG83" s="28">
        <f t="shared" si="62"/>
        <v>0</v>
      </c>
      <c r="LI83" s="642" t="s">
        <v>253</v>
      </c>
      <c r="LJ83" s="643"/>
      <c r="LK83" s="643"/>
      <c r="LL83" s="643"/>
      <c r="LM83" s="643"/>
      <c r="LN83" s="705"/>
      <c r="LO83" s="13">
        <v>16</v>
      </c>
      <c r="LP83" s="32"/>
      <c r="LQ83" s="93"/>
      <c r="LR83" s="93"/>
      <c r="LS83" s="93"/>
      <c r="LT83" s="93"/>
      <c r="LU83" s="93"/>
      <c r="LV83" s="93"/>
      <c r="LW83" s="93"/>
      <c r="LX83" s="93"/>
      <c r="LY83" s="93"/>
      <c r="LZ83" s="93"/>
      <c r="MA83" s="93"/>
      <c r="MB83" s="93"/>
      <c r="MC83" s="93"/>
      <c r="MD83" s="93"/>
      <c r="ME83" s="30">
        <f t="shared" si="57"/>
        <v>0</v>
      </c>
      <c r="MF83" s="28">
        <f t="shared" si="54"/>
        <v>0</v>
      </c>
      <c r="MH83" s="642" t="s">
        <v>253</v>
      </c>
      <c r="MI83" s="643"/>
      <c r="MJ83" s="643"/>
      <c r="MK83" s="643"/>
      <c r="ML83" s="643"/>
      <c r="MM83" s="705"/>
      <c r="MN83" s="13">
        <v>16</v>
      </c>
      <c r="MO83" s="32"/>
      <c r="MP83" s="93"/>
      <c r="MQ83" s="93"/>
      <c r="MR83" s="93"/>
      <c r="MS83" s="93">
        <v>3</v>
      </c>
      <c r="MT83" s="93"/>
      <c r="MU83" s="93"/>
      <c r="MV83" s="93"/>
      <c r="MW83" s="93"/>
      <c r="MX83" s="93"/>
      <c r="MY83" s="93"/>
      <c r="MZ83" s="93"/>
      <c r="NA83" s="93"/>
      <c r="NB83" s="93"/>
      <c r="NC83" s="93"/>
      <c r="ND83" s="30">
        <f t="shared" si="58"/>
        <v>3</v>
      </c>
      <c r="NE83" s="28">
        <f t="shared" si="55"/>
        <v>48</v>
      </c>
      <c r="NG83" s="642" t="s">
        <v>253</v>
      </c>
      <c r="NH83" s="643"/>
      <c r="NI83" s="643"/>
      <c r="NJ83" s="643"/>
      <c r="NK83" s="643"/>
      <c r="NL83" s="705"/>
      <c r="NM83" s="13">
        <v>16</v>
      </c>
      <c r="NN83" s="93">
        <v>1</v>
      </c>
      <c r="NO83" s="93"/>
      <c r="NP83" s="93"/>
      <c r="NQ83" s="93"/>
      <c r="NR83" s="93"/>
      <c r="NS83" s="93"/>
      <c r="NT83" s="93"/>
      <c r="NU83" s="93"/>
      <c r="NV83" s="93"/>
      <c r="NW83" s="93"/>
      <c r="NX83" s="93"/>
      <c r="NY83" s="93"/>
      <c r="NZ83" s="93"/>
      <c r="OA83" s="93"/>
      <c r="OB83" s="93"/>
      <c r="OC83" s="30">
        <f t="shared" si="59"/>
        <v>1</v>
      </c>
      <c r="OD83" s="28">
        <f t="shared" si="60"/>
        <v>16</v>
      </c>
    </row>
    <row r="84" spans="1:394" ht="14.45" customHeight="1" x14ac:dyDescent="0.25">
      <c r="A84" s="47"/>
      <c r="B84" s="12"/>
      <c r="C84" s="12"/>
      <c r="D84" s="12"/>
      <c r="E84" s="12"/>
      <c r="F84" s="12"/>
      <c r="G84" s="12"/>
      <c r="H84" s="12"/>
      <c r="I84" s="12"/>
      <c r="J84" s="12"/>
      <c r="K84" s="99"/>
      <c r="L84" s="34"/>
      <c r="M84" s="34"/>
      <c r="N84" s="19"/>
      <c r="O84" s="12"/>
      <c r="P84" s="12"/>
      <c r="Q84" s="12"/>
      <c r="R84" s="12"/>
      <c r="S84" s="12"/>
      <c r="T84" s="12"/>
      <c r="U84" s="12"/>
      <c r="V84" s="12"/>
      <c r="W84" s="99"/>
      <c r="X84" s="34"/>
      <c r="Y84" s="34"/>
      <c r="Z84" s="19"/>
      <c r="AA84" s="34"/>
      <c r="AB84" s="34"/>
      <c r="AC84" s="34"/>
      <c r="AD84" s="34"/>
      <c r="AE84" s="34"/>
      <c r="AF84" s="34"/>
      <c r="AG84" s="6"/>
      <c r="AH84" s="12"/>
      <c r="AI84" s="12"/>
      <c r="AJ84" s="12"/>
      <c r="AK84" s="12"/>
      <c r="AL84" s="12"/>
      <c r="AM84" s="12"/>
      <c r="AN84" s="12"/>
      <c r="AO84" s="99"/>
      <c r="AP84" s="34"/>
      <c r="AQ84" s="19"/>
      <c r="AS84" s="12"/>
      <c r="AT84" s="12"/>
      <c r="AU84" s="12"/>
      <c r="AV84" s="12"/>
      <c r="AW84" s="12"/>
      <c r="AX84" s="12"/>
      <c r="AY84" s="12"/>
      <c r="AZ84" s="99"/>
      <c r="BA84" s="99"/>
      <c r="BB84" s="99"/>
      <c r="BC84" s="99"/>
      <c r="BD84" s="100"/>
      <c r="BE84" s="28"/>
      <c r="BF84" s="25"/>
      <c r="BG84" s="12"/>
      <c r="BH84" s="12"/>
      <c r="BI84" s="12"/>
      <c r="BJ84" s="12"/>
      <c r="BK84" s="12"/>
      <c r="BL84" s="12"/>
      <c r="BM84" s="12"/>
      <c r="BN84" s="99"/>
      <c r="BO84" s="99"/>
      <c r="BP84" s="100"/>
      <c r="BQ84" s="28"/>
      <c r="BR84" s="25"/>
      <c r="BS84" s="89"/>
      <c r="BT84" s="97"/>
      <c r="BU84" s="97"/>
      <c r="BV84" s="97"/>
      <c r="BW84" s="97"/>
      <c r="BX84" s="98"/>
      <c r="BY84" s="12"/>
      <c r="BZ84" s="99"/>
      <c r="CA84" s="99"/>
      <c r="CB84" s="99"/>
      <c r="CC84" s="99"/>
      <c r="CD84" s="99"/>
      <c r="CE84" s="99"/>
      <c r="CF84" s="99"/>
      <c r="CG84" s="99"/>
      <c r="CH84" s="99"/>
      <c r="CI84" s="100"/>
      <c r="CJ84" s="28"/>
      <c r="CL84" s="89"/>
      <c r="CM84" s="97"/>
      <c r="CN84" s="97"/>
      <c r="CO84" s="97"/>
      <c r="CP84" s="97"/>
      <c r="CQ84" s="98"/>
      <c r="CR84" s="12"/>
      <c r="CS84" s="99"/>
      <c r="CT84" s="99"/>
      <c r="CU84" s="99"/>
      <c r="CV84" s="99"/>
      <c r="CW84" s="99"/>
      <c r="CX84" s="99"/>
      <c r="CY84" s="99"/>
      <c r="CZ84" s="101"/>
      <c r="DA84" s="100"/>
      <c r="DB84" s="28"/>
      <c r="DC84" s="33"/>
      <c r="DD84" s="12"/>
      <c r="DE84" s="12"/>
      <c r="DF84" s="12"/>
      <c r="DG84" s="12"/>
      <c r="DH84" s="12"/>
      <c r="DI84" s="12"/>
      <c r="DJ84" s="12"/>
      <c r="DK84" s="101"/>
      <c r="DL84" s="101"/>
      <c r="DM84" s="101"/>
      <c r="DN84" s="101"/>
      <c r="DO84" s="101"/>
      <c r="DP84" s="101"/>
      <c r="DQ84" s="101"/>
      <c r="DR84" s="101"/>
      <c r="DS84" s="101"/>
      <c r="DT84" s="101"/>
      <c r="DU84" s="100"/>
      <c r="DV84" s="28"/>
      <c r="DX84" s="12"/>
      <c r="DY84" s="12"/>
      <c r="DZ84" s="12"/>
      <c r="EA84" s="12"/>
      <c r="EB84" s="12"/>
      <c r="EC84" s="12"/>
      <c r="ED84" s="12"/>
      <c r="EE84" s="101"/>
      <c r="EF84" s="101"/>
      <c r="EG84" s="101"/>
      <c r="EH84" s="101"/>
      <c r="EI84" s="101"/>
      <c r="EJ84" s="101"/>
      <c r="EK84" s="101"/>
      <c r="EL84" s="101"/>
      <c r="EM84" s="101"/>
      <c r="EN84" s="101"/>
      <c r="EO84" s="100"/>
      <c r="EP84" s="28"/>
      <c r="ER84" s="12"/>
      <c r="ES84" s="12"/>
      <c r="ET84" s="12"/>
      <c r="EU84" s="12"/>
      <c r="EV84" s="12"/>
      <c r="EW84" s="12"/>
      <c r="EX84" s="12"/>
      <c r="EY84" s="101"/>
      <c r="EZ84" s="101"/>
      <c r="FA84" s="101"/>
      <c r="FB84" s="101"/>
      <c r="FC84" s="101"/>
      <c r="FD84" s="101"/>
      <c r="FE84" s="101"/>
      <c r="FF84" s="101"/>
      <c r="FG84" s="101"/>
      <c r="FH84" s="101"/>
      <c r="FI84" s="101"/>
      <c r="FJ84" s="101"/>
      <c r="FK84" s="101"/>
      <c r="FL84" s="101"/>
      <c r="FM84" s="101"/>
      <c r="FN84" s="101"/>
      <c r="FO84" s="101"/>
      <c r="FP84" s="101"/>
      <c r="FQ84" s="101"/>
      <c r="FR84" s="101"/>
      <c r="FS84" s="101"/>
      <c r="FT84" s="100"/>
      <c r="FU84" s="114"/>
      <c r="FW84" s="12"/>
      <c r="FX84" s="12"/>
      <c r="FY84" s="12"/>
      <c r="FZ84" s="12"/>
      <c r="GA84" s="12"/>
      <c r="GB84" s="12"/>
      <c r="GC84" s="12"/>
      <c r="GD84" s="103"/>
      <c r="GE84" s="103"/>
      <c r="GF84" s="103"/>
      <c r="GG84" s="103"/>
      <c r="GH84" s="103"/>
      <c r="GI84" s="103"/>
      <c r="GJ84" s="103"/>
      <c r="GK84" s="103"/>
      <c r="GL84" s="103"/>
      <c r="GM84" s="103"/>
      <c r="GN84" s="103"/>
      <c r="GO84" s="103"/>
      <c r="GP84" s="103"/>
      <c r="GQ84" s="100"/>
      <c r="GR84" s="114"/>
      <c r="GT84" s="12"/>
      <c r="GU84" s="12"/>
      <c r="GV84" s="12"/>
      <c r="GW84" s="12"/>
      <c r="GX84" s="12"/>
      <c r="GY84" s="12"/>
      <c r="GZ84" s="12"/>
      <c r="HA84" s="32"/>
      <c r="HB84" s="32"/>
      <c r="HC84" s="32"/>
      <c r="HD84" s="32"/>
      <c r="HE84" s="32"/>
      <c r="HF84" s="32"/>
      <c r="HG84" s="32"/>
      <c r="HH84" s="32"/>
      <c r="HI84" s="32"/>
      <c r="HJ84" s="32"/>
      <c r="HK84" s="32"/>
      <c r="HL84" s="100"/>
      <c r="HM84" s="114"/>
      <c r="HO84" s="12"/>
      <c r="HP84" s="12"/>
      <c r="HQ84" s="12"/>
      <c r="HR84" s="12"/>
      <c r="HS84" s="12"/>
      <c r="HT84" s="12"/>
      <c r="HU84" s="12"/>
      <c r="HV84" s="32"/>
      <c r="HW84" s="100"/>
      <c r="HX84" s="114"/>
      <c r="HZ84" s="12"/>
      <c r="IA84" s="12"/>
      <c r="IB84" s="12"/>
      <c r="IC84" s="12"/>
      <c r="ID84" s="12"/>
      <c r="IE84" s="12"/>
      <c r="IF84" s="12"/>
      <c r="IG84" s="32"/>
      <c r="IH84" s="93"/>
      <c r="II84" s="93"/>
      <c r="IJ84" s="93"/>
      <c r="IK84" s="93"/>
      <c r="IL84" s="93"/>
      <c r="IM84" s="100"/>
      <c r="IN84" s="114"/>
      <c r="IP84" s="12"/>
      <c r="IQ84" s="12"/>
      <c r="IR84" s="12"/>
      <c r="IS84" s="12"/>
      <c r="IT84" s="12"/>
      <c r="IU84" s="12"/>
      <c r="IV84" s="12"/>
      <c r="IW84" s="32"/>
      <c r="IX84" s="93"/>
      <c r="IY84" s="100"/>
      <c r="IZ84" s="114"/>
      <c r="JB84" s="12"/>
      <c r="JC84" s="12"/>
      <c r="JD84" s="12"/>
      <c r="JE84" s="12"/>
      <c r="JF84" s="12"/>
      <c r="JG84" s="12"/>
      <c r="JH84" s="12"/>
      <c r="JI84" s="32"/>
      <c r="JJ84" s="93"/>
      <c r="JK84" s="93"/>
      <c r="JL84" s="93"/>
      <c r="JM84" s="93"/>
      <c r="JN84" s="93"/>
      <c r="JO84" s="93"/>
      <c r="JP84" s="93"/>
      <c r="JQ84" s="93"/>
      <c r="JR84" s="93"/>
      <c r="JS84" s="93"/>
      <c r="JT84" s="93"/>
      <c r="JU84" s="93"/>
      <c r="JV84" s="93"/>
      <c r="JW84" s="93"/>
      <c r="JX84" s="93"/>
      <c r="JY84" s="93"/>
      <c r="JZ84" s="93"/>
      <c r="KA84" s="93"/>
      <c r="KB84" s="93"/>
      <c r="KC84" s="93"/>
      <c r="KD84" s="101"/>
      <c r="KE84" s="100"/>
      <c r="KF84" s="114"/>
      <c r="KH84" s="12"/>
      <c r="KI84" s="12"/>
      <c r="KJ84" s="12"/>
      <c r="KK84" s="12"/>
      <c r="KL84" s="12"/>
      <c r="KM84" s="12"/>
      <c r="KN84" s="12"/>
      <c r="KO84" s="192"/>
      <c r="KP84" s="193"/>
      <c r="KQ84" s="193"/>
      <c r="KR84" s="193"/>
      <c r="KS84" s="100"/>
      <c r="KT84" s="114"/>
      <c r="KV84" s="706" t="s">
        <v>248</v>
      </c>
      <c r="KW84" s="707"/>
      <c r="KX84" s="707"/>
      <c r="KY84" s="707"/>
      <c r="KZ84" s="707"/>
      <c r="LA84" s="708"/>
      <c r="LB84" s="28">
        <v>19</v>
      </c>
      <c r="LC84" s="51"/>
      <c r="LD84" s="73"/>
      <c r="LE84" s="73"/>
      <c r="LF84" s="30">
        <f t="shared" si="61"/>
        <v>0</v>
      </c>
      <c r="LG84" s="28">
        <f t="shared" si="62"/>
        <v>0</v>
      </c>
      <c r="LI84" s="706" t="s">
        <v>248</v>
      </c>
      <c r="LJ84" s="707"/>
      <c r="LK84" s="707"/>
      <c r="LL84" s="707"/>
      <c r="LM84" s="707"/>
      <c r="LN84" s="708"/>
      <c r="LO84" s="28">
        <v>19</v>
      </c>
      <c r="LP84" s="51"/>
      <c r="LQ84" s="73"/>
      <c r="LR84" s="73"/>
      <c r="LS84" s="73"/>
      <c r="LT84" s="73"/>
      <c r="LU84" s="73"/>
      <c r="LV84" s="73"/>
      <c r="LW84" s="73"/>
      <c r="LX84" s="73"/>
      <c r="LY84" s="73"/>
      <c r="LZ84" s="73"/>
      <c r="MA84" s="73"/>
      <c r="MB84" s="73"/>
      <c r="MC84" s="73"/>
      <c r="MD84" s="73"/>
      <c r="ME84" s="30">
        <f t="shared" si="57"/>
        <v>0</v>
      </c>
      <c r="MF84" s="28">
        <f t="shared" si="54"/>
        <v>0</v>
      </c>
      <c r="MH84" s="706" t="s">
        <v>248</v>
      </c>
      <c r="MI84" s="707"/>
      <c r="MJ84" s="707"/>
      <c r="MK84" s="707"/>
      <c r="ML84" s="707"/>
      <c r="MM84" s="708"/>
      <c r="MN84" s="28">
        <v>19</v>
      </c>
      <c r="MO84" s="51"/>
      <c r="MP84" s="73"/>
      <c r="MQ84" s="73"/>
      <c r="MR84" s="73"/>
      <c r="MS84" s="73"/>
      <c r="MT84" s="73"/>
      <c r="MU84" s="73"/>
      <c r="MV84" s="73"/>
      <c r="MW84" s="73"/>
      <c r="MX84" s="73"/>
      <c r="MY84" s="73"/>
      <c r="MZ84" s="73"/>
      <c r="NA84" s="73"/>
      <c r="NB84" s="73"/>
      <c r="NC84" s="73"/>
      <c r="ND84" s="30">
        <f t="shared" si="58"/>
        <v>0</v>
      </c>
      <c r="NE84" s="28">
        <f t="shared" si="55"/>
        <v>0</v>
      </c>
      <c r="NG84" s="706" t="s">
        <v>248</v>
      </c>
      <c r="NH84" s="707"/>
      <c r="NI84" s="707"/>
      <c r="NJ84" s="707"/>
      <c r="NK84" s="707"/>
      <c r="NL84" s="708"/>
      <c r="NM84" s="28">
        <v>19</v>
      </c>
      <c r="NN84" s="73"/>
      <c r="NO84" s="73"/>
      <c r="NP84" s="73"/>
      <c r="NQ84" s="73"/>
      <c r="NR84" s="73"/>
      <c r="NS84" s="73">
        <v>2</v>
      </c>
      <c r="NT84" s="73"/>
      <c r="NU84" s="73"/>
      <c r="NV84" s="73"/>
      <c r="NW84" s="73"/>
      <c r="NX84" s="73"/>
      <c r="NY84" s="73"/>
      <c r="NZ84" s="73"/>
      <c r="OA84" s="73"/>
      <c r="OB84" s="73"/>
      <c r="OC84" s="30">
        <f t="shared" si="59"/>
        <v>2</v>
      </c>
      <c r="OD84" s="28">
        <f t="shared" si="60"/>
        <v>38</v>
      </c>
    </row>
    <row r="85" spans="1:394" ht="14.45" customHeight="1" x14ac:dyDescent="0.25">
      <c r="A85" s="47"/>
      <c r="B85" s="12"/>
      <c r="C85" s="12"/>
      <c r="D85" s="12"/>
      <c r="E85" s="12"/>
      <c r="F85" s="12"/>
      <c r="G85" s="12"/>
      <c r="H85" s="12"/>
      <c r="I85" s="12"/>
      <c r="J85" s="12"/>
      <c r="K85" s="99"/>
      <c r="L85" s="34"/>
      <c r="M85" s="34"/>
      <c r="N85" s="19"/>
      <c r="O85" s="12"/>
      <c r="P85" s="12"/>
      <c r="Q85" s="12"/>
      <c r="R85" s="12"/>
      <c r="S85" s="12"/>
      <c r="T85" s="12"/>
      <c r="U85" s="12"/>
      <c r="V85" s="12"/>
      <c r="W85" s="99"/>
      <c r="X85" s="34"/>
      <c r="Y85" s="34"/>
      <c r="Z85" s="19"/>
      <c r="AA85" s="34"/>
      <c r="AB85" s="34"/>
      <c r="AC85" s="34"/>
      <c r="AD85" s="34"/>
      <c r="AE85" s="34"/>
      <c r="AF85" s="34"/>
      <c r="AG85" s="6"/>
      <c r="AH85" s="12"/>
      <c r="AI85" s="12"/>
      <c r="AJ85" s="12"/>
      <c r="AK85" s="12"/>
      <c r="AL85" s="12"/>
      <c r="AM85" s="12"/>
      <c r="AN85" s="12"/>
      <c r="AO85" s="99"/>
      <c r="AP85" s="34"/>
      <c r="AQ85" s="19"/>
      <c r="AS85" s="12"/>
      <c r="AT85" s="12"/>
      <c r="AU85" s="12"/>
      <c r="AV85" s="12"/>
      <c r="AW85" s="12"/>
      <c r="AX85" s="12"/>
      <c r="AY85" s="12"/>
      <c r="AZ85" s="99"/>
      <c r="BA85" s="99"/>
      <c r="BB85" s="99"/>
      <c r="BC85" s="99"/>
      <c r="BD85" s="100"/>
      <c r="BE85" s="28"/>
      <c r="BF85" s="25"/>
      <c r="BG85" s="12"/>
      <c r="BH85" s="12"/>
      <c r="BI85" s="12"/>
      <c r="BJ85" s="12"/>
      <c r="BK85" s="12"/>
      <c r="BL85" s="12"/>
      <c r="BM85" s="12"/>
      <c r="BN85" s="99"/>
      <c r="BO85" s="99"/>
      <c r="BP85" s="100"/>
      <c r="BQ85" s="28"/>
      <c r="BR85" s="25"/>
      <c r="BS85" s="89"/>
      <c r="BT85" s="97"/>
      <c r="BU85" s="97"/>
      <c r="BV85" s="97"/>
      <c r="BW85" s="97"/>
      <c r="BX85" s="98"/>
      <c r="BY85" s="12"/>
      <c r="BZ85" s="99"/>
      <c r="CA85" s="99"/>
      <c r="CB85" s="99"/>
      <c r="CC85" s="99"/>
      <c r="CD85" s="99"/>
      <c r="CE85" s="99"/>
      <c r="CF85" s="99"/>
      <c r="CG85" s="99"/>
      <c r="CH85" s="99"/>
      <c r="CI85" s="100"/>
      <c r="CJ85" s="28"/>
      <c r="CL85" s="89"/>
      <c r="CM85" s="97"/>
      <c r="CN85" s="97"/>
      <c r="CO85" s="97"/>
      <c r="CP85" s="97"/>
      <c r="CQ85" s="98"/>
      <c r="CR85" s="12"/>
      <c r="CS85" s="99"/>
      <c r="CT85" s="99"/>
      <c r="CU85" s="99"/>
      <c r="CV85" s="99"/>
      <c r="CW85" s="99"/>
      <c r="CX85" s="99"/>
      <c r="CY85" s="99"/>
      <c r="CZ85" s="101"/>
      <c r="DA85" s="100"/>
      <c r="DB85" s="28"/>
      <c r="DC85" s="33"/>
      <c r="DD85" s="12"/>
      <c r="DE85" s="12"/>
      <c r="DF85" s="12"/>
      <c r="DG85" s="12"/>
      <c r="DH85" s="12"/>
      <c r="DI85" s="12"/>
      <c r="DJ85" s="12"/>
      <c r="DK85" s="101"/>
      <c r="DL85" s="101"/>
      <c r="DM85" s="101"/>
      <c r="DN85" s="101"/>
      <c r="DO85" s="101"/>
      <c r="DP85" s="101"/>
      <c r="DQ85" s="101"/>
      <c r="DR85" s="101"/>
      <c r="DS85" s="101"/>
      <c r="DT85" s="101"/>
      <c r="DU85" s="100"/>
      <c r="DV85" s="28"/>
      <c r="DX85" s="12"/>
      <c r="DY85" s="12"/>
      <c r="DZ85" s="12"/>
      <c r="EA85" s="12"/>
      <c r="EB85" s="12"/>
      <c r="EC85" s="12"/>
      <c r="ED85" s="12"/>
      <c r="EE85" s="101"/>
      <c r="EF85" s="101"/>
      <c r="EG85" s="101"/>
      <c r="EH85" s="101"/>
      <c r="EI85" s="101"/>
      <c r="EJ85" s="101"/>
      <c r="EK85" s="101"/>
      <c r="EL85" s="101"/>
      <c r="EM85" s="101"/>
      <c r="EN85" s="101"/>
      <c r="EO85" s="100"/>
      <c r="EP85" s="28"/>
      <c r="ER85" s="12"/>
      <c r="ES85" s="12"/>
      <c r="ET85" s="12"/>
      <c r="EU85" s="12"/>
      <c r="EV85" s="12"/>
      <c r="EW85" s="12"/>
      <c r="EX85" s="12"/>
      <c r="EY85" s="101"/>
      <c r="EZ85" s="101"/>
      <c r="FA85" s="101"/>
      <c r="FB85" s="101"/>
      <c r="FC85" s="101"/>
      <c r="FD85" s="101"/>
      <c r="FE85" s="101"/>
      <c r="FF85" s="101"/>
      <c r="FG85" s="101"/>
      <c r="FH85" s="101"/>
      <c r="FI85" s="101"/>
      <c r="FJ85" s="101"/>
      <c r="FK85" s="101"/>
      <c r="FL85" s="101"/>
      <c r="FM85" s="101"/>
      <c r="FN85" s="101"/>
      <c r="FO85" s="101"/>
      <c r="FP85" s="101"/>
      <c r="FQ85" s="101"/>
      <c r="FR85" s="101"/>
      <c r="FS85" s="101"/>
      <c r="FT85" s="100"/>
      <c r="FU85" s="114"/>
      <c r="FW85" s="12"/>
      <c r="FX85" s="12"/>
      <c r="FY85" s="12"/>
      <c r="FZ85" s="12"/>
      <c r="GA85" s="12"/>
      <c r="GB85" s="12"/>
      <c r="GC85" s="12"/>
      <c r="GD85" s="103"/>
      <c r="GE85" s="103"/>
      <c r="GF85" s="103"/>
      <c r="GG85" s="103"/>
      <c r="GH85" s="103"/>
      <c r="GI85" s="103"/>
      <c r="GJ85" s="103"/>
      <c r="GK85" s="103"/>
      <c r="GL85" s="103"/>
      <c r="GM85" s="103"/>
      <c r="GN85" s="103"/>
      <c r="GO85" s="103"/>
      <c r="GP85" s="103"/>
      <c r="GQ85" s="100"/>
      <c r="GR85" s="114"/>
      <c r="GT85" s="12"/>
      <c r="GU85" s="12"/>
      <c r="GV85" s="12"/>
      <c r="GW85" s="12"/>
      <c r="GX85" s="12"/>
      <c r="GY85" s="12"/>
      <c r="GZ85" s="12"/>
      <c r="HA85" s="32"/>
      <c r="HB85" s="32"/>
      <c r="HC85" s="32"/>
      <c r="HD85" s="32"/>
      <c r="HE85" s="32"/>
      <c r="HF85" s="32"/>
      <c r="HG85" s="32"/>
      <c r="HH85" s="32"/>
      <c r="HI85" s="32"/>
      <c r="HJ85" s="32"/>
      <c r="HK85" s="32"/>
      <c r="HL85" s="100"/>
      <c r="HM85" s="114"/>
      <c r="HO85" s="12"/>
      <c r="HP85" s="12"/>
      <c r="HQ85" s="12"/>
      <c r="HR85" s="12"/>
      <c r="HS85" s="12"/>
      <c r="HT85" s="12"/>
      <c r="HU85" s="12"/>
      <c r="HV85" s="32"/>
      <c r="HW85" s="100"/>
      <c r="HX85" s="114"/>
      <c r="HZ85" s="12"/>
      <c r="IA85" s="12"/>
      <c r="IB85" s="12"/>
      <c r="IC85" s="12"/>
      <c r="ID85" s="12"/>
      <c r="IE85" s="12"/>
      <c r="IF85" s="12"/>
      <c r="IG85" s="32"/>
      <c r="IH85" s="93"/>
      <c r="II85" s="93"/>
      <c r="IJ85" s="93"/>
      <c r="IK85" s="93"/>
      <c r="IL85" s="93"/>
      <c r="IM85" s="100"/>
      <c r="IN85" s="114"/>
      <c r="IP85" s="12"/>
      <c r="IQ85" s="12"/>
      <c r="IR85" s="12"/>
      <c r="IS85" s="12"/>
      <c r="IT85" s="12"/>
      <c r="IU85" s="12"/>
      <c r="IV85" s="12"/>
      <c r="IW85" s="32"/>
      <c r="IX85" s="93"/>
      <c r="IY85" s="100"/>
      <c r="IZ85" s="114"/>
      <c r="JB85" s="12"/>
      <c r="JC85" s="12"/>
      <c r="JD85" s="12"/>
      <c r="JE85" s="12"/>
      <c r="JF85" s="12"/>
      <c r="JG85" s="12"/>
      <c r="JH85" s="12"/>
      <c r="JI85" s="32"/>
      <c r="JJ85" s="93"/>
      <c r="JK85" s="93"/>
      <c r="JL85" s="93"/>
      <c r="JM85" s="93"/>
      <c r="JN85" s="93"/>
      <c r="JO85" s="93"/>
      <c r="JP85" s="93"/>
      <c r="JQ85" s="93"/>
      <c r="JR85" s="93"/>
      <c r="JS85" s="93"/>
      <c r="JT85" s="93"/>
      <c r="JU85" s="93"/>
      <c r="JV85" s="93"/>
      <c r="JW85" s="93"/>
      <c r="JX85" s="93"/>
      <c r="JY85" s="93"/>
      <c r="JZ85" s="93"/>
      <c r="KA85" s="93"/>
      <c r="KB85" s="93"/>
      <c r="KC85" s="93"/>
      <c r="KD85" s="101"/>
      <c r="KE85" s="100"/>
      <c r="KF85" s="114"/>
      <c r="KH85" s="12"/>
      <c r="KI85" s="12"/>
      <c r="KJ85" s="12"/>
      <c r="KK85" s="12"/>
      <c r="KL85" s="12"/>
      <c r="KM85" s="12"/>
      <c r="KN85" s="12"/>
      <c r="KO85" s="192"/>
      <c r="KP85" s="193"/>
      <c r="KQ85" s="193"/>
      <c r="KR85" s="193"/>
      <c r="KS85" s="100"/>
      <c r="KT85" s="114"/>
      <c r="KV85" s="642" t="s">
        <v>254</v>
      </c>
      <c r="KW85" s="643"/>
      <c r="KX85" s="643"/>
      <c r="KY85" s="643"/>
      <c r="KZ85" s="643"/>
      <c r="LA85" s="705"/>
      <c r="LB85" s="13">
        <v>34</v>
      </c>
      <c r="LC85" s="32"/>
      <c r="LD85" s="93"/>
      <c r="LE85" s="93"/>
      <c r="LF85" s="30">
        <f t="shared" si="61"/>
        <v>0</v>
      </c>
      <c r="LG85" s="28">
        <f t="shared" si="62"/>
        <v>0</v>
      </c>
      <c r="LI85" s="642" t="s">
        <v>254</v>
      </c>
      <c r="LJ85" s="643"/>
      <c r="LK85" s="643"/>
      <c r="LL85" s="643"/>
      <c r="LM85" s="643"/>
      <c r="LN85" s="705"/>
      <c r="LO85" s="13">
        <v>34</v>
      </c>
      <c r="LP85" s="32"/>
      <c r="LQ85" s="93"/>
      <c r="LR85" s="93"/>
      <c r="LS85" s="93"/>
      <c r="LT85" s="93"/>
      <c r="LU85" s="93"/>
      <c r="LV85" s="93"/>
      <c r="LW85" s="93"/>
      <c r="LX85" s="93"/>
      <c r="LY85" s="93"/>
      <c r="LZ85" s="93"/>
      <c r="MA85" s="93"/>
      <c r="MB85" s="93"/>
      <c r="MC85" s="93"/>
      <c r="MD85" s="93"/>
      <c r="ME85" s="30">
        <f t="shared" si="57"/>
        <v>0</v>
      </c>
      <c r="MF85" s="28">
        <f t="shared" si="54"/>
        <v>0</v>
      </c>
      <c r="MH85" s="642" t="s">
        <v>254</v>
      </c>
      <c r="MI85" s="643"/>
      <c r="MJ85" s="643"/>
      <c r="MK85" s="643"/>
      <c r="ML85" s="643"/>
      <c r="MM85" s="705"/>
      <c r="MN85" s="13">
        <v>34</v>
      </c>
      <c r="MO85" s="32"/>
      <c r="MP85" s="93"/>
      <c r="MQ85" s="93"/>
      <c r="MR85" s="93"/>
      <c r="MS85" s="93">
        <v>1</v>
      </c>
      <c r="MT85" s="93">
        <v>1</v>
      </c>
      <c r="MU85" s="93"/>
      <c r="MV85" s="93"/>
      <c r="MW85" s="93"/>
      <c r="MX85" s="93"/>
      <c r="MY85" s="93"/>
      <c r="MZ85" s="93"/>
      <c r="NA85" s="93"/>
      <c r="NB85" s="93"/>
      <c r="NC85" s="93"/>
      <c r="ND85" s="30">
        <f t="shared" si="58"/>
        <v>2</v>
      </c>
      <c r="NE85" s="28">
        <f t="shared" si="55"/>
        <v>68</v>
      </c>
      <c r="NG85" s="642" t="s">
        <v>254</v>
      </c>
      <c r="NH85" s="643"/>
      <c r="NI85" s="643"/>
      <c r="NJ85" s="643"/>
      <c r="NK85" s="643"/>
      <c r="NL85" s="705"/>
      <c r="NM85" s="13">
        <v>34</v>
      </c>
      <c r="NN85" s="93"/>
      <c r="NO85" s="93"/>
      <c r="NP85" s="93"/>
      <c r="NQ85" s="93">
        <v>2</v>
      </c>
      <c r="NR85" s="93"/>
      <c r="NS85" s="93"/>
      <c r="NT85" s="93"/>
      <c r="NU85" s="93"/>
      <c r="NV85" s="93"/>
      <c r="NW85" s="93"/>
      <c r="NX85" s="93"/>
      <c r="NY85" s="93"/>
      <c r="NZ85" s="93"/>
      <c r="OA85" s="93"/>
      <c r="OB85" s="93"/>
      <c r="OC85" s="30">
        <f t="shared" si="59"/>
        <v>2</v>
      </c>
      <c r="OD85" s="28">
        <f t="shared" si="60"/>
        <v>68</v>
      </c>
    </row>
    <row r="86" spans="1:394" ht="14.45" customHeight="1" x14ac:dyDescent="0.25">
      <c r="A86" s="47"/>
      <c r="B86" s="12"/>
      <c r="C86" s="12"/>
      <c r="D86" s="12"/>
      <c r="E86" s="12"/>
      <c r="F86" s="12"/>
      <c r="G86" s="12"/>
      <c r="H86" s="12"/>
      <c r="I86" s="12"/>
      <c r="J86" s="12"/>
      <c r="K86" s="99"/>
      <c r="L86" s="34"/>
      <c r="M86" s="34"/>
      <c r="N86" s="19"/>
      <c r="O86" s="12"/>
      <c r="P86" s="12"/>
      <c r="Q86" s="12"/>
      <c r="R86" s="12"/>
      <c r="S86" s="12"/>
      <c r="T86" s="12"/>
      <c r="U86" s="12"/>
      <c r="V86" s="12"/>
      <c r="W86" s="99"/>
      <c r="X86" s="34"/>
      <c r="Y86" s="34"/>
      <c r="Z86" s="19"/>
      <c r="AA86" s="34"/>
      <c r="AB86" s="34"/>
      <c r="AC86" s="34"/>
      <c r="AD86" s="34"/>
      <c r="AE86" s="34"/>
      <c r="AF86" s="34"/>
      <c r="AG86" s="6"/>
      <c r="AH86" s="12"/>
      <c r="AI86" s="12"/>
      <c r="AJ86" s="12"/>
      <c r="AK86" s="12"/>
      <c r="AL86" s="12"/>
      <c r="AM86" s="12"/>
      <c r="AN86" s="12"/>
      <c r="AO86" s="99"/>
      <c r="AP86" s="34"/>
      <c r="AQ86" s="19"/>
      <c r="AS86" s="12"/>
      <c r="AT86" s="12"/>
      <c r="AU86" s="12"/>
      <c r="AV86" s="12"/>
      <c r="AW86" s="12"/>
      <c r="AX86" s="12"/>
      <c r="AY86" s="12"/>
      <c r="AZ86" s="99"/>
      <c r="BA86" s="99"/>
      <c r="BB86" s="99"/>
      <c r="BC86" s="99"/>
      <c r="BD86" s="100"/>
      <c r="BE86" s="28"/>
      <c r="BF86" s="25"/>
      <c r="BG86" s="12"/>
      <c r="BH86" s="12"/>
      <c r="BI86" s="12"/>
      <c r="BJ86" s="12"/>
      <c r="BK86" s="12"/>
      <c r="BL86" s="12"/>
      <c r="BM86" s="12"/>
      <c r="BN86" s="99"/>
      <c r="BO86" s="99"/>
      <c r="BP86" s="100"/>
      <c r="BQ86" s="28"/>
      <c r="BR86" s="25"/>
      <c r="BS86" s="89"/>
      <c r="BT86" s="97"/>
      <c r="BU86" s="97"/>
      <c r="BV86" s="97"/>
      <c r="BW86" s="97"/>
      <c r="BX86" s="98"/>
      <c r="BY86" s="12"/>
      <c r="BZ86" s="99"/>
      <c r="CA86" s="99"/>
      <c r="CB86" s="99"/>
      <c r="CC86" s="99"/>
      <c r="CD86" s="99"/>
      <c r="CE86" s="99"/>
      <c r="CF86" s="99"/>
      <c r="CG86" s="99"/>
      <c r="CH86" s="99"/>
      <c r="CI86" s="100"/>
      <c r="CJ86" s="28"/>
      <c r="CL86" s="89"/>
      <c r="CM86" s="97"/>
      <c r="CN86" s="97"/>
      <c r="CO86" s="97"/>
      <c r="CP86" s="97"/>
      <c r="CQ86" s="98"/>
      <c r="CR86" s="12"/>
      <c r="CS86" s="99"/>
      <c r="CT86" s="99"/>
      <c r="CU86" s="99"/>
      <c r="CV86" s="99"/>
      <c r="CW86" s="99"/>
      <c r="CX86" s="99"/>
      <c r="CY86" s="99"/>
      <c r="CZ86" s="101"/>
      <c r="DA86" s="100"/>
      <c r="DB86" s="28"/>
      <c r="DC86" s="33"/>
      <c r="DD86" s="12"/>
      <c r="DE86" s="12"/>
      <c r="DF86" s="12"/>
      <c r="DG86" s="12"/>
      <c r="DH86" s="12"/>
      <c r="DI86" s="12"/>
      <c r="DJ86" s="12"/>
      <c r="DK86" s="101"/>
      <c r="DL86" s="101"/>
      <c r="DM86" s="101"/>
      <c r="DN86" s="101"/>
      <c r="DO86" s="101"/>
      <c r="DP86" s="101"/>
      <c r="DQ86" s="101"/>
      <c r="DR86" s="101"/>
      <c r="DS86" s="101"/>
      <c r="DT86" s="101"/>
      <c r="DU86" s="100"/>
      <c r="DV86" s="28"/>
      <c r="DX86" s="12"/>
      <c r="DY86" s="12"/>
      <c r="DZ86" s="12"/>
      <c r="EA86" s="12"/>
      <c r="EB86" s="12"/>
      <c r="EC86" s="12"/>
      <c r="ED86" s="12"/>
      <c r="EE86" s="101"/>
      <c r="EF86" s="101"/>
      <c r="EG86" s="101"/>
      <c r="EH86" s="101"/>
      <c r="EI86" s="101"/>
      <c r="EJ86" s="101"/>
      <c r="EK86" s="101"/>
      <c r="EL86" s="101"/>
      <c r="EM86" s="101"/>
      <c r="EN86" s="101"/>
      <c r="EO86" s="100"/>
      <c r="EP86" s="28"/>
      <c r="ER86" s="12"/>
      <c r="ES86" s="12"/>
      <c r="ET86" s="12"/>
      <c r="EU86" s="12"/>
      <c r="EV86" s="12"/>
      <c r="EW86" s="12"/>
      <c r="EX86" s="12"/>
      <c r="EY86" s="101"/>
      <c r="EZ86" s="101"/>
      <c r="FA86" s="101"/>
      <c r="FB86" s="101"/>
      <c r="FC86" s="101"/>
      <c r="FD86" s="101"/>
      <c r="FE86" s="101"/>
      <c r="FF86" s="101"/>
      <c r="FG86" s="101"/>
      <c r="FH86" s="101"/>
      <c r="FI86" s="101"/>
      <c r="FJ86" s="101"/>
      <c r="FK86" s="101"/>
      <c r="FL86" s="101"/>
      <c r="FM86" s="101"/>
      <c r="FN86" s="101"/>
      <c r="FO86" s="101"/>
      <c r="FP86" s="101"/>
      <c r="FQ86" s="101"/>
      <c r="FR86" s="101"/>
      <c r="FS86" s="101"/>
      <c r="FT86" s="100"/>
      <c r="FU86" s="114"/>
      <c r="FW86" s="12"/>
      <c r="FX86" s="12"/>
      <c r="FY86" s="12"/>
      <c r="FZ86" s="12"/>
      <c r="GA86" s="12"/>
      <c r="GB86" s="12"/>
      <c r="GC86" s="12"/>
      <c r="GD86" s="103"/>
      <c r="GE86" s="103"/>
      <c r="GF86" s="103"/>
      <c r="GG86" s="103"/>
      <c r="GH86" s="103"/>
      <c r="GI86" s="103"/>
      <c r="GJ86" s="103"/>
      <c r="GK86" s="103"/>
      <c r="GL86" s="103"/>
      <c r="GM86" s="103"/>
      <c r="GN86" s="103"/>
      <c r="GO86" s="103"/>
      <c r="GP86" s="103"/>
      <c r="GQ86" s="100"/>
      <c r="GR86" s="114"/>
      <c r="GT86" s="12"/>
      <c r="GU86" s="12"/>
      <c r="GV86" s="12"/>
      <c r="GW86" s="12"/>
      <c r="GX86" s="12"/>
      <c r="GY86" s="12"/>
      <c r="GZ86" s="12"/>
      <c r="HA86" s="32"/>
      <c r="HB86" s="32"/>
      <c r="HC86" s="32"/>
      <c r="HD86" s="32"/>
      <c r="HE86" s="32"/>
      <c r="HF86" s="32"/>
      <c r="HG86" s="32"/>
      <c r="HH86" s="32"/>
      <c r="HI86" s="32"/>
      <c r="HJ86" s="32"/>
      <c r="HK86" s="32"/>
      <c r="HL86" s="100"/>
      <c r="HM86" s="114"/>
      <c r="HO86" s="12"/>
      <c r="HP86" s="12"/>
      <c r="HQ86" s="12"/>
      <c r="HR86" s="12"/>
      <c r="HS86" s="12"/>
      <c r="HT86" s="12"/>
      <c r="HU86" s="12"/>
      <c r="HV86" s="32"/>
      <c r="HW86" s="100"/>
      <c r="HX86" s="114"/>
      <c r="HZ86" s="12"/>
      <c r="IA86" s="12"/>
      <c r="IB86" s="12"/>
      <c r="IC86" s="12"/>
      <c r="ID86" s="12"/>
      <c r="IE86" s="12"/>
      <c r="IF86" s="12"/>
      <c r="IG86" s="32"/>
      <c r="IH86" s="93"/>
      <c r="II86" s="93"/>
      <c r="IJ86" s="93"/>
      <c r="IK86" s="93"/>
      <c r="IL86" s="93"/>
      <c r="IM86" s="100"/>
      <c r="IN86" s="114"/>
      <c r="IP86" s="12"/>
      <c r="IQ86" s="12"/>
      <c r="IR86" s="12"/>
      <c r="IS86" s="12"/>
      <c r="IT86" s="12"/>
      <c r="IU86" s="12"/>
      <c r="IV86" s="12"/>
      <c r="IW86" s="32"/>
      <c r="IX86" s="93"/>
      <c r="IY86" s="100"/>
      <c r="IZ86" s="114"/>
      <c r="JB86" s="12"/>
      <c r="JC86" s="12"/>
      <c r="JD86" s="12"/>
      <c r="JE86" s="12"/>
      <c r="JF86" s="12"/>
      <c r="JG86" s="12"/>
      <c r="JH86" s="12"/>
      <c r="JI86" s="32"/>
      <c r="JJ86" s="93"/>
      <c r="JK86" s="93"/>
      <c r="JL86" s="93"/>
      <c r="JM86" s="93"/>
      <c r="JN86" s="93"/>
      <c r="JO86" s="93"/>
      <c r="JP86" s="93"/>
      <c r="JQ86" s="93"/>
      <c r="JR86" s="93"/>
      <c r="JS86" s="93"/>
      <c r="JT86" s="93"/>
      <c r="JU86" s="93"/>
      <c r="JV86" s="93"/>
      <c r="JW86" s="93"/>
      <c r="JX86" s="93"/>
      <c r="JY86" s="93"/>
      <c r="JZ86" s="93"/>
      <c r="KA86" s="93"/>
      <c r="KB86" s="93"/>
      <c r="KC86" s="93"/>
      <c r="KD86" s="101"/>
      <c r="KE86" s="100"/>
      <c r="KF86" s="114"/>
      <c r="KH86" s="12"/>
      <c r="KI86" s="12"/>
      <c r="KJ86" s="12"/>
      <c r="KK86" s="12"/>
      <c r="KL86" s="12"/>
      <c r="KM86" s="12"/>
      <c r="KN86" s="12"/>
      <c r="KO86" s="192"/>
      <c r="KP86" s="193"/>
      <c r="KQ86" s="193"/>
      <c r="KR86" s="193"/>
      <c r="KS86" s="100"/>
      <c r="KT86" s="114"/>
      <c r="KV86" s="706" t="s">
        <v>255</v>
      </c>
      <c r="KW86" s="707"/>
      <c r="KX86" s="707"/>
      <c r="KY86" s="707"/>
      <c r="KZ86" s="707"/>
      <c r="LA86" s="708"/>
      <c r="LB86" s="28">
        <v>11</v>
      </c>
      <c r="LC86" s="51"/>
      <c r="LD86" s="73"/>
      <c r="LE86" s="73"/>
      <c r="LF86" s="30">
        <f t="shared" si="61"/>
        <v>0</v>
      </c>
      <c r="LG86" s="28">
        <f t="shared" si="62"/>
        <v>0</v>
      </c>
      <c r="LI86" s="706" t="s">
        <v>255</v>
      </c>
      <c r="LJ86" s="707"/>
      <c r="LK86" s="707"/>
      <c r="LL86" s="707"/>
      <c r="LM86" s="707"/>
      <c r="LN86" s="708"/>
      <c r="LO86" s="28">
        <v>11</v>
      </c>
      <c r="LP86" s="51"/>
      <c r="LQ86" s="73"/>
      <c r="LR86" s="73"/>
      <c r="LS86" s="73"/>
      <c r="LT86" s="73"/>
      <c r="LU86" s="73"/>
      <c r="LV86" s="73"/>
      <c r="LW86" s="73"/>
      <c r="LX86" s="73"/>
      <c r="LY86" s="73"/>
      <c r="LZ86" s="73"/>
      <c r="MA86" s="73"/>
      <c r="MB86" s="73"/>
      <c r="MC86" s="73"/>
      <c r="MD86" s="73"/>
      <c r="ME86" s="30">
        <f t="shared" si="57"/>
        <v>0</v>
      </c>
      <c r="MF86" s="28">
        <f t="shared" si="54"/>
        <v>0</v>
      </c>
      <c r="MH86" s="706" t="s">
        <v>255</v>
      </c>
      <c r="MI86" s="707"/>
      <c r="MJ86" s="707"/>
      <c r="MK86" s="707"/>
      <c r="ML86" s="707"/>
      <c r="MM86" s="708"/>
      <c r="MN86" s="28">
        <v>11</v>
      </c>
      <c r="MO86" s="51"/>
      <c r="MP86" s="73"/>
      <c r="MQ86" s="73"/>
      <c r="MR86" s="73"/>
      <c r="MS86" s="73"/>
      <c r="MT86" s="73"/>
      <c r="MU86" s="73"/>
      <c r="MV86" s="73"/>
      <c r="MW86" s="73"/>
      <c r="MX86" s="73"/>
      <c r="MY86" s="73"/>
      <c r="MZ86" s="73"/>
      <c r="NA86" s="73"/>
      <c r="NB86" s="73"/>
      <c r="NC86" s="73"/>
      <c r="ND86" s="30">
        <f t="shared" si="58"/>
        <v>0</v>
      </c>
      <c r="NE86" s="28">
        <f t="shared" si="55"/>
        <v>0</v>
      </c>
      <c r="NG86" s="706" t="s">
        <v>255</v>
      </c>
      <c r="NH86" s="707"/>
      <c r="NI86" s="707"/>
      <c r="NJ86" s="707"/>
      <c r="NK86" s="707"/>
      <c r="NL86" s="708"/>
      <c r="NM86" s="28">
        <v>11</v>
      </c>
      <c r="NN86" s="73"/>
      <c r="NO86" s="73"/>
      <c r="NP86" s="73"/>
      <c r="NQ86" s="73"/>
      <c r="NR86" s="73"/>
      <c r="NS86" s="73"/>
      <c r="NT86" s="73"/>
      <c r="NU86" s="73"/>
      <c r="NV86" s="73"/>
      <c r="NW86" s="73"/>
      <c r="NX86" s="73"/>
      <c r="NY86" s="73"/>
      <c r="NZ86" s="73"/>
      <c r="OA86" s="73"/>
      <c r="OB86" s="73"/>
      <c r="OC86" s="30">
        <f t="shared" si="59"/>
        <v>0</v>
      </c>
      <c r="OD86" s="28">
        <f t="shared" si="60"/>
        <v>0</v>
      </c>
    </row>
    <row r="87" spans="1:394" ht="14.45" customHeight="1" x14ac:dyDescent="0.25">
      <c r="A87" s="47"/>
      <c r="B87" s="12"/>
      <c r="C87" s="12"/>
      <c r="D87" s="12"/>
      <c r="E87" s="12"/>
      <c r="F87" s="12"/>
      <c r="G87" s="12"/>
      <c r="H87" s="12"/>
      <c r="I87" s="12"/>
      <c r="J87" s="12"/>
      <c r="K87" s="99"/>
      <c r="L87" s="34"/>
      <c r="M87" s="34"/>
      <c r="N87" s="19"/>
      <c r="O87" s="12"/>
      <c r="P87" s="12"/>
      <c r="Q87" s="12"/>
      <c r="R87" s="12"/>
      <c r="S87" s="12"/>
      <c r="T87" s="12"/>
      <c r="U87" s="12"/>
      <c r="V87" s="12"/>
      <c r="W87" s="99"/>
      <c r="X87" s="34"/>
      <c r="Y87" s="34"/>
      <c r="Z87" s="19"/>
      <c r="AA87" s="34"/>
      <c r="AB87" s="34"/>
      <c r="AC87" s="34"/>
      <c r="AD87" s="34"/>
      <c r="AE87" s="34"/>
      <c r="AF87" s="34"/>
      <c r="AG87" s="6"/>
      <c r="AH87" s="12"/>
      <c r="AI87" s="12"/>
      <c r="AJ87" s="12"/>
      <c r="AK87" s="12"/>
      <c r="AL87" s="12"/>
      <c r="AM87" s="12"/>
      <c r="AN87" s="12"/>
      <c r="AO87" s="99"/>
      <c r="AP87" s="34"/>
      <c r="AQ87" s="19"/>
      <c r="AS87" s="12"/>
      <c r="AT87" s="12"/>
      <c r="AU87" s="12"/>
      <c r="AV87" s="12"/>
      <c r="AW87" s="12"/>
      <c r="AX87" s="12"/>
      <c r="AY87" s="12"/>
      <c r="AZ87" s="99"/>
      <c r="BA87" s="99"/>
      <c r="BB87" s="99"/>
      <c r="BC87" s="99"/>
      <c r="BD87" s="100"/>
      <c r="BE87" s="28"/>
      <c r="BF87" s="25"/>
      <c r="BG87" s="12"/>
      <c r="BH87" s="12"/>
      <c r="BI87" s="12"/>
      <c r="BJ87" s="12"/>
      <c r="BK87" s="12"/>
      <c r="BL87" s="12"/>
      <c r="BM87" s="12"/>
      <c r="BN87" s="99"/>
      <c r="BO87" s="99"/>
      <c r="BP87" s="100"/>
      <c r="BQ87" s="28"/>
      <c r="BR87" s="25"/>
      <c r="BS87" s="89"/>
      <c r="BT87" s="97"/>
      <c r="BU87" s="97"/>
      <c r="BV87" s="97"/>
      <c r="BW87" s="97"/>
      <c r="BX87" s="98"/>
      <c r="BY87" s="12"/>
      <c r="BZ87" s="99"/>
      <c r="CA87" s="99"/>
      <c r="CB87" s="99"/>
      <c r="CC87" s="99"/>
      <c r="CD87" s="99"/>
      <c r="CE87" s="99"/>
      <c r="CF87" s="99"/>
      <c r="CG87" s="99"/>
      <c r="CH87" s="99"/>
      <c r="CI87" s="100"/>
      <c r="CJ87" s="28"/>
      <c r="CL87" s="89"/>
      <c r="CM87" s="97"/>
      <c r="CN87" s="97"/>
      <c r="CO87" s="97"/>
      <c r="CP87" s="97"/>
      <c r="CQ87" s="98"/>
      <c r="CR87" s="12"/>
      <c r="CS87" s="99"/>
      <c r="CT87" s="99"/>
      <c r="CU87" s="99"/>
      <c r="CV87" s="99"/>
      <c r="CW87" s="99"/>
      <c r="CX87" s="99"/>
      <c r="CY87" s="99"/>
      <c r="CZ87" s="101"/>
      <c r="DA87" s="100"/>
      <c r="DB87" s="28"/>
      <c r="DC87" s="33"/>
      <c r="DD87" s="12"/>
      <c r="DE87" s="12"/>
      <c r="DF87" s="12"/>
      <c r="DG87" s="12"/>
      <c r="DH87" s="12"/>
      <c r="DI87" s="12"/>
      <c r="DJ87" s="12"/>
      <c r="DK87" s="101"/>
      <c r="DL87" s="101"/>
      <c r="DM87" s="101"/>
      <c r="DN87" s="101"/>
      <c r="DO87" s="101"/>
      <c r="DP87" s="101"/>
      <c r="DQ87" s="101"/>
      <c r="DR87" s="101"/>
      <c r="DS87" s="101"/>
      <c r="DT87" s="101"/>
      <c r="DU87" s="100"/>
      <c r="DV87" s="28"/>
      <c r="DX87" s="12"/>
      <c r="DY87" s="12"/>
      <c r="DZ87" s="12"/>
      <c r="EA87" s="12"/>
      <c r="EB87" s="12"/>
      <c r="EC87" s="12"/>
      <c r="ED87" s="12"/>
      <c r="EE87" s="101"/>
      <c r="EF87" s="101"/>
      <c r="EG87" s="101"/>
      <c r="EH87" s="101"/>
      <c r="EI87" s="101"/>
      <c r="EJ87" s="101"/>
      <c r="EK87" s="101"/>
      <c r="EL87" s="101"/>
      <c r="EM87" s="101"/>
      <c r="EN87" s="101"/>
      <c r="EO87" s="100"/>
      <c r="EP87" s="28"/>
      <c r="ER87" s="12"/>
      <c r="ES87" s="12"/>
      <c r="ET87" s="12"/>
      <c r="EU87" s="12"/>
      <c r="EV87" s="12"/>
      <c r="EW87" s="12"/>
      <c r="EX87" s="12"/>
      <c r="EY87" s="101"/>
      <c r="EZ87" s="101"/>
      <c r="FA87" s="101"/>
      <c r="FB87" s="101"/>
      <c r="FC87" s="101"/>
      <c r="FD87" s="101"/>
      <c r="FE87" s="101"/>
      <c r="FF87" s="101"/>
      <c r="FG87" s="101"/>
      <c r="FH87" s="101"/>
      <c r="FI87" s="101"/>
      <c r="FJ87" s="101"/>
      <c r="FK87" s="101"/>
      <c r="FL87" s="101"/>
      <c r="FM87" s="101"/>
      <c r="FN87" s="101"/>
      <c r="FO87" s="101"/>
      <c r="FP87" s="101"/>
      <c r="FQ87" s="101"/>
      <c r="FR87" s="101"/>
      <c r="FS87" s="101"/>
      <c r="FT87" s="100"/>
      <c r="FU87" s="114"/>
      <c r="FW87" s="12"/>
      <c r="FX87" s="12"/>
      <c r="FY87" s="12"/>
      <c r="FZ87" s="12"/>
      <c r="GA87" s="12"/>
      <c r="GB87" s="12"/>
      <c r="GC87" s="12"/>
      <c r="GD87" s="103"/>
      <c r="GE87" s="103"/>
      <c r="GF87" s="103"/>
      <c r="GG87" s="103"/>
      <c r="GH87" s="103"/>
      <c r="GI87" s="103"/>
      <c r="GJ87" s="103"/>
      <c r="GK87" s="103"/>
      <c r="GL87" s="103"/>
      <c r="GM87" s="103"/>
      <c r="GN87" s="103"/>
      <c r="GO87" s="103"/>
      <c r="GP87" s="103"/>
      <c r="GQ87" s="100"/>
      <c r="GR87" s="114"/>
      <c r="GT87" s="12"/>
      <c r="GU87" s="12"/>
      <c r="GV87" s="12"/>
      <c r="GW87" s="12"/>
      <c r="GX87" s="12"/>
      <c r="GY87" s="12"/>
      <c r="GZ87" s="12"/>
      <c r="HA87" s="32"/>
      <c r="HB87" s="32"/>
      <c r="HC87" s="32"/>
      <c r="HD87" s="32"/>
      <c r="HE87" s="32"/>
      <c r="HF87" s="32"/>
      <c r="HG87" s="32"/>
      <c r="HH87" s="32"/>
      <c r="HI87" s="32"/>
      <c r="HJ87" s="32"/>
      <c r="HK87" s="32"/>
      <c r="HL87" s="100"/>
      <c r="HM87" s="114"/>
      <c r="HO87" s="12"/>
      <c r="HP87" s="12"/>
      <c r="HQ87" s="12"/>
      <c r="HR87" s="12"/>
      <c r="HS87" s="12"/>
      <c r="HT87" s="12"/>
      <c r="HU87" s="12"/>
      <c r="HV87" s="32"/>
      <c r="HW87" s="100"/>
      <c r="HX87" s="114"/>
      <c r="HZ87" s="12"/>
      <c r="IA87" s="12"/>
      <c r="IB87" s="12"/>
      <c r="IC87" s="12"/>
      <c r="ID87" s="12"/>
      <c r="IE87" s="12"/>
      <c r="IF87" s="12"/>
      <c r="IG87" s="32"/>
      <c r="IH87" s="93"/>
      <c r="II87" s="93"/>
      <c r="IJ87" s="93"/>
      <c r="IK87" s="93"/>
      <c r="IL87" s="93"/>
      <c r="IM87" s="100"/>
      <c r="IN87" s="114"/>
      <c r="IP87" s="12"/>
      <c r="IQ87" s="12"/>
      <c r="IR87" s="12"/>
      <c r="IS87" s="12"/>
      <c r="IT87" s="12"/>
      <c r="IU87" s="12"/>
      <c r="IV87" s="12"/>
      <c r="IW87" s="32"/>
      <c r="IX87" s="93"/>
      <c r="IY87" s="100"/>
      <c r="IZ87" s="114"/>
      <c r="JB87" s="12"/>
      <c r="JC87" s="12"/>
      <c r="JD87" s="12"/>
      <c r="JE87" s="12"/>
      <c r="JF87" s="12"/>
      <c r="JG87" s="12"/>
      <c r="JH87" s="12"/>
      <c r="JI87" s="32"/>
      <c r="JJ87" s="93"/>
      <c r="JK87" s="93"/>
      <c r="JL87" s="93"/>
      <c r="JM87" s="93"/>
      <c r="JN87" s="93"/>
      <c r="JO87" s="93"/>
      <c r="JP87" s="93"/>
      <c r="JQ87" s="93"/>
      <c r="JR87" s="93"/>
      <c r="JS87" s="93"/>
      <c r="JT87" s="93"/>
      <c r="JU87" s="93"/>
      <c r="JV87" s="93"/>
      <c r="JW87" s="93"/>
      <c r="JX87" s="93"/>
      <c r="JY87" s="93"/>
      <c r="JZ87" s="93"/>
      <c r="KA87" s="93"/>
      <c r="KB87" s="93"/>
      <c r="KC87" s="93"/>
      <c r="KD87" s="101"/>
      <c r="KE87" s="100"/>
      <c r="KF87" s="114"/>
      <c r="KH87" s="12"/>
      <c r="KI87" s="12"/>
      <c r="KJ87" s="12"/>
      <c r="KK87" s="12"/>
      <c r="KL87" s="12"/>
      <c r="KM87" s="12"/>
      <c r="KN87" s="12"/>
      <c r="KO87" s="192"/>
      <c r="KP87" s="193"/>
      <c r="KQ87" s="193"/>
      <c r="KR87" s="193"/>
      <c r="KS87" s="100"/>
      <c r="KT87" s="114"/>
      <c r="KV87" s="642" t="s">
        <v>256</v>
      </c>
      <c r="KW87" s="643"/>
      <c r="KX87" s="643"/>
      <c r="KY87" s="643"/>
      <c r="KZ87" s="643"/>
      <c r="LA87" s="705"/>
      <c r="LB87" s="13">
        <v>14</v>
      </c>
      <c r="LC87" s="32"/>
      <c r="LD87" s="93"/>
      <c r="LE87" s="93"/>
      <c r="LF87" s="30">
        <f t="shared" si="61"/>
        <v>0</v>
      </c>
      <c r="LG87" s="28">
        <f t="shared" si="62"/>
        <v>0</v>
      </c>
      <c r="LI87" s="642" t="s">
        <v>256</v>
      </c>
      <c r="LJ87" s="643"/>
      <c r="LK87" s="643"/>
      <c r="LL87" s="643"/>
      <c r="LM87" s="643"/>
      <c r="LN87" s="705"/>
      <c r="LO87" s="13">
        <v>14</v>
      </c>
      <c r="LP87" s="32"/>
      <c r="LQ87" s="93"/>
      <c r="LR87" s="93"/>
      <c r="LS87" s="93"/>
      <c r="LT87" s="93"/>
      <c r="LU87" s="93"/>
      <c r="LV87" s="93"/>
      <c r="LW87" s="93"/>
      <c r="LX87" s="93"/>
      <c r="LY87" s="93"/>
      <c r="LZ87" s="93"/>
      <c r="MA87" s="93"/>
      <c r="MB87" s="93"/>
      <c r="MC87" s="93"/>
      <c r="MD87" s="93"/>
      <c r="ME87" s="30">
        <f t="shared" si="57"/>
        <v>0</v>
      </c>
      <c r="MF87" s="28">
        <f t="shared" si="54"/>
        <v>0</v>
      </c>
      <c r="MH87" s="642" t="s">
        <v>256</v>
      </c>
      <c r="MI87" s="643"/>
      <c r="MJ87" s="643"/>
      <c r="MK87" s="643"/>
      <c r="ML87" s="643"/>
      <c r="MM87" s="705"/>
      <c r="MN87" s="13">
        <v>14</v>
      </c>
      <c r="MO87" s="32"/>
      <c r="MP87" s="93"/>
      <c r="MQ87" s="93"/>
      <c r="MR87" s="93"/>
      <c r="MS87" s="93"/>
      <c r="MT87" s="93"/>
      <c r="MU87" s="93"/>
      <c r="MV87" s="93"/>
      <c r="MW87" s="93"/>
      <c r="MX87" s="93"/>
      <c r="MY87" s="93"/>
      <c r="MZ87" s="93"/>
      <c r="NA87" s="93"/>
      <c r="NB87" s="93"/>
      <c r="NC87" s="93"/>
      <c r="ND87" s="30">
        <f t="shared" si="58"/>
        <v>0</v>
      </c>
      <c r="NE87" s="28">
        <f t="shared" si="55"/>
        <v>0</v>
      </c>
      <c r="NG87" s="642" t="s">
        <v>256</v>
      </c>
      <c r="NH87" s="643"/>
      <c r="NI87" s="643"/>
      <c r="NJ87" s="643"/>
      <c r="NK87" s="643"/>
      <c r="NL87" s="705"/>
      <c r="NM87" s="13">
        <v>14</v>
      </c>
      <c r="NN87" s="93"/>
      <c r="NO87" s="93"/>
      <c r="NP87" s="93"/>
      <c r="NQ87" s="93"/>
      <c r="NR87" s="93"/>
      <c r="NS87" s="93"/>
      <c r="NT87" s="93"/>
      <c r="NU87" s="93"/>
      <c r="NV87" s="93"/>
      <c r="NW87" s="93"/>
      <c r="NX87" s="93"/>
      <c r="NY87" s="93"/>
      <c r="NZ87" s="93"/>
      <c r="OA87" s="93"/>
      <c r="OB87" s="93"/>
      <c r="OC87" s="30">
        <f t="shared" si="59"/>
        <v>0</v>
      </c>
      <c r="OD87" s="28">
        <f t="shared" si="60"/>
        <v>0</v>
      </c>
    </row>
    <row r="88" spans="1:394" ht="14.45" customHeight="1" x14ac:dyDescent="0.25">
      <c r="A88" s="47"/>
      <c r="B88" s="12"/>
      <c r="C88" s="12"/>
      <c r="D88" s="12"/>
      <c r="E88" s="12"/>
      <c r="F88" s="12"/>
      <c r="G88" s="12"/>
      <c r="H88" s="12"/>
      <c r="I88" s="12"/>
      <c r="J88" s="12"/>
      <c r="K88" s="99"/>
      <c r="L88" s="34"/>
      <c r="M88" s="34"/>
      <c r="N88" s="19"/>
      <c r="O88" s="12"/>
      <c r="P88" s="12"/>
      <c r="Q88" s="12"/>
      <c r="R88" s="12"/>
      <c r="S88" s="12"/>
      <c r="T88" s="12"/>
      <c r="U88" s="12"/>
      <c r="V88" s="12"/>
      <c r="W88" s="99"/>
      <c r="X88" s="34"/>
      <c r="Y88" s="34"/>
      <c r="Z88" s="19"/>
      <c r="AA88" s="34"/>
      <c r="AB88" s="34"/>
      <c r="AC88" s="34"/>
      <c r="AD88" s="34"/>
      <c r="AE88" s="34"/>
      <c r="AF88" s="34"/>
      <c r="AG88" s="6"/>
      <c r="AH88" s="12"/>
      <c r="AI88" s="12"/>
      <c r="AJ88" s="12"/>
      <c r="AK88" s="12"/>
      <c r="AL88" s="12"/>
      <c r="AM88" s="12"/>
      <c r="AN88" s="12"/>
      <c r="AO88" s="99"/>
      <c r="AP88" s="34"/>
      <c r="AQ88" s="19"/>
      <c r="AS88" s="12"/>
      <c r="AT88" s="12"/>
      <c r="AU88" s="12"/>
      <c r="AV88" s="12"/>
      <c r="AW88" s="12"/>
      <c r="AX88" s="12"/>
      <c r="AY88" s="12"/>
      <c r="AZ88" s="99"/>
      <c r="BA88" s="99"/>
      <c r="BB88" s="99"/>
      <c r="BC88" s="99"/>
      <c r="BD88" s="100"/>
      <c r="BE88" s="28"/>
      <c r="BF88" s="25"/>
      <c r="BG88" s="12"/>
      <c r="BH88" s="12"/>
      <c r="BI88" s="12"/>
      <c r="BJ88" s="12"/>
      <c r="BK88" s="12"/>
      <c r="BL88" s="12"/>
      <c r="BM88" s="12"/>
      <c r="BN88" s="99"/>
      <c r="BO88" s="99"/>
      <c r="BP88" s="100"/>
      <c r="BQ88" s="28"/>
      <c r="BR88" s="25"/>
      <c r="BS88" s="89"/>
      <c r="BT88" s="97"/>
      <c r="BU88" s="97"/>
      <c r="BV88" s="97"/>
      <c r="BW88" s="97"/>
      <c r="BX88" s="98"/>
      <c r="BY88" s="12"/>
      <c r="BZ88" s="99"/>
      <c r="CA88" s="99"/>
      <c r="CB88" s="99"/>
      <c r="CC88" s="99"/>
      <c r="CD88" s="99"/>
      <c r="CE88" s="99"/>
      <c r="CF88" s="99"/>
      <c r="CG88" s="99"/>
      <c r="CH88" s="99"/>
      <c r="CI88" s="100"/>
      <c r="CJ88" s="28"/>
      <c r="CL88" s="89"/>
      <c r="CM88" s="97"/>
      <c r="CN88" s="97"/>
      <c r="CO88" s="97"/>
      <c r="CP88" s="97"/>
      <c r="CQ88" s="98"/>
      <c r="CR88" s="12"/>
      <c r="CS88" s="99"/>
      <c r="CT88" s="99"/>
      <c r="CU88" s="99"/>
      <c r="CV88" s="99"/>
      <c r="CW88" s="99"/>
      <c r="CX88" s="99"/>
      <c r="CY88" s="99"/>
      <c r="CZ88" s="101"/>
      <c r="DA88" s="100"/>
      <c r="DB88" s="28"/>
      <c r="DC88" s="33"/>
      <c r="DD88" s="12"/>
      <c r="DE88" s="12"/>
      <c r="DF88" s="12"/>
      <c r="DG88" s="12"/>
      <c r="DH88" s="12"/>
      <c r="DI88" s="12"/>
      <c r="DJ88" s="12"/>
      <c r="DK88" s="101"/>
      <c r="DL88" s="101"/>
      <c r="DM88" s="101"/>
      <c r="DN88" s="101"/>
      <c r="DO88" s="101"/>
      <c r="DP88" s="101"/>
      <c r="DQ88" s="101"/>
      <c r="DR88" s="101"/>
      <c r="DS88" s="101"/>
      <c r="DT88" s="101"/>
      <c r="DU88" s="100"/>
      <c r="DV88" s="28"/>
      <c r="DX88" s="12"/>
      <c r="DY88" s="12"/>
      <c r="DZ88" s="12"/>
      <c r="EA88" s="12"/>
      <c r="EB88" s="12"/>
      <c r="EC88" s="12"/>
      <c r="ED88" s="12"/>
      <c r="EE88" s="101"/>
      <c r="EF88" s="101"/>
      <c r="EG88" s="101"/>
      <c r="EH88" s="101"/>
      <c r="EI88" s="101"/>
      <c r="EJ88" s="101"/>
      <c r="EK88" s="101"/>
      <c r="EL88" s="101"/>
      <c r="EM88" s="101"/>
      <c r="EN88" s="101"/>
      <c r="EO88" s="100"/>
      <c r="EP88" s="28"/>
      <c r="ER88" s="12"/>
      <c r="ES88" s="12"/>
      <c r="ET88" s="12"/>
      <c r="EU88" s="12"/>
      <c r="EV88" s="12"/>
      <c r="EW88" s="12"/>
      <c r="EX88" s="12"/>
      <c r="EY88" s="101"/>
      <c r="EZ88" s="101"/>
      <c r="FA88" s="101"/>
      <c r="FB88" s="101"/>
      <c r="FC88" s="101"/>
      <c r="FD88" s="101"/>
      <c r="FE88" s="101"/>
      <c r="FF88" s="101"/>
      <c r="FG88" s="101"/>
      <c r="FH88" s="101"/>
      <c r="FI88" s="101"/>
      <c r="FJ88" s="101"/>
      <c r="FK88" s="101"/>
      <c r="FL88" s="101"/>
      <c r="FM88" s="101"/>
      <c r="FN88" s="101"/>
      <c r="FO88" s="101"/>
      <c r="FP88" s="101"/>
      <c r="FQ88" s="101"/>
      <c r="FR88" s="101"/>
      <c r="FS88" s="101"/>
      <c r="FT88" s="100"/>
      <c r="FU88" s="114"/>
      <c r="FW88" s="12"/>
      <c r="FX88" s="12"/>
      <c r="FY88" s="12"/>
      <c r="FZ88" s="12"/>
      <c r="GA88" s="12"/>
      <c r="GB88" s="12"/>
      <c r="GC88" s="12"/>
      <c r="GD88" s="103"/>
      <c r="GE88" s="103"/>
      <c r="GF88" s="103"/>
      <c r="GG88" s="103"/>
      <c r="GH88" s="103"/>
      <c r="GI88" s="103"/>
      <c r="GJ88" s="103"/>
      <c r="GK88" s="103"/>
      <c r="GL88" s="103"/>
      <c r="GM88" s="103"/>
      <c r="GN88" s="103"/>
      <c r="GO88" s="103"/>
      <c r="GP88" s="103"/>
      <c r="GQ88" s="100"/>
      <c r="GR88" s="114"/>
      <c r="GT88" s="12"/>
      <c r="GU88" s="12"/>
      <c r="GV88" s="12"/>
      <c r="GW88" s="12"/>
      <c r="GX88" s="12"/>
      <c r="GY88" s="12"/>
      <c r="GZ88" s="12"/>
      <c r="HA88" s="32"/>
      <c r="HB88" s="32"/>
      <c r="HC88" s="32"/>
      <c r="HD88" s="32"/>
      <c r="HE88" s="32"/>
      <c r="HF88" s="32"/>
      <c r="HG88" s="32"/>
      <c r="HH88" s="32"/>
      <c r="HI88" s="32"/>
      <c r="HJ88" s="32"/>
      <c r="HK88" s="32"/>
      <c r="HL88" s="100"/>
      <c r="HM88" s="114"/>
      <c r="HO88" s="12"/>
      <c r="HP88" s="12"/>
      <c r="HQ88" s="12"/>
      <c r="HR88" s="12"/>
      <c r="HS88" s="12"/>
      <c r="HT88" s="12"/>
      <c r="HU88" s="12"/>
      <c r="HV88" s="32"/>
      <c r="HW88" s="100"/>
      <c r="HX88" s="114"/>
      <c r="HZ88" s="12"/>
      <c r="IA88" s="12"/>
      <c r="IB88" s="12"/>
      <c r="IC88" s="12"/>
      <c r="ID88" s="12"/>
      <c r="IE88" s="12"/>
      <c r="IF88" s="12"/>
      <c r="IG88" s="32"/>
      <c r="IH88" s="93"/>
      <c r="II88" s="93"/>
      <c r="IJ88" s="93"/>
      <c r="IK88" s="93"/>
      <c r="IL88" s="93"/>
      <c r="IM88" s="100"/>
      <c r="IN88" s="114"/>
      <c r="IP88" s="12"/>
      <c r="IQ88" s="12"/>
      <c r="IR88" s="12"/>
      <c r="IS88" s="12"/>
      <c r="IT88" s="12"/>
      <c r="IU88" s="12"/>
      <c r="IV88" s="12"/>
      <c r="IW88" s="32"/>
      <c r="IX88" s="93"/>
      <c r="IY88" s="100"/>
      <c r="IZ88" s="114"/>
      <c r="JB88" s="12"/>
      <c r="JC88" s="12"/>
      <c r="JD88" s="12"/>
      <c r="JE88" s="12"/>
      <c r="JF88" s="12"/>
      <c r="JG88" s="12"/>
      <c r="JH88" s="12"/>
      <c r="JI88" s="32"/>
      <c r="JJ88" s="93"/>
      <c r="JK88" s="93"/>
      <c r="JL88" s="93"/>
      <c r="JM88" s="93"/>
      <c r="JN88" s="93"/>
      <c r="JO88" s="93"/>
      <c r="JP88" s="93"/>
      <c r="JQ88" s="93"/>
      <c r="JR88" s="93"/>
      <c r="JS88" s="93"/>
      <c r="JT88" s="93"/>
      <c r="JU88" s="93"/>
      <c r="JV88" s="93"/>
      <c r="JW88" s="93"/>
      <c r="JX88" s="93"/>
      <c r="JY88" s="93"/>
      <c r="JZ88" s="93"/>
      <c r="KA88" s="93"/>
      <c r="KB88" s="93"/>
      <c r="KC88" s="93"/>
      <c r="KD88" s="101"/>
      <c r="KE88" s="100"/>
      <c r="KF88" s="114"/>
      <c r="KH88" s="12"/>
      <c r="KI88" s="12"/>
      <c r="KJ88" s="12"/>
      <c r="KK88" s="12"/>
      <c r="KL88" s="12"/>
      <c r="KM88" s="12"/>
      <c r="KN88" s="12"/>
      <c r="KO88" s="192"/>
      <c r="KP88" s="193"/>
      <c r="KQ88" s="193"/>
      <c r="KR88" s="193"/>
      <c r="KS88" s="100"/>
      <c r="KT88" s="114"/>
      <c r="KV88" s="706" t="s">
        <v>257</v>
      </c>
      <c r="KW88" s="707"/>
      <c r="KX88" s="707"/>
      <c r="KY88" s="707"/>
      <c r="KZ88" s="707"/>
      <c r="LA88" s="708"/>
      <c r="LB88" s="28">
        <v>15</v>
      </c>
      <c r="LC88" s="51"/>
      <c r="LD88" s="73"/>
      <c r="LE88" s="73"/>
      <c r="LF88" s="30">
        <f t="shared" si="61"/>
        <v>0</v>
      </c>
      <c r="LG88" s="28">
        <f t="shared" si="62"/>
        <v>0</v>
      </c>
      <c r="LI88" s="706" t="s">
        <v>257</v>
      </c>
      <c r="LJ88" s="707"/>
      <c r="LK88" s="707"/>
      <c r="LL88" s="707"/>
      <c r="LM88" s="707"/>
      <c r="LN88" s="708"/>
      <c r="LO88" s="28">
        <v>15</v>
      </c>
      <c r="LP88" s="51"/>
      <c r="LQ88" s="73"/>
      <c r="LR88" s="73"/>
      <c r="LS88" s="73"/>
      <c r="LT88" s="73"/>
      <c r="LU88" s="73"/>
      <c r="LV88" s="73"/>
      <c r="LW88" s="73"/>
      <c r="LX88" s="73"/>
      <c r="LY88" s="73"/>
      <c r="LZ88" s="73"/>
      <c r="MA88" s="73"/>
      <c r="MB88" s="73"/>
      <c r="MC88" s="73"/>
      <c r="MD88" s="73"/>
      <c r="ME88" s="30">
        <f t="shared" si="57"/>
        <v>0</v>
      </c>
      <c r="MF88" s="28">
        <f t="shared" si="54"/>
        <v>0</v>
      </c>
      <c r="MH88" s="706" t="s">
        <v>257</v>
      </c>
      <c r="MI88" s="707"/>
      <c r="MJ88" s="707"/>
      <c r="MK88" s="707"/>
      <c r="ML88" s="707"/>
      <c r="MM88" s="708"/>
      <c r="MN88" s="28">
        <v>15</v>
      </c>
      <c r="MO88" s="51"/>
      <c r="MP88" s="73"/>
      <c r="MQ88" s="73"/>
      <c r="MR88" s="73"/>
      <c r="MS88" s="73"/>
      <c r="MT88" s="73"/>
      <c r="MU88" s="73"/>
      <c r="MV88" s="73"/>
      <c r="MW88" s="73"/>
      <c r="MX88" s="73"/>
      <c r="MY88" s="73"/>
      <c r="MZ88" s="73"/>
      <c r="NA88" s="73"/>
      <c r="NB88" s="73"/>
      <c r="NC88" s="73"/>
      <c r="ND88" s="30">
        <f t="shared" si="58"/>
        <v>0</v>
      </c>
      <c r="NE88" s="28">
        <f t="shared" si="55"/>
        <v>0</v>
      </c>
      <c r="NG88" s="706" t="s">
        <v>257</v>
      </c>
      <c r="NH88" s="707"/>
      <c r="NI88" s="707"/>
      <c r="NJ88" s="707"/>
      <c r="NK88" s="707"/>
      <c r="NL88" s="708"/>
      <c r="NM88" s="28">
        <v>15</v>
      </c>
      <c r="NN88" s="73"/>
      <c r="NO88" s="73"/>
      <c r="NP88" s="73"/>
      <c r="NQ88" s="73"/>
      <c r="NR88" s="73"/>
      <c r="NS88" s="73"/>
      <c r="NT88" s="73"/>
      <c r="NU88" s="73"/>
      <c r="NV88" s="73"/>
      <c r="NW88" s="73"/>
      <c r="NX88" s="73"/>
      <c r="NY88" s="73"/>
      <c r="NZ88" s="73"/>
      <c r="OA88" s="73"/>
      <c r="OB88" s="73"/>
      <c r="OC88" s="30">
        <f t="shared" si="59"/>
        <v>0</v>
      </c>
      <c r="OD88" s="28">
        <f t="shared" si="60"/>
        <v>0</v>
      </c>
    </row>
    <row r="89" spans="1:394" ht="14.45" customHeight="1" x14ac:dyDescent="0.25">
      <c r="A89" s="47"/>
      <c r="B89" s="12"/>
      <c r="C89" s="12"/>
      <c r="D89" s="12"/>
      <c r="E89" s="12"/>
      <c r="F89" s="12"/>
      <c r="G89" s="12"/>
      <c r="H89" s="12"/>
      <c r="I89" s="12"/>
      <c r="J89" s="12"/>
      <c r="K89" s="99"/>
      <c r="L89" s="34"/>
      <c r="M89" s="34"/>
      <c r="N89" s="19"/>
      <c r="O89" s="12"/>
      <c r="P89" s="12"/>
      <c r="Q89" s="12"/>
      <c r="R89" s="12"/>
      <c r="S89" s="12"/>
      <c r="T89" s="12"/>
      <c r="U89" s="12"/>
      <c r="V89" s="12"/>
      <c r="W89" s="99"/>
      <c r="X89" s="34"/>
      <c r="Y89" s="34"/>
      <c r="Z89" s="19"/>
      <c r="AA89" s="34"/>
      <c r="AB89" s="34"/>
      <c r="AC89" s="34"/>
      <c r="AD89" s="34"/>
      <c r="AE89" s="34"/>
      <c r="AF89" s="34"/>
      <c r="AG89" s="6"/>
      <c r="AH89" s="12"/>
      <c r="AI89" s="12"/>
      <c r="AJ89" s="12"/>
      <c r="AK89" s="12"/>
      <c r="AL89" s="12"/>
      <c r="AM89" s="12"/>
      <c r="AN89" s="12"/>
      <c r="AO89" s="99"/>
      <c r="AP89" s="34"/>
      <c r="AQ89" s="19"/>
      <c r="AS89" s="12"/>
      <c r="AT89" s="12"/>
      <c r="AU89" s="12"/>
      <c r="AV89" s="12"/>
      <c r="AW89" s="12"/>
      <c r="AX89" s="12"/>
      <c r="AY89" s="12"/>
      <c r="AZ89" s="99"/>
      <c r="BA89" s="99"/>
      <c r="BB89" s="99"/>
      <c r="BC89" s="99"/>
      <c r="BD89" s="100"/>
      <c r="BE89" s="28"/>
      <c r="BF89" s="25"/>
      <c r="BG89" s="12"/>
      <c r="BH89" s="12"/>
      <c r="BI89" s="12"/>
      <c r="BJ89" s="12"/>
      <c r="BK89" s="12"/>
      <c r="BL89" s="12"/>
      <c r="BM89" s="12"/>
      <c r="BN89" s="99"/>
      <c r="BO89" s="99"/>
      <c r="BP89" s="100"/>
      <c r="BQ89" s="28"/>
      <c r="BR89" s="25"/>
      <c r="BS89" s="89"/>
      <c r="BT89" s="97"/>
      <c r="BU89" s="97"/>
      <c r="BV89" s="97"/>
      <c r="BW89" s="97"/>
      <c r="BX89" s="98"/>
      <c r="BY89" s="12"/>
      <c r="BZ89" s="99"/>
      <c r="CA89" s="99"/>
      <c r="CB89" s="99"/>
      <c r="CC89" s="99"/>
      <c r="CD89" s="99"/>
      <c r="CE89" s="99"/>
      <c r="CF89" s="99"/>
      <c r="CG89" s="99"/>
      <c r="CH89" s="99"/>
      <c r="CI89" s="100"/>
      <c r="CJ89" s="28"/>
      <c r="CL89" s="89"/>
      <c r="CM89" s="97"/>
      <c r="CN89" s="97"/>
      <c r="CO89" s="97"/>
      <c r="CP89" s="97"/>
      <c r="CQ89" s="98"/>
      <c r="CR89" s="12"/>
      <c r="CS89" s="99"/>
      <c r="CT89" s="99"/>
      <c r="CU89" s="99"/>
      <c r="CV89" s="99"/>
      <c r="CW89" s="99"/>
      <c r="CX89" s="99"/>
      <c r="CY89" s="99"/>
      <c r="CZ89" s="101"/>
      <c r="DA89" s="100"/>
      <c r="DB89" s="28"/>
      <c r="DC89" s="33"/>
      <c r="DD89" s="12"/>
      <c r="DE89" s="12"/>
      <c r="DF89" s="12"/>
      <c r="DG89" s="12"/>
      <c r="DH89" s="12"/>
      <c r="DI89" s="12"/>
      <c r="DJ89" s="12"/>
      <c r="DK89" s="101"/>
      <c r="DL89" s="101"/>
      <c r="DM89" s="101"/>
      <c r="DN89" s="101"/>
      <c r="DO89" s="101"/>
      <c r="DP89" s="101"/>
      <c r="DQ89" s="101"/>
      <c r="DR89" s="101"/>
      <c r="DS89" s="101"/>
      <c r="DT89" s="101"/>
      <c r="DU89" s="100"/>
      <c r="DV89" s="28"/>
      <c r="DX89" s="12"/>
      <c r="DY89" s="12"/>
      <c r="DZ89" s="12"/>
      <c r="EA89" s="12"/>
      <c r="EB89" s="12"/>
      <c r="EC89" s="12"/>
      <c r="ED89" s="12"/>
      <c r="EE89" s="101"/>
      <c r="EF89" s="101"/>
      <c r="EG89" s="101"/>
      <c r="EH89" s="101"/>
      <c r="EI89" s="101"/>
      <c r="EJ89" s="101"/>
      <c r="EK89" s="101"/>
      <c r="EL89" s="101"/>
      <c r="EM89" s="101"/>
      <c r="EN89" s="101"/>
      <c r="EO89" s="100"/>
      <c r="EP89" s="28"/>
      <c r="ER89" s="12"/>
      <c r="ES89" s="12"/>
      <c r="ET89" s="12"/>
      <c r="EU89" s="12"/>
      <c r="EV89" s="12"/>
      <c r="EW89" s="12"/>
      <c r="EX89" s="12"/>
      <c r="EY89" s="101"/>
      <c r="EZ89" s="101"/>
      <c r="FA89" s="101"/>
      <c r="FB89" s="101"/>
      <c r="FC89" s="101"/>
      <c r="FD89" s="101"/>
      <c r="FE89" s="101"/>
      <c r="FF89" s="101"/>
      <c r="FG89" s="101"/>
      <c r="FH89" s="101"/>
      <c r="FI89" s="101"/>
      <c r="FJ89" s="101"/>
      <c r="FK89" s="101"/>
      <c r="FL89" s="101"/>
      <c r="FM89" s="101"/>
      <c r="FN89" s="101"/>
      <c r="FO89" s="101"/>
      <c r="FP89" s="101"/>
      <c r="FQ89" s="101"/>
      <c r="FR89" s="101"/>
      <c r="FS89" s="101"/>
      <c r="FT89" s="100"/>
      <c r="FU89" s="114"/>
      <c r="FW89" s="12"/>
      <c r="FX89" s="12"/>
      <c r="FY89" s="12"/>
      <c r="FZ89" s="12"/>
      <c r="GA89" s="12"/>
      <c r="GB89" s="12"/>
      <c r="GC89" s="12"/>
      <c r="GD89" s="103"/>
      <c r="GE89" s="103"/>
      <c r="GF89" s="103"/>
      <c r="GG89" s="103"/>
      <c r="GH89" s="103"/>
      <c r="GI89" s="103"/>
      <c r="GJ89" s="103"/>
      <c r="GK89" s="103"/>
      <c r="GL89" s="103"/>
      <c r="GM89" s="103"/>
      <c r="GN89" s="103"/>
      <c r="GO89" s="103"/>
      <c r="GP89" s="103"/>
      <c r="GQ89" s="100"/>
      <c r="GR89" s="114"/>
      <c r="GT89" s="12"/>
      <c r="GU89" s="12"/>
      <c r="GV89" s="12"/>
      <c r="GW89" s="12"/>
      <c r="GX89" s="12"/>
      <c r="GY89" s="12"/>
      <c r="GZ89" s="12"/>
      <c r="HA89" s="32"/>
      <c r="HB89" s="32"/>
      <c r="HC89" s="32"/>
      <c r="HD89" s="32"/>
      <c r="HE89" s="32"/>
      <c r="HF89" s="32"/>
      <c r="HG89" s="32"/>
      <c r="HH89" s="32"/>
      <c r="HI89" s="32"/>
      <c r="HJ89" s="32"/>
      <c r="HK89" s="32"/>
      <c r="HL89" s="100"/>
      <c r="HM89" s="114"/>
      <c r="HO89" s="12"/>
      <c r="HP89" s="12"/>
      <c r="HQ89" s="12"/>
      <c r="HR89" s="12"/>
      <c r="HS89" s="12"/>
      <c r="HT89" s="12"/>
      <c r="HU89" s="12"/>
      <c r="HV89" s="32"/>
      <c r="HW89" s="100"/>
      <c r="HX89" s="114"/>
      <c r="HZ89" s="12"/>
      <c r="IA89" s="12"/>
      <c r="IB89" s="12"/>
      <c r="IC89" s="12"/>
      <c r="ID89" s="12"/>
      <c r="IE89" s="12"/>
      <c r="IF89" s="12"/>
      <c r="IG89" s="32"/>
      <c r="IH89" s="93"/>
      <c r="II89" s="93"/>
      <c r="IJ89" s="93"/>
      <c r="IK89" s="93"/>
      <c r="IL89" s="93"/>
      <c r="IM89" s="100"/>
      <c r="IN89" s="114"/>
      <c r="IP89" s="12"/>
      <c r="IQ89" s="12"/>
      <c r="IR89" s="12"/>
      <c r="IS89" s="12"/>
      <c r="IT89" s="12"/>
      <c r="IU89" s="12"/>
      <c r="IV89" s="12"/>
      <c r="IW89" s="32"/>
      <c r="IX89" s="93"/>
      <c r="IY89" s="100"/>
      <c r="IZ89" s="114"/>
      <c r="JB89" s="12"/>
      <c r="JC89" s="12"/>
      <c r="JD89" s="12"/>
      <c r="JE89" s="12"/>
      <c r="JF89" s="12"/>
      <c r="JG89" s="12"/>
      <c r="JH89" s="12"/>
      <c r="JI89" s="32"/>
      <c r="JJ89" s="93"/>
      <c r="JK89" s="93"/>
      <c r="JL89" s="93"/>
      <c r="JM89" s="93"/>
      <c r="JN89" s="93"/>
      <c r="JO89" s="93"/>
      <c r="JP89" s="93"/>
      <c r="JQ89" s="93"/>
      <c r="JR89" s="93"/>
      <c r="JS89" s="93"/>
      <c r="JT89" s="93"/>
      <c r="JU89" s="93"/>
      <c r="JV89" s="93"/>
      <c r="JW89" s="93"/>
      <c r="JX89" s="93"/>
      <c r="JY89" s="93"/>
      <c r="JZ89" s="93"/>
      <c r="KA89" s="93"/>
      <c r="KB89" s="93"/>
      <c r="KC89" s="93"/>
      <c r="KD89" s="101"/>
      <c r="KE89" s="100"/>
      <c r="KF89" s="114"/>
      <c r="KH89" s="12"/>
      <c r="KI89" s="12"/>
      <c r="KJ89" s="12"/>
      <c r="KK89" s="12"/>
      <c r="KL89" s="12"/>
      <c r="KM89" s="12"/>
      <c r="KN89" s="12"/>
      <c r="KO89" s="192"/>
      <c r="KP89" s="193"/>
      <c r="KQ89" s="193"/>
      <c r="KR89" s="193"/>
      <c r="KS89" s="100"/>
      <c r="KT89" s="114"/>
      <c r="KV89" s="642" t="s">
        <v>258</v>
      </c>
      <c r="KW89" s="643"/>
      <c r="KX89" s="643"/>
      <c r="KY89" s="643"/>
      <c r="KZ89" s="643"/>
      <c r="LA89" s="705"/>
      <c r="LB89" s="13">
        <v>20</v>
      </c>
      <c r="LC89" s="32"/>
      <c r="LD89" s="93"/>
      <c r="LE89" s="93"/>
      <c r="LF89" s="30">
        <f t="shared" si="61"/>
        <v>0</v>
      </c>
      <c r="LG89" s="28">
        <f t="shared" si="62"/>
        <v>0</v>
      </c>
      <c r="LI89" s="642" t="s">
        <v>258</v>
      </c>
      <c r="LJ89" s="643"/>
      <c r="LK89" s="643"/>
      <c r="LL89" s="643"/>
      <c r="LM89" s="643"/>
      <c r="LN89" s="705"/>
      <c r="LO89" s="13">
        <v>20</v>
      </c>
      <c r="LP89" s="32"/>
      <c r="LQ89" s="93"/>
      <c r="LR89" s="93"/>
      <c r="LS89" s="93"/>
      <c r="LT89" s="93"/>
      <c r="LU89" s="93"/>
      <c r="LV89" s="93"/>
      <c r="LW89" s="93"/>
      <c r="LX89" s="93"/>
      <c r="LY89" s="93"/>
      <c r="LZ89" s="93"/>
      <c r="MA89" s="93"/>
      <c r="MB89" s="93"/>
      <c r="MC89" s="93"/>
      <c r="MD89" s="93"/>
      <c r="ME89" s="30">
        <f t="shared" si="57"/>
        <v>0</v>
      </c>
      <c r="MF89" s="28">
        <f t="shared" si="54"/>
        <v>0</v>
      </c>
      <c r="MH89" s="642" t="s">
        <v>258</v>
      </c>
      <c r="MI89" s="643"/>
      <c r="MJ89" s="643"/>
      <c r="MK89" s="643"/>
      <c r="ML89" s="643"/>
      <c r="MM89" s="705"/>
      <c r="MN89" s="13">
        <v>20</v>
      </c>
      <c r="MO89" s="32"/>
      <c r="MP89" s="93"/>
      <c r="MQ89" s="93"/>
      <c r="MR89" s="93"/>
      <c r="MS89" s="93"/>
      <c r="MT89" s="93"/>
      <c r="MU89" s="93"/>
      <c r="MV89" s="93"/>
      <c r="MW89" s="93">
        <v>1</v>
      </c>
      <c r="MX89" s="93"/>
      <c r="MY89" s="93"/>
      <c r="MZ89" s="93"/>
      <c r="NA89" s="93"/>
      <c r="NB89" s="93"/>
      <c r="NC89" s="93"/>
      <c r="ND89" s="30">
        <f t="shared" si="58"/>
        <v>1</v>
      </c>
      <c r="NE89" s="28">
        <f t="shared" si="55"/>
        <v>20</v>
      </c>
      <c r="NG89" s="642" t="s">
        <v>258</v>
      </c>
      <c r="NH89" s="643"/>
      <c r="NI89" s="643"/>
      <c r="NJ89" s="643"/>
      <c r="NK89" s="643"/>
      <c r="NL89" s="705"/>
      <c r="NM89" s="13">
        <v>20</v>
      </c>
      <c r="NN89" s="93"/>
      <c r="NO89" s="93"/>
      <c r="NP89" s="93"/>
      <c r="NQ89" s="93"/>
      <c r="NR89" s="93"/>
      <c r="NS89" s="93"/>
      <c r="NT89" s="93"/>
      <c r="NU89" s="93"/>
      <c r="NV89" s="93"/>
      <c r="NW89" s="93"/>
      <c r="NX89" s="93"/>
      <c r="NY89" s="93"/>
      <c r="NZ89" s="93"/>
      <c r="OA89" s="93"/>
      <c r="OB89" s="93"/>
      <c r="OC89" s="30">
        <f t="shared" si="59"/>
        <v>0</v>
      </c>
      <c r="OD89" s="28">
        <f t="shared" si="60"/>
        <v>0</v>
      </c>
    </row>
    <row r="90" spans="1:394" ht="14.45" customHeight="1" x14ac:dyDescent="0.25">
      <c r="A90" s="47"/>
      <c r="B90" s="12"/>
      <c r="C90" s="12"/>
      <c r="D90" s="12"/>
      <c r="E90" s="12"/>
      <c r="F90" s="12"/>
      <c r="G90" s="12"/>
      <c r="H90" s="12"/>
      <c r="I90" s="12"/>
      <c r="J90" s="12"/>
      <c r="K90" s="99"/>
      <c r="L90" s="34"/>
      <c r="M90" s="34"/>
      <c r="N90" s="19"/>
      <c r="O90" s="12"/>
      <c r="P90" s="12"/>
      <c r="Q90" s="12"/>
      <c r="R90" s="12"/>
      <c r="S90" s="12"/>
      <c r="T90" s="12"/>
      <c r="U90" s="12"/>
      <c r="V90" s="12"/>
      <c r="W90" s="99"/>
      <c r="X90" s="34"/>
      <c r="Y90" s="34"/>
      <c r="Z90" s="19"/>
      <c r="AA90" s="34"/>
      <c r="AB90" s="34"/>
      <c r="AC90" s="34"/>
      <c r="AD90" s="34"/>
      <c r="AE90" s="34"/>
      <c r="AF90" s="34"/>
      <c r="AG90" s="6"/>
      <c r="AH90" s="12"/>
      <c r="AI90" s="12"/>
      <c r="AJ90" s="12"/>
      <c r="AK90" s="12"/>
      <c r="AL90" s="12"/>
      <c r="AM90" s="12"/>
      <c r="AN90" s="12"/>
      <c r="AO90" s="99"/>
      <c r="AP90" s="34"/>
      <c r="AQ90" s="19"/>
      <c r="AS90" s="12"/>
      <c r="AT90" s="12"/>
      <c r="AU90" s="12"/>
      <c r="AV90" s="12"/>
      <c r="AW90" s="12"/>
      <c r="AX90" s="12"/>
      <c r="AY90" s="12"/>
      <c r="AZ90" s="99"/>
      <c r="BA90" s="99"/>
      <c r="BB90" s="99"/>
      <c r="BC90" s="99"/>
      <c r="BD90" s="100"/>
      <c r="BE90" s="28"/>
      <c r="BF90" s="25"/>
      <c r="BG90" s="12"/>
      <c r="BH90" s="12"/>
      <c r="BI90" s="12"/>
      <c r="BJ90" s="12"/>
      <c r="BK90" s="12"/>
      <c r="BL90" s="12"/>
      <c r="BM90" s="12"/>
      <c r="BN90" s="99"/>
      <c r="BO90" s="99"/>
      <c r="BP90" s="100"/>
      <c r="BQ90" s="28"/>
      <c r="BR90" s="25"/>
      <c r="BS90" s="89"/>
      <c r="BT90" s="97"/>
      <c r="BU90" s="97"/>
      <c r="BV90" s="97"/>
      <c r="BW90" s="97"/>
      <c r="BX90" s="98"/>
      <c r="BY90" s="12"/>
      <c r="BZ90" s="99"/>
      <c r="CA90" s="99"/>
      <c r="CB90" s="99"/>
      <c r="CC90" s="99"/>
      <c r="CD90" s="99"/>
      <c r="CE90" s="99"/>
      <c r="CF90" s="99"/>
      <c r="CG90" s="99"/>
      <c r="CH90" s="99"/>
      <c r="CI90" s="100"/>
      <c r="CJ90" s="28"/>
      <c r="CL90" s="89"/>
      <c r="CM90" s="97"/>
      <c r="CN90" s="97"/>
      <c r="CO90" s="97"/>
      <c r="CP90" s="97"/>
      <c r="CQ90" s="98"/>
      <c r="CR90" s="12"/>
      <c r="CS90" s="99"/>
      <c r="CT90" s="99"/>
      <c r="CU90" s="99"/>
      <c r="CV90" s="99"/>
      <c r="CW90" s="99"/>
      <c r="CX90" s="99"/>
      <c r="CY90" s="99"/>
      <c r="CZ90" s="101"/>
      <c r="DA90" s="100"/>
      <c r="DB90" s="28"/>
      <c r="DC90" s="33"/>
      <c r="DD90" s="12"/>
      <c r="DE90" s="12"/>
      <c r="DF90" s="12"/>
      <c r="DG90" s="12"/>
      <c r="DH90" s="12"/>
      <c r="DI90" s="12"/>
      <c r="DJ90" s="12"/>
      <c r="DK90" s="101"/>
      <c r="DL90" s="101"/>
      <c r="DM90" s="101"/>
      <c r="DN90" s="101"/>
      <c r="DO90" s="101"/>
      <c r="DP90" s="101"/>
      <c r="DQ90" s="101"/>
      <c r="DR90" s="101"/>
      <c r="DS90" s="101"/>
      <c r="DT90" s="101"/>
      <c r="DU90" s="100"/>
      <c r="DV90" s="28"/>
      <c r="DX90" s="12"/>
      <c r="DY90" s="12"/>
      <c r="DZ90" s="12"/>
      <c r="EA90" s="12"/>
      <c r="EB90" s="12"/>
      <c r="EC90" s="12"/>
      <c r="ED90" s="12"/>
      <c r="EE90" s="101"/>
      <c r="EF90" s="101"/>
      <c r="EG90" s="101"/>
      <c r="EH90" s="101"/>
      <c r="EI90" s="101"/>
      <c r="EJ90" s="101"/>
      <c r="EK90" s="101"/>
      <c r="EL90" s="101"/>
      <c r="EM90" s="101"/>
      <c r="EN90" s="101"/>
      <c r="EO90" s="100"/>
      <c r="EP90" s="28"/>
      <c r="ER90" s="12"/>
      <c r="ES90" s="12"/>
      <c r="ET90" s="12"/>
      <c r="EU90" s="12"/>
      <c r="EV90" s="12"/>
      <c r="EW90" s="12"/>
      <c r="EX90" s="12"/>
      <c r="EY90" s="101"/>
      <c r="EZ90" s="101"/>
      <c r="FA90" s="101"/>
      <c r="FB90" s="101"/>
      <c r="FC90" s="101"/>
      <c r="FD90" s="101"/>
      <c r="FE90" s="101"/>
      <c r="FF90" s="101"/>
      <c r="FG90" s="101"/>
      <c r="FH90" s="101"/>
      <c r="FI90" s="101"/>
      <c r="FJ90" s="101"/>
      <c r="FK90" s="101"/>
      <c r="FL90" s="101"/>
      <c r="FM90" s="101"/>
      <c r="FN90" s="101"/>
      <c r="FO90" s="101"/>
      <c r="FP90" s="101"/>
      <c r="FQ90" s="101"/>
      <c r="FR90" s="101"/>
      <c r="FS90" s="101"/>
      <c r="FT90" s="100"/>
      <c r="FU90" s="114"/>
      <c r="FW90" s="12"/>
      <c r="FX90" s="12"/>
      <c r="FY90" s="12"/>
      <c r="FZ90" s="12"/>
      <c r="GA90" s="12"/>
      <c r="GB90" s="12"/>
      <c r="GC90" s="12"/>
      <c r="GD90" s="103"/>
      <c r="GE90" s="103"/>
      <c r="GF90" s="103"/>
      <c r="GG90" s="103"/>
      <c r="GH90" s="103"/>
      <c r="GI90" s="103"/>
      <c r="GJ90" s="103"/>
      <c r="GK90" s="103"/>
      <c r="GL90" s="103"/>
      <c r="GM90" s="103"/>
      <c r="GN90" s="103"/>
      <c r="GO90" s="103"/>
      <c r="GP90" s="103"/>
      <c r="GQ90" s="100"/>
      <c r="GR90" s="114"/>
      <c r="GT90" s="12"/>
      <c r="GU90" s="12"/>
      <c r="GV90" s="12"/>
      <c r="GW90" s="12"/>
      <c r="GX90" s="12"/>
      <c r="GY90" s="12"/>
      <c r="GZ90" s="12"/>
      <c r="HA90" s="32"/>
      <c r="HB90" s="32"/>
      <c r="HC90" s="32"/>
      <c r="HD90" s="32"/>
      <c r="HE90" s="32"/>
      <c r="HF90" s="32"/>
      <c r="HG90" s="32"/>
      <c r="HH90" s="32"/>
      <c r="HI90" s="32"/>
      <c r="HJ90" s="32"/>
      <c r="HK90" s="32"/>
      <c r="HL90" s="100"/>
      <c r="HM90" s="114"/>
      <c r="HO90" s="12"/>
      <c r="HP90" s="12"/>
      <c r="HQ90" s="12"/>
      <c r="HR90" s="12"/>
      <c r="HS90" s="12"/>
      <c r="HT90" s="12"/>
      <c r="HU90" s="12"/>
      <c r="HV90" s="32"/>
      <c r="HW90" s="100"/>
      <c r="HX90" s="114"/>
      <c r="HZ90" s="12"/>
      <c r="IA90" s="12"/>
      <c r="IB90" s="12"/>
      <c r="IC90" s="12"/>
      <c r="ID90" s="12"/>
      <c r="IE90" s="12"/>
      <c r="IF90" s="12"/>
      <c r="IG90" s="32"/>
      <c r="IH90" s="93"/>
      <c r="II90" s="93"/>
      <c r="IJ90" s="93"/>
      <c r="IK90" s="93"/>
      <c r="IL90" s="93"/>
      <c r="IM90" s="100"/>
      <c r="IN90" s="114"/>
      <c r="IP90" s="12"/>
      <c r="IQ90" s="12"/>
      <c r="IR90" s="12"/>
      <c r="IS90" s="12"/>
      <c r="IT90" s="12"/>
      <c r="IU90" s="12"/>
      <c r="IV90" s="12"/>
      <c r="IW90" s="32"/>
      <c r="IX90" s="93"/>
      <c r="IY90" s="100"/>
      <c r="IZ90" s="114"/>
      <c r="JB90" s="12"/>
      <c r="JC90" s="12"/>
      <c r="JD90" s="12"/>
      <c r="JE90" s="12"/>
      <c r="JF90" s="12"/>
      <c r="JG90" s="12"/>
      <c r="JH90" s="12"/>
      <c r="JI90" s="32"/>
      <c r="JJ90" s="93"/>
      <c r="JK90" s="93"/>
      <c r="JL90" s="93"/>
      <c r="JM90" s="93"/>
      <c r="JN90" s="93"/>
      <c r="JO90" s="93"/>
      <c r="JP90" s="93"/>
      <c r="JQ90" s="93"/>
      <c r="JR90" s="93"/>
      <c r="JS90" s="93"/>
      <c r="JT90" s="93"/>
      <c r="JU90" s="93"/>
      <c r="JV90" s="93"/>
      <c r="JW90" s="93"/>
      <c r="JX90" s="93"/>
      <c r="JY90" s="93"/>
      <c r="JZ90" s="93"/>
      <c r="KA90" s="93"/>
      <c r="KB90" s="93"/>
      <c r="KC90" s="93"/>
      <c r="KD90" s="101"/>
      <c r="KE90" s="100"/>
      <c r="KF90" s="114"/>
      <c r="KH90" s="12"/>
      <c r="KI90" s="12"/>
      <c r="KJ90" s="12"/>
      <c r="KK90" s="12"/>
      <c r="KL90" s="12"/>
      <c r="KM90" s="12"/>
      <c r="KN90" s="12"/>
      <c r="KO90" s="192"/>
      <c r="KP90" s="193"/>
      <c r="KQ90" s="193"/>
      <c r="KR90" s="193"/>
      <c r="KS90" s="100"/>
      <c r="KT90" s="114"/>
      <c r="KV90" s="706" t="s">
        <v>259</v>
      </c>
      <c r="KW90" s="707"/>
      <c r="KX90" s="707"/>
      <c r="KY90" s="707"/>
      <c r="KZ90" s="707"/>
      <c r="LA90" s="708"/>
      <c r="LB90" s="28">
        <v>17</v>
      </c>
      <c r="LC90" s="51"/>
      <c r="LD90" s="73"/>
      <c r="LE90" s="73"/>
      <c r="LF90" s="30">
        <f t="shared" si="61"/>
        <v>0</v>
      </c>
      <c r="LG90" s="28">
        <f t="shared" si="62"/>
        <v>0</v>
      </c>
      <c r="LI90" s="706" t="s">
        <v>259</v>
      </c>
      <c r="LJ90" s="707"/>
      <c r="LK90" s="707"/>
      <c r="LL90" s="707"/>
      <c r="LM90" s="707"/>
      <c r="LN90" s="708"/>
      <c r="LO90" s="28">
        <v>17</v>
      </c>
      <c r="LP90" s="51"/>
      <c r="LQ90" s="73"/>
      <c r="LR90" s="73"/>
      <c r="LS90" s="73"/>
      <c r="LT90" s="73"/>
      <c r="LU90" s="73"/>
      <c r="LV90" s="73"/>
      <c r="LW90" s="73"/>
      <c r="LX90" s="73"/>
      <c r="LY90" s="73"/>
      <c r="LZ90" s="73"/>
      <c r="MA90" s="73"/>
      <c r="MB90" s="73"/>
      <c r="MC90" s="73"/>
      <c r="MD90" s="73"/>
      <c r="ME90" s="30">
        <f t="shared" si="57"/>
        <v>0</v>
      </c>
      <c r="MF90" s="28">
        <f t="shared" si="54"/>
        <v>0</v>
      </c>
      <c r="MH90" s="677" t="s">
        <v>259</v>
      </c>
      <c r="MI90" s="677"/>
      <c r="MJ90" s="677"/>
      <c r="MK90" s="677"/>
      <c r="ML90" s="677"/>
      <c r="MM90" s="677"/>
      <c r="MN90" s="28">
        <v>17</v>
      </c>
      <c r="MO90" s="51"/>
      <c r="MP90" s="73"/>
      <c r="MQ90" s="73"/>
      <c r="MR90" s="73"/>
      <c r="MS90" s="73"/>
      <c r="MT90" s="73"/>
      <c r="MU90" s="73"/>
      <c r="MV90" s="73"/>
      <c r="MW90" s="73"/>
      <c r="MX90" s="73"/>
      <c r="MY90" s="73"/>
      <c r="MZ90" s="73"/>
      <c r="NA90" s="73"/>
      <c r="NB90" s="73"/>
      <c r="NC90" s="73"/>
      <c r="ND90" s="30">
        <f t="shared" si="58"/>
        <v>0</v>
      </c>
      <c r="NE90" s="28">
        <f t="shared" si="55"/>
        <v>0</v>
      </c>
      <c r="NG90" s="677" t="s">
        <v>259</v>
      </c>
      <c r="NH90" s="677"/>
      <c r="NI90" s="677"/>
      <c r="NJ90" s="677"/>
      <c r="NK90" s="677"/>
      <c r="NL90" s="677"/>
      <c r="NM90" s="28">
        <v>17</v>
      </c>
      <c r="NN90" s="73"/>
      <c r="NO90" s="73"/>
      <c r="NP90" s="73"/>
      <c r="NQ90" s="73"/>
      <c r="NR90" s="73"/>
      <c r="NS90" s="73"/>
      <c r="NT90" s="73"/>
      <c r="NU90" s="73"/>
      <c r="NV90" s="73"/>
      <c r="NW90" s="73"/>
      <c r="NX90" s="73"/>
      <c r="NY90" s="73"/>
      <c r="NZ90" s="73"/>
      <c r="OA90" s="73"/>
      <c r="OB90" s="73"/>
      <c r="OC90" s="30">
        <f t="shared" si="59"/>
        <v>0</v>
      </c>
      <c r="OD90" s="28">
        <f t="shared" si="60"/>
        <v>0</v>
      </c>
    </row>
    <row r="91" spans="1:394" ht="14.45" customHeight="1" x14ac:dyDescent="0.25">
      <c r="A91" s="47"/>
      <c r="B91" s="12"/>
      <c r="C91" s="12"/>
      <c r="D91" s="12"/>
      <c r="E91" s="12"/>
      <c r="F91" s="12"/>
      <c r="G91" s="12"/>
      <c r="H91" s="12"/>
      <c r="I91" s="12"/>
      <c r="J91" s="12"/>
      <c r="K91" s="99"/>
      <c r="L91" s="34"/>
      <c r="M91" s="34"/>
      <c r="N91" s="19"/>
      <c r="O91" s="12"/>
      <c r="P91" s="12"/>
      <c r="Q91" s="12"/>
      <c r="R91" s="12"/>
      <c r="S91" s="12"/>
      <c r="T91" s="12"/>
      <c r="U91" s="12"/>
      <c r="V91" s="12"/>
      <c r="W91" s="99"/>
      <c r="X91" s="34"/>
      <c r="Y91" s="34"/>
      <c r="Z91" s="19"/>
      <c r="AA91" s="34"/>
      <c r="AB91" s="34"/>
      <c r="AC91" s="34"/>
      <c r="AD91" s="34"/>
      <c r="AE91" s="34"/>
      <c r="AF91" s="34"/>
      <c r="AG91" s="6"/>
      <c r="AH91" s="12"/>
      <c r="AI91" s="12"/>
      <c r="AJ91" s="12"/>
      <c r="AK91" s="12"/>
      <c r="AL91" s="12"/>
      <c r="AM91" s="12"/>
      <c r="AN91" s="12"/>
      <c r="AO91" s="99"/>
      <c r="AP91" s="34"/>
      <c r="AQ91" s="19"/>
      <c r="AS91" s="12"/>
      <c r="AT91" s="12"/>
      <c r="AU91" s="12"/>
      <c r="AV91" s="12"/>
      <c r="AW91" s="12"/>
      <c r="AX91" s="12"/>
      <c r="AY91" s="12"/>
      <c r="AZ91" s="99"/>
      <c r="BA91" s="99"/>
      <c r="BB91" s="99"/>
      <c r="BC91" s="99"/>
      <c r="BD91" s="100"/>
      <c r="BE91" s="28"/>
      <c r="BF91" s="25"/>
      <c r="BG91" s="12"/>
      <c r="BH91" s="12"/>
      <c r="BI91" s="12"/>
      <c r="BJ91" s="12"/>
      <c r="BK91" s="12"/>
      <c r="BL91" s="12"/>
      <c r="BM91" s="12"/>
      <c r="BN91" s="99"/>
      <c r="BO91" s="99"/>
      <c r="BP91" s="100"/>
      <c r="BQ91" s="28"/>
      <c r="BR91" s="25"/>
      <c r="BS91" s="89"/>
      <c r="BT91" s="97"/>
      <c r="BU91" s="97"/>
      <c r="BV91" s="97"/>
      <c r="BW91" s="97"/>
      <c r="BX91" s="98"/>
      <c r="BY91" s="12"/>
      <c r="BZ91" s="99"/>
      <c r="CA91" s="99"/>
      <c r="CB91" s="99"/>
      <c r="CC91" s="99"/>
      <c r="CD91" s="99"/>
      <c r="CE91" s="99"/>
      <c r="CF91" s="99"/>
      <c r="CG91" s="99"/>
      <c r="CH91" s="99"/>
      <c r="CI91" s="100"/>
      <c r="CJ91" s="28"/>
      <c r="CL91" s="89"/>
      <c r="CM91" s="97"/>
      <c r="CN91" s="97"/>
      <c r="CO91" s="97"/>
      <c r="CP91" s="97"/>
      <c r="CQ91" s="98"/>
      <c r="CR91" s="12"/>
      <c r="CS91" s="99"/>
      <c r="CT91" s="99"/>
      <c r="CU91" s="99"/>
      <c r="CV91" s="99"/>
      <c r="CW91" s="99"/>
      <c r="CX91" s="99"/>
      <c r="CY91" s="99"/>
      <c r="CZ91" s="101"/>
      <c r="DA91" s="100"/>
      <c r="DB91" s="28"/>
      <c r="DC91" s="33"/>
      <c r="DD91" s="12"/>
      <c r="DE91" s="12"/>
      <c r="DF91" s="12"/>
      <c r="DG91" s="12"/>
      <c r="DH91" s="12"/>
      <c r="DI91" s="12"/>
      <c r="DJ91" s="12"/>
      <c r="DK91" s="101"/>
      <c r="DL91" s="101"/>
      <c r="DM91" s="101"/>
      <c r="DN91" s="101"/>
      <c r="DO91" s="101"/>
      <c r="DP91" s="101"/>
      <c r="DQ91" s="101"/>
      <c r="DR91" s="101"/>
      <c r="DS91" s="101"/>
      <c r="DT91" s="101"/>
      <c r="DU91" s="100"/>
      <c r="DV91" s="28"/>
      <c r="DX91" s="12"/>
      <c r="DY91" s="12"/>
      <c r="DZ91" s="12"/>
      <c r="EA91" s="12"/>
      <c r="EB91" s="12"/>
      <c r="EC91" s="12"/>
      <c r="ED91" s="12"/>
      <c r="EE91" s="101"/>
      <c r="EF91" s="101"/>
      <c r="EG91" s="101"/>
      <c r="EH91" s="101"/>
      <c r="EI91" s="101"/>
      <c r="EJ91" s="101"/>
      <c r="EK91" s="101"/>
      <c r="EL91" s="101"/>
      <c r="EM91" s="101"/>
      <c r="EN91" s="101"/>
      <c r="EO91" s="100"/>
      <c r="EP91" s="28"/>
      <c r="ER91" s="12"/>
      <c r="ES91" s="12"/>
      <c r="ET91" s="12"/>
      <c r="EU91" s="12"/>
      <c r="EV91" s="12"/>
      <c r="EW91" s="12"/>
      <c r="EX91" s="12"/>
      <c r="EY91" s="101"/>
      <c r="EZ91" s="101"/>
      <c r="FA91" s="101"/>
      <c r="FB91" s="101"/>
      <c r="FC91" s="101"/>
      <c r="FD91" s="101"/>
      <c r="FE91" s="101"/>
      <c r="FF91" s="101"/>
      <c r="FG91" s="101"/>
      <c r="FH91" s="101"/>
      <c r="FI91" s="101"/>
      <c r="FJ91" s="101"/>
      <c r="FK91" s="101"/>
      <c r="FL91" s="101"/>
      <c r="FM91" s="101"/>
      <c r="FN91" s="101"/>
      <c r="FO91" s="101"/>
      <c r="FP91" s="101"/>
      <c r="FQ91" s="101"/>
      <c r="FR91" s="101"/>
      <c r="FS91" s="101"/>
      <c r="FT91" s="100"/>
      <c r="FU91" s="114"/>
      <c r="FW91" s="12"/>
      <c r="FX91" s="12"/>
      <c r="FY91" s="12"/>
      <c r="FZ91" s="12"/>
      <c r="GA91" s="12"/>
      <c r="GB91" s="12"/>
      <c r="GC91" s="12"/>
      <c r="GD91" s="103"/>
      <c r="GE91" s="103"/>
      <c r="GF91" s="103"/>
      <c r="GG91" s="103"/>
      <c r="GH91" s="103"/>
      <c r="GI91" s="103"/>
      <c r="GJ91" s="103"/>
      <c r="GK91" s="103"/>
      <c r="GL91" s="103"/>
      <c r="GM91" s="103"/>
      <c r="GN91" s="103"/>
      <c r="GO91" s="103"/>
      <c r="GP91" s="103"/>
      <c r="GQ91" s="100"/>
      <c r="GR91" s="114"/>
      <c r="GT91" s="12"/>
      <c r="GU91" s="12"/>
      <c r="GV91" s="12"/>
      <c r="GW91" s="12"/>
      <c r="GX91" s="12"/>
      <c r="GY91" s="12"/>
      <c r="GZ91" s="12"/>
      <c r="HA91" s="32"/>
      <c r="HB91" s="32"/>
      <c r="HC91" s="32"/>
      <c r="HD91" s="32"/>
      <c r="HE91" s="32"/>
      <c r="HF91" s="32"/>
      <c r="HG91" s="32"/>
      <c r="HH91" s="32"/>
      <c r="HI91" s="32"/>
      <c r="HJ91" s="32"/>
      <c r="HK91" s="32"/>
      <c r="HL91" s="100"/>
      <c r="HM91" s="114"/>
      <c r="HO91" s="12"/>
      <c r="HP91" s="12"/>
      <c r="HQ91" s="12"/>
      <c r="HR91" s="12"/>
      <c r="HS91" s="12"/>
      <c r="HT91" s="12"/>
      <c r="HU91" s="12"/>
      <c r="HV91" s="32"/>
      <c r="HW91" s="100"/>
      <c r="HX91" s="114"/>
      <c r="HZ91" s="12"/>
      <c r="IA91" s="12"/>
      <c r="IB91" s="12"/>
      <c r="IC91" s="12"/>
      <c r="ID91" s="12"/>
      <c r="IE91" s="12"/>
      <c r="IF91" s="12"/>
      <c r="IG91" s="32"/>
      <c r="IH91" s="93"/>
      <c r="II91" s="93"/>
      <c r="IJ91" s="93"/>
      <c r="IK91" s="93"/>
      <c r="IL91" s="93"/>
      <c r="IM91" s="100"/>
      <c r="IN91" s="114"/>
      <c r="IP91" s="12"/>
      <c r="IQ91" s="12"/>
      <c r="IR91" s="12"/>
      <c r="IS91" s="12"/>
      <c r="IT91" s="12"/>
      <c r="IU91" s="12"/>
      <c r="IV91" s="12"/>
      <c r="IW91" s="32"/>
      <c r="IX91" s="93"/>
      <c r="IY91" s="100"/>
      <c r="IZ91" s="114"/>
      <c r="JB91" s="12"/>
      <c r="JC91" s="12"/>
      <c r="JD91" s="12"/>
      <c r="JE91" s="12"/>
      <c r="JF91" s="12"/>
      <c r="JG91" s="12"/>
      <c r="JH91" s="12"/>
      <c r="JI91" s="32"/>
      <c r="JJ91" s="93"/>
      <c r="JK91" s="93"/>
      <c r="JL91" s="93"/>
      <c r="JM91" s="93"/>
      <c r="JN91" s="93"/>
      <c r="JO91" s="93"/>
      <c r="JP91" s="93"/>
      <c r="JQ91" s="93"/>
      <c r="JR91" s="93"/>
      <c r="JS91" s="93"/>
      <c r="JT91" s="93"/>
      <c r="JU91" s="93"/>
      <c r="JV91" s="93"/>
      <c r="JW91" s="93"/>
      <c r="JX91" s="93"/>
      <c r="JY91" s="93"/>
      <c r="JZ91" s="93"/>
      <c r="KA91" s="93"/>
      <c r="KB91" s="93"/>
      <c r="KC91" s="93"/>
      <c r="KD91" s="101"/>
      <c r="KE91" s="100"/>
      <c r="KF91" s="114"/>
      <c r="KH91" s="12"/>
      <c r="KI91" s="12"/>
      <c r="KJ91" s="12"/>
      <c r="KK91" s="12"/>
      <c r="KL91" s="12"/>
      <c r="KM91" s="12"/>
      <c r="KN91" s="12"/>
      <c r="KO91" s="192"/>
      <c r="KP91" s="193"/>
      <c r="KQ91" s="193"/>
      <c r="KR91" s="193"/>
      <c r="KS91" s="100"/>
      <c r="KT91" s="114"/>
      <c r="KV91" s="100"/>
      <c r="KW91" s="100"/>
      <c r="KX91" s="100"/>
      <c r="KY91" s="100"/>
      <c r="KZ91" s="100"/>
      <c r="LA91" s="100"/>
      <c r="LB91" s="100"/>
      <c r="LC91" s="224"/>
      <c r="LD91" s="225"/>
      <c r="LE91" s="225"/>
      <c r="LF91" s="100"/>
      <c r="LG91" s="114"/>
      <c r="LI91" s="644" t="s">
        <v>274</v>
      </c>
      <c r="LJ91" s="644"/>
      <c r="LK91" s="644"/>
      <c r="LL91" s="644"/>
      <c r="LM91" s="644"/>
      <c r="LN91" s="644"/>
      <c r="LO91" s="15">
        <v>5</v>
      </c>
      <c r="LP91" s="224"/>
      <c r="LQ91" s="225"/>
      <c r="LR91" s="225"/>
      <c r="LS91" s="225"/>
      <c r="LT91" s="225"/>
      <c r="LU91" s="225"/>
      <c r="LV91" s="225"/>
      <c r="LW91" s="225"/>
      <c r="LX91" s="225"/>
      <c r="LY91" s="225"/>
      <c r="LZ91" s="225"/>
      <c r="MA91" s="225"/>
      <c r="MB91" s="225"/>
      <c r="MC91" s="225">
        <v>1</v>
      </c>
      <c r="MD91" s="225"/>
      <c r="ME91" s="30">
        <f t="shared" ref="ME91:ME100" si="63">SUM(LP91:MD91)</f>
        <v>1</v>
      </c>
      <c r="MF91" s="28">
        <f t="shared" ref="MF91:MF100" si="64">ME91*LO91</f>
        <v>5</v>
      </c>
      <c r="MH91" s="644" t="s">
        <v>274</v>
      </c>
      <c r="MI91" s="644"/>
      <c r="MJ91" s="644"/>
      <c r="MK91" s="644"/>
      <c r="ML91" s="644"/>
      <c r="MM91" s="644"/>
      <c r="MN91" s="15">
        <v>5</v>
      </c>
      <c r="MO91" s="226"/>
      <c r="MP91" s="222"/>
      <c r="MQ91" s="222"/>
      <c r="MR91" s="222"/>
      <c r="MS91" s="222"/>
      <c r="MT91" s="222"/>
      <c r="MU91" s="222"/>
      <c r="MV91" s="222"/>
      <c r="MW91" s="222"/>
      <c r="MX91" s="222"/>
      <c r="MY91" s="222"/>
      <c r="MZ91" s="222"/>
      <c r="NA91" s="222"/>
      <c r="NB91" s="222"/>
      <c r="NC91" s="222"/>
      <c r="ND91" s="30">
        <f t="shared" si="58"/>
        <v>0</v>
      </c>
      <c r="NE91" s="28">
        <f t="shared" ref="NE91:NE99" si="65">ND91*MN91</f>
        <v>0</v>
      </c>
      <c r="NG91" s="644" t="s">
        <v>274</v>
      </c>
      <c r="NH91" s="644"/>
      <c r="NI91" s="644"/>
      <c r="NJ91" s="644"/>
      <c r="NK91" s="644"/>
      <c r="NL91" s="644"/>
      <c r="NM91" s="15">
        <v>5</v>
      </c>
      <c r="NN91" s="222"/>
      <c r="NO91" s="222"/>
      <c r="NP91" s="222">
        <v>2</v>
      </c>
      <c r="NQ91" s="222">
        <v>1</v>
      </c>
      <c r="NR91" s="222"/>
      <c r="NS91" s="222"/>
      <c r="NT91" s="222"/>
      <c r="NU91" s="222"/>
      <c r="NV91" s="222"/>
      <c r="NW91" s="222"/>
      <c r="NX91" s="222"/>
      <c r="NY91" s="222"/>
      <c r="NZ91" s="222"/>
      <c r="OA91" s="222"/>
      <c r="OB91" s="222"/>
      <c r="OC91" s="30">
        <f t="shared" si="59"/>
        <v>3</v>
      </c>
      <c r="OD91" s="28">
        <f t="shared" si="60"/>
        <v>15</v>
      </c>
    </row>
    <row r="92" spans="1:394" ht="14.45" customHeight="1" x14ac:dyDescent="0.25">
      <c r="A92" s="47"/>
      <c r="B92" s="12"/>
      <c r="C92" s="12"/>
      <c r="D92" s="12"/>
      <c r="E92" s="12"/>
      <c r="F92" s="12"/>
      <c r="G92" s="12"/>
      <c r="H92" s="12"/>
      <c r="I92" s="12"/>
      <c r="J92" s="12"/>
      <c r="K92" s="99"/>
      <c r="L92" s="34"/>
      <c r="M92" s="34"/>
      <c r="N92" s="19"/>
      <c r="O92" s="12"/>
      <c r="P92" s="12"/>
      <c r="Q92" s="12"/>
      <c r="R92" s="12"/>
      <c r="S92" s="12"/>
      <c r="T92" s="12"/>
      <c r="U92" s="12"/>
      <c r="V92" s="12"/>
      <c r="W92" s="99"/>
      <c r="X92" s="34"/>
      <c r="Y92" s="34"/>
      <c r="Z92" s="19"/>
      <c r="AA92" s="34"/>
      <c r="AB92" s="34"/>
      <c r="AC92" s="34"/>
      <c r="AD92" s="34"/>
      <c r="AE92" s="34"/>
      <c r="AF92" s="34"/>
      <c r="AG92" s="6"/>
      <c r="AH92" s="12"/>
      <c r="AI92" s="12"/>
      <c r="AJ92" s="12"/>
      <c r="AK92" s="12"/>
      <c r="AL92" s="12"/>
      <c r="AM92" s="12"/>
      <c r="AN92" s="12"/>
      <c r="AO92" s="99"/>
      <c r="AP92" s="34"/>
      <c r="AQ92" s="19"/>
      <c r="AS92" s="12"/>
      <c r="AT92" s="12"/>
      <c r="AU92" s="12"/>
      <c r="AV92" s="12"/>
      <c r="AW92" s="12"/>
      <c r="AX92" s="12"/>
      <c r="AY92" s="12"/>
      <c r="AZ92" s="99"/>
      <c r="BA92" s="99"/>
      <c r="BB92" s="99"/>
      <c r="BC92" s="99"/>
      <c r="BD92" s="100"/>
      <c r="BE92" s="28"/>
      <c r="BF92" s="25"/>
      <c r="BG92" s="12"/>
      <c r="BH92" s="12"/>
      <c r="BI92" s="12"/>
      <c r="BJ92" s="12"/>
      <c r="BK92" s="12"/>
      <c r="BL92" s="12"/>
      <c r="BM92" s="12"/>
      <c r="BN92" s="99"/>
      <c r="BO92" s="99"/>
      <c r="BP92" s="100"/>
      <c r="BQ92" s="28"/>
      <c r="BR92" s="25"/>
      <c r="BS92" s="89"/>
      <c r="BT92" s="97"/>
      <c r="BU92" s="97"/>
      <c r="BV92" s="97"/>
      <c r="BW92" s="97"/>
      <c r="BX92" s="98"/>
      <c r="BY92" s="12"/>
      <c r="BZ92" s="99"/>
      <c r="CA92" s="99"/>
      <c r="CB92" s="99"/>
      <c r="CC92" s="99"/>
      <c r="CD92" s="99"/>
      <c r="CE92" s="99"/>
      <c r="CF92" s="99"/>
      <c r="CG92" s="99"/>
      <c r="CH92" s="99"/>
      <c r="CI92" s="100"/>
      <c r="CJ92" s="28"/>
      <c r="CL92" s="89"/>
      <c r="CM92" s="97"/>
      <c r="CN92" s="97"/>
      <c r="CO92" s="97"/>
      <c r="CP92" s="97"/>
      <c r="CQ92" s="98"/>
      <c r="CR92" s="12"/>
      <c r="CS92" s="99"/>
      <c r="CT92" s="99"/>
      <c r="CU92" s="99"/>
      <c r="CV92" s="99"/>
      <c r="CW92" s="99"/>
      <c r="CX92" s="99"/>
      <c r="CY92" s="99"/>
      <c r="CZ92" s="101"/>
      <c r="DA92" s="100"/>
      <c r="DB92" s="28"/>
      <c r="DC92" s="33"/>
      <c r="DD92" s="12"/>
      <c r="DE92" s="12"/>
      <c r="DF92" s="12"/>
      <c r="DG92" s="12"/>
      <c r="DH92" s="12"/>
      <c r="DI92" s="12"/>
      <c r="DJ92" s="12"/>
      <c r="DK92" s="101"/>
      <c r="DL92" s="101"/>
      <c r="DM92" s="101"/>
      <c r="DN92" s="101"/>
      <c r="DO92" s="101"/>
      <c r="DP92" s="101"/>
      <c r="DQ92" s="101"/>
      <c r="DR92" s="101"/>
      <c r="DS92" s="101"/>
      <c r="DT92" s="101"/>
      <c r="DU92" s="100"/>
      <c r="DV92" s="28"/>
      <c r="DX92" s="12"/>
      <c r="DY92" s="12"/>
      <c r="DZ92" s="12"/>
      <c r="EA92" s="12"/>
      <c r="EB92" s="12"/>
      <c r="EC92" s="12"/>
      <c r="ED92" s="12"/>
      <c r="EE92" s="101"/>
      <c r="EF92" s="101"/>
      <c r="EG92" s="101"/>
      <c r="EH92" s="101"/>
      <c r="EI92" s="101"/>
      <c r="EJ92" s="101"/>
      <c r="EK92" s="101"/>
      <c r="EL92" s="101"/>
      <c r="EM92" s="101"/>
      <c r="EN92" s="101"/>
      <c r="EO92" s="100"/>
      <c r="EP92" s="28"/>
      <c r="ER92" s="12"/>
      <c r="ES92" s="12"/>
      <c r="ET92" s="12"/>
      <c r="EU92" s="12"/>
      <c r="EV92" s="12"/>
      <c r="EW92" s="12"/>
      <c r="EX92" s="12"/>
      <c r="EY92" s="101"/>
      <c r="EZ92" s="101"/>
      <c r="FA92" s="101"/>
      <c r="FB92" s="101"/>
      <c r="FC92" s="101"/>
      <c r="FD92" s="101"/>
      <c r="FE92" s="101"/>
      <c r="FF92" s="101"/>
      <c r="FG92" s="101"/>
      <c r="FH92" s="101"/>
      <c r="FI92" s="101"/>
      <c r="FJ92" s="101"/>
      <c r="FK92" s="101"/>
      <c r="FL92" s="101"/>
      <c r="FM92" s="101"/>
      <c r="FN92" s="101"/>
      <c r="FO92" s="101"/>
      <c r="FP92" s="101"/>
      <c r="FQ92" s="101"/>
      <c r="FR92" s="101"/>
      <c r="FS92" s="101"/>
      <c r="FT92" s="100"/>
      <c r="FU92" s="114"/>
      <c r="FW92" s="12"/>
      <c r="FX92" s="12"/>
      <c r="FY92" s="12"/>
      <c r="FZ92" s="12"/>
      <c r="GA92" s="12"/>
      <c r="GB92" s="12"/>
      <c r="GC92" s="12"/>
      <c r="GD92" s="103"/>
      <c r="GE92" s="103"/>
      <c r="GF92" s="103"/>
      <c r="GG92" s="103"/>
      <c r="GH92" s="103"/>
      <c r="GI92" s="103"/>
      <c r="GJ92" s="103"/>
      <c r="GK92" s="103"/>
      <c r="GL92" s="103"/>
      <c r="GM92" s="103"/>
      <c r="GN92" s="103"/>
      <c r="GO92" s="103"/>
      <c r="GP92" s="103"/>
      <c r="GQ92" s="100"/>
      <c r="GR92" s="114"/>
      <c r="GT92" s="12"/>
      <c r="GU92" s="12"/>
      <c r="GV92" s="12"/>
      <c r="GW92" s="12"/>
      <c r="GX92" s="12"/>
      <c r="GY92" s="12"/>
      <c r="GZ92" s="12"/>
      <c r="HA92" s="32"/>
      <c r="HB92" s="32"/>
      <c r="HC92" s="32"/>
      <c r="HD92" s="32"/>
      <c r="HE92" s="32"/>
      <c r="HF92" s="32"/>
      <c r="HG92" s="32"/>
      <c r="HH92" s="32"/>
      <c r="HI92" s="32"/>
      <c r="HJ92" s="32"/>
      <c r="HK92" s="32"/>
      <c r="HL92" s="100"/>
      <c r="HM92" s="114"/>
      <c r="HO92" s="12"/>
      <c r="HP92" s="12"/>
      <c r="HQ92" s="12"/>
      <c r="HR92" s="12"/>
      <c r="HS92" s="12"/>
      <c r="HT92" s="12"/>
      <c r="HU92" s="12"/>
      <c r="HV92" s="32"/>
      <c r="HW92" s="100"/>
      <c r="HX92" s="114"/>
      <c r="HZ92" s="12"/>
      <c r="IA92" s="12"/>
      <c r="IB92" s="12"/>
      <c r="IC92" s="12"/>
      <c r="ID92" s="12"/>
      <c r="IE92" s="12"/>
      <c r="IF92" s="12"/>
      <c r="IG92" s="32"/>
      <c r="IH92" s="93"/>
      <c r="II92" s="93"/>
      <c r="IJ92" s="93"/>
      <c r="IK92" s="93"/>
      <c r="IL92" s="93"/>
      <c r="IM92" s="100"/>
      <c r="IN92" s="114"/>
      <c r="IP92" s="12"/>
      <c r="IQ92" s="12"/>
      <c r="IR92" s="12"/>
      <c r="IS92" s="12"/>
      <c r="IT92" s="12"/>
      <c r="IU92" s="12"/>
      <c r="IV92" s="12"/>
      <c r="IW92" s="32"/>
      <c r="IX92" s="93"/>
      <c r="IY92" s="100"/>
      <c r="IZ92" s="114"/>
      <c r="JB92" s="12"/>
      <c r="JC92" s="12"/>
      <c r="JD92" s="12"/>
      <c r="JE92" s="12"/>
      <c r="JF92" s="12"/>
      <c r="JG92" s="12"/>
      <c r="JH92" s="12"/>
      <c r="JI92" s="32"/>
      <c r="JJ92" s="93"/>
      <c r="JK92" s="93"/>
      <c r="JL92" s="93"/>
      <c r="JM92" s="93"/>
      <c r="JN92" s="93"/>
      <c r="JO92" s="93"/>
      <c r="JP92" s="93"/>
      <c r="JQ92" s="93"/>
      <c r="JR92" s="93"/>
      <c r="JS92" s="93"/>
      <c r="JT92" s="93"/>
      <c r="JU92" s="93"/>
      <c r="JV92" s="93"/>
      <c r="JW92" s="93"/>
      <c r="JX92" s="93"/>
      <c r="JY92" s="93"/>
      <c r="JZ92" s="93"/>
      <c r="KA92" s="93"/>
      <c r="KB92" s="93"/>
      <c r="KC92" s="93"/>
      <c r="KD92" s="101"/>
      <c r="KE92" s="100"/>
      <c r="KF92" s="114"/>
      <c r="KH92" s="12"/>
      <c r="KI92" s="12"/>
      <c r="KJ92" s="12"/>
      <c r="KK92" s="12"/>
      <c r="KL92" s="12"/>
      <c r="KM92" s="12"/>
      <c r="KN92" s="12"/>
      <c r="KO92" s="192"/>
      <c r="KP92" s="193"/>
      <c r="KQ92" s="193"/>
      <c r="KR92" s="193"/>
      <c r="KS92" s="100"/>
      <c r="KT92" s="114"/>
      <c r="KV92" s="100"/>
      <c r="KW92" s="100"/>
      <c r="KX92" s="100"/>
      <c r="KY92" s="100"/>
      <c r="KZ92" s="100"/>
      <c r="LA92" s="100"/>
      <c r="LB92" s="100"/>
      <c r="LC92" s="224"/>
      <c r="LD92" s="225"/>
      <c r="LE92" s="225"/>
      <c r="LF92" s="100"/>
      <c r="LG92" s="114"/>
      <c r="LI92" s="677" t="s">
        <v>275</v>
      </c>
      <c r="LJ92" s="677"/>
      <c r="LK92" s="677"/>
      <c r="LL92" s="677"/>
      <c r="LM92" s="677"/>
      <c r="LN92" s="677"/>
      <c r="LO92" s="28">
        <v>6</v>
      </c>
      <c r="LP92" s="224"/>
      <c r="LQ92" s="225"/>
      <c r="LR92" s="225"/>
      <c r="LS92" s="225"/>
      <c r="LT92" s="225"/>
      <c r="LU92" s="225"/>
      <c r="LV92" s="225"/>
      <c r="LW92" s="225"/>
      <c r="LX92" s="225"/>
      <c r="LY92" s="225"/>
      <c r="LZ92" s="225"/>
      <c r="MA92" s="225"/>
      <c r="MB92" s="225"/>
      <c r="MC92" s="225"/>
      <c r="MD92" s="225"/>
      <c r="ME92" s="30">
        <f t="shared" si="63"/>
        <v>0</v>
      </c>
      <c r="MF92" s="28">
        <f t="shared" si="64"/>
        <v>0</v>
      </c>
      <c r="MH92" s="677" t="s">
        <v>275</v>
      </c>
      <c r="MI92" s="677"/>
      <c r="MJ92" s="677"/>
      <c r="MK92" s="677"/>
      <c r="ML92" s="677"/>
      <c r="MM92" s="677"/>
      <c r="MN92" s="28">
        <v>6</v>
      </c>
      <c r="MO92" s="224"/>
      <c r="MP92" s="225"/>
      <c r="MQ92" s="225"/>
      <c r="MR92" s="225"/>
      <c r="MS92" s="225">
        <v>1</v>
      </c>
      <c r="MT92" s="225"/>
      <c r="MU92" s="225"/>
      <c r="MV92" s="225"/>
      <c r="MW92" s="225"/>
      <c r="MX92" s="225"/>
      <c r="MY92" s="225"/>
      <c r="MZ92" s="225">
        <v>2</v>
      </c>
      <c r="NA92" s="225">
        <v>1</v>
      </c>
      <c r="NB92" s="225"/>
      <c r="NC92" s="225"/>
      <c r="ND92" s="30">
        <f t="shared" si="58"/>
        <v>4</v>
      </c>
      <c r="NE92" s="28">
        <f t="shared" si="65"/>
        <v>24</v>
      </c>
      <c r="NG92" s="677" t="s">
        <v>275</v>
      </c>
      <c r="NH92" s="677"/>
      <c r="NI92" s="677"/>
      <c r="NJ92" s="677"/>
      <c r="NK92" s="677"/>
      <c r="NL92" s="677"/>
      <c r="NM92" s="28">
        <v>6</v>
      </c>
      <c r="NN92" s="225"/>
      <c r="NO92" s="225"/>
      <c r="NP92" s="225"/>
      <c r="NQ92" s="225">
        <v>2</v>
      </c>
      <c r="NR92" s="225"/>
      <c r="NS92" s="225"/>
      <c r="NT92" s="225"/>
      <c r="NU92" s="225"/>
      <c r="NV92" s="225"/>
      <c r="NW92" s="225"/>
      <c r="NX92" s="225"/>
      <c r="NY92" s="225"/>
      <c r="NZ92" s="225"/>
      <c r="OA92" s="225"/>
      <c r="OB92" s="225"/>
      <c r="OC92" s="30">
        <f t="shared" si="59"/>
        <v>2</v>
      </c>
      <c r="OD92" s="28">
        <f t="shared" si="60"/>
        <v>12</v>
      </c>
    </row>
    <row r="93" spans="1:394" ht="14.45" customHeight="1" x14ac:dyDescent="0.25">
      <c r="A93" s="47"/>
      <c r="B93" s="12"/>
      <c r="C93" s="12"/>
      <c r="D93" s="12"/>
      <c r="E93" s="12"/>
      <c r="F93" s="12"/>
      <c r="G93" s="12"/>
      <c r="H93" s="12"/>
      <c r="I93" s="12"/>
      <c r="J93" s="12"/>
      <c r="K93" s="99"/>
      <c r="L93" s="34"/>
      <c r="M93" s="34"/>
      <c r="N93" s="19"/>
      <c r="O93" s="12"/>
      <c r="P93" s="12"/>
      <c r="Q93" s="12"/>
      <c r="R93" s="12"/>
      <c r="S93" s="12"/>
      <c r="T93" s="12"/>
      <c r="U93" s="12"/>
      <c r="V93" s="12"/>
      <c r="W93" s="99"/>
      <c r="X93" s="34"/>
      <c r="Y93" s="34"/>
      <c r="Z93" s="19"/>
      <c r="AA93" s="34"/>
      <c r="AB93" s="34"/>
      <c r="AC93" s="34"/>
      <c r="AD93" s="34"/>
      <c r="AE93" s="34"/>
      <c r="AF93" s="34"/>
      <c r="AG93" s="6"/>
      <c r="AH93" s="12"/>
      <c r="AI93" s="12"/>
      <c r="AJ93" s="12"/>
      <c r="AK93" s="12"/>
      <c r="AL93" s="12"/>
      <c r="AM93" s="12"/>
      <c r="AN93" s="12"/>
      <c r="AO93" s="99"/>
      <c r="AP93" s="34"/>
      <c r="AQ93" s="19"/>
      <c r="AS93" s="12"/>
      <c r="AT93" s="12"/>
      <c r="AU93" s="12"/>
      <c r="AV93" s="12"/>
      <c r="AW93" s="12"/>
      <c r="AX93" s="12"/>
      <c r="AY93" s="12"/>
      <c r="AZ93" s="99"/>
      <c r="BA93" s="99"/>
      <c r="BB93" s="99"/>
      <c r="BC93" s="99"/>
      <c r="BD93" s="100"/>
      <c r="BE93" s="28"/>
      <c r="BF93" s="25"/>
      <c r="BG93" s="12"/>
      <c r="BH93" s="12"/>
      <c r="BI93" s="12"/>
      <c r="BJ93" s="12"/>
      <c r="BK93" s="12"/>
      <c r="BL93" s="12"/>
      <c r="BM93" s="12"/>
      <c r="BN93" s="99"/>
      <c r="BO93" s="99"/>
      <c r="BP93" s="100"/>
      <c r="BQ93" s="28"/>
      <c r="BR93" s="25"/>
      <c r="BS93" s="89"/>
      <c r="BT93" s="97"/>
      <c r="BU93" s="97"/>
      <c r="BV93" s="97"/>
      <c r="BW93" s="97"/>
      <c r="BX93" s="98"/>
      <c r="BY93" s="12"/>
      <c r="BZ93" s="99"/>
      <c r="CA93" s="99"/>
      <c r="CB93" s="99"/>
      <c r="CC93" s="99"/>
      <c r="CD93" s="99"/>
      <c r="CE93" s="99"/>
      <c r="CF93" s="99"/>
      <c r="CG93" s="99"/>
      <c r="CH93" s="99"/>
      <c r="CI93" s="100"/>
      <c r="CJ93" s="28"/>
      <c r="CL93" s="89"/>
      <c r="CM93" s="97"/>
      <c r="CN93" s="97"/>
      <c r="CO93" s="97"/>
      <c r="CP93" s="97"/>
      <c r="CQ93" s="98"/>
      <c r="CR93" s="12"/>
      <c r="CS93" s="99"/>
      <c r="CT93" s="99"/>
      <c r="CU93" s="99"/>
      <c r="CV93" s="99"/>
      <c r="CW93" s="99"/>
      <c r="CX93" s="99"/>
      <c r="CY93" s="99"/>
      <c r="CZ93" s="101"/>
      <c r="DA93" s="100"/>
      <c r="DB93" s="28"/>
      <c r="DC93" s="33"/>
      <c r="DD93" s="12"/>
      <c r="DE93" s="12"/>
      <c r="DF93" s="12"/>
      <c r="DG93" s="12"/>
      <c r="DH93" s="12"/>
      <c r="DI93" s="12"/>
      <c r="DJ93" s="12"/>
      <c r="DK93" s="101"/>
      <c r="DL93" s="101"/>
      <c r="DM93" s="101"/>
      <c r="DN93" s="101"/>
      <c r="DO93" s="101"/>
      <c r="DP93" s="101"/>
      <c r="DQ93" s="101"/>
      <c r="DR93" s="101"/>
      <c r="DS93" s="101"/>
      <c r="DT93" s="101"/>
      <c r="DU93" s="100"/>
      <c r="DV93" s="28"/>
      <c r="DX93" s="12"/>
      <c r="DY93" s="12"/>
      <c r="DZ93" s="12"/>
      <c r="EA93" s="12"/>
      <c r="EB93" s="12"/>
      <c r="EC93" s="12"/>
      <c r="ED93" s="12"/>
      <c r="EE93" s="101"/>
      <c r="EF93" s="101"/>
      <c r="EG93" s="101"/>
      <c r="EH93" s="101"/>
      <c r="EI93" s="101"/>
      <c r="EJ93" s="101"/>
      <c r="EK93" s="101"/>
      <c r="EL93" s="101"/>
      <c r="EM93" s="101"/>
      <c r="EN93" s="101"/>
      <c r="EO93" s="100"/>
      <c r="EP93" s="28"/>
      <c r="ER93" s="12"/>
      <c r="ES93" s="12"/>
      <c r="ET93" s="12"/>
      <c r="EU93" s="12"/>
      <c r="EV93" s="12"/>
      <c r="EW93" s="12"/>
      <c r="EX93" s="12"/>
      <c r="EY93" s="101"/>
      <c r="EZ93" s="101"/>
      <c r="FA93" s="101"/>
      <c r="FB93" s="101"/>
      <c r="FC93" s="101"/>
      <c r="FD93" s="101"/>
      <c r="FE93" s="101"/>
      <c r="FF93" s="101"/>
      <c r="FG93" s="101"/>
      <c r="FH93" s="101"/>
      <c r="FI93" s="101"/>
      <c r="FJ93" s="101"/>
      <c r="FK93" s="101"/>
      <c r="FL93" s="101"/>
      <c r="FM93" s="101"/>
      <c r="FN93" s="101"/>
      <c r="FO93" s="101"/>
      <c r="FP93" s="101"/>
      <c r="FQ93" s="101"/>
      <c r="FR93" s="101"/>
      <c r="FS93" s="101"/>
      <c r="FT93" s="100"/>
      <c r="FU93" s="114"/>
      <c r="FW93" s="12"/>
      <c r="FX93" s="12"/>
      <c r="FY93" s="12"/>
      <c r="FZ93" s="12"/>
      <c r="GA93" s="12"/>
      <c r="GB93" s="12"/>
      <c r="GC93" s="12"/>
      <c r="GD93" s="103"/>
      <c r="GE93" s="103"/>
      <c r="GF93" s="103"/>
      <c r="GG93" s="103"/>
      <c r="GH93" s="103"/>
      <c r="GI93" s="103"/>
      <c r="GJ93" s="103"/>
      <c r="GK93" s="103"/>
      <c r="GL93" s="103"/>
      <c r="GM93" s="103"/>
      <c r="GN93" s="103"/>
      <c r="GO93" s="103"/>
      <c r="GP93" s="103"/>
      <c r="GQ93" s="100"/>
      <c r="GR93" s="114"/>
      <c r="GT93" s="12"/>
      <c r="GU93" s="12"/>
      <c r="GV93" s="12"/>
      <c r="GW93" s="12"/>
      <c r="GX93" s="12"/>
      <c r="GY93" s="12"/>
      <c r="GZ93" s="12"/>
      <c r="HA93" s="32"/>
      <c r="HB93" s="32"/>
      <c r="HC93" s="32"/>
      <c r="HD93" s="32"/>
      <c r="HE93" s="32"/>
      <c r="HF93" s="32"/>
      <c r="HG93" s="32"/>
      <c r="HH93" s="32"/>
      <c r="HI93" s="32"/>
      <c r="HJ93" s="32"/>
      <c r="HK93" s="32"/>
      <c r="HL93" s="100"/>
      <c r="HM93" s="114"/>
      <c r="HO93" s="12"/>
      <c r="HP93" s="12"/>
      <c r="HQ93" s="12"/>
      <c r="HR93" s="12"/>
      <c r="HS93" s="12"/>
      <c r="HT93" s="12"/>
      <c r="HU93" s="12"/>
      <c r="HV93" s="32"/>
      <c r="HW93" s="100"/>
      <c r="HX93" s="114"/>
      <c r="HZ93" s="12"/>
      <c r="IA93" s="12"/>
      <c r="IB93" s="12"/>
      <c r="IC93" s="12"/>
      <c r="ID93" s="12"/>
      <c r="IE93" s="12"/>
      <c r="IF93" s="12"/>
      <c r="IG93" s="32"/>
      <c r="IH93" s="93"/>
      <c r="II93" s="93"/>
      <c r="IJ93" s="93"/>
      <c r="IK93" s="93"/>
      <c r="IL93" s="93"/>
      <c r="IM93" s="100"/>
      <c r="IN93" s="114"/>
      <c r="IP93" s="12"/>
      <c r="IQ93" s="12"/>
      <c r="IR93" s="12"/>
      <c r="IS93" s="12"/>
      <c r="IT93" s="12"/>
      <c r="IU93" s="12"/>
      <c r="IV93" s="12"/>
      <c r="IW93" s="32"/>
      <c r="IX93" s="93"/>
      <c r="IY93" s="100"/>
      <c r="IZ93" s="114"/>
      <c r="JB93" s="12"/>
      <c r="JC93" s="12"/>
      <c r="JD93" s="12"/>
      <c r="JE93" s="12"/>
      <c r="JF93" s="12"/>
      <c r="JG93" s="12"/>
      <c r="JH93" s="12"/>
      <c r="JI93" s="32"/>
      <c r="JJ93" s="93"/>
      <c r="JK93" s="93"/>
      <c r="JL93" s="93"/>
      <c r="JM93" s="93"/>
      <c r="JN93" s="93"/>
      <c r="JO93" s="93"/>
      <c r="JP93" s="93"/>
      <c r="JQ93" s="93"/>
      <c r="JR93" s="93"/>
      <c r="JS93" s="93"/>
      <c r="JT93" s="93"/>
      <c r="JU93" s="93"/>
      <c r="JV93" s="93"/>
      <c r="JW93" s="93"/>
      <c r="JX93" s="93"/>
      <c r="JY93" s="93"/>
      <c r="JZ93" s="93"/>
      <c r="KA93" s="93"/>
      <c r="KB93" s="93"/>
      <c r="KC93" s="93"/>
      <c r="KD93" s="101"/>
      <c r="KE93" s="100"/>
      <c r="KF93" s="114"/>
      <c r="KH93" s="12"/>
      <c r="KI93" s="12"/>
      <c r="KJ93" s="12"/>
      <c r="KK93" s="12"/>
      <c r="KL93" s="12"/>
      <c r="KM93" s="12"/>
      <c r="KN93" s="12"/>
      <c r="KO93" s="192"/>
      <c r="KP93" s="193"/>
      <c r="KQ93" s="193"/>
      <c r="KR93" s="193"/>
      <c r="KS93" s="100"/>
      <c r="KT93" s="114"/>
      <c r="KV93" s="100"/>
      <c r="KW93" s="100"/>
      <c r="KX93" s="100"/>
      <c r="KY93" s="100"/>
      <c r="KZ93" s="100"/>
      <c r="LA93" s="100"/>
      <c r="LB93" s="100"/>
      <c r="LC93" s="224"/>
      <c r="LD93" s="225"/>
      <c r="LE93" s="225"/>
      <c r="LF93" s="100"/>
      <c r="LG93" s="114"/>
      <c r="LI93" s="644" t="s">
        <v>276</v>
      </c>
      <c r="LJ93" s="644"/>
      <c r="LK93" s="644"/>
      <c r="LL93" s="644"/>
      <c r="LM93" s="644"/>
      <c r="LN93" s="644"/>
      <c r="LO93" s="15">
        <v>9</v>
      </c>
      <c r="LP93" s="224"/>
      <c r="LQ93" s="225"/>
      <c r="LR93" s="225"/>
      <c r="LS93" s="225"/>
      <c r="LT93" s="225"/>
      <c r="LU93" s="225"/>
      <c r="LV93" s="225"/>
      <c r="LW93" s="225"/>
      <c r="LX93" s="225"/>
      <c r="LY93" s="225"/>
      <c r="LZ93" s="225"/>
      <c r="MA93" s="225"/>
      <c r="MB93" s="225"/>
      <c r="MC93" s="225"/>
      <c r="MD93" s="225">
        <v>1</v>
      </c>
      <c r="ME93" s="30">
        <f t="shared" si="63"/>
        <v>1</v>
      </c>
      <c r="MF93" s="28">
        <f t="shared" si="64"/>
        <v>9</v>
      </c>
      <c r="MH93" s="644" t="s">
        <v>276</v>
      </c>
      <c r="MI93" s="644"/>
      <c r="MJ93" s="644"/>
      <c r="MK93" s="644"/>
      <c r="ML93" s="644"/>
      <c r="MM93" s="644"/>
      <c r="MN93" s="15">
        <v>9</v>
      </c>
      <c r="MO93" s="226"/>
      <c r="MP93" s="222"/>
      <c r="MQ93" s="222"/>
      <c r="MR93" s="222"/>
      <c r="MS93" s="222"/>
      <c r="MT93" s="222"/>
      <c r="MU93" s="222"/>
      <c r="MV93" s="222"/>
      <c r="MW93" s="222"/>
      <c r="MX93" s="222"/>
      <c r="MY93" s="222"/>
      <c r="MZ93" s="222"/>
      <c r="NA93" s="222"/>
      <c r="NB93" s="222"/>
      <c r="NC93" s="222"/>
      <c r="ND93" s="30">
        <f t="shared" si="58"/>
        <v>0</v>
      </c>
      <c r="NE93" s="28">
        <f t="shared" si="65"/>
        <v>0</v>
      </c>
      <c r="NG93" s="644" t="s">
        <v>276</v>
      </c>
      <c r="NH93" s="644"/>
      <c r="NI93" s="644"/>
      <c r="NJ93" s="644"/>
      <c r="NK93" s="644"/>
      <c r="NL93" s="644"/>
      <c r="NM93" s="15">
        <v>9</v>
      </c>
      <c r="NN93" s="222"/>
      <c r="NO93" s="222"/>
      <c r="NP93" s="222">
        <v>2</v>
      </c>
      <c r="NQ93" s="222">
        <v>2</v>
      </c>
      <c r="NR93" s="222">
        <v>3</v>
      </c>
      <c r="NS93" s="222"/>
      <c r="NT93" s="222"/>
      <c r="NU93" s="222">
        <v>2</v>
      </c>
      <c r="NV93" s="222"/>
      <c r="NW93" s="222"/>
      <c r="NX93" s="222"/>
      <c r="NY93" s="222"/>
      <c r="NZ93" s="222"/>
      <c r="OA93" s="222"/>
      <c r="OB93" s="222"/>
      <c r="OC93" s="30">
        <f t="shared" si="59"/>
        <v>9</v>
      </c>
      <c r="OD93" s="28">
        <f t="shared" si="60"/>
        <v>81</v>
      </c>
    </row>
    <row r="94" spans="1:394" ht="14.45" customHeight="1" x14ac:dyDescent="0.25">
      <c r="A94" s="47"/>
      <c r="B94" s="12"/>
      <c r="C94" s="12"/>
      <c r="D94" s="12"/>
      <c r="E94" s="12"/>
      <c r="F94" s="12"/>
      <c r="G94" s="12"/>
      <c r="H94" s="12"/>
      <c r="I94" s="12"/>
      <c r="J94" s="12"/>
      <c r="K94" s="99"/>
      <c r="L94" s="34"/>
      <c r="M94" s="34"/>
      <c r="N94" s="19"/>
      <c r="O94" s="12"/>
      <c r="P94" s="12"/>
      <c r="Q94" s="12"/>
      <c r="R94" s="12"/>
      <c r="S94" s="12"/>
      <c r="T94" s="12"/>
      <c r="U94" s="12"/>
      <c r="V94" s="12"/>
      <c r="W94" s="99"/>
      <c r="X94" s="34"/>
      <c r="Y94" s="34"/>
      <c r="Z94" s="19"/>
      <c r="AA94" s="34"/>
      <c r="AB94" s="34"/>
      <c r="AC94" s="34"/>
      <c r="AD94" s="34"/>
      <c r="AE94" s="34"/>
      <c r="AF94" s="34"/>
      <c r="AG94" s="6"/>
      <c r="AH94" s="12"/>
      <c r="AI94" s="12"/>
      <c r="AJ94" s="12"/>
      <c r="AK94" s="12"/>
      <c r="AL94" s="12"/>
      <c r="AM94" s="12"/>
      <c r="AN94" s="12"/>
      <c r="AO94" s="99"/>
      <c r="AP94" s="34"/>
      <c r="AQ94" s="19"/>
      <c r="AS94" s="12"/>
      <c r="AT94" s="12"/>
      <c r="AU94" s="12"/>
      <c r="AV94" s="12"/>
      <c r="AW94" s="12"/>
      <c r="AX94" s="12"/>
      <c r="AY94" s="12"/>
      <c r="AZ94" s="99"/>
      <c r="BA94" s="99"/>
      <c r="BB94" s="99"/>
      <c r="BC94" s="99"/>
      <c r="BD94" s="100"/>
      <c r="BE94" s="28"/>
      <c r="BF94" s="25"/>
      <c r="BG94" s="12"/>
      <c r="BH94" s="12"/>
      <c r="BI94" s="12"/>
      <c r="BJ94" s="12"/>
      <c r="BK94" s="12"/>
      <c r="BL94" s="12"/>
      <c r="BM94" s="12"/>
      <c r="BN94" s="99"/>
      <c r="BO94" s="99"/>
      <c r="BP94" s="100"/>
      <c r="BQ94" s="28"/>
      <c r="BR94" s="25"/>
      <c r="BS94" s="89"/>
      <c r="BT94" s="97"/>
      <c r="BU94" s="97"/>
      <c r="BV94" s="97"/>
      <c r="BW94" s="97"/>
      <c r="BX94" s="98"/>
      <c r="BY94" s="12"/>
      <c r="BZ94" s="99"/>
      <c r="CA94" s="99"/>
      <c r="CB94" s="99"/>
      <c r="CC94" s="99"/>
      <c r="CD94" s="99"/>
      <c r="CE94" s="99"/>
      <c r="CF94" s="99"/>
      <c r="CG94" s="99"/>
      <c r="CH94" s="99"/>
      <c r="CI94" s="100"/>
      <c r="CJ94" s="28"/>
      <c r="CL94" s="89"/>
      <c r="CM94" s="97"/>
      <c r="CN94" s="97"/>
      <c r="CO94" s="97"/>
      <c r="CP94" s="97"/>
      <c r="CQ94" s="98"/>
      <c r="CR94" s="12"/>
      <c r="CS94" s="99"/>
      <c r="CT94" s="99"/>
      <c r="CU94" s="99"/>
      <c r="CV94" s="99"/>
      <c r="CW94" s="99"/>
      <c r="CX94" s="99"/>
      <c r="CY94" s="99"/>
      <c r="CZ94" s="101"/>
      <c r="DA94" s="100"/>
      <c r="DB94" s="28"/>
      <c r="DC94" s="33"/>
      <c r="DD94" s="12"/>
      <c r="DE94" s="12"/>
      <c r="DF94" s="12"/>
      <c r="DG94" s="12"/>
      <c r="DH94" s="12"/>
      <c r="DI94" s="12"/>
      <c r="DJ94" s="12"/>
      <c r="DK94" s="101"/>
      <c r="DL94" s="101"/>
      <c r="DM94" s="101"/>
      <c r="DN94" s="101"/>
      <c r="DO94" s="101"/>
      <c r="DP94" s="101"/>
      <c r="DQ94" s="101"/>
      <c r="DR94" s="101"/>
      <c r="DS94" s="101"/>
      <c r="DT94" s="101"/>
      <c r="DU94" s="100"/>
      <c r="DV94" s="28"/>
      <c r="DX94" s="12"/>
      <c r="DY94" s="12"/>
      <c r="DZ94" s="12"/>
      <c r="EA94" s="12"/>
      <c r="EB94" s="12"/>
      <c r="EC94" s="12"/>
      <c r="ED94" s="12"/>
      <c r="EE94" s="101"/>
      <c r="EF94" s="101"/>
      <c r="EG94" s="101"/>
      <c r="EH94" s="101"/>
      <c r="EI94" s="101"/>
      <c r="EJ94" s="101"/>
      <c r="EK94" s="101"/>
      <c r="EL94" s="101"/>
      <c r="EM94" s="101"/>
      <c r="EN94" s="101"/>
      <c r="EO94" s="100"/>
      <c r="EP94" s="28"/>
      <c r="ER94" s="12"/>
      <c r="ES94" s="12"/>
      <c r="ET94" s="12"/>
      <c r="EU94" s="12"/>
      <c r="EV94" s="12"/>
      <c r="EW94" s="12"/>
      <c r="EX94" s="12"/>
      <c r="EY94" s="101"/>
      <c r="EZ94" s="101"/>
      <c r="FA94" s="101"/>
      <c r="FB94" s="101"/>
      <c r="FC94" s="101"/>
      <c r="FD94" s="101"/>
      <c r="FE94" s="101"/>
      <c r="FF94" s="101"/>
      <c r="FG94" s="101"/>
      <c r="FH94" s="101"/>
      <c r="FI94" s="101"/>
      <c r="FJ94" s="101"/>
      <c r="FK94" s="101"/>
      <c r="FL94" s="101"/>
      <c r="FM94" s="101"/>
      <c r="FN94" s="101"/>
      <c r="FO94" s="101"/>
      <c r="FP94" s="101"/>
      <c r="FQ94" s="101"/>
      <c r="FR94" s="101"/>
      <c r="FS94" s="101"/>
      <c r="FT94" s="100"/>
      <c r="FU94" s="114"/>
      <c r="FW94" s="12"/>
      <c r="FX94" s="12"/>
      <c r="FY94" s="12"/>
      <c r="FZ94" s="12"/>
      <c r="GA94" s="12"/>
      <c r="GB94" s="12"/>
      <c r="GC94" s="12"/>
      <c r="GD94" s="103"/>
      <c r="GE94" s="103"/>
      <c r="GF94" s="103"/>
      <c r="GG94" s="103"/>
      <c r="GH94" s="103"/>
      <c r="GI94" s="103"/>
      <c r="GJ94" s="103"/>
      <c r="GK94" s="103"/>
      <c r="GL94" s="103"/>
      <c r="GM94" s="103"/>
      <c r="GN94" s="103"/>
      <c r="GO94" s="103"/>
      <c r="GP94" s="103"/>
      <c r="GQ94" s="100"/>
      <c r="GR94" s="114"/>
      <c r="GT94" s="12"/>
      <c r="GU94" s="12"/>
      <c r="GV94" s="12"/>
      <c r="GW94" s="12"/>
      <c r="GX94" s="12"/>
      <c r="GY94" s="12"/>
      <c r="GZ94" s="12"/>
      <c r="HA94" s="32"/>
      <c r="HB94" s="32"/>
      <c r="HC94" s="32"/>
      <c r="HD94" s="32"/>
      <c r="HE94" s="32"/>
      <c r="HF94" s="32"/>
      <c r="HG94" s="32"/>
      <c r="HH94" s="32"/>
      <c r="HI94" s="32"/>
      <c r="HJ94" s="32"/>
      <c r="HK94" s="32"/>
      <c r="HL94" s="100"/>
      <c r="HM94" s="114"/>
      <c r="HO94" s="12"/>
      <c r="HP94" s="12"/>
      <c r="HQ94" s="12"/>
      <c r="HR94" s="12"/>
      <c r="HS94" s="12"/>
      <c r="HT94" s="12"/>
      <c r="HU94" s="12"/>
      <c r="HV94" s="32"/>
      <c r="HW94" s="100"/>
      <c r="HX94" s="114"/>
      <c r="HZ94" s="12"/>
      <c r="IA94" s="12"/>
      <c r="IB94" s="12"/>
      <c r="IC94" s="12"/>
      <c r="ID94" s="12"/>
      <c r="IE94" s="12"/>
      <c r="IF94" s="12"/>
      <c r="IG94" s="32"/>
      <c r="IH94" s="93"/>
      <c r="II94" s="93"/>
      <c r="IJ94" s="93"/>
      <c r="IK94" s="93"/>
      <c r="IL94" s="93"/>
      <c r="IM94" s="100"/>
      <c r="IN94" s="114"/>
      <c r="IP94" s="12"/>
      <c r="IQ94" s="12"/>
      <c r="IR94" s="12"/>
      <c r="IS94" s="12"/>
      <c r="IT94" s="12"/>
      <c r="IU94" s="12"/>
      <c r="IV94" s="12"/>
      <c r="IW94" s="32"/>
      <c r="IX94" s="93"/>
      <c r="IY94" s="100"/>
      <c r="IZ94" s="114"/>
      <c r="JB94" s="12"/>
      <c r="JC94" s="12"/>
      <c r="JD94" s="12"/>
      <c r="JE94" s="12"/>
      <c r="JF94" s="12"/>
      <c r="JG94" s="12"/>
      <c r="JH94" s="12"/>
      <c r="JI94" s="32"/>
      <c r="JJ94" s="93"/>
      <c r="JK94" s="93"/>
      <c r="JL94" s="93"/>
      <c r="JM94" s="93"/>
      <c r="JN94" s="93"/>
      <c r="JO94" s="93"/>
      <c r="JP94" s="93"/>
      <c r="JQ94" s="93"/>
      <c r="JR94" s="93"/>
      <c r="JS94" s="93"/>
      <c r="JT94" s="93"/>
      <c r="JU94" s="93"/>
      <c r="JV94" s="93"/>
      <c r="JW94" s="93"/>
      <c r="JX94" s="93"/>
      <c r="JY94" s="93"/>
      <c r="JZ94" s="93"/>
      <c r="KA94" s="93"/>
      <c r="KB94" s="93"/>
      <c r="KC94" s="93"/>
      <c r="KD94" s="101"/>
      <c r="KE94" s="100"/>
      <c r="KF94" s="114"/>
      <c r="KH94" s="12"/>
      <c r="KI94" s="12"/>
      <c r="KJ94" s="12"/>
      <c r="KK94" s="12"/>
      <c r="KL94" s="12"/>
      <c r="KM94" s="12"/>
      <c r="KN94" s="12"/>
      <c r="KO94" s="192"/>
      <c r="KP94" s="193"/>
      <c r="KQ94" s="193"/>
      <c r="KR94" s="193"/>
      <c r="KS94" s="100"/>
      <c r="KT94" s="114"/>
      <c r="KV94" s="100"/>
      <c r="KW94" s="100"/>
      <c r="KX94" s="100"/>
      <c r="KY94" s="100"/>
      <c r="KZ94" s="100"/>
      <c r="LA94" s="100"/>
      <c r="LB94" s="100"/>
      <c r="LC94" s="224"/>
      <c r="LD94" s="225"/>
      <c r="LE94" s="225"/>
      <c r="LF94" s="100"/>
      <c r="LG94" s="114"/>
      <c r="LI94" s="100"/>
      <c r="LJ94" s="100"/>
      <c r="LK94" s="100"/>
      <c r="LL94" s="100"/>
      <c r="LM94" s="100"/>
      <c r="LN94" s="100"/>
      <c r="LO94" s="100"/>
      <c r="LP94" s="224"/>
      <c r="LQ94" s="225"/>
      <c r="LR94" s="225"/>
      <c r="LS94" s="225"/>
      <c r="LT94" s="225"/>
      <c r="LU94" s="225"/>
      <c r="LV94" s="225"/>
      <c r="LW94" s="225"/>
      <c r="LX94" s="225"/>
      <c r="LY94" s="225"/>
      <c r="LZ94" s="225"/>
      <c r="MA94" s="225"/>
      <c r="MB94" s="225"/>
      <c r="MC94" s="225"/>
      <c r="MD94" s="225"/>
      <c r="ME94" s="30">
        <f t="shared" si="63"/>
        <v>0</v>
      </c>
      <c r="MF94" s="28">
        <f t="shared" si="64"/>
        <v>0</v>
      </c>
      <c r="MH94" s="677"/>
      <c r="MI94" s="677"/>
      <c r="MJ94" s="677"/>
      <c r="MK94" s="677"/>
      <c r="ML94" s="677"/>
      <c r="MM94" s="677"/>
      <c r="MN94" s="28"/>
      <c r="MO94" s="224"/>
      <c r="MP94" s="225"/>
      <c r="MQ94" s="225"/>
      <c r="MR94" s="225"/>
      <c r="MS94" s="225"/>
      <c r="MT94" s="225"/>
      <c r="MU94" s="225"/>
      <c r="MV94" s="225"/>
      <c r="MW94" s="225"/>
      <c r="MX94" s="225"/>
      <c r="MY94" s="225"/>
      <c r="MZ94" s="225"/>
      <c r="NA94" s="225"/>
      <c r="NB94" s="225"/>
      <c r="NC94" s="225"/>
      <c r="ND94" s="30">
        <f t="shared" si="58"/>
        <v>0</v>
      </c>
      <c r="NE94" s="28">
        <f t="shared" si="65"/>
        <v>0</v>
      </c>
      <c r="NG94" s="677"/>
      <c r="NH94" s="677"/>
      <c r="NI94" s="677"/>
      <c r="NJ94" s="677"/>
      <c r="NK94" s="677"/>
      <c r="NL94" s="677"/>
      <c r="NM94" s="28"/>
      <c r="NN94" s="225"/>
      <c r="NO94" s="225"/>
      <c r="NP94" s="225"/>
      <c r="NQ94" s="225"/>
      <c r="NR94" s="225"/>
      <c r="NS94" s="225"/>
      <c r="NT94" s="225"/>
      <c r="NU94" s="225"/>
      <c r="NV94" s="225"/>
      <c r="NW94" s="225"/>
      <c r="NX94" s="225"/>
      <c r="NY94" s="225"/>
      <c r="NZ94" s="225"/>
      <c r="OA94" s="225"/>
      <c r="OB94" s="225"/>
      <c r="OC94" s="30">
        <f t="shared" si="59"/>
        <v>0</v>
      </c>
      <c r="OD94" s="28">
        <f t="shared" si="60"/>
        <v>0</v>
      </c>
    </row>
    <row r="95" spans="1:394" ht="14.45" customHeight="1" x14ac:dyDescent="0.25">
      <c r="A95" s="47"/>
      <c r="B95" s="12"/>
      <c r="C95" s="12"/>
      <c r="D95" s="12"/>
      <c r="E95" s="12"/>
      <c r="F95" s="12"/>
      <c r="G95" s="12"/>
      <c r="H95" s="12"/>
      <c r="I95" s="12"/>
      <c r="J95" s="12"/>
      <c r="K95" s="99"/>
      <c r="L95" s="34"/>
      <c r="M95" s="34"/>
      <c r="N95" s="19"/>
      <c r="O95" s="12"/>
      <c r="P95" s="12"/>
      <c r="Q95" s="12"/>
      <c r="R95" s="12"/>
      <c r="S95" s="12"/>
      <c r="T95" s="12"/>
      <c r="U95" s="12"/>
      <c r="V95" s="12"/>
      <c r="W95" s="99"/>
      <c r="X95" s="34"/>
      <c r="Y95" s="34"/>
      <c r="Z95" s="19"/>
      <c r="AA95" s="34"/>
      <c r="AB95" s="34"/>
      <c r="AC95" s="34"/>
      <c r="AD95" s="34"/>
      <c r="AE95" s="34"/>
      <c r="AF95" s="34"/>
      <c r="AG95" s="6"/>
      <c r="AH95" s="12"/>
      <c r="AI95" s="12"/>
      <c r="AJ95" s="12"/>
      <c r="AK95" s="12"/>
      <c r="AL95" s="12"/>
      <c r="AM95" s="12"/>
      <c r="AN95" s="12"/>
      <c r="AO95" s="99"/>
      <c r="AP95" s="34"/>
      <c r="AQ95" s="19"/>
      <c r="AS95" s="12"/>
      <c r="AT95" s="12"/>
      <c r="AU95" s="12"/>
      <c r="AV95" s="12"/>
      <c r="AW95" s="12"/>
      <c r="AX95" s="12"/>
      <c r="AY95" s="12"/>
      <c r="AZ95" s="99"/>
      <c r="BA95" s="99"/>
      <c r="BB95" s="99"/>
      <c r="BC95" s="99"/>
      <c r="BD95" s="100"/>
      <c r="BE95" s="28"/>
      <c r="BF95" s="25"/>
      <c r="BG95" s="12"/>
      <c r="BH95" s="12"/>
      <c r="BI95" s="12"/>
      <c r="BJ95" s="12"/>
      <c r="BK95" s="12"/>
      <c r="BL95" s="12"/>
      <c r="BM95" s="12"/>
      <c r="BN95" s="99"/>
      <c r="BO95" s="99"/>
      <c r="BP95" s="100"/>
      <c r="BQ95" s="28"/>
      <c r="BR95" s="25"/>
      <c r="BS95" s="89"/>
      <c r="BT95" s="97"/>
      <c r="BU95" s="97"/>
      <c r="BV95" s="97"/>
      <c r="BW95" s="97"/>
      <c r="BX95" s="98"/>
      <c r="BY95" s="12"/>
      <c r="BZ95" s="99"/>
      <c r="CA95" s="99"/>
      <c r="CB95" s="99"/>
      <c r="CC95" s="99"/>
      <c r="CD95" s="99"/>
      <c r="CE95" s="99"/>
      <c r="CF95" s="99"/>
      <c r="CG95" s="99"/>
      <c r="CH95" s="99"/>
      <c r="CI95" s="100"/>
      <c r="CJ95" s="28"/>
      <c r="CL95" s="89"/>
      <c r="CM95" s="97"/>
      <c r="CN95" s="97"/>
      <c r="CO95" s="97"/>
      <c r="CP95" s="97"/>
      <c r="CQ95" s="98"/>
      <c r="CR95" s="12"/>
      <c r="CS95" s="99"/>
      <c r="CT95" s="99"/>
      <c r="CU95" s="99"/>
      <c r="CV95" s="99"/>
      <c r="CW95" s="99"/>
      <c r="CX95" s="99"/>
      <c r="CY95" s="99"/>
      <c r="CZ95" s="101"/>
      <c r="DA95" s="100"/>
      <c r="DB95" s="28"/>
      <c r="DC95" s="33"/>
      <c r="DD95" s="12"/>
      <c r="DE95" s="12"/>
      <c r="DF95" s="12"/>
      <c r="DG95" s="12"/>
      <c r="DH95" s="12"/>
      <c r="DI95" s="12"/>
      <c r="DJ95" s="12"/>
      <c r="DK95" s="101"/>
      <c r="DL95" s="101"/>
      <c r="DM95" s="101"/>
      <c r="DN95" s="101"/>
      <c r="DO95" s="101"/>
      <c r="DP95" s="101"/>
      <c r="DQ95" s="101"/>
      <c r="DR95" s="101"/>
      <c r="DS95" s="101"/>
      <c r="DT95" s="101"/>
      <c r="DU95" s="100"/>
      <c r="DV95" s="28"/>
      <c r="DX95" s="12"/>
      <c r="DY95" s="12"/>
      <c r="DZ95" s="12"/>
      <c r="EA95" s="12"/>
      <c r="EB95" s="12"/>
      <c r="EC95" s="12"/>
      <c r="ED95" s="12"/>
      <c r="EE95" s="101"/>
      <c r="EF95" s="101"/>
      <c r="EG95" s="101"/>
      <c r="EH95" s="101"/>
      <c r="EI95" s="101"/>
      <c r="EJ95" s="101"/>
      <c r="EK95" s="101"/>
      <c r="EL95" s="101"/>
      <c r="EM95" s="101"/>
      <c r="EN95" s="101"/>
      <c r="EO95" s="100"/>
      <c r="EP95" s="28"/>
      <c r="ER95" s="12"/>
      <c r="ES95" s="12"/>
      <c r="ET95" s="12"/>
      <c r="EU95" s="12"/>
      <c r="EV95" s="12"/>
      <c r="EW95" s="12"/>
      <c r="EX95" s="12"/>
      <c r="EY95" s="101"/>
      <c r="EZ95" s="101"/>
      <c r="FA95" s="101"/>
      <c r="FB95" s="101"/>
      <c r="FC95" s="101"/>
      <c r="FD95" s="101"/>
      <c r="FE95" s="101"/>
      <c r="FF95" s="101"/>
      <c r="FG95" s="101"/>
      <c r="FH95" s="101"/>
      <c r="FI95" s="101"/>
      <c r="FJ95" s="101"/>
      <c r="FK95" s="101"/>
      <c r="FL95" s="101"/>
      <c r="FM95" s="101"/>
      <c r="FN95" s="101"/>
      <c r="FO95" s="101"/>
      <c r="FP95" s="101"/>
      <c r="FQ95" s="101"/>
      <c r="FR95" s="101"/>
      <c r="FS95" s="101"/>
      <c r="FT95" s="100"/>
      <c r="FU95" s="114"/>
      <c r="FW95" s="12"/>
      <c r="FX95" s="12"/>
      <c r="FY95" s="12"/>
      <c r="FZ95" s="12"/>
      <c r="GA95" s="12"/>
      <c r="GB95" s="12"/>
      <c r="GC95" s="12"/>
      <c r="GD95" s="103"/>
      <c r="GE95" s="103"/>
      <c r="GF95" s="103"/>
      <c r="GG95" s="103"/>
      <c r="GH95" s="103"/>
      <c r="GI95" s="103"/>
      <c r="GJ95" s="103"/>
      <c r="GK95" s="103"/>
      <c r="GL95" s="103"/>
      <c r="GM95" s="103"/>
      <c r="GN95" s="103"/>
      <c r="GO95" s="103"/>
      <c r="GP95" s="103"/>
      <c r="GQ95" s="100"/>
      <c r="GR95" s="114"/>
      <c r="GT95" s="12"/>
      <c r="GU95" s="12"/>
      <c r="GV95" s="12"/>
      <c r="GW95" s="12"/>
      <c r="GX95" s="12"/>
      <c r="GY95" s="12"/>
      <c r="GZ95" s="12"/>
      <c r="HA95" s="32"/>
      <c r="HB95" s="32"/>
      <c r="HC95" s="32"/>
      <c r="HD95" s="32"/>
      <c r="HE95" s="32"/>
      <c r="HF95" s="32"/>
      <c r="HG95" s="32"/>
      <c r="HH95" s="32"/>
      <c r="HI95" s="32"/>
      <c r="HJ95" s="32"/>
      <c r="HK95" s="32"/>
      <c r="HL95" s="100"/>
      <c r="HM95" s="114"/>
      <c r="HO95" s="12"/>
      <c r="HP95" s="12"/>
      <c r="HQ95" s="12"/>
      <c r="HR95" s="12"/>
      <c r="HS95" s="12"/>
      <c r="HT95" s="12"/>
      <c r="HU95" s="12"/>
      <c r="HV95" s="32"/>
      <c r="HW95" s="100"/>
      <c r="HX95" s="114"/>
      <c r="HZ95" s="12"/>
      <c r="IA95" s="12"/>
      <c r="IB95" s="12"/>
      <c r="IC95" s="12"/>
      <c r="ID95" s="12"/>
      <c r="IE95" s="12"/>
      <c r="IF95" s="12"/>
      <c r="IG95" s="32"/>
      <c r="IH95" s="93"/>
      <c r="II95" s="93"/>
      <c r="IJ95" s="93"/>
      <c r="IK95" s="93"/>
      <c r="IL95" s="93"/>
      <c r="IM95" s="100"/>
      <c r="IN95" s="114"/>
      <c r="IP95" s="12"/>
      <c r="IQ95" s="12"/>
      <c r="IR95" s="12"/>
      <c r="IS95" s="12"/>
      <c r="IT95" s="12"/>
      <c r="IU95" s="12"/>
      <c r="IV95" s="12"/>
      <c r="IW95" s="32"/>
      <c r="IX95" s="93"/>
      <c r="IY95" s="100"/>
      <c r="IZ95" s="114"/>
      <c r="JB95" s="12"/>
      <c r="JC95" s="12"/>
      <c r="JD95" s="12"/>
      <c r="JE95" s="12"/>
      <c r="JF95" s="12"/>
      <c r="JG95" s="12"/>
      <c r="JH95" s="12"/>
      <c r="JI95" s="32"/>
      <c r="JJ95" s="93"/>
      <c r="JK95" s="93"/>
      <c r="JL95" s="93"/>
      <c r="JM95" s="93"/>
      <c r="JN95" s="93"/>
      <c r="JO95" s="93"/>
      <c r="JP95" s="93"/>
      <c r="JQ95" s="93"/>
      <c r="JR95" s="93"/>
      <c r="JS95" s="93"/>
      <c r="JT95" s="93"/>
      <c r="JU95" s="93"/>
      <c r="JV95" s="93"/>
      <c r="JW95" s="93"/>
      <c r="JX95" s="93"/>
      <c r="JY95" s="93"/>
      <c r="JZ95" s="93"/>
      <c r="KA95" s="93"/>
      <c r="KB95" s="93"/>
      <c r="KC95" s="93"/>
      <c r="KD95" s="101"/>
      <c r="KE95" s="100"/>
      <c r="KF95" s="114"/>
      <c r="KH95" s="12"/>
      <c r="KI95" s="12"/>
      <c r="KJ95" s="12"/>
      <c r="KK95" s="12"/>
      <c r="KL95" s="12"/>
      <c r="KM95" s="12"/>
      <c r="KN95" s="12"/>
      <c r="KO95" s="192"/>
      <c r="KP95" s="193"/>
      <c r="KQ95" s="193"/>
      <c r="KR95" s="193"/>
      <c r="KS95" s="100"/>
      <c r="KT95" s="114"/>
      <c r="KV95" s="100"/>
      <c r="KW95" s="100"/>
      <c r="KX95" s="100"/>
      <c r="KY95" s="100"/>
      <c r="KZ95" s="100"/>
      <c r="LA95" s="100"/>
      <c r="LB95" s="100"/>
      <c r="LC95" s="224"/>
      <c r="LD95" s="225"/>
      <c r="LE95" s="225"/>
      <c r="LF95" s="100"/>
      <c r="LG95" s="114"/>
      <c r="LI95" s="100"/>
      <c r="LJ95" s="100"/>
      <c r="LK95" s="100"/>
      <c r="LL95" s="100"/>
      <c r="LM95" s="100"/>
      <c r="LN95" s="100"/>
      <c r="LO95" s="100"/>
      <c r="LP95" s="224"/>
      <c r="LQ95" s="225"/>
      <c r="LR95" s="225"/>
      <c r="LS95" s="225"/>
      <c r="LT95" s="225"/>
      <c r="LU95" s="225"/>
      <c r="LV95" s="225"/>
      <c r="LW95" s="225"/>
      <c r="LX95" s="225"/>
      <c r="LY95" s="225"/>
      <c r="LZ95" s="225"/>
      <c r="MA95" s="225"/>
      <c r="MB95" s="225"/>
      <c r="MC95" s="225"/>
      <c r="MD95" s="225"/>
      <c r="ME95" s="30">
        <f t="shared" si="63"/>
        <v>0</v>
      </c>
      <c r="MF95" s="28">
        <f t="shared" si="64"/>
        <v>0</v>
      </c>
      <c r="MH95" s="644"/>
      <c r="MI95" s="644"/>
      <c r="MJ95" s="644"/>
      <c r="MK95" s="644"/>
      <c r="ML95" s="644"/>
      <c r="MM95" s="644"/>
      <c r="MN95" s="15"/>
      <c r="MO95" s="226"/>
      <c r="MP95" s="222"/>
      <c r="MQ95" s="222"/>
      <c r="MR95" s="222"/>
      <c r="MS95" s="222"/>
      <c r="MT95" s="222"/>
      <c r="MU95" s="222"/>
      <c r="MV95" s="222"/>
      <c r="MW95" s="222"/>
      <c r="MX95" s="222"/>
      <c r="MY95" s="222"/>
      <c r="MZ95" s="222"/>
      <c r="NA95" s="222"/>
      <c r="NB95" s="222"/>
      <c r="NC95" s="222"/>
      <c r="ND95" s="30">
        <f t="shared" si="58"/>
        <v>0</v>
      </c>
      <c r="NE95" s="28">
        <f t="shared" si="65"/>
        <v>0</v>
      </c>
      <c r="NG95" s="644"/>
      <c r="NH95" s="644"/>
      <c r="NI95" s="644"/>
      <c r="NJ95" s="644"/>
      <c r="NK95" s="644"/>
      <c r="NL95" s="644"/>
      <c r="NM95" s="15"/>
      <c r="NN95" s="222"/>
      <c r="NO95" s="222"/>
      <c r="NP95" s="222"/>
      <c r="NQ95" s="222"/>
      <c r="NR95" s="222"/>
      <c r="NS95" s="222"/>
      <c r="NT95" s="222"/>
      <c r="NU95" s="222"/>
      <c r="NV95" s="222"/>
      <c r="NW95" s="222"/>
      <c r="NX95" s="222"/>
      <c r="NY95" s="222"/>
      <c r="NZ95" s="222"/>
      <c r="OA95" s="222"/>
      <c r="OB95" s="222"/>
      <c r="OC95" s="30">
        <f t="shared" si="59"/>
        <v>0</v>
      </c>
      <c r="OD95" s="28">
        <f t="shared" si="60"/>
        <v>0</v>
      </c>
    </row>
    <row r="96" spans="1:394" ht="14.45" customHeight="1" x14ac:dyDescent="0.25">
      <c r="A96" s="47"/>
      <c r="B96" s="12"/>
      <c r="C96" s="12"/>
      <c r="D96" s="12"/>
      <c r="E96" s="12"/>
      <c r="F96" s="12"/>
      <c r="G96" s="12"/>
      <c r="H96" s="12"/>
      <c r="I96" s="12"/>
      <c r="J96" s="12"/>
      <c r="K96" s="99"/>
      <c r="L96" s="34"/>
      <c r="M96" s="34"/>
      <c r="N96" s="19"/>
      <c r="O96" s="12"/>
      <c r="P96" s="12"/>
      <c r="Q96" s="12"/>
      <c r="R96" s="12"/>
      <c r="S96" s="12"/>
      <c r="T96" s="12"/>
      <c r="U96" s="12"/>
      <c r="V96" s="12"/>
      <c r="W96" s="99"/>
      <c r="X96" s="34"/>
      <c r="Y96" s="34"/>
      <c r="Z96" s="19"/>
      <c r="AA96" s="34"/>
      <c r="AB96" s="34"/>
      <c r="AC96" s="34"/>
      <c r="AD96" s="34"/>
      <c r="AE96" s="34"/>
      <c r="AF96" s="34"/>
      <c r="AG96" s="6"/>
      <c r="AH96" s="12"/>
      <c r="AI96" s="12"/>
      <c r="AJ96" s="12"/>
      <c r="AK96" s="12"/>
      <c r="AL96" s="12"/>
      <c r="AM96" s="12"/>
      <c r="AN96" s="12"/>
      <c r="AO96" s="99"/>
      <c r="AP96" s="34"/>
      <c r="AQ96" s="19"/>
      <c r="AS96" s="12"/>
      <c r="AT96" s="12"/>
      <c r="AU96" s="12"/>
      <c r="AV96" s="12"/>
      <c r="AW96" s="12"/>
      <c r="AX96" s="12"/>
      <c r="AY96" s="12"/>
      <c r="AZ96" s="99"/>
      <c r="BA96" s="99"/>
      <c r="BB96" s="99"/>
      <c r="BC96" s="99"/>
      <c r="BD96" s="100"/>
      <c r="BE96" s="28"/>
      <c r="BF96" s="25"/>
      <c r="BG96" s="12"/>
      <c r="BH96" s="12"/>
      <c r="BI96" s="12"/>
      <c r="BJ96" s="12"/>
      <c r="BK96" s="12"/>
      <c r="BL96" s="12"/>
      <c r="BM96" s="12"/>
      <c r="BN96" s="99"/>
      <c r="BO96" s="99"/>
      <c r="BP96" s="100"/>
      <c r="BQ96" s="28"/>
      <c r="BR96" s="25"/>
      <c r="BS96" s="89"/>
      <c r="BT96" s="97"/>
      <c r="BU96" s="97"/>
      <c r="BV96" s="97"/>
      <c r="BW96" s="97"/>
      <c r="BX96" s="98"/>
      <c r="BY96" s="12"/>
      <c r="BZ96" s="99"/>
      <c r="CA96" s="99"/>
      <c r="CB96" s="99"/>
      <c r="CC96" s="99"/>
      <c r="CD96" s="99"/>
      <c r="CE96" s="99"/>
      <c r="CF96" s="99"/>
      <c r="CG96" s="99"/>
      <c r="CH96" s="99"/>
      <c r="CI96" s="100"/>
      <c r="CJ96" s="28"/>
      <c r="CL96" s="89"/>
      <c r="CM96" s="97"/>
      <c r="CN96" s="97"/>
      <c r="CO96" s="97"/>
      <c r="CP96" s="97"/>
      <c r="CQ96" s="98"/>
      <c r="CR96" s="12"/>
      <c r="CS96" s="99"/>
      <c r="CT96" s="99"/>
      <c r="CU96" s="99"/>
      <c r="CV96" s="99"/>
      <c r="CW96" s="99"/>
      <c r="CX96" s="99"/>
      <c r="CY96" s="99"/>
      <c r="CZ96" s="101"/>
      <c r="DA96" s="100"/>
      <c r="DB96" s="28"/>
      <c r="DC96" s="33"/>
      <c r="DD96" s="12"/>
      <c r="DE96" s="12"/>
      <c r="DF96" s="12"/>
      <c r="DG96" s="12"/>
      <c r="DH96" s="12"/>
      <c r="DI96" s="12"/>
      <c r="DJ96" s="12"/>
      <c r="DK96" s="101"/>
      <c r="DL96" s="101"/>
      <c r="DM96" s="101"/>
      <c r="DN96" s="101"/>
      <c r="DO96" s="101"/>
      <c r="DP96" s="101"/>
      <c r="DQ96" s="101"/>
      <c r="DR96" s="101"/>
      <c r="DS96" s="101"/>
      <c r="DT96" s="101"/>
      <c r="DU96" s="100"/>
      <c r="DV96" s="28"/>
      <c r="DX96" s="12"/>
      <c r="DY96" s="12"/>
      <c r="DZ96" s="12"/>
      <c r="EA96" s="12"/>
      <c r="EB96" s="12"/>
      <c r="EC96" s="12"/>
      <c r="ED96" s="12"/>
      <c r="EE96" s="101"/>
      <c r="EF96" s="101"/>
      <c r="EG96" s="101"/>
      <c r="EH96" s="101"/>
      <c r="EI96" s="101"/>
      <c r="EJ96" s="101"/>
      <c r="EK96" s="101"/>
      <c r="EL96" s="101"/>
      <c r="EM96" s="101"/>
      <c r="EN96" s="101"/>
      <c r="EO96" s="100"/>
      <c r="EP96" s="28"/>
      <c r="ER96" s="12"/>
      <c r="ES96" s="12"/>
      <c r="ET96" s="12"/>
      <c r="EU96" s="12"/>
      <c r="EV96" s="12"/>
      <c r="EW96" s="12"/>
      <c r="EX96" s="12"/>
      <c r="EY96" s="101"/>
      <c r="EZ96" s="101"/>
      <c r="FA96" s="101"/>
      <c r="FB96" s="101"/>
      <c r="FC96" s="101"/>
      <c r="FD96" s="101"/>
      <c r="FE96" s="101"/>
      <c r="FF96" s="101"/>
      <c r="FG96" s="101"/>
      <c r="FH96" s="101"/>
      <c r="FI96" s="101"/>
      <c r="FJ96" s="101"/>
      <c r="FK96" s="101"/>
      <c r="FL96" s="101"/>
      <c r="FM96" s="101"/>
      <c r="FN96" s="101"/>
      <c r="FO96" s="101"/>
      <c r="FP96" s="101"/>
      <c r="FQ96" s="101"/>
      <c r="FR96" s="101"/>
      <c r="FS96" s="101"/>
      <c r="FT96" s="100"/>
      <c r="FU96" s="114"/>
      <c r="FW96" s="12"/>
      <c r="FX96" s="12"/>
      <c r="FY96" s="12"/>
      <c r="FZ96" s="12"/>
      <c r="GA96" s="12"/>
      <c r="GB96" s="12"/>
      <c r="GC96" s="12"/>
      <c r="GD96" s="103"/>
      <c r="GE96" s="103"/>
      <c r="GF96" s="103"/>
      <c r="GG96" s="103"/>
      <c r="GH96" s="103"/>
      <c r="GI96" s="103"/>
      <c r="GJ96" s="103"/>
      <c r="GK96" s="103"/>
      <c r="GL96" s="103"/>
      <c r="GM96" s="103"/>
      <c r="GN96" s="103"/>
      <c r="GO96" s="103"/>
      <c r="GP96" s="103"/>
      <c r="GQ96" s="100"/>
      <c r="GR96" s="114"/>
      <c r="GT96" s="12"/>
      <c r="GU96" s="12"/>
      <c r="GV96" s="12"/>
      <c r="GW96" s="12"/>
      <c r="GX96" s="12"/>
      <c r="GY96" s="12"/>
      <c r="GZ96" s="12"/>
      <c r="HA96" s="32"/>
      <c r="HB96" s="32"/>
      <c r="HC96" s="32"/>
      <c r="HD96" s="32"/>
      <c r="HE96" s="32"/>
      <c r="HF96" s="32"/>
      <c r="HG96" s="32"/>
      <c r="HH96" s="32"/>
      <c r="HI96" s="32"/>
      <c r="HJ96" s="32"/>
      <c r="HK96" s="32"/>
      <c r="HL96" s="100"/>
      <c r="HM96" s="114"/>
      <c r="HO96" s="12"/>
      <c r="HP96" s="12"/>
      <c r="HQ96" s="12"/>
      <c r="HR96" s="12"/>
      <c r="HS96" s="12"/>
      <c r="HT96" s="12"/>
      <c r="HU96" s="12"/>
      <c r="HV96" s="32"/>
      <c r="HW96" s="100"/>
      <c r="HX96" s="114"/>
      <c r="HZ96" s="12"/>
      <c r="IA96" s="12"/>
      <c r="IB96" s="12"/>
      <c r="IC96" s="12"/>
      <c r="ID96" s="12"/>
      <c r="IE96" s="12"/>
      <c r="IF96" s="12"/>
      <c r="IG96" s="32"/>
      <c r="IH96" s="93"/>
      <c r="II96" s="93"/>
      <c r="IJ96" s="93"/>
      <c r="IK96" s="93"/>
      <c r="IL96" s="93"/>
      <c r="IM96" s="100"/>
      <c r="IN96" s="114"/>
      <c r="IP96" s="12"/>
      <c r="IQ96" s="12"/>
      <c r="IR96" s="12"/>
      <c r="IS96" s="12"/>
      <c r="IT96" s="12"/>
      <c r="IU96" s="12"/>
      <c r="IV96" s="12"/>
      <c r="IW96" s="32"/>
      <c r="IX96" s="93"/>
      <c r="IY96" s="100"/>
      <c r="IZ96" s="114"/>
      <c r="JB96" s="12"/>
      <c r="JC96" s="12"/>
      <c r="JD96" s="12"/>
      <c r="JE96" s="12"/>
      <c r="JF96" s="12"/>
      <c r="JG96" s="12"/>
      <c r="JH96" s="12"/>
      <c r="JI96" s="32"/>
      <c r="JJ96" s="93"/>
      <c r="JK96" s="93"/>
      <c r="JL96" s="93"/>
      <c r="JM96" s="93"/>
      <c r="JN96" s="93"/>
      <c r="JO96" s="93"/>
      <c r="JP96" s="93"/>
      <c r="JQ96" s="93"/>
      <c r="JR96" s="93"/>
      <c r="JS96" s="93"/>
      <c r="JT96" s="93"/>
      <c r="JU96" s="93"/>
      <c r="JV96" s="93"/>
      <c r="JW96" s="93"/>
      <c r="JX96" s="93"/>
      <c r="JY96" s="93"/>
      <c r="JZ96" s="93"/>
      <c r="KA96" s="93"/>
      <c r="KB96" s="93"/>
      <c r="KC96" s="93"/>
      <c r="KD96" s="101"/>
      <c r="KE96" s="100"/>
      <c r="KF96" s="114"/>
      <c r="KH96" s="12"/>
      <c r="KI96" s="12"/>
      <c r="KJ96" s="12"/>
      <c r="KK96" s="12"/>
      <c r="KL96" s="12"/>
      <c r="KM96" s="12"/>
      <c r="KN96" s="12"/>
      <c r="KO96" s="192"/>
      <c r="KP96" s="193"/>
      <c r="KQ96" s="193"/>
      <c r="KR96" s="193"/>
      <c r="KS96" s="100"/>
      <c r="KT96" s="114"/>
      <c r="KV96" s="100"/>
      <c r="KW96" s="100"/>
      <c r="KX96" s="100"/>
      <c r="KY96" s="100"/>
      <c r="KZ96" s="100"/>
      <c r="LA96" s="100"/>
      <c r="LB96" s="100"/>
      <c r="LC96" s="224"/>
      <c r="LD96" s="225"/>
      <c r="LE96" s="225"/>
      <c r="LF96" s="100"/>
      <c r="LG96" s="114"/>
      <c r="LI96" s="100"/>
      <c r="LJ96" s="100"/>
      <c r="LK96" s="100"/>
      <c r="LL96" s="100"/>
      <c r="LM96" s="100"/>
      <c r="LN96" s="100"/>
      <c r="LO96" s="100"/>
      <c r="LP96" s="224"/>
      <c r="LQ96" s="225"/>
      <c r="LR96" s="225"/>
      <c r="LS96" s="225"/>
      <c r="LT96" s="225"/>
      <c r="LU96" s="225"/>
      <c r="LV96" s="225"/>
      <c r="LW96" s="225"/>
      <c r="LX96" s="225"/>
      <c r="LY96" s="225"/>
      <c r="LZ96" s="225"/>
      <c r="MA96" s="225"/>
      <c r="MB96" s="225"/>
      <c r="MC96" s="225"/>
      <c r="MD96" s="225"/>
      <c r="ME96" s="30">
        <f t="shared" si="63"/>
        <v>0</v>
      </c>
      <c r="MF96" s="28">
        <f t="shared" si="64"/>
        <v>0</v>
      </c>
      <c r="MH96" s="677"/>
      <c r="MI96" s="677"/>
      <c r="MJ96" s="677"/>
      <c r="MK96" s="677"/>
      <c r="ML96" s="677"/>
      <c r="MM96" s="677"/>
      <c r="MN96" s="28"/>
      <c r="MO96" s="224"/>
      <c r="MP96" s="225"/>
      <c r="MQ96" s="225"/>
      <c r="MR96" s="225"/>
      <c r="MS96" s="225"/>
      <c r="MT96" s="225"/>
      <c r="MU96" s="225"/>
      <c r="MV96" s="225"/>
      <c r="MW96" s="225"/>
      <c r="MX96" s="225"/>
      <c r="MY96" s="225"/>
      <c r="MZ96" s="225"/>
      <c r="NA96" s="225"/>
      <c r="NB96" s="225"/>
      <c r="NC96" s="225"/>
      <c r="ND96" s="30">
        <f t="shared" si="58"/>
        <v>0</v>
      </c>
      <c r="NE96" s="28">
        <f t="shared" si="65"/>
        <v>0</v>
      </c>
      <c r="NG96" s="677"/>
      <c r="NH96" s="677"/>
      <c r="NI96" s="677"/>
      <c r="NJ96" s="677"/>
      <c r="NK96" s="677"/>
      <c r="NL96" s="677"/>
      <c r="NM96" s="28"/>
      <c r="NN96" s="225"/>
      <c r="NO96" s="225"/>
      <c r="NP96" s="225"/>
      <c r="NQ96" s="225"/>
      <c r="NR96" s="225"/>
      <c r="NS96" s="225"/>
      <c r="NT96" s="225"/>
      <c r="NU96" s="225"/>
      <c r="NV96" s="225"/>
      <c r="NW96" s="225"/>
      <c r="NX96" s="225"/>
      <c r="NY96" s="225"/>
      <c r="NZ96" s="225"/>
      <c r="OA96" s="225"/>
      <c r="OB96" s="225"/>
      <c r="OC96" s="30">
        <f t="shared" si="59"/>
        <v>0</v>
      </c>
      <c r="OD96" s="28">
        <f t="shared" si="60"/>
        <v>0</v>
      </c>
    </row>
    <row r="97" spans="1:394" ht="14.45" customHeight="1" x14ac:dyDescent="0.25">
      <c r="A97" s="47"/>
      <c r="B97" s="12"/>
      <c r="C97" s="12"/>
      <c r="D97" s="12"/>
      <c r="E97" s="12"/>
      <c r="F97" s="12"/>
      <c r="G97" s="12"/>
      <c r="H97" s="12"/>
      <c r="I97" s="12"/>
      <c r="J97" s="12"/>
      <c r="K97" s="99"/>
      <c r="L97" s="34"/>
      <c r="M97" s="34"/>
      <c r="N97" s="19"/>
      <c r="O97" s="12"/>
      <c r="P97" s="12"/>
      <c r="Q97" s="12"/>
      <c r="R97" s="12"/>
      <c r="S97" s="12"/>
      <c r="T97" s="12"/>
      <c r="U97" s="12"/>
      <c r="V97" s="12"/>
      <c r="W97" s="99"/>
      <c r="X97" s="34"/>
      <c r="Y97" s="34"/>
      <c r="Z97" s="19"/>
      <c r="AA97" s="34"/>
      <c r="AB97" s="34"/>
      <c r="AC97" s="34"/>
      <c r="AD97" s="34"/>
      <c r="AE97" s="34"/>
      <c r="AF97" s="34"/>
      <c r="AG97" s="6"/>
      <c r="AH97" s="12"/>
      <c r="AI97" s="12"/>
      <c r="AJ97" s="12"/>
      <c r="AK97" s="12"/>
      <c r="AL97" s="12"/>
      <c r="AM97" s="12"/>
      <c r="AN97" s="12"/>
      <c r="AO97" s="99"/>
      <c r="AP97" s="34"/>
      <c r="AQ97" s="19"/>
      <c r="AS97" s="12"/>
      <c r="AT97" s="12"/>
      <c r="AU97" s="12"/>
      <c r="AV97" s="12"/>
      <c r="AW97" s="12"/>
      <c r="AX97" s="12"/>
      <c r="AY97" s="12"/>
      <c r="AZ97" s="99"/>
      <c r="BA97" s="99"/>
      <c r="BB97" s="99"/>
      <c r="BC97" s="99"/>
      <c r="BD97" s="100"/>
      <c r="BE97" s="28"/>
      <c r="BF97" s="25"/>
      <c r="BG97" s="12"/>
      <c r="BH97" s="12"/>
      <c r="BI97" s="12"/>
      <c r="BJ97" s="12"/>
      <c r="BK97" s="12"/>
      <c r="BL97" s="12"/>
      <c r="BM97" s="12"/>
      <c r="BN97" s="99"/>
      <c r="BO97" s="99"/>
      <c r="BP97" s="100"/>
      <c r="BQ97" s="28"/>
      <c r="BR97" s="25"/>
      <c r="BS97" s="89"/>
      <c r="BT97" s="97"/>
      <c r="BU97" s="97"/>
      <c r="BV97" s="97"/>
      <c r="BW97" s="97"/>
      <c r="BX97" s="98"/>
      <c r="BY97" s="12"/>
      <c r="BZ97" s="99"/>
      <c r="CA97" s="99"/>
      <c r="CB97" s="99"/>
      <c r="CC97" s="99"/>
      <c r="CD97" s="99"/>
      <c r="CE97" s="99"/>
      <c r="CF97" s="99"/>
      <c r="CG97" s="99"/>
      <c r="CH97" s="99"/>
      <c r="CI97" s="100"/>
      <c r="CJ97" s="28"/>
      <c r="CL97" s="89"/>
      <c r="CM97" s="97"/>
      <c r="CN97" s="97"/>
      <c r="CO97" s="97"/>
      <c r="CP97" s="97"/>
      <c r="CQ97" s="98"/>
      <c r="CR97" s="12"/>
      <c r="CS97" s="99"/>
      <c r="CT97" s="99"/>
      <c r="CU97" s="99"/>
      <c r="CV97" s="99"/>
      <c r="CW97" s="99"/>
      <c r="CX97" s="99"/>
      <c r="CY97" s="99"/>
      <c r="CZ97" s="101"/>
      <c r="DA97" s="100"/>
      <c r="DB97" s="28"/>
      <c r="DC97" s="33"/>
      <c r="DD97" s="12"/>
      <c r="DE97" s="12"/>
      <c r="DF97" s="12"/>
      <c r="DG97" s="12"/>
      <c r="DH97" s="12"/>
      <c r="DI97" s="12"/>
      <c r="DJ97" s="12"/>
      <c r="DK97" s="101"/>
      <c r="DL97" s="101"/>
      <c r="DM97" s="101"/>
      <c r="DN97" s="101"/>
      <c r="DO97" s="101"/>
      <c r="DP97" s="101"/>
      <c r="DQ97" s="101"/>
      <c r="DR97" s="101"/>
      <c r="DS97" s="101"/>
      <c r="DT97" s="101"/>
      <c r="DU97" s="100"/>
      <c r="DV97" s="28"/>
      <c r="DX97" s="12"/>
      <c r="DY97" s="12"/>
      <c r="DZ97" s="12"/>
      <c r="EA97" s="12"/>
      <c r="EB97" s="12"/>
      <c r="EC97" s="12"/>
      <c r="ED97" s="12"/>
      <c r="EE97" s="101"/>
      <c r="EF97" s="101"/>
      <c r="EG97" s="101"/>
      <c r="EH97" s="101"/>
      <c r="EI97" s="101"/>
      <c r="EJ97" s="101"/>
      <c r="EK97" s="101"/>
      <c r="EL97" s="101"/>
      <c r="EM97" s="101"/>
      <c r="EN97" s="101"/>
      <c r="EO97" s="100"/>
      <c r="EP97" s="28"/>
      <c r="ER97" s="12"/>
      <c r="ES97" s="12"/>
      <c r="ET97" s="12"/>
      <c r="EU97" s="12"/>
      <c r="EV97" s="12"/>
      <c r="EW97" s="12"/>
      <c r="EX97" s="12"/>
      <c r="EY97" s="101"/>
      <c r="EZ97" s="101"/>
      <c r="FA97" s="101"/>
      <c r="FB97" s="101"/>
      <c r="FC97" s="101"/>
      <c r="FD97" s="101"/>
      <c r="FE97" s="101"/>
      <c r="FF97" s="101"/>
      <c r="FG97" s="101"/>
      <c r="FH97" s="101"/>
      <c r="FI97" s="101"/>
      <c r="FJ97" s="101"/>
      <c r="FK97" s="101"/>
      <c r="FL97" s="101"/>
      <c r="FM97" s="101"/>
      <c r="FN97" s="101"/>
      <c r="FO97" s="101"/>
      <c r="FP97" s="101"/>
      <c r="FQ97" s="101"/>
      <c r="FR97" s="101"/>
      <c r="FS97" s="101"/>
      <c r="FT97" s="100"/>
      <c r="FU97" s="114"/>
      <c r="FW97" s="12"/>
      <c r="FX97" s="12"/>
      <c r="FY97" s="12"/>
      <c r="FZ97" s="12"/>
      <c r="GA97" s="12"/>
      <c r="GB97" s="12"/>
      <c r="GC97" s="12"/>
      <c r="GD97" s="103"/>
      <c r="GE97" s="103"/>
      <c r="GF97" s="103"/>
      <c r="GG97" s="103"/>
      <c r="GH97" s="103"/>
      <c r="GI97" s="103"/>
      <c r="GJ97" s="103"/>
      <c r="GK97" s="103"/>
      <c r="GL97" s="103"/>
      <c r="GM97" s="103"/>
      <c r="GN97" s="103"/>
      <c r="GO97" s="103"/>
      <c r="GP97" s="103"/>
      <c r="GQ97" s="100"/>
      <c r="GR97" s="114"/>
      <c r="GT97" s="12"/>
      <c r="GU97" s="12"/>
      <c r="GV97" s="12"/>
      <c r="GW97" s="12"/>
      <c r="GX97" s="12"/>
      <c r="GY97" s="12"/>
      <c r="GZ97" s="12"/>
      <c r="HA97" s="32"/>
      <c r="HB97" s="32"/>
      <c r="HC97" s="32"/>
      <c r="HD97" s="32"/>
      <c r="HE97" s="32"/>
      <c r="HF97" s="32"/>
      <c r="HG97" s="32"/>
      <c r="HH97" s="32"/>
      <c r="HI97" s="32"/>
      <c r="HJ97" s="32"/>
      <c r="HK97" s="32"/>
      <c r="HL97" s="100"/>
      <c r="HM97" s="114"/>
      <c r="HO97" s="12"/>
      <c r="HP97" s="12"/>
      <c r="HQ97" s="12"/>
      <c r="HR97" s="12"/>
      <c r="HS97" s="12"/>
      <c r="HT97" s="12"/>
      <c r="HU97" s="12"/>
      <c r="HV97" s="32"/>
      <c r="HW97" s="100"/>
      <c r="HX97" s="114"/>
      <c r="HZ97" s="12"/>
      <c r="IA97" s="12"/>
      <c r="IB97" s="12"/>
      <c r="IC97" s="12"/>
      <c r="ID97" s="12"/>
      <c r="IE97" s="12"/>
      <c r="IF97" s="12"/>
      <c r="IG97" s="32"/>
      <c r="IH97" s="93"/>
      <c r="II97" s="93"/>
      <c r="IJ97" s="93"/>
      <c r="IK97" s="93"/>
      <c r="IL97" s="93"/>
      <c r="IM97" s="100"/>
      <c r="IN97" s="114"/>
      <c r="IP97" s="12"/>
      <c r="IQ97" s="12"/>
      <c r="IR97" s="12"/>
      <c r="IS97" s="12"/>
      <c r="IT97" s="12"/>
      <c r="IU97" s="12"/>
      <c r="IV97" s="12"/>
      <c r="IW97" s="32"/>
      <c r="IX97" s="93"/>
      <c r="IY97" s="100"/>
      <c r="IZ97" s="114"/>
      <c r="JB97" s="12"/>
      <c r="JC97" s="12"/>
      <c r="JD97" s="12"/>
      <c r="JE97" s="12"/>
      <c r="JF97" s="12"/>
      <c r="JG97" s="12"/>
      <c r="JH97" s="12"/>
      <c r="JI97" s="32"/>
      <c r="JJ97" s="93"/>
      <c r="JK97" s="93"/>
      <c r="JL97" s="93"/>
      <c r="JM97" s="93"/>
      <c r="JN97" s="93"/>
      <c r="JO97" s="93"/>
      <c r="JP97" s="93"/>
      <c r="JQ97" s="93"/>
      <c r="JR97" s="93"/>
      <c r="JS97" s="93"/>
      <c r="JT97" s="93"/>
      <c r="JU97" s="93"/>
      <c r="JV97" s="93"/>
      <c r="JW97" s="93"/>
      <c r="JX97" s="93"/>
      <c r="JY97" s="93"/>
      <c r="JZ97" s="93"/>
      <c r="KA97" s="93"/>
      <c r="KB97" s="93"/>
      <c r="KC97" s="93"/>
      <c r="KD97" s="101"/>
      <c r="KE97" s="100"/>
      <c r="KF97" s="114"/>
      <c r="KH97" s="12"/>
      <c r="KI97" s="12"/>
      <c r="KJ97" s="12"/>
      <c r="KK97" s="12"/>
      <c r="KL97" s="12"/>
      <c r="KM97" s="12"/>
      <c r="KN97" s="12"/>
      <c r="KO97" s="192"/>
      <c r="KP97" s="193"/>
      <c r="KQ97" s="193"/>
      <c r="KR97" s="193"/>
      <c r="KS97" s="100"/>
      <c r="KT97" s="114"/>
      <c r="KV97" s="100"/>
      <c r="KW97" s="100"/>
      <c r="KX97" s="100"/>
      <c r="KY97" s="100"/>
      <c r="KZ97" s="100"/>
      <c r="LA97" s="100"/>
      <c r="LB97" s="100"/>
      <c r="LC97" s="224"/>
      <c r="LD97" s="225"/>
      <c r="LE97" s="225"/>
      <c r="LF97" s="100"/>
      <c r="LG97" s="114"/>
      <c r="LI97" s="100"/>
      <c r="LJ97" s="100"/>
      <c r="LK97" s="100"/>
      <c r="LL97" s="100"/>
      <c r="LM97" s="100"/>
      <c r="LN97" s="100"/>
      <c r="LO97" s="100"/>
      <c r="LP97" s="224"/>
      <c r="LQ97" s="225"/>
      <c r="LR97" s="225"/>
      <c r="LS97" s="225"/>
      <c r="LT97" s="225"/>
      <c r="LU97" s="225"/>
      <c r="LV97" s="225"/>
      <c r="LW97" s="225"/>
      <c r="LX97" s="225"/>
      <c r="LY97" s="225"/>
      <c r="LZ97" s="225"/>
      <c r="MA97" s="225"/>
      <c r="MB97" s="225"/>
      <c r="MC97" s="225"/>
      <c r="MD97" s="225"/>
      <c r="ME97" s="30">
        <f t="shared" si="63"/>
        <v>0</v>
      </c>
      <c r="MF97" s="28">
        <f t="shared" si="64"/>
        <v>0</v>
      </c>
      <c r="MH97" s="644"/>
      <c r="MI97" s="644"/>
      <c r="MJ97" s="644"/>
      <c r="MK97" s="644"/>
      <c r="ML97" s="644"/>
      <c r="MM97" s="644"/>
      <c r="MN97" s="15"/>
      <c r="MO97" s="226"/>
      <c r="MP97" s="222"/>
      <c r="MQ97" s="222"/>
      <c r="MR97" s="222"/>
      <c r="MS97" s="222"/>
      <c r="MT97" s="222"/>
      <c r="MU97" s="222"/>
      <c r="MV97" s="222"/>
      <c r="MW97" s="222"/>
      <c r="MX97" s="222"/>
      <c r="MY97" s="222"/>
      <c r="MZ97" s="222"/>
      <c r="NA97" s="222"/>
      <c r="NB97" s="222"/>
      <c r="NC97" s="222"/>
      <c r="ND97" s="30">
        <f t="shared" si="58"/>
        <v>0</v>
      </c>
      <c r="NE97" s="28">
        <f t="shared" si="65"/>
        <v>0</v>
      </c>
      <c r="NG97" s="644"/>
      <c r="NH97" s="644"/>
      <c r="NI97" s="644"/>
      <c r="NJ97" s="644"/>
      <c r="NK97" s="644"/>
      <c r="NL97" s="644"/>
      <c r="NM97" s="15"/>
      <c r="NN97" s="222"/>
      <c r="NO97" s="222"/>
      <c r="NP97" s="222"/>
      <c r="NQ97" s="222"/>
      <c r="NR97" s="222"/>
      <c r="NS97" s="222"/>
      <c r="NT97" s="222"/>
      <c r="NU97" s="222"/>
      <c r="NV97" s="222"/>
      <c r="NW97" s="222"/>
      <c r="NX97" s="222"/>
      <c r="NY97" s="222"/>
      <c r="NZ97" s="222"/>
      <c r="OA97" s="222"/>
      <c r="OB97" s="222"/>
      <c r="OC97" s="30">
        <f t="shared" si="59"/>
        <v>0</v>
      </c>
      <c r="OD97" s="28">
        <f t="shared" si="60"/>
        <v>0</v>
      </c>
    </row>
    <row r="98" spans="1:394" ht="14.45" customHeight="1" x14ac:dyDescent="0.25">
      <c r="A98" s="47"/>
      <c r="B98" s="12"/>
      <c r="C98" s="12"/>
      <c r="D98" s="12"/>
      <c r="E98" s="12"/>
      <c r="F98" s="12"/>
      <c r="G98" s="12"/>
      <c r="H98" s="12"/>
      <c r="I98" s="12"/>
      <c r="J98" s="12"/>
      <c r="K98" s="99"/>
      <c r="L98" s="34"/>
      <c r="M98" s="34"/>
      <c r="N98" s="19"/>
      <c r="O98" s="12"/>
      <c r="P98" s="12"/>
      <c r="Q98" s="12"/>
      <c r="R98" s="12"/>
      <c r="S98" s="12"/>
      <c r="T98" s="12"/>
      <c r="U98" s="12"/>
      <c r="V98" s="12"/>
      <c r="W98" s="99"/>
      <c r="X98" s="34"/>
      <c r="Y98" s="34"/>
      <c r="Z98" s="19"/>
      <c r="AA98" s="34"/>
      <c r="AB98" s="34"/>
      <c r="AC98" s="34"/>
      <c r="AD98" s="34"/>
      <c r="AE98" s="34"/>
      <c r="AF98" s="34"/>
      <c r="AG98" s="6"/>
      <c r="AH98" s="12"/>
      <c r="AI98" s="12"/>
      <c r="AJ98" s="12"/>
      <c r="AK98" s="12"/>
      <c r="AL98" s="12"/>
      <c r="AM98" s="12"/>
      <c r="AN98" s="12"/>
      <c r="AO98" s="99"/>
      <c r="AP98" s="34"/>
      <c r="AQ98" s="19"/>
      <c r="AS98" s="12"/>
      <c r="AT98" s="12"/>
      <c r="AU98" s="12"/>
      <c r="AV98" s="12"/>
      <c r="AW98" s="12"/>
      <c r="AX98" s="12"/>
      <c r="AY98" s="12"/>
      <c r="AZ98" s="99"/>
      <c r="BA98" s="99"/>
      <c r="BB98" s="99"/>
      <c r="BC98" s="99"/>
      <c r="BD98" s="100"/>
      <c r="BE98" s="28"/>
      <c r="BF98" s="25"/>
      <c r="BG98" s="12"/>
      <c r="BH98" s="12"/>
      <c r="BI98" s="12"/>
      <c r="BJ98" s="12"/>
      <c r="BK98" s="12"/>
      <c r="BL98" s="12"/>
      <c r="BM98" s="12"/>
      <c r="BN98" s="99"/>
      <c r="BO98" s="99"/>
      <c r="BP98" s="100"/>
      <c r="BQ98" s="28"/>
      <c r="BR98" s="25"/>
      <c r="BS98" s="89"/>
      <c r="BT98" s="97"/>
      <c r="BU98" s="97"/>
      <c r="BV98" s="97"/>
      <c r="BW98" s="97"/>
      <c r="BX98" s="98"/>
      <c r="BY98" s="12"/>
      <c r="BZ98" s="99"/>
      <c r="CA98" s="99"/>
      <c r="CB98" s="99"/>
      <c r="CC98" s="99"/>
      <c r="CD98" s="99"/>
      <c r="CE98" s="99"/>
      <c r="CF98" s="99"/>
      <c r="CG98" s="99"/>
      <c r="CH98" s="99"/>
      <c r="CI98" s="100"/>
      <c r="CJ98" s="28"/>
      <c r="CL98" s="89"/>
      <c r="CM98" s="97"/>
      <c r="CN98" s="97"/>
      <c r="CO98" s="97"/>
      <c r="CP98" s="97"/>
      <c r="CQ98" s="98"/>
      <c r="CR98" s="12"/>
      <c r="CS98" s="99"/>
      <c r="CT98" s="99"/>
      <c r="CU98" s="99"/>
      <c r="CV98" s="99"/>
      <c r="CW98" s="99"/>
      <c r="CX98" s="99"/>
      <c r="CY98" s="99"/>
      <c r="CZ98" s="101"/>
      <c r="DA98" s="100"/>
      <c r="DB98" s="28"/>
      <c r="DC98" s="33"/>
      <c r="DD98" s="12"/>
      <c r="DE98" s="12"/>
      <c r="DF98" s="12"/>
      <c r="DG98" s="12"/>
      <c r="DH98" s="12"/>
      <c r="DI98" s="12"/>
      <c r="DJ98" s="12"/>
      <c r="DK98" s="101"/>
      <c r="DL98" s="101"/>
      <c r="DM98" s="101"/>
      <c r="DN98" s="101"/>
      <c r="DO98" s="101"/>
      <c r="DP98" s="101"/>
      <c r="DQ98" s="101"/>
      <c r="DR98" s="101"/>
      <c r="DS98" s="101"/>
      <c r="DT98" s="101"/>
      <c r="DU98" s="100"/>
      <c r="DV98" s="28"/>
      <c r="DX98" s="12"/>
      <c r="DY98" s="12"/>
      <c r="DZ98" s="12"/>
      <c r="EA98" s="12"/>
      <c r="EB98" s="12"/>
      <c r="EC98" s="12"/>
      <c r="ED98" s="12"/>
      <c r="EE98" s="101"/>
      <c r="EF98" s="101"/>
      <c r="EG98" s="101"/>
      <c r="EH98" s="101"/>
      <c r="EI98" s="101"/>
      <c r="EJ98" s="101"/>
      <c r="EK98" s="101"/>
      <c r="EL98" s="101"/>
      <c r="EM98" s="101"/>
      <c r="EN98" s="101"/>
      <c r="EO98" s="100"/>
      <c r="EP98" s="28"/>
      <c r="ER98" s="12"/>
      <c r="ES98" s="12"/>
      <c r="ET98" s="12"/>
      <c r="EU98" s="12"/>
      <c r="EV98" s="12"/>
      <c r="EW98" s="12"/>
      <c r="EX98" s="12"/>
      <c r="EY98" s="101"/>
      <c r="EZ98" s="101"/>
      <c r="FA98" s="101"/>
      <c r="FB98" s="101"/>
      <c r="FC98" s="101"/>
      <c r="FD98" s="101"/>
      <c r="FE98" s="101"/>
      <c r="FF98" s="101"/>
      <c r="FG98" s="101"/>
      <c r="FH98" s="101"/>
      <c r="FI98" s="101"/>
      <c r="FJ98" s="101"/>
      <c r="FK98" s="101"/>
      <c r="FL98" s="101"/>
      <c r="FM98" s="101"/>
      <c r="FN98" s="101"/>
      <c r="FO98" s="101"/>
      <c r="FP98" s="101"/>
      <c r="FQ98" s="101"/>
      <c r="FR98" s="101"/>
      <c r="FS98" s="101"/>
      <c r="FT98" s="100"/>
      <c r="FU98" s="114"/>
      <c r="FW98" s="12"/>
      <c r="FX98" s="12"/>
      <c r="FY98" s="12"/>
      <c r="FZ98" s="12"/>
      <c r="GA98" s="12"/>
      <c r="GB98" s="12"/>
      <c r="GC98" s="12"/>
      <c r="GD98" s="103"/>
      <c r="GE98" s="103"/>
      <c r="GF98" s="103"/>
      <c r="GG98" s="103"/>
      <c r="GH98" s="103"/>
      <c r="GI98" s="103"/>
      <c r="GJ98" s="103"/>
      <c r="GK98" s="103"/>
      <c r="GL98" s="103"/>
      <c r="GM98" s="103"/>
      <c r="GN98" s="103"/>
      <c r="GO98" s="103"/>
      <c r="GP98" s="103"/>
      <c r="GQ98" s="100"/>
      <c r="GR98" s="114"/>
      <c r="GT98" s="12"/>
      <c r="GU98" s="12"/>
      <c r="GV98" s="12"/>
      <c r="GW98" s="12"/>
      <c r="GX98" s="12"/>
      <c r="GY98" s="12"/>
      <c r="GZ98" s="12"/>
      <c r="HA98" s="32"/>
      <c r="HB98" s="32"/>
      <c r="HC98" s="32"/>
      <c r="HD98" s="32"/>
      <c r="HE98" s="32"/>
      <c r="HF98" s="32"/>
      <c r="HG98" s="32"/>
      <c r="HH98" s="32"/>
      <c r="HI98" s="32"/>
      <c r="HJ98" s="32"/>
      <c r="HK98" s="32"/>
      <c r="HL98" s="100"/>
      <c r="HM98" s="114"/>
      <c r="HO98" s="12"/>
      <c r="HP98" s="12"/>
      <c r="HQ98" s="12"/>
      <c r="HR98" s="12"/>
      <c r="HS98" s="12"/>
      <c r="HT98" s="12"/>
      <c r="HU98" s="12"/>
      <c r="HV98" s="32"/>
      <c r="HW98" s="100"/>
      <c r="HX98" s="114"/>
      <c r="HZ98" s="12"/>
      <c r="IA98" s="12"/>
      <c r="IB98" s="12"/>
      <c r="IC98" s="12"/>
      <c r="ID98" s="12"/>
      <c r="IE98" s="12"/>
      <c r="IF98" s="12"/>
      <c r="IG98" s="32"/>
      <c r="IH98" s="93"/>
      <c r="II98" s="93"/>
      <c r="IJ98" s="93"/>
      <c r="IK98" s="93"/>
      <c r="IL98" s="93"/>
      <c r="IM98" s="100"/>
      <c r="IN98" s="114"/>
      <c r="IP98" s="12"/>
      <c r="IQ98" s="12"/>
      <c r="IR98" s="12"/>
      <c r="IS98" s="12"/>
      <c r="IT98" s="12"/>
      <c r="IU98" s="12"/>
      <c r="IV98" s="12"/>
      <c r="IW98" s="32"/>
      <c r="IX98" s="93"/>
      <c r="IY98" s="100"/>
      <c r="IZ98" s="114"/>
      <c r="JB98" s="12"/>
      <c r="JC98" s="12"/>
      <c r="JD98" s="12"/>
      <c r="JE98" s="12"/>
      <c r="JF98" s="12"/>
      <c r="JG98" s="12"/>
      <c r="JH98" s="12"/>
      <c r="JI98" s="32"/>
      <c r="JJ98" s="93"/>
      <c r="JK98" s="93"/>
      <c r="JL98" s="93"/>
      <c r="JM98" s="93"/>
      <c r="JN98" s="93"/>
      <c r="JO98" s="93"/>
      <c r="JP98" s="93"/>
      <c r="JQ98" s="93"/>
      <c r="JR98" s="93"/>
      <c r="JS98" s="93"/>
      <c r="JT98" s="93"/>
      <c r="JU98" s="93"/>
      <c r="JV98" s="93"/>
      <c r="JW98" s="93"/>
      <c r="JX98" s="93"/>
      <c r="JY98" s="93"/>
      <c r="JZ98" s="93"/>
      <c r="KA98" s="93"/>
      <c r="KB98" s="93"/>
      <c r="KC98" s="93"/>
      <c r="KD98" s="101"/>
      <c r="KE98" s="100"/>
      <c r="KF98" s="114"/>
      <c r="KH98" s="12"/>
      <c r="KI98" s="12"/>
      <c r="KJ98" s="12"/>
      <c r="KK98" s="12"/>
      <c r="KL98" s="12"/>
      <c r="KM98" s="12"/>
      <c r="KN98" s="12"/>
      <c r="KO98" s="192"/>
      <c r="KP98" s="193"/>
      <c r="KQ98" s="193"/>
      <c r="KR98" s="193"/>
      <c r="KS98" s="100"/>
      <c r="KT98" s="114"/>
      <c r="KV98" s="100"/>
      <c r="KW98" s="100"/>
      <c r="KX98" s="100"/>
      <c r="KY98" s="100"/>
      <c r="KZ98" s="100"/>
      <c r="LA98" s="100"/>
      <c r="LB98" s="100"/>
      <c r="LC98" s="224"/>
      <c r="LD98" s="225"/>
      <c r="LE98" s="225"/>
      <c r="LF98" s="100"/>
      <c r="LG98" s="114"/>
      <c r="LI98" s="100"/>
      <c r="LJ98" s="100"/>
      <c r="LK98" s="100"/>
      <c r="LL98" s="100"/>
      <c r="LM98" s="100"/>
      <c r="LN98" s="100"/>
      <c r="LO98" s="100"/>
      <c r="LP98" s="224"/>
      <c r="LQ98" s="225"/>
      <c r="LR98" s="225"/>
      <c r="LS98" s="225"/>
      <c r="LT98" s="225"/>
      <c r="LU98" s="225"/>
      <c r="LV98" s="225"/>
      <c r="LW98" s="225"/>
      <c r="LX98" s="225"/>
      <c r="LY98" s="225"/>
      <c r="LZ98" s="225"/>
      <c r="MA98" s="225"/>
      <c r="MB98" s="225"/>
      <c r="MC98" s="225"/>
      <c r="MD98" s="225"/>
      <c r="ME98" s="30">
        <f t="shared" si="63"/>
        <v>0</v>
      </c>
      <c r="MF98" s="28">
        <f t="shared" si="64"/>
        <v>0</v>
      </c>
      <c r="MH98" s="677"/>
      <c r="MI98" s="677"/>
      <c r="MJ98" s="677"/>
      <c r="MK98" s="677"/>
      <c r="ML98" s="677"/>
      <c r="MM98" s="677"/>
      <c r="MN98" s="28"/>
      <c r="MO98" s="224"/>
      <c r="MP98" s="225"/>
      <c r="MQ98" s="225"/>
      <c r="MR98" s="225"/>
      <c r="MS98" s="225"/>
      <c r="MT98" s="225"/>
      <c r="MU98" s="225"/>
      <c r="MV98" s="225"/>
      <c r="MW98" s="225"/>
      <c r="MX98" s="225"/>
      <c r="MY98" s="225"/>
      <c r="MZ98" s="225"/>
      <c r="NA98" s="225"/>
      <c r="NB98" s="225"/>
      <c r="NC98" s="225"/>
      <c r="ND98" s="30">
        <f t="shared" si="58"/>
        <v>0</v>
      </c>
      <c r="NE98" s="28">
        <f t="shared" si="65"/>
        <v>0</v>
      </c>
      <c r="NG98" s="677"/>
      <c r="NH98" s="677"/>
      <c r="NI98" s="677"/>
      <c r="NJ98" s="677"/>
      <c r="NK98" s="677"/>
      <c r="NL98" s="677"/>
      <c r="NM98" s="28"/>
      <c r="NN98" s="225"/>
      <c r="NO98" s="225"/>
      <c r="NP98" s="225"/>
      <c r="NQ98" s="225"/>
      <c r="NR98" s="225"/>
      <c r="NS98" s="225"/>
      <c r="NT98" s="225"/>
      <c r="NU98" s="225"/>
      <c r="NV98" s="225"/>
      <c r="NW98" s="225"/>
      <c r="NX98" s="225"/>
      <c r="NY98" s="225"/>
      <c r="NZ98" s="225"/>
      <c r="OA98" s="225"/>
      <c r="OB98" s="225"/>
      <c r="OC98" s="30">
        <f t="shared" si="59"/>
        <v>0</v>
      </c>
      <c r="OD98" s="28">
        <f t="shared" si="60"/>
        <v>0</v>
      </c>
    </row>
    <row r="99" spans="1:394" ht="14.45" customHeight="1" x14ac:dyDescent="0.25">
      <c r="A99" s="47"/>
      <c r="B99" s="12"/>
      <c r="C99" s="12"/>
      <c r="D99" s="12"/>
      <c r="E99" s="12"/>
      <c r="F99" s="12"/>
      <c r="G99" s="12"/>
      <c r="H99" s="12"/>
      <c r="I99" s="12"/>
      <c r="J99" s="12"/>
      <c r="K99" s="99"/>
      <c r="L99" s="34"/>
      <c r="M99" s="34"/>
      <c r="N99" s="19"/>
      <c r="O99" s="12"/>
      <c r="P99" s="12"/>
      <c r="Q99" s="12"/>
      <c r="R99" s="12"/>
      <c r="S99" s="12"/>
      <c r="T99" s="12"/>
      <c r="U99" s="12"/>
      <c r="V99" s="12"/>
      <c r="W99" s="99"/>
      <c r="X99" s="34"/>
      <c r="Y99" s="34"/>
      <c r="Z99" s="19"/>
      <c r="AA99" s="34"/>
      <c r="AB99" s="34"/>
      <c r="AC99" s="34"/>
      <c r="AD99" s="34"/>
      <c r="AE99" s="34"/>
      <c r="AF99" s="34"/>
      <c r="AG99" s="6"/>
      <c r="AH99" s="12"/>
      <c r="AI99" s="12"/>
      <c r="AJ99" s="12"/>
      <c r="AK99" s="12"/>
      <c r="AL99" s="12"/>
      <c r="AM99" s="12"/>
      <c r="AN99" s="12"/>
      <c r="AO99" s="99"/>
      <c r="AP99" s="34"/>
      <c r="AQ99" s="19"/>
      <c r="AS99" s="12"/>
      <c r="AT99" s="12"/>
      <c r="AU99" s="12"/>
      <c r="AV99" s="12"/>
      <c r="AW99" s="12"/>
      <c r="AX99" s="12"/>
      <c r="AY99" s="12"/>
      <c r="AZ99" s="99"/>
      <c r="BA99" s="99"/>
      <c r="BB99" s="99"/>
      <c r="BC99" s="99"/>
      <c r="BD99" s="100"/>
      <c r="BE99" s="28"/>
      <c r="BF99" s="25"/>
      <c r="BG99" s="12"/>
      <c r="BH99" s="12"/>
      <c r="BI99" s="12"/>
      <c r="BJ99" s="12"/>
      <c r="BK99" s="12"/>
      <c r="BL99" s="12"/>
      <c r="BM99" s="12"/>
      <c r="BN99" s="99"/>
      <c r="BO99" s="99"/>
      <c r="BP99" s="100"/>
      <c r="BQ99" s="28"/>
      <c r="BR99" s="25"/>
      <c r="BS99" s="89"/>
      <c r="BT99" s="97"/>
      <c r="BU99" s="97"/>
      <c r="BV99" s="97"/>
      <c r="BW99" s="97"/>
      <c r="BX99" s="98"/>
      <c r="BY99" s="12"/>
      <c r="BZ99" s="99"/>
      <c r="CA99" s="99"/>
      <c r="CB99" s="99"/>
      <c r="CC99" s="99"/>
      <c r="CD99" s="99"/>
      <c r="CE99" s="99"/>
      <c r="CF99" s="99"/>
      <c r="CG99" s="99"/>
      <c r="CH99" s="99"/>
      <c r="CI99" s="100"/>
      <c r="CJ99" s="28"/>
      <c r="CL99" s="89"/>
      <c r="CM99" s="97"/>
      <c r="CN99" s="97"/>
      <c r="CO99" s="97"/>
      <c r="CP99" s="97"/>
      <c r="CQ99" s="98"/>
      <c r="CR99" s="12"/>
      <c r="CS99" s="99"/>
      <c r="CT99" s="99"/>
      <c r="CU99" s="99"/>
      <c r="CV99" s="99"/>
      <c r="CW99" s="99"/>
      <c r="CX99" s="99"/>
      <c r="CY99" s="99"/>
      <c r="CZ99" s="101"/>
      <c r="DA99" s="100"/>
      <c r="DB99" s="28"/>
      <c r="DC99" s="33"/>
      <c r="DD99" s="12"/>
      <c r="DE99" s="12"/>
      <c r="DF99" s="12"/>
      <c r="DG99" s="12"/>
      <c r="DH99" s="12"/>
      <c r="DI99" s="12"/>
      <c r="DJ99" s="12"/>
      <c r="DK99" s="101"/>
      <c r="DL99" s="101"/>
      <c r="DM99" s="101"/>
      <c r="DN99" s="101"/>
      <c r="DO99" s="101"/>
      <c r="DP99" s="101"/>
      <c r="DQ99" s="101"/>
      <c r="DR99" s="101"/>
      <c r="DS99" s="101"/>
      <c r="DT99" s="101"/>
      <c r="DU99" s="100"/>
      <c r="DV99" s="28"/>
      <c r="DX99" s="12"/>
      <c r="DY99" s="12"/>
      <c r="DZ99" s="12"/>
      <c r="EA99" s="12"/>
      <c r="EB99" s="12"/>
      <c r="EC99" s="12"/>
      <c r="ED99" s="12"/>
      <c r="EE99" s="101"/>
      <c r="EF99" s="101"/>
      <c r="EG99" s="101"/>
      <c r="EH99" s="101"/>
      <c r="EI99" s="101"/>
      <c r="EJ99" s="101"/>
      <c r="EK99" s="101"/>
      <c r="EL99" s="101"/>
      <c r="EM99" s="101"/>
      <c r="EN99" s="101"/>
      <c r="EO99" s="100"/>
      <c r="EP99" s="28"/>
      <c r="ER99" s="12"/>
      <c r="ES99" s="12"/>
      <c r="ET99" s="12"/>
      <c r="EU99" s="12"/>
      <c r="EV99" s="12"/>
      <c r="EW99" s="12"/>
      <c r="EX99" s="12"/>
      <c r="EY99" s="101"/>
      <c r="EZ99" s="101"/>
      <c r="FA99" s="101"/>
      <c r="FB99" s="101"/>
      <c r="FC99" s="101"/>
      <c r="FD99" s="101"/>
      <c r="FE99" s="101"/>
      <c r="FF99" s="101"/>
      <c r="FG99" s="101"/>
      <c r="FH99" s="101"/>
      <c r="FI99" s="101"/>
      <c r="FJ99" s="101"/>
      <c r="FK99" s="101"/>
      <c r="FL99" s="101"/>
      <c r="FM99" s="101"/>
      <c r="FN99" s="101"/>
      <c r="FO99" s="101"/>
      <c r="FP99" s="101"/>
      <c r="FQ99" s="101"/>
      <c r="FR99" s="101"/>
      <c r="FS99" s="101"/>
      <c r="FT99" s="100"/>
      <c r="FU99" s="114"/>
      <c r="FW99" s="12"/>
      <c r="FX99" s="12"/>
      <c r="FY99" s="12"/>
      <c r="FZ99" s="12"/>
      <c r="GA99" s="12"/>
      <c r="GB99" s="12"/>
      <c r="GC99" s="12"/>
      <c r="GD99" s="103"/>
      <c r="GE99" s="103"/>
      <c r="GF99" s="103"/>
      <c r="GG99" s="103"/>
      <c r="GH99" s="103"/>
      <c r="GI99" s="103"/>
      <c r="GJ99" s="103"/>
      <c r="GK99" s="103"/>
      <c r="GL99" s="103"/>
      <c r="GM99" s="103"/>
      <c r="GN99" s="103"/>
      <c r="GO99" s="103"/>
      <c r="GP99" s="103"/>
      <c r="GQ99" s="100"/>
      <c r="GR99" s="114"/>
      <c r="GT99" s="12"/>
      <c r="GU99" s="12"/>
      <c r="GV99" s="12"/>
      <c r="GW99" s="12"/>
      <c r="GX99" s="12"/>
      <c r="GY99" s="12"/>
      <c r="GZ99" s="12"/>
      <c r="HA99" s="32"/>
      <c r="HB99" s="32"/>
      <c r="HC99" s="32"/>
      <c r="HD99" s="32"/>
      <c r="HE99" s="32"/>
      <c r="HF99" s="32"/>
      <c r="HG99" s="32"/>
      <c r="HH99" s="32"/>
      <c r="HI99" s="32"/>
      <c r="HJ99" s="32"/>
      <c r="HK99" s="32"/>
      <c r="HL99" s="100"/>
      <c r="HM99" s="114"/>
      <c r="HO99" s="12"/>
      <c r="HP99" s="12"/>
      <c r="HQ99" s="12"/>
      <c r="HR99" s="12"/>
      <c r="HS99" s="12"/>
      <c r="HT99" s="12"/>
      <c r="HU99" s="12"/>
      <c r="HV99" s="32"/>
      <c r="HW99" s="100"/>
      <c r="HX99" s="114"/>
      <c r="HZ99" s="12"/>
      <c r="IA99" s="12"/>
      <c r="IB99" s="12"/>
      <c r="IC99" s="12"/>
      <c r="ID99" s="12"/>
      <c r="IE99" s="12"/>
      <c r="IF99" s="12"/>
      <c r="IG99" s="32"/>
      <c r="IH99" s="93"/>
      <c r="II99" s="93"/>
      <c r="IJ99" s="93"/>
      <c r="IK99" s="93"/>
      <c r="IL99" s="93"/>
      <c r="IM99" s="100"/>
      <c r="IN99" s="114"/>
      <c r="IP99" s="12"/>
      <c r="IQ99" s="12"/>
      <c r="IR99" s="12"/>
      <c r="IS99" s="12"/>
      <c r="IT99" s="12"/>
      <c r="IU99" s="12"/>
      <c r="IV99" s="12"/>
      <c r="IW99" s="32"/>
      <c r="IX99" s="93"/>
      <c r="IY99" s="100"/>
      <c r="IZ99" s="114"/>
      <c r="JB99" s="12"/>
      <c r="JC99" s="12"/>
      <c r="JD99" s="12"/>
      <c r="JE99" s="12"/>
      <c r="JF99" s="12"/>
      <c r="JG99" s="12"/>
      <c r="JH99" s="12"/>
      <c r="JI99" s="32"/>
      <c r="JJ99" s="93"/>
      <c r="JK99" s="93"/>
      <c r="JL99" s="93"/>
      <c r="JM99" s="93"/>
      <c r="JN99" s="93"/>
      <c r="JO99" s="93"/>
      <c r="JP99" s="93"/>
      <c r="JQ99" s="93"/>
      <c r="JR99" s="93"/>
      <c r="JS99" s="93"/>
      <c r="JT99" s="93"/>
      <c r="JU99" s="93"/>
      <c r="JV99" s="93"/>
      <c r="JW99" s="93"/>
      <c r="JX99" s="93"/>
      <c r="JY99" s="93"/>
      <c r="JZ99" s="93"/>
      <c r="KA99" s="93"/>
      <c r="KB99" s="93"/>
      <c r="KC99" s="93"/>
      <c r="KD99" s="101"/>
      <c r="KE99" s="100"/>
      <c r="KF99" s="114"/>
      <c r="KH99" s="12"/>
      <c r="KI99" s="12"/>
      <c r="KJ99" s="12"/>
      <c r="KK99" s="12"/>
      <c r="KL99" s="12"/>
      <c r="KM99" s="12"/>
      <c r="KN99" s="12"/>
      <c r="KO99" s="192"/>
      <c r="KP99" s="193"/>
      <c r="KQ99" s="193"/>
      <c r="KR99" s="193"/>
      <c r="KS99" s="100"/>
      <c r="KT99" s="114"/>
      <c r="KV99" s="100"/>
      <c r="KW99" s="100"/>
      <c r="KX99" s="100"/>
      <c r="KY99" s="100"/>
      <c r="KZ99" s="100"/>
      <c r="LA99" s="100"/>
      <c r="LB99" s="100"/>
      <c r="LC99" s="224"/>
      <c r="LD99" s="225"/>
      <c r="LE99" s="225"/>
      <c r="LF99" s="100"/>
      <c r="LG99" s="114"/>
      <c r="LI99" s="100"/>
      <c r="LJ99" s="100"/>
      <c r="LK99" s="100"/>
      <c r="LL99" s="100"/>
      <c r="LM99" s="100"/>
      <c r="LN99" s="100"/>
      <c r="LO99" s="100"/>
      <c r="LP99" s="224"/>
      <c r="LQ99" s="225"/>
      <c r="LR99" s="225"/>
      <c r="LS99" s="225"/>
      <c r="LT99" s="225"/>
      <c r="LU99" s="225"/>
      <c r="LV99" s="225"/>
      <c r="LW99" s="225"/>
      <c r="LX99" s="225"/>
      <c r="LY99" s="225"/>
      <c r="LZ99" s="225"/>
      <c r="MA99" s="225"/>
      <c r="MB99" s="225"/>
      <c r="MC99" s="225"/>
      <c r="MD99" s="225"/>
      <c r="ME99" s="30">
        <f t="shared" si="63"/>
        <v>0</v>
      </c>
      <c r="MF99" s="28">
        <f t="shared" si="64"/>
        <v>0</v>
      </c>
      <c r="MH99" s="644"/>
      <c r="MI99" s="644"/>
      <c r="MJ99" s="644"/>
      <c r="MK99" s="644"/>
      <c r="ML99" s="644"/>
      <c r="MM99" s="644"/>
      <c r="MN99" s="15"/>
      <c r="MO99" s="226"/>
      <c r="MP99" s="222"/>
      <c r="MQ99" s="222"/>
      <c r="MR99" s="222"/>
      <c r="MS99" s="222"/>
      <c r="MT99" s="222"/>
      <c r="MU99" s="222"/>
      <c r="MV99" s="222"/>
      <c r="MW99" s="222"/>
      <c r="MX99" s="222"/>
      <c r="MY99" s="222"/>
      <c r="MZ99" s="222"/>
      <c r="NA99" s="222"/>
      <c r="NB99" s="222"/>
      <c r="NC99" s="222"/>
      <c r="ND99" s="30">
        <f t="shared" si="58"/>
        <v>0</v>
      </c>
      <c r="NE99" s="28">
        <f t="shared" si="65"/>
        <v>0</v>
      </c>
      <c r="NG99" s="644"/>
      <c r="NH99" s="644"/>
      <c r="NI99" s="644"/>
      <c r="NJ99" s="644"/>
      <c r="NK99" s="644"/>
      <c r="NL99" s="644"/>
      <c r="NM99" s="15"/>
      <c r="NN99" s="222"/>
      <c r="NO99" s="222"/>
      <c r="NP99" s="222"/>
      <c r="NQ99" s="222"/>
      <c r="NR99" s="222"/>
      <c r="NS99" s="222"/>
      <c r="NT99" s="222"/>
      <c r="NU99" s="222"/>
      <c r="NV99" s="222"/>
      <c r="NW99" s="222"/>
      <c r="NX99" s="222"/>
      <c r="NY99" s="222"/>
      <c r="NZ99" s="222"/>
      <c r="OA99" s="222"/>
      <c r="OB99" s="222"/>
      <c r="OC99" s="30">
        <f t="shared" si="59"/>
        <v>0</v>
      </c>
      <c r="OD99" s="28">
        <f t="shared" si="60"/>
        <v>0</v>
      </c>
    </row>
    <row r="100" spans="1:394" ht="14.45" customHeight="1" thickBot="1" x14ac:dyDescent="0.3">
      <c r="A100" s="47"/>
      <c r="B100" s="12"/>
      <c r="C100" s="12"/>
      <c r="D100" s="12"/>
      <c r="E100" s="12"/>
      <c r="F100" s="12"/>
      <c r="G100" s="12"/>
      <c r="H100" s="12"/>
      <c r="I100" s="12"/>
      <c r="J100" s="12"/>
      <c r="K100" s="99"/>
      <c r="L100" s="34"/>
      <c r="M100" s="34"/>
      <c r="N100" s="19"/>
      <c r="O100" s="12"/>
      <c r="P100" s="12"/>
      <c r="Q100" s="12"/>
      <c r="R100" s="12"/>
      <c r="S100" s="12"/>
      <c r="T100" s="12"/>
      <c r="U100" s="12"/>
      <c r="V100" s="12"/>
      <c r="W100" s="99"/>
      <c r="X100" s="34"/>
      <c r="Y100" s="34"/>
      <c r="Z100" s="19"/>
      <c r="AA100" s="34"/>
      <c r="AB100" s="34"/>
      <c r="AC100" s="34"/>
      <c r="AD100" s="34"/>
      <c r="AE100" s="34"/>
      <c r="AF100" s="34"/>
      <c r="AG100" s="6"/>
      <c r="AH100" s="12"/>
      <c r="AI100" s="12"/>
      <c r="AJ100" s="12"/>
      <c r="AK100" s="12"/>
      <c r="AL100" s="12"/>
      <c r="AM100" s="12"/>
      <c r="AN100" s="12"/>
      <c r="AO100" s="99"/>
      <c r="AP100" s="34"/>
      <c r="AQ100" s="19"/>
      <c r="AS100" s="12"/>
      <c r="AT100" s="12"/>
      <c r="AU100" s="12"/>
      <c r="AV100" s="12"/>
      <c r="AW100" s="12"/>
      <c r="AX100" s="12"/>
      <c r="AY100" s="12"/>
      <c r="AZ100" s="99"/>
      <c r="BA100" s="99"/>
      <c r="BB100" s="99"/>
      <c r="BC100" s="99"/>
      <c r="BD100" s="100"/>
      <c r="BE100" s="28"/>
      <c r="BF100" s="25"/>
      <c r="BG100" s="12"/>
      <c r="BH100" s="12"/>
      <c r="BI100" s="12"/>
      <c r="BJ100" s="12"/>
      <c r="BK100" s="12"/>
      <c r="BL100" s="12"/>
      <c r="BM100" s="12"/>
      <c r="BN100" s="99"/>
      <c r="BO100" s="99"/>
      <c r="BP100" s="100"/>
      <c r="BQ100" s="28"/>
      <c r="BR100" s="25"/>
      <c r="BS100" s="89"/>
      <c r="BT100" s="97"/>
      <c r="BU100" s="97"/>
      <c r="BV100" s="97"/>
      <c r="BW100" s="97"/>
      <c r="BX100" s="98"/>
      <c r="BY100" s="12"/>
      <c r="BZ100" s="99"/>
      <c r="CA100" s="99"/>
      <c r="CB100" s="99"/>
      <c r="CC100" s="99"/>
      <c r="CD100" s="99"/>
      <c r="CE100" s="99"/>
      <c r="CF100" s="99"/>
      <c r="CG100" s="99"/>
      <c r="CH100" s="99"/>
      <c r="CI100" s="100"/>
      <c r="CJ100" s="28"/>
      <c r="CL100" s="89"/>
      <c r="CM100" s="97"/>
      <c r="CN100" s="97"/>
      <c r="CO100" s="97"/>
      <c r="CP100" s="97"/>
      <c r="CQ100" s="98"/>
      <c r="CR100" s="12"/>
      <c r="CS100" s="99"/>
      <c r="CT100" s="99"/>
      <c r="CU100" s="99"/>
      <c r="CV100" s="99"/>
      <c r="CW100" s="99"/>
      <c r="CX100" s="99"/>
      <c r="CY100" s="99"/>
      <c r="CZ100" s="101"/>
      <c r="DA100" s="100"/>
      <c r="DB100" s="28"/>
      <c r="DC100" s="33"/>
      <c r="DD100" s="12"/>
      <c r="DE100" s="12"/>
      <c r="DF100" s="12"/>
      <c r="DG100" s="12"/>
      <c r="DH100" s="12"/>
      <c r="DI100" s="12"/>
      <c r="DJ100" s="12"/>
      <c r="DK100" s="101"/>
      <c r="DL100" s="101"/>
      <c r="DM100" s="101"/>
      <c r="DN100" s="101"/>
      <c r="DO100" s="101"/>
      <c r="DP100" s="101"/>
      <c r="DQ100" s="101"/>
      <c r="DR100" s="101"/>
      <c r="DS100" s="101"/>
      <c r="DT100" s="101"/>
      <c r="DU100" s="100"/>
      <c r="DV100" s="28"/>
      <c r="DX100" s="12"/>
      <c r="DY100" s="12"/>
      <c r="DZ100" s="12"/>
      <c r="EA100" s="12"/>
      <c r="EB100" s="12"/>
      <c r="EC100" s="12"/>
      <c r="ED100" s="12"/>
      <c r="EE100" s="101"/>
      <c r="EF100" s="101"/>
      <c r="EG100" s="101"/>
      <c r="EH100" s="101"/>
      <c r="EI100" s="101"/>
      <c r="EJ100" s="101"/>
      <c r="EK100" s="101"/>
      <c r="EL100" s="101"/>
      <c r="EM100" s="101"/>
      <c r="EN100" s="101"/>
      <c r="EO100" s="100"/>
      <c r="EP100" s="28"/>
      <c r="ER100" s="12"/>
      <c r="ES100" s="12"/>
      <c r="ET100" s="12"/>
      <c r="EU100" s="12"/>
      <c r="EV100" s="12"/>
      <c r="EW100" s="12"/>
      <c r="EX100" s="12"/>
      <c r="EY100" s="101"/>
      <c r="EZ100" s="101"/>
      <c r="FA100" s="101"/>
      <c r="FB100" s="101"/>
      <c r="FC100" s="101"/>
      <c r="FD100" s="101"/>
      <c r="FE100" s="101"/>
      <c r="FF100" s="101"/>
      <c r="FG100" s="101"/>
      <c r="FH100" s="101"/>
      <c r="FI100" s="101"/>
      <c r="FJ100" s="101"/>
      <c r="FK100" s="101"/>
      <c r="FL100" s="101"/>
      <c r="FM100" s="101"/>
      <c r="FN100" s="101"/>
      <c r="FO100" s="101"/>
      <c r="FP100" s="101"/>
      <c r="FQ100" s="101"/>
      <c r="FR100" s="101"/>
      <c r="FS100" s="101"/>
      <c r="FT100" s="100"/>
      <c r="FU100" s="114"/>
      <c r="FW100" s="12"/>
      <c r="FX100" s="12"/>
      <c r="FY100" s="12"/>
      <c r="FZ100" s="12"/>
      <c r="GA100" s="12"/>
      <c r="GB100" s="12"/>
      <c r="GC100" s="12"/>
      <c r="GD100" s="103"/>
      <c r="GE100" s="103"/>
      <c r="GF100" s="103"/>
      <c r="GG100" s="103"/>
      <c r="GH100" s="103"/>
      <c r="GI100" s="103"/>
      <c r="GJ100" s="103"/>
      <c r="GK100" s="103"/>
      <c r="GL100" s="103"/>
      <c r="GM100" s="103"/>
      <c r="GN100" s="103"/>
      <c r="GO100" s="103"/>
      <c r="GP100" s="103"/>
      <c r="GQ100" s="100"/>
      <c r="GR100" s="114"/>
      <c r="GT100" s="12"/>
      <c r="GU100" s="12"/>
      <c r="GV100" s="12"/>
      <c r="GW100" s="12"/>
      <c r="GX100" s="12"/>
      <c r="GY100" s="12"/>
      <c r="GZ100" s="12"/>
      <c r="HA100" s="32"/>
      <c r="HB100" s="32"/>
      <c r="HC100" s="32"/>
      <c r="HD100" s="32"/>
      <c r="HE100" s="32"/>
      <c r="HF100" s="32"/>
      <c r="HG100" s="32"/>
      <c r="HH100" s="32"/>
      <c r="HI100" s="32"/>
      <c r="HJ100" s="32"/>
      <c r="HK100" s="32"/>
      <c r="HL100" s="100"/>
      <c r="HM100" s="114"/>
      <c r="HO100" s="12"/>
      <c r="HP100" s="12"/>
      <c r="HQ100" s="12"/>
      <c r="HR100" s="12"/>
      <c r="HS100" s="12"/>
      <c r="HT100" s="12"/>
      <c r="HU100" s="12"/>
      <c r="HV100" s="32"/>
      <c r="HW100" s="100"/>
      <c r="HX100" s="114"/>
      <c r="HZ100" s="12"/>
      <c r="IA100" s="12"/>
      <c r="IB100" s="12"/>
      <c r="IC100" s="12"/>
      <c r="ID100" s="12"/>
      <c r="IE100" s="12"/>
      <c r="IF100" s="12"/>
      <c r="IG100" s="32"/>
      <c r="IH100" s="93"/>
      <c r="II100" s="93"/>
      <c r="IJ100" s="93"/>
      <c r="IK100" s="93"/>
      <c r="IL100" s="93"/>
      <c r="IM100" s="100"/>
      <c r="IN100" s="114"/>
      <c r="IP100" s="12"/>
      <c r="IQ100" s="12"/>
      <c r="IR100" s="12"/>
      <c r="IS100" s="12"/>
      <c r="IT100" s="12"/>
      <c r="IU100" s="12"/>
      <c r="IV100" s="12"/>
      <c r="IW100" s="32"/>
      <c r="IX100" s="93"/>
      <c r="IY100" s="100"/>
      <c r="IZ100" s="114"/>
      <c r="JB100" s="12"/>
      <c r="JC100" s="12"/>
      <c r="JD100" s="12"/>
      <c r="JE100" s="12"/>
      <c r="JF100" s="12"/>
      <c r="JG100" s="12"/>
      <c r="JH100" s="12"/>
      <c r="JI100" s="32"/>
      <c r="JJ100" s="93"/>
      <c r="JK100" s="93"/>
      <c r="JL100" s="93"/>
      <c r="JM100" s="93"/>
      <c r="JN100" s="93"/>
      <c r="JO100" s="93"/>
      <c r="JP100" s="93"/>
      <c r="JQ100" s="93"/>
      <c r="JR100" s="93"/>
      <c r="JS100" s="93"/>
      <c r="JT100" s="93"/>
      <c r="JU100" s="93"/>
      <c r="JV100" s="93"/>
      <c r="JW100" s="93"/>
      <c r="JX100" s="93"/>
      <c r="JY100" s="93"/>
      <c r="JZ100" s="93"/>
      <c r="KA100" s="93"/>
      <c r="KB100" s="93"/>
      <c r="KC100" s="93"/>
      <c r="KD100" s="101"/>
      <c r="KE100" s="100"/>
      <c r="KF100" s="114"/>
      <c r="KH100" s="12"/>
      <c r="KI100" s="12"/>
      <c r="KJ100" s="12"/>
      <c r="KK100" s="12"/>
      <c r="KL100" s="12"/>
      <c r="KM100" s="12"/>
      <c r="KN100" s="12"/>
      <c r="KO100" s="192"/>
      <c r="KP100" s="193"/>
      <c r="KQ100" s="193"/>
      <c r="KR100" s="193"/>
      <c r="KS100" s="100"/>
      <c r="KT100" s="114"/>
      <c r="KV100" s="100"/>
      <c r="KW100" s="100"/>
      <c r="KX100" s="100"/>
      <c r="KY100" s="100"/>
      <c r="KZ100" s="100"/>
      <c r="LA100" s="100"/>
      <c r="LB100" s="100"/>
      <c r="LC100" s="224"/>
      <c r="LD100" s="225"/>
      <c r="LE100" s="225"/>
      <c r="LF100" s="100"/>
      <c r="LG100" s="114"/>
      <c r="LI100" s="100"/>
      <c r="LJ100" s="100"/>
      <c r="LK100" s="100"/>
      <c r="LL100" s="100"/>
      <c r="LM100" s="100"/>
      <c r="LN100" s="100"/>
      <c r="LO100" s="100"/>
      <c r="LP100" s="224"/>
      <c r="LQ100" s="225"/>
      <c r="LR100" s="225"/>
      <c r="LS100" s="225"/>
      <c r="LT100" s="225"/>
      <c r="LU100" s="225"/>
      <c r="LV100" s="225"/>
      <c r="LW100" s="225"/>
      <c r="LX100" s="225"/>
      <c r="LY100" s="225"/>
      <c r="LZ100" s="225"/>
      <c r="MA100" s="225"/>
      <c r="MB100" s="225"/>
      <c r="MC100" s="225"/>
      <c r="MD100" s="225"/>
      <c r="ME100" s="30">
        <f t="shared" si="63"/>
        <v>0</v>
      </c>
      <c r="MF100" s="28">
        <f t="shared" si="64"/>
        <v>0</v>
      </c>
      <c r="MH100" s="677"/>
      <c r="MI100" s="677"/>
      <c r="MJ100" s="677"/>
      <c r="MK100" s="677"/>
      <c r="ML100" s="677"/>
      <c r="MM100" s="677"/>
      <c r="MN100" s="28"/>
      <c r="MO100" s="224"/>
      <c r="MP100" s="225"/>
      <c r="MQ100" s="225"/>
      <c r="MR100" s="225"/>
      <c r="MS100" s="225"/>
      <c r="MT100" s="225"/>
      <c r="MU100" s="225"/>
      <c r="MV100" s="225"/>
      <c r="MW100" s="225"/>
      <c r="MX100" s="225"/>
      <c r="MY100" s="225"/>
      <c r="MZ100" s="225"/>
      <c r="NA100" s="225"/>
      <c r="NB100" s="225"/>
      <c r="NC100" s="225"/>
      <c r="ND100" s="30">
        <f>SUM(MO100:NC100)</f>
        <v>0</v>
      </c>
      <c r="NE100" s="28">
        <f>ND100*MN100</f>
        <v>0</v>
      </c>
      <c r="NG100" s="677"/>
      <c r="NH100" s="677"/>
      <c r="NI100" s="677"/>
      <c r="NJ100" s="677"/>
      <c r="NK100" s="677"/>
      <c r="NL100" s="677"/>
      <c r="NM100" s="28"/>
      <c r="NN100" s="225"/>
      <c r="NO100" s="225"/>
      <c r="NP100" s="225"/>
      <c r="NQ100" s="225"/>
      <c r="NR100" s="225"/>
      <c r="NS100" s="225"/>
      <c r="NT100" s="225"/>
      <c r="NU100" s="225"/>
      <c r="NV100" s="225"/>
      <c r="NW100" s="225"/>
      <c r="NX100" s="225"/>
      <c r="NY100" s="225"/>
      <c r="NZ100" s="225"/>
      <c r="OA100" s="225"/>
      <c r="OB100" s="225"/>
      <c r="OC100" s="30">
        <f>SUM(NN100:OB100)</f>
        <v>0</v>
      </c>
      <c r="OD100" s="28">
        <f t="shared" si="60"/>
        <v>0</v>
      </c>
    </row>
    <row r="101" spans="1:394" ht="14.45" customHeight="1" thickBot="1" x14ac:dyDescent="0.3">
      <c r="A101" s="47"/>
      <c r="B101" s="12"/>
      <c r="C101" s="14"/>
      <c r="D101" s="14"/>
      <c r="E101" s="14"/>
      <c r="F101" s="14"/>
      <c r="G101" s="14"/>
      <c r="H101" s="14"/>
      <c r="I101" s="14"/>
      <c r="J101" s="14"/>
      <c r="K101" s="25"/>
      <c r="L101" s="14"/>
      <c r="M101" s="14"/>
      <c r="N101" s="27">
        <f>SUM(N8:N71)</f>
        <v>3621</v>
      </c>
      <c r="O101" s="14"/>
      <c r="P101" s="14"/>
      <c r="Q101" s="14"/>
      <c r="R101" s="14"/>
      <c r="S101" s="14"/>
      <c r="T101" s="14"/>
      <c r="U101" s="14"/>
      <c r="V101" s="14"/>
      <c r="W101" s="25"/>
      <c r="X101" s="14"/>
      <c r="Y101" s="14"/>
      <c r="Z101" s="27">
        <f>SUM(Z8:Z71)</f>
        <v>2420</v>
      </c>
      <c r="AA101" s="150"/>
      <c r="AB101" s="150"/>
      <c r="AC101" s="150"/>
      <c r="AD101" s="150"/>
      <c r="AE101" s="150"/>
      <c r="AF101" s="150"/>
      <c r="AG101" s="3"/>
      <c r="AH101" s="14"/>
      <c r="AI101" s="14"/>
      <c r="AJ101" s="14"/>
      <c r="AK101" s="14"/>
      <c r="AL101" s="14"/>
      <c r="AM101" s="14"/>
      <c r="AN101" s="14"/>
      <c r="AO101" s="25"/>
      <c r="AP101" s="14"/>
      <c r="AQ101" s="21">
        <f>SUM(AQ8:AQ71)</f>
        <v>524</v>
      </c>
      <c r="AS101" s="12"/>
      <c r="AT101" s="12"/>
      <c r="AU101" s="12"/>
      <c r="AV101" s="12"/>
      <c r="AW101" s="12"/>
      <c r="AX101" s="12"/>
      <c r="AY101" s="12"/>
      <c r="AZ101" s="25"/>
      <c r="BA101" s="25"/>
      <c r="BB101" s="25"/>
      <c r="BC101" s="25"/>
      <c r="BD101" s="14"/>
      <c r="BE101" s="21">
        <f>SUM(BE8:BE71)</f>
        <v>412</v>
      </c>
      <c r="BF101" s="25"/>
      <c r="BG101" s="14"/>
      <c r="BH101" s="14"/>
      <c r="BI101" s="14"/>
      <c r="BJ101" s="14"/>
      <c r="BK101" s="14"/>
      <c r="BL101" s="14"/>
      <c r="BM101" s="14"/>
      <c r="BN101" s="25"/>
      <c r="BO101" s="25"/>
      <c r="BP101" s="14"/>
      <c r="BQ101" s="21">
        <f>SUM(BQ8:BQ71)</f>
        <v>939</v>
      </c>
      <c r="BR101" s="25"/>
      <c r="BS101" s="740" t="s">
        <v>64</v>
      </c>
      <c r="BT101" s="740"/>
      <c r="BU101" s="740"/>
      <c r="BV101" s="740"/>
      <c r="BW101" s="740"/>
      <c r="BX101" s="740"/>
      <c r="BY101" s="14"/>
      <c r="BZ101" s="25"/>
      <c r="CA101" s="25"/>
      <c r="CB101" s="25"/>
      <c r="CC101" s="25"/>
      <c r="CD101" s="25"/>
      <c r="CE101" s="25"/>
      <c r="CF101" s="25"/>
      <c r="CG101" s="25"/>
      <c r="CH101" s="25"/>
      <c r="CI101" s="14"/>
      <c r="CJ101" s="21">
        <f>SUM(CJ8:CJ71)</f>
        <v>2095.5</v>
      </c>
      <c r="CK101" s="8"/>
      <c r="CL101" s="740" t="s">
        <v>66</v>
      </c>
      <c r="CM101" s="740"/>
      <c r="CN101" s="740"/>
      <c r="CO101" s="740"/>
      <c r="CP101" s="740"/>
      <c r="CQ101" s="740"/>
      <c r="CR101" s="14"/>
      <c r="CS101" s="25"/>
      <c r="CT101" s="25"/>
      <c r="CU101" s="25"/>
      <c r="CV101" s="25"/>
      <c r="CW101" s="25"/>
      <c r="CX101" s="25"/>
      <c r="CY101" s="25"/>
      <c r="CZ101" s="33"/>
      <c r="DA101" s="14"/>
      <c r="DB101" s="21">
        <f>SUM(DB8:DB71)</f>
        <v>6875</v>
      </c>
      <c r="DC101" s="33"/>
      <c r="DD101" s="14"/>
      <c r="DE101" s="14"/>
      <c r="DF101" s="14"/>
      <c r="DG101" s="14"/>
      <c r="DH101" s="14"/>
      <c r="DI101" s="14"/>
      <c r="DJ101" s="14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14"/>
      <c r="DV101" s="21">
        <f>SUM(DV8:DV71)</f>
        <v>5194</v>
      </c>
      <c r="DW101" s="8"/>
      <c r="DX101" s="8"/>
      <c r="EO101" s="14"/>
      <c r="EP101" s="21">
        <f>SUM(EP8:EP71)</f>
        <v>4346</v>
      </c>
      <c r="ER101" s="8"/>
      <c r="FT101" s="14"/>
      <c r="FU101" s="80">
        <f>SUM(FU8:FU71)</f>
        <v>8611.5</v>
      </c>
      <c r="FW101" s="8"/>
      <c r="GQ101" s="14"/>
      <c r="GR101" s="80">
        <f>SUM(GR8:GR72)</f>
        <v>5682</v>
      </c>
      <c r="GT101" s="8"/>
      <c r="HA101" s="4">
        <f>$GZ$8*HA8+$GZ$9*HA9+$GZ$10*HA10+$GZ$11*HA11+$GZ$12*HA12+$GZ$13*HA13+$GZ$14*HA14+$GZ$15*HA15+$GZ$16*HA16+$GZ$17*HA17+$GZ$18*HA18+$GZ$19*HA19+$GZ$20*HA20+$GZ$21*HA21+$GZ$22*HA22+$GZ$23*HA23+$GZ$24*HA24+$GZ$25*HA25+$GZ$26*HA26+$GZ$27*HA27+$GZ$28*HA28+$GZ$29*HA29+$GZ$30*HA30+$GZ$31*HA31+$GZ$32*HA32+$GZ$33*HA33+$GZ$34*HA34+$GZ$35*HA35+$GZ$36*HA36+$GZ$37*HA37+$GZ$38*HA38+$GZ$39*HA39+$GZ$40*HA40+$GZ$41*HA41+$GZ$42*HA42+$GZ$43*HA43+$GZ$44*HA44+$GZ$45*HA45+$GZ$46*HA46+$GZ$47*HA47+$GZ$48*HA48+$GZ$49*HA49+$GZ$50*HA50+$GZ$51*HA51+$GZ$52*HA52+$GZ$53*HA53+$GZ$54*HA54+$GZ$55*HA55+$GZ$56*HA56+$GZ$57*HA57+$GZ$58*HA58+$GZ$59*HA59+$GZ$60*HA60+$GZ$61*HA61+$GZ$62*HA62+$GZ$63*HA63+$GZ$64*HA64+$GZ$65*HA65+$GZ$66*HA66+$GZ$67*HA67+$GZ$68*HA68+$GZ$69*HA69+$GZ$70*HA70+$GZ$71*HA71+$GZ$72*HA72+$GZ$73*HA73</f>
        <v>0</v>
      </c>
      <c r="HB101" s="4">
        <f t="shared" ref="HB101:HK101" si="66">$GZ$8*HB8+$GZ$9*HB9+$GZ$10*HB10+$GZ$11*HB11+$GZ$12*HB12+$GZ$13*HB13+$GZ$14*HB14+$GZ$15*HB15+$GZ$16*HB16+$GZ$17*HB17+$GZ$18*HB18+$GZ$19*HB19+$GZ$20*HB20+$GZ$21*HB21+$GZ$22*HB22+$GZ$23*HB23+$GZ$24*HB24+$GZ$25*HB25+$GZ$26*HB26+$GZ$27*HB27+$GZ$28*HB28+$GZ$29*HB29+$GZ$30*HB30+$GZ$31*HB31+$GZ$32*HB32+$GZ$33*HB33+$GZ$34*HB34+$GZ$35*HB35+$GZ$36*HB36+$GZ$37*HB37+$GZ$38*HB38+$GZ$39*HB39+$GZ$40*HB40+$GZ$41*HB41+$GZ$42*HB42+$GZ$43*HB43+$GZ$44*HB44+$GZ$45*HB45+$GZ$46*HB46+$GZ$47*HB47+$GZ$48*HB48+$GZ$49*HB49+$GZ$50*HB50+$GZ$51*HB51+$GZ$52*HB52+$GZ$53*HB53+$GZ$54*HB54+$GZ$55*HB55+$GZ$56*HB56+$GZ$57*HB57+$GZ$58*HB58+$GZ$59*HB59+$GZ$60*HB60+$GZ$61*HB61+$GZ$62*HB62+$GZ$63*HB63+$GZ$64*HB64+$GZ$65*HB65+$GZ$66*HB66+$GZ$67*HB67+$GZ$68*HB68+$GZ$69*HB69+$GZ$70*HB70+$GZ$71*HB71+$GZ$72*HB72+$GZ$73*HB73</f>
        <v>514</v>
      </c>
      <c r="HC101" s="4">
        <f t="shared" si="66"/>
        <v>1020</v>
      </c>
      <c r="HD101" s="4">
        <f t="shared" si="66"/>
        <v>441</v>
      </c>
      <c r="HE101" s="4">
        <f t="shared" si="66"/>
        <v>1626</v>
      </c>
      <c r="HF101" s="4">
        <f t="shared" si="66"/>
        <v>582</v>
      </c>
      <c r="HG101" s="4">
        <f t="shared" si="66"/>
        <v>552</v>
      </c>
      <c r="HH101" s="4">
        <f t="shared" si="66"/>
        <v>0</v>
      </c>
      <c r="HI101" s="4">
        <f t="shared" si="66"/>
        <v>712</v>
      </c>
      <c r="HJ101" s="4">
        <f t="shared" si="66"/>
        <v>212</v>
      </c>
      <c r="HK101" s="4">
        <f t="shared" si="66"/>
        <v>1068</v>
      </c>
      <c r="HL101" s="14"/>
      <c r="HM101" s="80">
        <f>SUM(HM8:HM73)</f>
        <v>6727</v>
      </c>
      <c r="HO101" s="8"/>
      <c r="HV101" s="4">
        <f>$HU$8*HV8+$HU$9*HV9+$HU$10*HV10+$HU$11*HV11+$HU$12*HV12+$HU$13*HV13+$HU$14*HV14+$HU$15*HV15+$HU$16*HV16+$HU$17*HV17+$HU$18*HV18+$HU$19*HV19+$HU$20*HV20+$HU$21*HV21+$HU$22*HV22+$HU$23*HV23+$HU$24*HV24+$HU$25*HV25+$HU$26*HV26+$HU$27*HV27+$HU$28*HV28+$HU$29*HV29+$HU$30*HV30+$HU$31*HV31+$HU$32*HV32+$HU$33*HV33+$HU$34*HV34+$HU$35*HV35+$HU$36*HV36+$HU$37*HV37+$HU$38*HV38+$HU$39*HV39+$HU$40*HV40+$HU$41*HV41+$HU$42*HV42+$HU$43*HV43+$HU$44*HV44+$HU$45*HV45+$HU$46*HV46+$HU$47*HV47+$HU$48*HV48+$HU$49*HV49+$HU$50*HV50+$HU$51*HV51+$HU$52*HV52+$HU$53*HV53+$HU$54*HV54+$HU$55*HV55+$HU$56*HV56+$HU$57*HV57+$HU$58*HV58+$HU$59*HV59+$HU$60*HV60+$HU$61*HV61+$HU$62*HV62+$HU$63*HV63+$HU$64*HV64+$HU$65*HV65+$HU$66*HV66+$HU$67*HV67+$HU$68*HV68+$HU$69*HV69+$HU$70*HV70+$HU$71*HV71+$HU$72*HV72+$HU$73*HV73</f>
        <v>195</v>
      </c>
      <c r="HW101" s="14"/>
      <c r="HX101" s="80">
        <f>SUM(HX8:HX73)</f>
        <v>195</v>
      </c>
      <c r="HZ101" s="8"/>
      <c r="IG101" s="4">
        <f t="shared" ref="IG101:IL101" si="67">$IF$8*IG8+$IF$9*IG9+$IF$10*IG10+$IF$11*IG11+$IF$12*IG12+$IF$13*IG13+$IF$14*IG14+$IF$15*IG15+$IF$16*IG16+$IF$17*IG17+$IF$18*IG18+$IF$19*IG19+$IF$20*IG20+$IF$21*IG21+$IF$22*IG22+$IF$23*IG23+$IF$24*IG24+$IF$25*IG25+$IF$26*IG26+$IF$27*IG27+$IF$28*IG28+$IF$29*IG29+$IF$30*IG30+$IF$31*IG31+$IF$32*IG32+$IF$33*IG33+$IF$34*IG34+$IF$35*IG35+$IF$36*IG36+$IF$37*IG37+$IF$38*IG38+$IF$39*IG39+$IF$40*IG40+$IF$41*IG41+$IF$42*IG42+$IF$43*IG43+$IF$44*IG44+$IF$45*IG45+$IF$46*IG46+$IF$47*IG47+$IF$48*IG48+$IF$49*IG49+$IF$50*IG50+$IF$51*IG51+$IF$52*IG52+$IF$53*IG53+$IF$54*IG54+$IF$55*IG55+$IF$56*IG56+$IF$57*IG57+$IF$58*IG58+$IF$59*IG59+$IF$60*IG60+$IF$61*IG61+$IF$62*IG62+$IF$63*IG63+$IF$64*IG64+$IF$65*IG65+$IF$66*IG66+$IF$67*IG67+$IF$68*IG68+$IF$69*IG69+$IF$70*IG70+$IF$71*IG71+$IF$72*IG72+$IF$73*IG73</f>
        <v>235</v>
      </c>
      <c r="IH101" s="4">
        <f t="shared" si="67"/>
        <v>98</v>
      </c>
      <c r="II101" s="4">
        <f t="shared" si="67"/>
        <v>0</v>
      </c>
      <c r="IJ101" s="4">
        <f t="shared" si="67"/>
        <v>2174.5</v>
      </c>
      <c r="IK101" s="4">
        <f t="shared" si="67"/>
        <v>183</v>
      </c>
      <c r="IL101" s="4">
        <f t="shared" si="67"/>
        <v>1025</v>
      </c>
      <c r="IM101" s="14"/>
      <c r="IN101" s="80">
        <f>SUM(IN8:IN73)</f>
        <v>3715.5</v>
      </c>
      <c r="IP101" s="8"/>
      <c r="IW101" s="4">
        <f>$IF$8*IW8+$IF$9*IW9+$IF$10*IW10+$IF$11*IW11+$IF$12*IW12+$IF$13*IW13+$IF$14*IW14+$IF$15*IW15+$IF$16*IW16+$IF$17*IW17+$IF$18*IW18+$IF$19*IW19+$IF$20*IW20+$IF$21*IW21+$IF$22*IW22+$IF$23*IW23+$IF$24*IW24+$IF$25*IW25+$IF$26*IW26+$IF$27*IW27+$IF$28*IW28+$IF$29*IW29+$IF$30*IW30+$IF$31*IW31+$IF$32*IW32+$IF$33*IW33+$IF$34*IW34+$IF$35*IW35+$IF$36*IW36+$IF$37*IW37+$IF$38*IW38+$IF$39*IW39+$IF$40*IW40+$IF$41*IW41+$IF$42*IW42+$IF$43*IW43+$IF$44*IW44+$IF$45*IW45+$IF$46*IW46+$IF$47*IW47+$IF$48*IW48+$IF$49*IW49+$IF$50*IW50+$IF$51*IW51+$IF$52*IW52+$IF$53*IW53+$IF$54*IW54+$IF$55*IW55+$IF$56*IW56+$IF$57*IW57+$IF$58*IW58+$IF$59*IW59+$IF$60*IW60+$IF$61*IW61+$IF$62*IW62+$IF$63*IW63+$IF$64*IW64+$IF$65*IW65+$IF$66*IW66+$IF$67*IW67+$IF$68*IW68+$IF$69*IW69+$IF$70*IW70+$IF$71*IW71+$IF$72*IW72+$IF$73*IW73</f>
        <v>711</v>
      </c>
      <c r="IX101" s="4">
        <f>$IF$8*IX8+$IF$9*IX9+$IF$10*IX10+$IF$11*IX11+$IF$12*IX12+$IF$13*IX13+$IF$14*IX14+$IF$15*IX15+$IF$16*IX16+$IF$17*IX17+$IF$18*IX18+$IF$19*IX19+$IF$20*IX20+$IF$21*IX21+$IF$22*IX22+$IF$23*IX23+$IF$24*IX24+$IF$25*IX25+$IF$26*IX26+$IF$27*IX27+$IF$28*IX28+$IF$29*IX29+$IF$30*IX30+$IF$31*IX31+$IF$32*IX32+$IF$33*IX33+$IF$34*IX34+$IF$35*IX35+$IF$36*IX36+$IF$37*IX37+$IF$38*IX38+$IF$39*IX39+$IF$40*IX40+$IF$41*IX41+$IF$42*IX42+$IF$43*IX43+$IF$44*IX44+$IF$45*IX45+$IF$46*IX46+$IF$47*IX47+$IF$48*IX48+$IF$49*IX49+$IF$50*IX50+$IF$51*IX51+$IF$52*IX52+$IF$53*IX53+$IF$54*IX54+$IF$55*IX55+$IF$56*IX56+$IF$57*IX57+$IF$58*IX58+$IF$59*IX59+$IF$60*IX60+$IF$61*IX61+$IF$62*IX62+$IF$63*IX63+$IF$64*IX64+$IF$65*IX65+$IF$66*IX66+$IF$67*IX67+$IF$68*IX68+$IF$69*IX69+$IF$70*IX70+$IF$71*IX71+$IF$72*IX72+$IF$73*IX73</f>
        <v>820.5</v>
      </c>
      <c r="IY101" s="14"/>
      <c r="IZ101" s="80">
        <f>SUM(IZ8:IZ73)</f>
        <v>1531.5</v>
      </c>
      <c r="JB101" s="8"/>
      <c r="JI101" s="4">
        <f>$JH$8*JI8+$JH$9*JI9+$JH$10*JI10+$JH$11*JI11+$JH$12*JI12+$JH$13*JI13+$JH$14*JI14+$JH$15*JI15+$JH$16*JI16+$JH$17*JI17+$JH$18*JI18+$JH$19*JI19+$JH$20*JI20+$JH$21*JI21+$JH$22*JI22+$JH$23*JI23+$JH$24*JI24+$JH$25*JI25+$JH$26*JI26+$JH$27*JI27+$JH$28*JI28+$JH$29*JI29+$JH$30*JI30+$JH$31*JI31+$JH$32*JI32+$JH$33*JI33+$JH$34*JI34+$JH$35*JI35+$JH$36*JI36+$JH$37*JI37+$JH$38*JI38+$JH$39*JI39+$JH$40*JI40+$JH$41*JI41+$JH$42*JI42+$JH$43*JI43+$JH$44*JI44+$JH$45*JI45+$JH$46*JI46+$JH$47*JI47+$JH$48*JI48+$JH$49*JI49+$JH$50*JI50+$JH$51*JI51+$JH$52*JI52+$JH$53*JI53+$JH$54*JI54+$JH$55*JI55+$JH$56*JI56+$JH$57*JI57+$JH$58*JI58+$JH$59*JI59+$JH$60*JI60+$JH$61*JI61+$JH$62*JI62+$JH$63*JI63+$JH$64*JI64+$JH$65*JI65+$JH$66*JI66+$JH$67*JI67+$JH$68*JI68+$JH$69*JI69+$JH$70*JI70+$JH$71*JI71+$JH$72*JI72+$JH$73*JI73</f>
        <v>753</v>
      </c>
      <c r="JJ101" s="4">
        <f t="shared" ref="JJ101:JZ101" si="68">$JH$8*JJ8+$JH$9*JJ9+$JH$10*JJ10+$JH$11*JJ11+$JH$12*JJ12+$JH$13*JJ13+$JH$14*JJ14+$JH$15*JJ15+$JH$16*JJ16+$JH$17*JJ17+$JH$18*JJ18+$JH$19*JJ19+$JH$20*JJ20+$JH$21*JJ21+$JH$22*JJ22+$JH$23*JJ23+$JH$24*JJ24+$JH$25*JJ25+$JH$26*JJ26+$JH$27*JJ27+$JH$28*JJ28+$JH$29*JJ29+$JH$30*JJ30+$JH$31*JJ31+$JH$32*JJ32+$JH$33*JJ33+$JH$34*JJ34+$JH$35*JJ35+$JH$36*JJ36+$JH$37*JJ37+$JH$38*JJ38+$JH$39*JJ39+$JH$40*JJ40+$JH$41*JJ41+$JH$42*JJ42+$JH$43*JJ43+$JH$44*JJ44+$JH$45*JJ45+$JH$46*JJ46+$JH$47*JJ47+$JH$48*JJ48+$JH$49*JJ49+$JH$50*JJ50+$JH$51*JJ51+$JH$52*JJ52+$JH$53*JJ53+$JH$54*JJ54+$JH$55*JJ55+$JH$56*JJ56+$JH$57*JJ57+$JH$58*JJ58+$JH$59*JJ59+$JH$60*JJ60+$JH$61*JJ61+$JH$62*JJ62+$JH$63*JJ63+$JH$64*JJ64+$JH$65*JJ65+$JH$66*JJ66+$JH$67*JJ67+$JH$68*JJ68+$JH$69*JJ69+$JH$70*JJ70+$JH$71*JJ71+$JH$72*JJ72+$JH$73*JJ73</f>
        <v>0</v>
      </c>
      <c r="JK101" s="4">
        <f>$JH$8*JK8+$JH$9*JK9+$JH$10*JK10+$JH$11*JK11+$JH$12*JK12+$JH$13*JK13+$JH$14*JK14+$JH$15*JK15+$JH$16*JK16+$JH$17*JK17+$JH$18*JK18+$JH$19*JK19+$JH$20*JK20+$JH$21*JK21+$JH$22*JK22+$JH$23*JK23+$JH$24*JK24+$JH$25*JK25+$JH$26*JK26+$JH$27*JK27+$JH$28*JK28+$JH$29*JK29+$JH$30*JK30+$JH$31*JK31+$JH$32*JK32+$JH$33*JK33+$JH$34*JK34+$JH$35*JK35+$JH$36*JK36+$JH$37*JK37+$JH$38*JK38+$JH$39*JK39+$JH$40*JK40+$JH$41*JK41+$JH$42*JK42+$JH$43*JK43+$JH$44*JK44+$JH$45*JK45+$JH$46*JK46+$JH$47*JK47+$JH$48*JK48+$JH$49*JK49+$JH$50*JK50+$JH$51*JK51+$JH$52*JK52+$JH$53*JK53+$JH$54*JK54+$JH$55*JK55+$JH$56*JK56+$JH$57*JK57+$JH$58*JK58+$JH$59*JK59+$JH$60*JK60+$JH$61*JK61+$JH$62*JK62+$JH$63*JK63+$JH$64*JK64+$JH$65*JK65+$JH$66*JK66+$JH$67*JK67+$JH$68*JK68+$JH$69*JK69+$JH$70*JK70+$JH$71*JK71+$JH$72*JK72+$JH$73*JK73</f>
        <v>1161</v>
      </c>
      <c r="JL101" s="4">
        <f t="shared" si="68"/>
        <v>513</v>
      </c>
      <c r="JM101" s="4">
        <f t="shared" si="68"/>
        <v>639.5</v>
      </c>
      <c r="JN101" s="4">
        <f t="shared" si="68"/>
        <v>454</v>
      </c>
      <c r="JO101" s="4">
        <f t="shared" si="68"/>
        <v>1790</v>
      </c>
      <c r="JP101" s="4">
        <f t="shared" si="68"/>
        <v>318</v>
      </c>
      <c r="JQ101" s="4">
        <f t="shared" si="68"/>
        <v>0</v>
      </c>
      <c r="JR101" s="4">
        <f t="shared" si="68"/>
        <v>0</v>
      </c>
      <c r="JS101" s="4">
        <f t="shared" si="68"/>
        <v>519.70000000000005</v>
      </c>
      <c r="JT101" s="4">
        <f t="shared" si="68"/>
        <v>1045</v>
      </c>
      <c r="JU101" s="4">
        <f t="shared" si="68"/>
        <v>754</v>
      </c>
      <c r="JV101" s="4">
        <f t="shared" si="68"/>
        <v>200.5</v>
      </c>
      <c r="JW101" s="4">
        <f t="shared" si="68"/>
        <v>412.7</v>
      </c>
      <c r="JX101" s="4">
        <f t="shared" si="68"/>
        <v>0</v>
      </c>
      <c r="JY101" s="4">
        <f>$JH$8*JY8+$JH$9*JY9+$JH$10*JY10+$JH$11*JY11+$JH$12*JY12+$JH$13*JY13+$JH$14*JY14+$JH$15*JY15+$JH$16*JY16+$JH$17*JY17+$JH$18*JY18+$JH$19*JY19+$JH$20*JY20+$JH$21*JY21+$JH$22*JY22+$JH$23*JY23+$JH$24*JY24+$JH$25*JY25+$JH$26*JY26+$JH$27*JY27+$JH$28*JY28+$JH$29*JY29+$JH$30*JY30+$JH$31*JY31+$JH$32*JY32+$JH$33*JY33+$JH$34*JY34+$JH$35*JY35+$JH$36*JY36+$JH$37*JY37+$JH$38*JY38+$JH$39*JY39+$JH$40*JY40+$JH$41*JY41+$JH$42*JY42+$JH$43*JY43+$JH$44*JY44+$JH$45*JY45+$JH$46*JY46+$JH$47*JY47+$JH$48*JY48+$JH$49*JY49+$JH$50*JY50+$JH$51*JY51+$JH$52*JY52+$JH$53*JY53+$JH$54*JY54+$JH$55*JY55+$JH$56*JY56+$JH$57*JY57+$JH$58*JY58+$JH$59*JY59+$JH$60*JY60+$JH$61*JY61+$JH$62*JY62+$JH$63*JY63+$JH$64*JY64+$JH$65*JY65+$JH$66*JY66+$JH$67*JY67+$JH$68*JY68+$JH$69*JY69+$JH$70*JY70+$JH$71*JY71+$JH$72*JY72+$JH$73*JY73</f>
        <v>1480</v>
      </c>
      <c r="JZ101" s="4">
        <f t="shared" si="68"/>
        <v>573.6</v>
      </c>
      <c r="KA101" s="4">
        <f>$JH$8*KA8+$JH$9*KA9+$JH$10*KA10+$JH$11*KA11+$JH$12*KA12+$JH$13*KA13+$JH$14*KA14+$JH$15*KA15+$JH$16*KA16+$JH$17*KA17+$JH$18*KA18+$JH$19*KA19+$JH$20*KA20+$JH$21*KA21+$JH$22*KA22+$JH$23*KA23+$JH$24*KA24+$JH$25*KA25+$JH$26*KA26+$JH$27*KA27+$JH$28*KA28+$JH$29*KA29+$JH$30*KA30+$JH$31*KA31+$JH$32*KA32+$JH$33*KA33+$JH$34*KA34+$JH$35*KA35+$JH$36*KA36+$JH$37*KA37+$JH$38*KA38+$JH$39*KA39+$JH$40*KA40+$JH$41*KA41+$JH$42*KA42+$JH$43*KA43+$JH$44*KA44+$JH$45*KA45+$JH$46*KA46+$JH$47*KA47+$JH$48*KA48+$JH$49*KA49+$JH$50*KA50+$JH$51*KA51+$JH$52*KA52+$JH$53*KA53+$JH$54*KA54+$JH$55*KA55+$JH$56*KA56+$JH$57*KA57+$JH$58*KA58+$JH$59*KA59+$JH$60*KA60+$JH$61*KA61+$JH$62*KA62+$JH$63*KA63+$JH$64*KA64+$JH$65*KA65+$JH$66*KA66+$JH$67*KA67+$JH$68*KA68+$JH$69*KA69+$JH$70*KA70+$JH$71*KA71+$JH$72*KA72+$JH$73*KA73+$JH$74*KA74+$JH$75*KA75</f>
        <v>1263</v>
      </c>
      <c r="KB101" s="4">
        <f>$JH$8*KB8+$JH$9*KB9+$JH$10*KB10+$JH$11*KB11+$JH$12*KB12+$JH$13*KB13+$JH$14*KB14+$JH$15*KB15+$JH$16*KB16+$JH$17*KB17+$JH$18*KB18+$JH$19*KB19+$JH$20*KB20+$JH$21*KB21+$JH$22*KB22+$JH$23*KB23+$JH$24*KB24+$JH$25*KB25+$JH$26*KB26+$JH$27*KB27+$JH$28*KB28+$JH$29*KB29+$JH$30*KB30+$JH$31*KB31+$JH$32*KB32+$JH$33*KB33+$JH$34*KB34+$JH$35*KB35+$JH$36*KB36+$JH$37*KB37+$JH$38*KB38+$JH$39*KB39+$JH$40*KB40+$JH$41*KB41+$JH$42*KB42+$JH$43*KB43+$JH$44*KB44+$JH$45*KB45+$JH$46*KB46+$JH$47*KB47+$JH$48*KB48+$JH$49*KB49+$JH$50*KB50+$JH$51*KB51+$JH$52*KB52+$JH$53*KB53+$JH$54*KB54+$JH$55*KB55+$JH$56*KB56+$JH$57*KB57+$JH$58*KB58+$JH$59*KB59+$JH$60*KB60+$JH$61*KB61+$JH$62*KB62+$JH$63*KB63+$JH$64*KB64+$JH$65*KB65+$JH$66*KB66+$JH$67*KB67+$JH$68*KB68+$JH$69*KB69+$JH$70*KB70+$JH$71*KB71+$JH$72*KB72+$JH$73*KB73+$JH$74*KB74+$JH$75*KB75</f>
        <v>1284</v>
      </c>
      <c r="KC101" s="4">
        <f>$JH$8*KC8+$JH$9*KC9+$JH$10*KC10+$JH$11*KC11+$JH$12*KC12+$JH$13*KC13+$JH$14*KC14+$JH$15*KC15+$JH$16*KC16+$JH$17*KC17+$JH$18*KC18+$JH$19*KC19+$JH$20*KC20+$JH$21*KC21+$JH$22*KC22+$JH$23*KC23+$JH$24*KC24+$JH$25*KC25+$JH$26*KC26+$JH$27*KC27+$JH$28*KC28+$JH$29*KC29+$JH$30*KC30+$JH$31*KC31+$JH$32*KC32+$JH$33*KC33+$JH$34*KC34+$JH$35*KC35+$JH$36*KC36+$JH$37*KC37+$JH$38*KC38+$JH$39*KC39+$JH$40*KC40+$JH$41*KC41+$JH$42*KC42+$JH$43*KC43+$JH$44*KC44+$JH$45*KC45+$JH$46*KC46+$JH$47*KC47+$JH$48*KC48+$JH$49*KC49+$JH$50*KC50+$JH$51*KC51+$JH$52*KC52+$JH$53*KC53+$JH$54*KC54+$JH$55*KC55+$JH$56*KC56+$JH$57*KC57+$JH$58*KC58+$JH$59*KC59+$JH$60*KC60+$JH$61*KC61+$JH$62*KC62+$JH$63*KC63+$JH$64*KC64+$JH$65*KC65+$JH$66*KC66+$JH$67*KC67+$JH$68*KC68+$JH$69*KC69+$JH$70*KC70+$JH$71*KC71+$JH$72*KC72+$JH$73*KC73+$JH$74*KC74+$JH$75*KC75</f>
        <v>1955</v>
      </c>
      <c r="KD101" s="103"/>
      <c r="KE101" s="14"/>
      <c r="KF101" s="80">
        <f>SUM(KF8:KF75)-KC102</f>
        <v>15110</v>
      </c>
      <c r="KH101" s="696" t="s">
        <v>72</v>
      </c>
      <c r="KI101" s="697"/>
      <c r="KJ101" s="697"/>
      <c r="KK101" s="697"/>
      <c r="KL101" s="697"/>
      <c r="KM101" s="698"/>
      <c r="KO101" s="184">
        <f>$KN$8*KO8+$KN$9*KO9+$KN$10*KO10+$KN$11*KO11+$KN$12*KO12+$KN$13*KO13+$KN$14*KO14+$KN$15*KO15+$KN$16*KO16+$KN$17*KO17+$KN$18*KO18+$KN$19*KO19+$KN$20*KO20+$KN$21*KO21+$KN$22*KO22+$KN$23*KO23+$KN$24*KO24+$KN$25*KO25+$KN$26*KO26+$KN$27*KO27+$KN$28*KO28+$KN$29*KO29+$KN$30*KO30+$KN$31*KO31+$KN$32*KO32+$KN$33*KO33+$KN$34*KO34+$KN$35*KO35+$KN$36*KO36+$KN$37*KO37+$KN$38*KO38+$KN$39*KO39+$KN$40*KO40+$KN$41*KO41+$KN$42*KO42+$KN$43*KO43+$KN$44*KO44+$KN$45*KO45+$KN$46*KO46+$KN$47*KO47+$KN$48*KO48+$KN$49*KO49+$KN$50*KO50+$KN$51*KO51+$KN$52*KO52+$KN$53*KO53+$KN$54*KO54+$KN$55*KO55+$KN$56*KO56+$KN$57*KO57+$KN$58*KO58+$KN$59*KO59+$KN$60*KO60+$KN$61*KO61+$KN$62*KO62+$KN$63*KO63+$KN$64*KO64+$KN$65*KO65+$KN$66*KO66+$KN$67*KO67+$KN$68*KO68+$KN$69*KO69+$KN$70*KO70+$KN$71*KO71+$KN$72*KO72+$KN$73*KO73+$KN$74*KO74+$KN$75*KO75</f>
        <v>3224</v>
      </c>
      <c r="KP101" s="184">
        <f>$KN$8*KP8+$KN$9*KP9+$KN$10*KP10+$KN$11*KP11+$KN$12*KP12+$KN$13*KP13+$KN$14*KP14+$KN$15*KP15+$KN$16*KP16+$KN$17*KP17+$KN$18*KP18+$KN$19*KP19+$KN$20*KP20+$KN$21*KP21+$KN$22*KP22+$KN$23*KP23+$KN$24*KP24+$KN$25*KP25+$KN$26*KP26+$KN$27*KP27+$KN$28*KP28+$KN$29*KP29+$KN$30*KP30+$KN$31*KP31+$KN$32*KP32+$KN$33*KP33+$KN$34*KP34+$KN$35*KP35+$KN$36*KP36+$KN$37*KP37+$KN$38*KP38+$KN$39*KP39+$KN$40*KP40+$KN$41*KP41+$KN$42*KP42+$KN$43*KP43+$KN$44*KP44+$KN$45*KP45+$KN$46*KP46+$KN$47*KP47+$KN$48*KP48+$KN$49*KP49+$KN$50*KP50+$KN$51*KP51+$KN$52*KP52+$KN$53*KP53+$KN$54*KP54+$KN$55*KP55+$KN$56*KP56+$KN$57*KP57+$KN$58*KP58+$KN$59*KP59+$KN$60*KP60+$KN$61*KP61+$KN$62*KP62+$KN$63*KP63+$KN$64*KP64+$KN$65*KP65+$KN$66*KP66+$KN$67*KP67+$KN$68*KP68+$KN$69*KP69+$KN$70*KP70+$KN$71*KP71+$KN$72*KP72+$KN$73*KP73+$KN$74*KP74+$KN$75*KP75</f>
        <v>0</v>
      </c>
      <c r="KQ101" s="184">
        <f>$KN$8*KQ8+$KN$9*KQ9+$KN$10*KQ10+$KN$11*KQ11+$KN$12*KQ12+$KN$13*KQ13+$KN$14*KQ14+$KN$15*KQ15+$KN$16*KQ16+$KN$17*KQ17+$KN$18*KQ18+$KN$19*KQ19+$KN$20*KQ20+$KN$21*KQ21+$KN$22*KQ22+$KN$23*KQ23+$KN$24*KQ24+$KN$25*KQ25+$KN$26*KQ26+$KN$27*KQ27+$KN$28*KQ28+$KN$29*KQ29+$KN$30*KQ30+$KN$31*KQ31+$KN$32*KQ32+$KN$33*KQ33+$KN$34*KQ34+$KN$35*KQ35+$KN$36*KQ36+$KN$37*KQ37+$KN$38*KQ38+$KN$39*KQ39+$KN$40*KQ40+$KN$41*KQ41+$KN$42*KQ42+$KN$43*KQ43+$KN$44*KQ44+$KN$45*KQ45+$KN$46*KQ46+$KN$47*KQ47+$KN$48*KQ48+$KN$49*KQ49+$KN$50*KQ50+$KN$51*KQ51+$KN$52*KQ52+$KN$53*KQ53+$KN$54*KQ54+$KN$55*KQ55+$KN$56*KQ56+$KN$57*KQ57+$KN$58*KQ58+$KN$59*KQ59+$KN$60*KQ60+$KN$61*KQ61+$KN$62*KQ62+$KN$63*KQ63+$KN$64*KQ64+$KN$65*KQ65+$KN$66*KQ66+$KN$67*KQ67+$KN$68*KQ68+$KN$69*KQ69+$KN$70*KQ70+$KN$71*KQ71+$KN$72*KQ72+$KN$73*KQ73+$KN$74*KQ74+$KN$75*KQ75</f>
        <v>1131</v>
      </c>
      <c r="KR101" s="184">
        <f>$KN$8*KR8+$KN$9*KR9+$KN$10*KR10+$KN$11*KR11+$KN$12*KR12+$KN$13*KR13+$KN$14*KR14+$KN$15*KR15+$KN$16*KR16+$KN$17*KR17+$KN$18*KR18+$KN$19*KR19+$KN$20*KR20+$KN$21*KR21+$KN$22*KR22+$KN$23*KR23+$KN$24*KR24+$KN$25*KR25+$KN$26*KR26+$KN$27*KR27+$KN$28*KR28+$KN$29*KR29+$KN$30*KR30+$KN$31*KR31+$KN$32*KR32+$KN$33*KR33+$KN$34*KR34+$KN$35*KR35+$KN$36*KR36+$KN$37*KR37+$KN$38*KR38+$KN$39*KR39+$KN$40*KR40+$KN$41*KR41+$KN$42*KR42+$KN$43*KR43+$KN$44*KR44+$KN$45*KR45+$KN$46*KR46+$KN$47*KR47+$KN$48*KR48+$KN$49*KR49+$KN$50*KR50+$KN$51*KR51+$KN$52*KR52+$KN$53*KR53+$KN$54*KR54+$KN$55*KR55+$KN$56*KR56+$KN$57*KR57+$KN$58*KR58+$KN$59*KR59+$KN$60*KR60+$KN$61*KR61+$KN$62*KR62+$KN$63*KR63+$KN$64*KR64+$KN$65*KR65+$KN$66*KR66+$KN$67*KR67+$KN$68*KR68+$KN$69*KR69+$KN$70*KR70+$KN$71*KR71+$KN$72*KR72+$KN$73*KR73+$KN$74*KR74+$KN$75*KR75</f>
        <v>967</v>
      </c>
      <c r="KS101" s="14"/>
      <c r="KT101" s="80">
        <f>SUM(KT8:KT75)-SUM(KO102:KR102)</f>
        <v>5276</v>
      </c>
      <c r="KV101" s="696" t="s">
        <v>72</v>
      </c>
      <c r="KW101" s="697"/>
      <c r="KX101" s="697"/>
      <c r="KY101" s="697"/>
      <c r="KZ101" s="697"/>
      <c r="LA101" s="698"/>
      <c r="LC101" s="184">
        <f>$LB$8*LC8+$LB$9*LC9+$LB$10*LC10+$LB$11*LC11+$LB$12*LC12+$LB$13*LC13+$LB$14*LC14+$LB$15*LC15+$LB$16*LC16+$LB$17*LC17+$LB$18*LC18+$LB$19*LC19+$LB$20*LC20+$LB$21*LC21+$LB$22*LC22+$LB$23*LC23+$LB$24*LC24+$LB$25*LC25+$LB$26*LC26+$LB$27*LC27+$LB$28*LC28+$LB$29*LC29+$LB$30*LC30+$LB$31*LC31+$LB$32*LC32+$LB$33*LC33+$LB$34*LC34+$LB$35*LC35+$LB$36*LC36+$LB$37*LC37+$LB$38*LC38+$LB$39*LC39+$LB$40*LC40+$LB$41*LC41+$LB$42*LC42+$LB$43*LC43+$LB$44*LC44+$LB$45*LC45+$LB$46*LC46+$LB$47*LC47+$LB$48*LC48+$LB$49*LC49+$LB$50*LC50+$LB$51*LC51+$LB$52*LC52+$LB$53*LC53+$LB$54*LC54+$LB$55*LC55+$LB$56*LC56+$LB$57*LC57+$LB$58*LC58+$LB$59*LC59+$LB$60*LC60+$LB$61*LC61+$LB$62*LC62+$LB$63*LC63+$LB$64*LC64+$LB$65*LC65+$LB$66*LC66+$LB$67*LC67+$LB$68*LC68+$LB$69*LC69+$LB$70*LC70+$LB$71*LC71+$LB$72*LC72+$LB$73*LC73+$LB$74*LC74+$LB$75*LC75+LC76*$LB$76+LC77*$LB$77+LC78*$LB$78+LC79*$LB$79+LC80*$LB$80+LC81*$LB$81+LC82*$LB$82+LC83*$LB$83+LC84*$LB$84+LC85*$LB$85+LC86*$LB$86+LC87*$LB$87+LC88*$LB$88+LC89*$LB$89+LC90*$LB$90</f>
        <v>1653</v>
      </c>
      <c r="LD101" s="184">
        <f>$LB$8*LD8+$LB$9*LD9+$LB$10*LD10+$LB$11*LD11+$LB$12*LD12+$LB$13*LD13+$LB$14*LD14+$LB$15*LD15+$LB$16*LD16+$LB$17*LD17+$LB$18*LD18+$LB$19*LD19+$LB$20*LD20+$LB$21*LD21+$LB$22*LD22+$LB$23*LD23+$LB$24*LD24+$LB$25*LD25+$LB$26*LD26+$LB$27*LD27+$LB$28*LD28+$LB$29*LD29+$LB$30*LD30+$LB$31*LD31+$LB$32*LD32+$LB$33*LD33+$LB$34*LD34+$LB$35*LD35+$LB$36*LD36+$LB$37*LD37+$LB$38*LD38+$LB$39*LD39+$LB$40*LD40+$LB$41*LD41+$LB$42*LD42+$LB$43*LD43+$LB$44*LD44+$LB$45*LD45+$LB$46*LD46+$LB$47*LD47+$LB$48*LD48+$LB$49*LD49+$LB$50*LD50+$LB$51*LD51+$LB$52*LD52+$LB$53*LD53+$LB$54*LD54+$LB$55*LD55+$LB$56*LD56+$LB$57*LD57+$LB$58*LD58+$LB$59*LD59+$LB$60*LD60+$LB$61*LD61+$LB$62*LD62+$LB$63*LD63+$LB$64*LD64+$LB$65*LD65+$LB$66*LD66+$LB$67*LD67+$LB$68*LD68+$LB$69*LD69+$LB$70*LD70+$LB$71*LD71+$LB$72*LD72+$LB$73*LD73+$LB$74*LD74+$LB$75*LD75+LD76*$LB$76+LD77*$LB$77+LD78*$LB$78+LD79*$LB$79+LD80*$LB$80+LD81*$LB$81+LD82*$LB$82+LD83*$LB$83+LD84*$LB$84+LD85*$LB$85+LD86*$LB$86+LD87*$LB$87+LD88*$LB$88+LD89*$LB$89+LD90*$LB$90</f>
        <v>1583</v>
      </c>
      <c r="LE101" s="184">
        <f>$LB$8*LE8+$LB$9*LE9+$LB$10*LE10+$LB$11*LE11+$LB$12*LE12+$LB$13*LE13+$LB$14*LE14+$LB$15*LE15+$LB$16*LE16+$LB$17*LE17+$LB$18*LE18+$LB$19*LE19+$LB$20*LE20+$LB$21*LE21+$LB$22*LE22+$LB$23*LE23+$LB$24*LE24+$LB$25*LE25+$LB$26*LE26+$LB$27*LE27+$LB$28*LE28+$LB$29*LE29+$LB$30*LE30+$LB$31*LE31+$LB$32*LE32+$LB$33*LE33+$LB$34*LE34+$LB$35*LE35+$LB$36*LE36+$LB$37*LE37+$LB$38*LE38+$LB$39*LE39+$LB$40*LE40+$LB$41*LE41+$LB$42*LE42+$LB$43*LE43+$LB$44*LE44+$LB$45*LE45+$LB$46*LE46+$LB$47*LE47+$LB$48*LE48+$LB$49*LE49+$LB$50*LE50+$LB$51*LE51+$LB$52*LE52+$LB$53*LE53+$LB$54*LE54+$LB$55*LE55+$LB$56*LE56+$LB$57*LE57+$LB$58*LE58+$LB$59*LE59+$LB$60*LE60+$LB$61*LE61+$LB$62*LE62+$LB$63*LE63+$LB$64*LE64+$LB$65*LE65+$LB$66*LE66+$LB$67*LE67+$LB$68*LE68+$LB$69*LE69+$LB$70*LE70+$LB$71*LE71+$LB$72*LE72+$LB$73*LE73+$LB$74*LE74+$LB$75*LE75+LE76*$LB$76+LE77*$LB$77+LE78*$LB$78+LE79*$LB$79+LE80*$LB$80+LE81*$LB$81+LE82*$LB$82+LE83*$LB$83+LE84*$LB$84+LE85*$LB$85+LE86*$LB$86+LE87*$LB$87+LE88*$LB$88+LE89*$LB$89+LE90*$LB$90</f>
        <v>859</v>
      </c>
      <c r="LF101" s="14"/>
      <c r="LG101" s="80">
        <f>SUM(LG8:LG90)-SUM(LC102:LE102)</f>
        <v>4055.91</v>
      </c>
      <c r="LI101" s="696" t="s">
        <v>72</v>
      </c>
      <c r="LJ101" s="697"/>
      <c r="LK101" s="697"/>
      <c r="LL101" s="697"/>
      <c r="LM101" s="697"/>
      <c r="LN101" s="698"/>
      <c r="LP101" s="184">
        <f>$LB$8*LP8+$LB$9*LP9+$LB$10*LP10+$LB$11*LP11+$LB$12*LP12+$LB$13*LP13+$LB$14*LP14+$LB$15*LP15+$LB$16*LP16+$LB$17*LP17+$LB$18*LP18+$LB$19*LP19+$LB$20*LP20+$LB$21*LP21+$LB$22*LP22+$LB$23*LP23+$LB$24*LP24+$LB$25*LP25+$LB$26*LP26+$LB$27*LP27+$LB$28*LP28+$LB$29*LP29+$LB$30*LP30+$LB$31*LP31+$LB$32*LP32+$LB$33*LP33+$LB$34*LP34+$LB$35*LP35+$LB$36*LP36+$LB$37*LP37+$LB$38*LP38+$LB$39*LP39+$LB$40*LP40+$LB$41*LP41+$LB$42*LP42+$LB$43*LP43+$LB$44*LP44+$LB$45*LP45+$LB$46*LP46+$LB$47*LP47+$LB$48*LP48+$LB$49*LP49+$LB$50*LP50+$LB$51*LP51+$LB$52*LP52+$LB$53*LP53+$LB$54*LP54+$LB$55*LP55+$LB$56*LP56+$LB$57*LP57+$LB$58*LP58+$LB$59*LP59+$LB$60*LP60+$LB$61*LP61+$LB$62*LP62+$LB$63*LP63+$LB$64*LP64+$LB$65*LP65+$LB$66*LP66+$LB$67*LP67+$LB$68*LP68+$LB$69*LP69+$LB$70*LP70+$LB$71*LP71+$LB$72*LP72+$LB$73*LP73+$LB$74*LP74+$LB$75*LP75+LP76*$LB$76+LP77*$LB$77+LP78*$LB$78+LP79*$LB$79+LP80*$LB$80+LP81*$LB$81+LP82*$LB$82+LP83*$LB$83+LP84*$LB$84+LP85*$LB$85+LP86*$LB$86+LP87*$LB$87+LP88*$LB$88+LP89*$LB$89+LP90*$LB$90</f>
        <v>1500</v>
      </c>
      <c r="LQ101" s="184">
        <f>$LO$8*LQ8+$LO$9*LQ9+$LO$10*LQ10+$LO$11*LQ11+$LO$12*LQ12+$LO$13*LQ13+$LO$14*LQ14+$LO$15*LQ15+$LO$16*LQ16+$LO$17*LQ17+$LO$18*LQ18+$LO$19*LQ19+$LO$20*LQ20+$LO$21*LQ21+$LO$22*LQ22+$LO$23*LQ23+$LO$24*LQ24+$LO$25*LQ25+$LO$26*LQ26+$LO$27*LQ27+$LO$28*LQ28+$LO$29*LQ29+$LO$30*LQ30+$LO$31*LQ31+$LO$32*LQ32+$LO$33*LQ33+$LO$34*LQ34+$LO$35*LQ35+$LO$36*LQ36+$LO$37*LQ37+$LO$38*LQ38+$LO$39*LQ39+$LO$40*LQ40+$LO$41*LQ41+$LO$42*LQ42+$LO$43*LQ43+$LO$44*LQ44+$LO$45*LQ45+$LO$46*LQ46+$LO$47*LQ47+$LO$48*LQ48+$LO$49*LQ49+$LO$50*LQ50+$LO$51*LQ51+$LO$52*LQ52+$LO$53*LQ53+$LO$54*LQ54+$LO$55*LQ55+$LO$56*LQ56+$LO$57*LQ57+$LO$58*LQ58+$LO$59*LQ59+$LO$60*LQ60+$LO$61*LQ61+$LO$62*LQ62+$LO$63*LQ63+$LO$64*LQ64+$LO$65*LQ65+$LO$66*LQ66+$LO$67*LQ67+$LO$68*LQ68+$LO$69*LQ69+$LO$70*LQ70+$LO$71*LQ71+$LO$72*LQ72+$LO$73*LQ73+$LO$74*LQ74+$LO$75*LQ75+LQ76*$LO$76+LQ77*$LO$77+LQ78*$LO$78+LQ79*$LO$79+LQ80*$LO$80+LQ81*$LO$81+LQ82*$LO$82+LQ83*$LO$83+LQ84*$LO$84+LQ85*$LO$85+LQ86*$LO$86+LQ87*$LO$87+LQ88*$LO$88+LQ89*$LO$89+LQ90*$LO$90</f>
        <v>0</v>
      </c>
      <c r="LR101" s="184">
        <f>$LO$8*LR8+$LO$9*LR9+$LO$10*LR10+$LO$11*LR11+$LO$12*LR12+$LO$13*LR13+$LO$14*LR14+$LO$15*LR15+$LO$16*LR16+$LO$17*LR17+$LO$18*LR18+$LO$19*LR19+$LO$20*LR20+$LO$21*LR21+$LO$22*LR22+$LO$23*LR23+$LO$24*LR24+$LO$25*LR25+$LO$26*LR26+$LO$27*LR27+$LO$28*LR28+$LO$29*LR29+$LO$30*LR30+$LO$31*LR31+$LO$32*LR32+$LO$33*LR33+$LO$34*LR34+$LO$35*LR35+$LO$36*LR36+$LO$37*LR37+$LO$38*LR38+$LO$39*LR39+$LO$40*LR40+$LO$41*LR41+$LO$42*LR42+$LO$43*LR43+$LO$44*LR44+$LO$45*LR45+$LO$46*LR46+$LO$47*LR47+$LO$48*LR48+$LO$49*LR49+$LO$50*LR50+$LO$51*LR51+$LO$52*LR52+$LO$53*LR53+$LO$54*LR54+$LO$55*LR55+$LO$56*LR56+$LO$57*LR57+$LO$58*LR58+$LO$59*LR59+$LO$60*LR60+$LO$61*LR61+$LO$62*LR62+$LO$63*LR63+$LO$64*LR64+$LO$65*LR65+$LO$66*LR66+$LO$67*LR67+$LO$68*LR68+$LO$69*LR69+$LO$70*LR70+$LO$71*LR71+$LO$72*LR72+$LO$73*LR73+$LO$74*LR74+$LO$75*LR75+LR76*$LO$76+LR77*$LO$77+LR78*$LO$78+LR79*$LO$79+LR80*$LO$80+LR81*$LO$81+LR82*$LO$82+LR83*$LO$83+LR84*$LO$84+LR85*$LO$85+LR86*$LO$86+LR87*$LO$87+LR88*$LO$88+LR89*$LO$89+LR90*$LO$90</f>
        <v>1198</v>
      </c>
      <c r="LS101" s="184">
        <f>$LO$8*LS8+$LO$9*LS9+$LO$10*LS10+$LO$11*LS11+$LO$12*LS12+$LO$13*LS13+$LO$14*LS14+$LO$15*LS15+$LO$16*LS16+$LO$17*LS17+$LO$18*LS18+$LO$19*LS19+$LO$20*LS20+$LO$21*LS21+$LO$22*LS22+$LO$23*LS23+$LO$24*LS24+$LO$25*LS25+$LO$26*LS26+$LO$27*LS27+$LO$28*LS28+$LO$29*LS29+$LO$30*LS30+$LO$31*LS31+$LO$32*LS32+$LO$33*LS33+$LO$34*LS34+$LO$35*LS35+$LO$36*LS36+$LO$37*LS37+$LO$38*LS38+$LO$39*LS39+$LO$40*LS40+$LO$41*LS41+$LO$42*LS42+$LO$43*LS43+$LO$44*LS44+$LO$45*LS45+$LO$46*LS46+$LO$47*LS47+$LO$48*LS48+$LO$49*LS49+$LO$50*LS50+$LO$51*LS51+$LO$52*LS52+$LO$53*LS53+$LO$54*LS54+$LO$55*LS55+$LO$56*LS56+$LO$57*LS57+$LO$58*LS58+$LO$59*LS59+$LO$60*LS60+$LO$61*LS61+$LO$62*LS62+$LO$63*LS63+$LO$64*LS64+$LO$65*LS65+$LO$66*LS66+$LO$67*LS67+$LO$68*LS68+$LO$69*LS69+$LO$70*LS70+$LO$71*LS71+$LO$72*LS72+$LO$73*LS73+$LO$74*LS74+$LO$75*LS75+LS76*$LO$76+LS77*$LO$77+LS78*$LO$78+LS79*$LO$79+LS80*$LO$80+LS81*$LO$81+LS82*$LO$82+LS83*$LO$83+LS84*$LO$84+LS85*$LO$85+LS86*$LO$86+LS87*$LO$87+LS88*$LO$88+LS89*$LO$89+LS90*$LO$90</f>
        <v>844</v>
      </c>
      <c r="LT101" s="184">
        <f>$LO$8*LT8+$LO$9*LT9+$LO$10*LT10+$LO$11*LT11+$LO$12*LT12+$LO$13*LT13+$LO$14*LT14+$LO$15*LT15+$LO$16*LT16+$LO$17*LT17+$LO$18*LT18+$LO$19*LT19+$LO$20*LT20+$LO$21*LT21+$LO$22*LT22+$LO$23*LT23+$LO$24*LT24+$LO$25*LT25+$LO$26*LT26+$LO$27*LT27+$LO$28*LT28+$LO$29*LT29+$LO$30*LT30+$LO$31*LT31+$LO$32*LT32+$LO$33*LT33+$LO$34*LT34+$LO$35*LT35+$LO$36*LT36+$LO$37*LT37+$LO$38*LT38+$LO$39*LT39+$LO$40*LT40+$LO$41*LT41+$LO$42*LT42+$LO$43*LT43+$LO$44*LT44+$LO$45*LT45+$LO$46*LT46+$LO$47*LT47+$LO$48*LT48+$LO$49*LT49+$LO$50*LT50+$LO$51*LT51+$LO$52*LT52+$LO$53*LT53+$LO$54*LT54+$LO$55*LT55+$LO$56*LT56+$LO$57*LT57+$LO$58*LT58+$LO$59*LT59+$LO$60*LT60+$LO$61*LT61+$LO$62*LT62+$LO$63*LT63+$LO$64*LT64+$LO$65*LT65+$LO$66*LT66+$LO$67*LT67+$LO$68*LT68+$LO$69*LT69+$LO$70*LT70+$LO$71*LT71+$LO$72*LT72+$LO$73*LT73+$LO$74*LT74+$LO$75*LT75+LT76*$LO$76+LT77*$LO$77+LT78*$LO$78+LT79*$LO$79+LT80*$LO$80+LT81*$LO$81+LT82*$LO$82+LT83*$LO$83+LT84*$LO$84+LT85*$LO$85+LT86*$LO$86+LT87*$LO$87+LT88*$LO$88+LT89*$LO$89+LT90*$LO$90</f>
        <v>1855</v>
      </c>
      <c r="LU101" s="184">
        <f t="shared" ref="LU101:MB101" si="69">$LO$8*LU8+$LO$9*LU9+$LO$10*LU10+$LO$11*LU11+$LO$12*LU12+$LO$13*LU13+$LO$14*LU14+$LO$15*LU15+$LO$16*LU16+$LO$17*LU17+$LO$18*LU18+$LO$19*LU19+$LO$20*LU20+$LO$21*LU21+$LO$22*LU22+$LO$23*LU23+$LO$24*LU24+$LO$25*LU25+$LO$26*LU26+$LO$27*LU27+$LO$28*LU28+$LO$29*LU29+$LO$30*LU30+$LO$31*LU31+$LO$32*LU32+$LO$33*LU33+$LO$34*LU34+$LO$35*LU35+$LO$36*LU36+$LO$37*LU37+$LO$38*LU38+$LO$39*LU39+$LO$40*LU40+$LO$41*LU41+$LO$42*LU42+$LO$43*LU43+$LO$44*LU44+$LO$45*LU45+$LO$46*LU46+$LO$47*LU47+$LO$48*LU48+$LO$49*LU49+$LO$50*LU50+$LO$51*LU51+$LO$52*LU52+$LO$53*LU53+$LO$54*LU54+$LO$55*LU55+$LO$56*LU56+$LO$57*LU57+$LO$58*LU58+$LO$59*LU59+$LO$60*LU60+$LO$61*LU61+$LO$62*LU62+$LO$63*LU63+$LO$64*LU64+$LO$65*LU65+$LO$66*LU66+$LO$67*LU67+$LO$68*LU68+$LO$69*LU69+$LO$70*LU70+$LO$71*LU71+$LO$72*LU72+$LO$73*LU73+$LO$74*LU74+$LO$75*LU75+LU76*$LO$76+LU77*$LO$77+LU78*$LO$78+LU79*$LO$79+LU80*$LO$80+LU81*$LO$81+LU82*$LO$82+LU83*$LO$83+LU84*$LO$84+LU85*$LO$85+LU86*$LO$86+LU87*$LO$87+LU88*$LO$88+LU89*$LO$89+LU90*$LO$90</f>
        <v>2161</v>
      </c>
      <c r="LV101" s="184">
        <f>$LO$8*LV8+$LO$9*LV9+$LO$10*LV10+$LO$11*LV11+$LO$12*LV12+$LO$13*LV13+$LO$14*LV14+$LO$15*LV15+$LO$16*LV16+$LO$17*LV17+$LO$18*LV18+$LO$19*LV19+$LO$20*LV20+$LO$21*LV21+$LO$22*LV22+$LO$23*LV23+$LO$24*LV24+$LO$25*LV25+$LO$26*LV26+$LO$27*LV27+$LO$28*LV28+$LO$29*LV29+$LO$30*LV30+$LO$31*LV31+$LO$32*LV32+$LO$33*LV33+$LO$34*LV34+$LO$35*LV35+$LO$36*LV36+$LO$37*LV37+$LO$38*LV38+$LO$39*LV39+$LO$40*LV40+$LO$41*LV41+$LO$42*LV42+$LO$43*LV43+$LO$44*LV44+$LO$45*LV45+$LO$46*LV46+$LO$47*LV47+$LO$48*LV48+$LO$49*LV49+$LO$50*LV50+$LO$51*LV51+$LO$52*LV52+$LO$53*LV53+$LO$54*LV54+$LO$55*LV55+$LO$56*LV56+$LO$57*LV57+$LO$58*LV58+$LO$59*LV59+$LO$60*LV60+$LO$61*LV61+$LO$62*LV62+$LO$63*LV63+$LO$64*LV64+$LO$65*LV65+$LO$66*LV66+$LO$67*LV67+$LO$68*LV68+$LO$69*LV69+$LO$70*LV70+$LO$71*LV71+$LO$72*LV72+$LO$73*LV73+$LO$74*LV74+$LO$75*LV75+LV76*$LO$76+LV77*$LO$77+LV78*$LO$78+LV79*$LO$79+LV80*$LO$80+LV81*$LO$81+LV82*$LO$82+LV83*$LO$83+LV84*$LO$84+LV85*$LO$85+LV86*$LO$86+LV87*$LO$87+LV88*$LO$88+LV89*$LO$89+LV90*$LO$90</f>
        <v>2513</v>
      </c>
      <c r="LW101" s="184">
        <f>$LO$8*LW8+$LO$9*LW9+$LO$10*LW10+$LO$11*LW11+$LO$12*LW12+$LO$13*LW13+$LO$14*LW14+$LO$15*LW15+$LO$16*LW16+$LO$17*LW17+$LO$18*LW18+$LO$19*LW19+$LO$20*LW20+$LO$21*LW21+$LO$22*LW22+$LO$23*LW23+$LO$24*LW24+$LO$25*LW25+$LO$26*LW26+$LO$27*LW27+$LO$28*LW28+$LO$29*LW29+$LO$30*LW30+$LO$31*LW31+$LO$32*LW32+$LO$33*LW33+$LO$34*LW34+$LO$35*LW35+$LO$36*LW36+$LO$37*LW37+$LO$38*LW38+$LO$39*LW39+$LO$40*LW40+$LO$41*LW41+$LO$42*LW42+$LO$43*LW43+$LO$44*LW44+$LO$45*LW45+$LO$46*LW46+$LO$47*LW47+$LO$48*LW48+$LO$49*LW49+$LO$50*LW50+$LO$51*LW51+$LO$52*LW52+$LO$53*LW53+$LO$54*LW54+$LO$55*LW55+$LO$56*LW56+$LO$57*LW57+$LO$58*LW58+$LO$59*LW59+$LO$60*LW60+$LO$61*LW61+$LO$62*LW62+$LO$63*LW63+$LO$64*LW64+$LO$65*LW65+$LO$66*LW66+$LO$67*LW67+$LO$68*LW68+$LO$69*LW69+$LO$70*LW70+$LO$71*LW71+$LO$72*LW72+$LO$73*LW73+$LO$74*LW74+$LO$75*LW75+LW76*$LO$76+LW77*$LO$77+LW78*$LO$78+LW79*$LO$79+LW80*$LO$80+LW81*$LO$81+LW82*$LO$82+LW83*$LO$83+LW84*$LO$84+LW85*$LO$85+LW86*$LO$86+LW87*$LO$87+LW88*$LO$88+LW89*$LO$89+LW90*$LO$90</f>
        <v>2432</v>
      </c>
      <c r="LX101" s="184">
        <f t="shared" si="69"/>
        <v>0</v>
      </c>
      <c r="LY101" s="184">
        <f t="shared" si="69"/>
        <v>7913</v>
      </c>
      <c r="LZ101" s="184">
        <f t="shared" si="69"/>
        <v>5650</v>
      </c>
      <c r="MA101" s="184">
        <f t="shared" si="69"/>
        <v>1113.5</v>
      </c>
      <c r="MB101" s="184">
        <f t="shared" si="69"/>
        <v>1859</v>
      </c>
      <c r="MC101" s="184">
        <f>$LO$8*MC8+$LO$9*MC9+$LO$10*MC10+$LO$11*MC11+$LO$12*MC12+$LO$13*MC13+$LO$14*MC14+$LO$15*MC15+$LO$16*MC16+$LO$17*MC17+$LO$18*MC18+$LO$19*MC19+$LO$20*MC20+$LO$21*MC21+$LO$22*MC22+$LO$23*MC23+$LO$24*MC24+$LO$25*MC25+$LO$26*MC26+$LO$27*MC27+$LO$28*MC28+$LO$29*MC29+$LO$30*MC30+$LO$31*MC31+$LO$32*MC32+$LO$33*MC33+$LO$34*MC34+$LO$35*MC35+$LO$36*MC36+$LO$37*MC37+$LO$38*MC38+$LO$39*MC39+$LO$40*MC40+$LO$41*MC41+$LO$42*MC42+$LO$43*MC43+$LO$44*MC44+$LO$45*MC45+$LO$46*MC46+$LO$47*MC47+$LO$48*MC48+$LO$49*MC49+$LO$50*MC50+$LO$51*MC51+$LO$52*MC52+$LO$53*MC53+$LO$54*MC54+$LO$55*MC55+$LO$56*MC56+$LO$57*MC57+$LO$58*MC58+$LO$59*MC59+$LO$60*MC60+$LO$61*MC61+$LO$62*MC62+$LO$63*MC63+$LO$64*MC64+$LO$65*MC65+$LO$66*MC66+$LO$67*MC67+$LO$68*MC68+$LO$69*MC69+$LO$70*MC70+$LO$71*MC71+$LO$72*MC72+$LO$73*MC73+$LO$74*MC74+$LO$75*MC75+MC76*$LO$76+MC77*$LO$77+MC78*$LO$78+MC79*$LO$79+MC80*$LO$80+MC81*$LO$81+MC82*$LO$82+MC83*$LO$83+MC84*$LO$84+MC85*$LO$85+MC86*$LO$86+MC87*$LO$87+MC88*$LO$88+MC89*$LO$89+MC90*$LO$90+MC91*LO91</f>
        <v>1705</v>
      </c>
      <c r="MD101" s="184">
        <f>$LO$8*MD8+$LO$9*MD9+$LO$10*MD10+$LO$11*MD11+$LO$12*MD12+$LO$13*MD13+$LO$14*MD14+$LO$15*MD15+$LO$16*MD16+$LO$17*MD17+$LO$18*MD18+$LO$19*MD19+$LO$20*MD20+$LO$21*MD21+$LO$22*MD22+$LO$23*MD23+$LO$24*MD24+$LO$25*MD25+$LO$26*MD26+$LO$27*MD27+$LO$28*MD28+$LO$29*MD29+$LO$30*MD30+$LO$31*MD31+$LO$32*MD32+$LO$33*MD33+$LO$34*MD34+$LO$35*MD35+$LO$36*MD36+$LO$37*MD37+$LO$38*MD38+$LO$39*MD39+$LO$40*MD40+$LO$41*MD41+$LO$42*MD42+$LO$43*MD43+$LO$44*MD44+$LO$45*MD45+$LO$46*MD46+$LO$47*MD47+$LO$48*MD48+$LO$49*MD49+$LO$50*MD50+$LO$51*MD51+$LO$52*MD52+$LO$53*MD53+$LO$54*MD54+$LO$55*MD55+$LO$56*MD56+$LO$57*MD57+$LO$58*MD58+$LO$59*MD59+$LO$60*MD60+$LO$61*MD61+$LO$62*MD62+$LO$63*MD63+$LO$64*MD64+$LO$65*MD65+$LO$66*MD66+$LO$67*MD67+$LO$68*MD68+$LO$69*MD69+$LO$70*MD70+$LO$71*MD71+$LO$72*MD72+$LO$73*MD73+$LO$74*MD74+$LO$75*MD75+MD76*$LO$76+MD77*$LO$77+MD78*$LO$78+MD79*$LO$79+MD80*$LO$80+MD81*$LO$81+MD82*$LO$82+MD83*$LO$83+MD84*$LO$84+MD85*$LO$85+MD86*$LO$86+MD87*$LO$87+MD88*$LO$88+MD89*$LO$89+MD90*$LO$90+MD93*LO93</f>
        <v>2295.5</v>
      </c>
      <c r="ME101" s="14"/>
      <c r="MF101" s="80">
        <f>SUM(MF8:MF100)-SUM(LP102:LS102)</f>
        <v>33025</v>
      </c>
      <c r="MH101" s="754" t="s">
        <v>72</v>
      </c>
      <c r="MI101" s="755"/>
      <c r="MJ101" s="755"/>
      <c r="MK101" s="755"/>
      <c r="ML101" s="755"/>
      <c r="MM101" s="756"/>
      <c r="MO101" s="184">
        <f>$MN$8*MO8+$MN$9*MO9+$MN$10*MO10+$MN$11*MO11+$MN$12*MO12+$MN$13*MO13+$MN$14*MO14+$MN$15*MO15+$MN$16*MO16+$MN$17*MO17+$MN$18*MO18+$MN$19*MO19+$MN$20*MO20+$MN$21*MO21+$MN$22*MO22+$MN$23*MO23+$MN$24*MO24+$MN$25*MO25+$MN$26*MO26+$MN$27*MO27+$MN$28*MO28+$MN$29*MO29+$MN$30*MO30+$MN$31*MO31+$MN$32*MO32+$MN$33*MO33+$MN$34*MO34+$MN$35*MO35+$MN$36*MO36+$MN$37*MO37+$MN$38*MO38+$MN$39*MO39+$MN$40*MO40+$MN$41*MO41+$MN$42*MO42+$MN$43*MO43+$MN$44*MO44+$MN$45*MO45+$MN$46*MO46+$MN$47*MO47+$MN$48*MO48+$MN$49*MO49+$MN$50*MO50+$MN$51*MO51+$MN$52*MO52+$MN$53*MO53+$MN$54*MO54+$MN$55*MO55+$MN$56*MO56+$MN$57*MO57+$MN$58*MO58+$MN$59*MO59+$MN$60*MO60+$MN$61*MO61+$MN$62*MO62+$MN$63*MO63+$MN$64*MO64+$MN$65*MO65+$MN$66*MO66+$MN$67*MO67+$MN$68*MO68+$MN$69*MO69+$MN$70*MO70+$MN$71*MO71+$MN$72*MO72+$MN$73*MO73+$MN$74*MO74+$MN$75*MO75+MO76*$MN$76+MO77*$MN$77+MO78*$MN$78+MO79*$MN$79+MO80*$MN$80+MO81*$MN$81+MO82*$MN$82+MO83*$MN$83+MO84*$MN$84+MO85*$MN$85+MO86*$MN$86+MO87*$MN$87+MO88*$MN$88+MO89*$MN$89+MO90*$MN$90+MO91*$MN$91+MO92*$MN$92+MO93*$MN$93+MO94*$MN$94+MO95*$MN$95+MO96*$MN$96+MO97*$MN$97+MO98*$MN$98+MO99*$MN$99+MO100*$MN$100</f>
        <v>2829</v>
      </c>
      <c r="MP101" s="184">
        <f t="shared" ref="MP101:NC101" si="70">$MN$8*MP8+$MN$9*MP9+$MN$10*MP10+$MN$11*MP11+$MN$12*MP12+$MN$13*MP13+$MN$14*MP14+$MN$15*MP15+$MN$16*MP16+$MN$17*MP17+$MN$18*MP18+$MN$19*MP19+$MN$20*MP20+$MN$21*MP21+$MN$22*MP22+$MN$23*MP23+$MN$24*MP24+$MN$25*MP25+$MN$26*MP26+$MN$27*MP27+$MN$28*MP28+$MN$29*MP29+$MN$30*MP30+$MN$31*MP31+$MN$32*MP32+$MN$33*MP33+$MN$34*MP34+$MN$35*MP35+$MN$36*MP36+$MN$37*MP37+$MN$38*MP38+$MN$39*MP39+$MN$40*MP40+$MN$41*MP41+$MN$42*MP42+$MN$43*MP43+$MN$44*MP44+$MN$45*MP45+$MN$46*MP46+$MN$47*MP47+$MN$48*MP48+$MN$49*MP49+$MN$50*MP50+$MN$51*MP51+$MN$52*MP52+$MN$53*MP53+$MN$54*MP54+$MN$55*MP55+$MN$56*MP56+$MN$57*MP57+$MN$58*MP58+$MN$59*MP59+$MN$60*MP60+$MN$61*MP61+$MN$62*MP62+$MN$63*MP63+$MN$64*MP64+$MN$65*MP65+$MN$66*MP66+$MN$67*MP67+$MN$68*MP68+$MN$69*MP69+$MN$70*MP70+$MN$71*MP71+$MN$72*MP72+$MN$73*MP73+$MN$74*MP74+$MN$75*MP75+MP76*$MN$76+MP77*$MN$77+MP78*$MN$78+MP79*$MN$79+MP80*$MN$80+MP81*$MN$81+MP82*$MN$82+MP83*$MN$83+MP84*$MN$84+MP85*$MN$85+MP86*$MN$86+MP87*$MN$87+MP88*$MN$88+MP89*$MN$89+MP90*$MN$90+MP91*$MN$91+MP92*$MN$92+MP93*$MN$93+MP94*$MN$94+MP95*$MN$95+MP96*$MN$96+MP97*$MN$97+MP98*$MN$98+MP99*$MN$99+MP100*$MN$100</f>
        <v>707</v>
      </c>
      <c r="MQ101" s="184">
        <f t="shared" si="70"/>
        <v>1722</v>
      </c>
      <c r="MR101" s="184">
        <f>$MN$8*MR8+$MN$9*MR9+$MN$10*MR10+$MN$11*MR11+$MN$12*MR12+$MN$13*MR13+$MN$14*MR14+$MN$15*MR15+$MN$16*MR16+$MN$17*MR17+$MN$18*MR18+$MN$19*MR19+$MN$20*MR20+$MN$21*MR21+$MN$22*MR22+$MN$23*MR23+$MN$24*MR24+$MN$25*MR25+$MN$26*MR26+$MN$27*MR27+$MN$28*MR28+$MN$29*MR29+$MN$30*MR30+$MN$31*MR31+$MN$32*MR32+$MN$33*MR33+$MN$34*MR34+$MN$35*MR35+$MN$36*MR36+$MN$37*MR37+$MN$38*MR38+$MN$39*MR39+$MN$40*MR40+$MN$41*MR41+$MN$42*MR42+$MN$43*MR43+$MN$44*MR44+$MN$45*MR45+$MN$46*MR46+$MN$47*MR47+$MN$48*MR48+$MN$49*MR49+$MN$50*MR50+$MN$51*MR51+$MN$52*MR52+$MN$53*MR53+$MN$54*MR54+$MN$55*MR55+$MN$56*MR56+$MN$57*MR57+$MN$58*MR58+$MN$59*MR59+$MN$60*MR60+$MN$61*MR61+$MN$62*MR62+$MN$63*MR63+$MN$64*MR64+$MN$65*MR65+$MN$66*MR66+$MN$67*MR67+$MN$68*MR68+$MN$69*MR69+$MN$70*MR70+$MN$71*MR71+$MN$72*MR72+$MN$73*MR73+$MN$74*MR74+$MN$75*MR75+MR76*$MN$76+MR77*$MN$77+MR78*$MN$78+MR79*$MN$79+MR80*$MN$80+MR81*$MN$81+MR82*$MN$82+MR83*$MN$83+MR84*$MN$84+MR85*$MN$85+MR86*$MN$86+MR87*$MN$87+MR88*$MN$88+MR89*$MN$89+MR90*$MN$90+MR91*$MN$91+MR92*$MN$92+MR93*$MN$93+MR94*$MN$94+MR95*$MN$95+MR96*$MN$96+MR97*$MN$97+MR98*$MN$98+MR99*$MN$99+MR100*$MN$100</f>
        <v>998</v>
      </c>
      <c r="MS101" s="184">
        <f t="shared" si="70"/>
        <v>1231</v>
      </c>
      <c r="MT101" s="184">
        <f t="shared" si="70"/>
        <v>3675</v>
      </c>
      <c r="MU101" s="184">
        <f t="shared" si="70"/>
        <v>0</v>
      </c>
      <c r="MV101" s="184">
        <f t="shared" si="70"/>
        <v>1444</v>
      </c>
      <c r="MW101" s="184">
        <f t="shared" si="70"/>
        <v>1808</v>
      </c>
      <c r="MX101" s="184">
        <f t="shared" si="70"/>
        <v>652</v>
      </c>
      <c r="MY101" s="184">
        <f t="shared" si="70"/>
        <v>2114</v>
      </c>
      <c r="MZ101" s="184">
        <f t="shared" si="70"/>
        <v>1508</v>
      </c>
      <c r="NA101" s="184">
        <f t="shared" si="70"/>
        <v>3349</v>
      </c>
      <c r="NB101" s="184">
        <f t="shared" si="70"/>
        <v>0</v>
      </c>
      <c r="NC101" s="184">
        <f t="shared" si="70"/>
        <v>4627</v>
      </c>
      <c r="ND101" s="14"/>
      <c r="NE101" s="80">
        <f>SUM(NE8:NE100)-SUM(MO102:MR102)</f>
        <v>26612.799999999999</v>
      </c>
      <c r="NG101" s="754" t="s">
        <v>72</v>
      </c>
      <c r="NH101" s="755"/>
      <c r="NI101" s="755"/>
      <c r="NJ101" s="755"/>
      <c r="NK101" s="755"/>
      <c r="NL101" s="756"/>
      <c r="NN101" s="184">
        <f>$NM$8*NN8+$NM$9*NN9+$NM$10*NN10+$NM$11*NN11+$NM$12*NN12+$NM$13*NN13+$NM$14*NN14+$NM$15*NN15+$NM$16*NN16+$NM$17*NN17+$NM$18*NN18+$NM$19*NN19+$NM$20*NN20+$NM$21*NN21+$NM$22*NN22+$NM$23*NN23+$NM$24*NN24+$NM$25*NN25+$NM$26*NN26+$NM$27*NN27+$NM$28*NN28+$NM$29*NN29+$NM$30*NN30+$NM$31*NN31+$NM$32*NN32+$NM$33*NN33+$NM$34*NN34+$NM$35*NN35+$NM$36*NN36+$NM$37*NN37+$NM$38*NN38+$NM$39*NN39+$NM$40*NN40+$NM$41*NN41+$NM$42*NN42+$NM$43*NN43+$NM$44*NN44+$NM$45*NN45+$NM$46*NN46+$NM$47*NN47+$NM$48*NN48+$NM$49*NN49+$NM$50*NN50+$NM$51*NN51+$NM$52*NN52+$NM$53*NN53+$NM$54*NN54+$NM$55*NN55+$NM$56*NN56+$NM$57*NN57+$NM$58*NN58+$NM$59*NN59+$NM$60*NN60+$NM$61*NN61+$NM$62*NN62+$NM$63*NN63+$NM$64*NN64+$NM$65*NN65+$NM$66*NN66+$NM$67*NN67+$NM$68*NN68+$NM$69*NN69+$NM$70*NN70+$NM$71*NN71+$NM$72*NN72+$NM$73*NN73+$NM$74*NN74+$NM$75*NN75+NN76*$NM$76+NN77*$NM$77+NN78*$NM$78+NN79*$NM$79+NN80*$NM$80+NN81*$NM$81+NN82*$NM$82+NN83*$NM$83+NN84*$NM$84+NN85*$NM$85+NN86*$NM$86+NN87*$NM$87+NN88*$NM$88+NN89*$NM$89+NN90*$NM$90+NN91*$NM$91+NN92*$NM$92+NN93*$NM$93+NN94*$NM$94+NN95*$NM$95+NN96*$NM$96+NN97*$NM$97+NN98*$NM$98+NN99*$NM$99+NN100*$NM$100</f>
        <v>4943</v>
      </c>
      <c r="NO101" s="184">
        <f>$NM$8*NO8+$NM$9*NO9+$NM$10*NO10+$NM$11*NO11+$NM$12*NO12+$NM$13*NO13+$NM$14*NO14+$NM$15*NO15+$NM$16*NO16+$NM$17*NO17+$NM$18*NO18+$NM$19*NO19+$NM$20*NO20+$NM$21*NO21+$NM$22*NO22+$NM$23*NO23+$NM$24*NO24+$NM$25*NO25+$NM$26*NO26+$NM$27*NO27+$NM$28*NO28+$NM$29*NO29+$NM$30*NO30+$NM$31*NO31+$NM$32*NO32+$NM$33*NO33+$NM$34*NO34+$NM$35*NO35+$NM$36*NO36+$NM$37*NO37+$NM$38*NO38+$NM$39*NO39+$NM$40*NO40+$NM$41*NO41+$NM$42*NO42+$NM$43*NO43+$NM$44*NO44+$NM$45*NO45+$NM$46*NO46+$NM$47*NO47+$NM$48*NO48+$NM$49*NO49+$NM$50*NO50+$NM$51*NO51+$NM$52*NO52+$NM$53*NO53+$NM$54*NO54+$NM$55*NO55+$NM$56*NO56+$NM$57*NO57+$NM$58*NO58+$NM$59*NO59+$NM$60*NO60+$NM$61*NO61+$NM$62*NO62+$NM$63*NO63+$NM$64*NO64+$NM$65*NO65+$NM$66*NO66+$NM$67*NO67+$NM$68*NO68+$NM$69*NO69+$NM$70*NO70+$NM$71*NO71+$NM$72*NO72+$NM$73*NO73+$NM$74*NO74+$NM$75*NO75+NO76*$NM$76+NO77*$NM$77+NO78*$NM$78+NO79*$NM$79+NO80*$NM$80+NO81*$NM$81+NO82*$NM$82+NO83*$NM$83+NO84*$NM$84+NO85*$NM$85+NO86*$NM$86+NO87*$NM$87+NO88*$NM$88+NO89*$NM$89+NO90*$NM$90+NO91*$NM$91+NO92*$NM$92+NO93*$NM$93+NO94*$NM$94+NO95*$NM$95+NO96*$NM$96+NO97*$NM$97+NO98*$NM$98+NO99*$NM$99+NO100*$NM$100</f>
        <v>2882</v>
      </c>
      <c r="NP101" s="184">
        <f>$NM$8*NP8+$NM$9*NP9+$NM$10*NP10+$NM$11*NP11+$NM$12*NP12+$NM$13*NP13+$NM$14*NP14+$NM$15*NP15+$NM$16*NP16+$NM$17*NP17+$NM$18*NP18+$NM$19*NP19+$NM$20*NP20+$NM$21*NP21+$NM$22*NP22+$NM$23*NP23+$NM$24*NP24+$NM$25*NP25+$NM$26*NP26+$NM$27*NP27+$NM$28*NP28+$NM$29*NP29+$NM$30*NP30+$NM$31*NP31+$NM$32*NP32+$NM$33*NP33+$NM$34*NP34+$NM$35*NP35+$NM$36*NP36+$NM$37*NP37+$NM$38*NP38+$NM$39*NP39+$NM$40*NP40+$NM$41*NP41+$NM$42*NP42+$NM$43*NP43+$NM$44*NP44+$NM$45*NP45+$NM$46*NP46+$NM$47*NP47+$NM$48*NP48+$NM$49*NP49+$NM$50*NP50+$NM$51*NP51+$NM$52*NP52+$NM$53*NP53+$NM$54*NP54+$NM$55*NP55+$NM$56*NP56+$NM$57*NP57+$NM$58*NP58+$NM$59*NP59+$NM$60*NP60+$NM$61*NP61+$NM$62*NP62+$NM$63*NP63+$NM$64*NP64+$NM$65*NP65+$NM$66*NP66+$NM$67*NP67+$NM$68*NP68+$NM$69*NP69+$NM$70*NP70+$NM$71*NP71+$NM$72*NP72+$NM$73*NP73+$NM$74*NP74+$NM$75*NP75+NP76*$NM$76+NP77*$NM$77+NP78*$NM$78+NP79*$NM$79+NP80*$NM$80+NP81*$NM$81+NP82*$NM$82+NP83*$NM$83+NP84*$NM$84+NP85*$NM$85+NP86*$NM$86+NP87*$NM$87+NP88*$NM$88+NP89*$NM$89+NP90*$NM$90+NP91*$NM$91+NP92*$NM$92+NP93*$NM$93+NP94*$NM$94+NP95*$NM$95+NP96*$NM$96+NP97*$NM$97+NP98*$NM$98+NP99*$NM$99+NP100*$NM$100</f>
        <v>1200</v>
      </c>
      <c r="NQ101" s="184">
        <f>$NM$8*NQ8+$NM$9*NQ9+$NM$10*NQ10+$NM$11*NQ11+$NM$12*NQ12+$NM$13*NQ13+$NM$14*NQ14+$NM$15*NQ15+$NM$16*NQ16+$NM$17*NQ17+$NM$18*NQ18+$NM$19*NQ19+$NM$20*NQ20+$NM$21*NQ21+$NM$22*NQ22+$NM$23*NQ23+$NM$24*NQ24+$NM$25*NQ25+$NM$26*NQ26+$NM$27*NQ27+$NM$28*NQ28+$NM$29*NQ29+$NM$30*NQ30+$NM$31*NQ31+$NM$32*NQ32+$NM$33*NQ33+$NM$34*NQ34+$NM$35*NQ35+$NM$36*NQ36+$NM$37*NQ37+$NM$38*NQ38+$NM$39*NQ39+$NM$40*NQ40+$NM$41*NQ41+$NM$42*NQ42+$NM$43*NQ43+$NM$44*NQ44+$NM$45*NQ45+$NM$46*NQ46+$NM$47*NQ47+$NM$48*NQ48+$NM$49*NQ49+$NM$50*NQ50+$NM$51*NQ51+$NM$52*NQ52+$NM$53*NQ53+$NM$54*NQ54+$NM$55*NQ55+$NM$56*NQ56+$NM$57*NQ57+$NM$58*NQ58+$NM$59*NQ59+$NM$60*NQ60+$NM$61*NQ61+$NM$62*NQ62+$NM$63*NQ63+$NM$64*NQ64+$NM$65*NQ65+$NM$66*NQ66+$NM$67*NQ67+$NM$68*NQ68+$NM$69*NQ69+$NM$70*NQ70+$NM$71*NQ71+$NM$72*NQ72+$NM$73*NQ73+$NM$74*NQ74+$NM$75*NQ75+NQ76*$NM$76+NQ77*$NM$77+NQ78*$NM$78+NQ79*$NM$79+NQ80*$NM$80+NQ81*$NM$81+NQ82*$NM$82+NQ83*$NM$83+NQ84*$NM$84+NQ85*$NM$85+NQ86*$NM$86+NQ87*$NM$87+NQ88*$NM$88+NQ89*$NM$89+NQ90*$NM$90+NQ91*$NM$91+NQ92*$NM$92+NQ93*$NM$93+NQ94*$NM$94+NQ95*$NM$95+NQ96*$NM$96+NQ97*$NM$97+NQ98*$NM$98+NQ99*$NM$99+NQ100*$NM$100</f>
        <v>4163</v>
      </c>
      <c r="NR101" s="184">
        <f t="shared" ref="NR101:OB101" si="71">$NM$8*NR8+$NM$9*NR9+$NM$10*NR10+$NM$11*NR11+$NM$12*NR12+$NM$13*NR13+$NM$14*NR14+$NM$15*NR15+$NM$16*NR16+$NM$17*NR17+$NM$18*NR18+$NM$19*NR19+$NM$20*NR20+$NM$21*NR21+$NM$22*NR22+$NM$23*NR23+$NM$24*NR24+$NM$25*NR25+$NM$26*NR26+$NM$27*NR27+$NM$28*NR28+$NM$29*NR29+$NM$30*NR30+$NM$31*NR31+$NM$32*NR32+$NM$33*NR33+$NM$34*NR34+$NM$35*NR35+$NM$36*NR36+$NM$37*NR37+$NM$38*NR38+$NM$39*NR39+$NM$40*NR40+$NM$41*NR41+$NM$42*NR42+$NM$43*NR43+$NM$44*NR44+$NM$45*NR45+$NM$46*NR46+$NM$47*NR47+$NM$48*NR48+$NM$49*NR49+$NM$50*NR50+$NM$51*NR51+$NM$52*NR52+$NM$53*NR53+$NM$54*NR54+$NM$55*NR55+$NM$56*NR56+$NM$57*NR57+$NM$58*NR58+$NM$59*NR59+$NM$60*NR60+$NM$61*NR61+$NM$62*NR62+$NM$63*NR63+$NM$64*NR64+$NM$65*NR65+$NM$66*NR66+$NM$67*NR67+$NM$68*NR68+$NM$69*NR69+$NM$70*NR70+$NM$71*NR71+$NM$72*NR72+$NM$73*NR73+$NM$74*NR74+$NM$75*NR75+NR76*$NM$76+NR77*$NM$77+NR78*$NM$78+NR79*$NM$79+NR80*$NM$80+NR81*$NM$81+NR82*$NM$82+NR83*$NM$83+NR84*$NM$84+NR85*$NM$85+NR86*$NM$86+NR87*$NM$87+NR88*$NM$88+NR89*$NM$89+NR90*$NM$90+NR91*$NM$91+NR92*$NM$92+NR93*$NM$93+NR94*$NM$94+NR95*$NM$95+NR96*$NM$96+NR97*$NM$97+NR98*$NM$98+NR99*$NM$99+NR100*$NM$100</f>
        <v>2612</v>
      </c>
      <c r="NS101" s="184">
        <f t="shared" si="71"/>
        <v>317</v>
      </c>
      <c r="NT101" s="184">
        <f t="shared" si="71"/>
        <v>1233</v>
      </c>
      <c r="NU101" s="184">
        <f t="shared" si="71"/>
        <v>564</v>
      </c>
      <c r="NV101" s="184">
        <f t="shared" si="71"/>
        <v>0</v>
      </c>
      <c r="NW101" s="184">
        <f t="shared" si="71"/>
        <v>0</v>
      </c>
      <c r="NX101" s="184">
        <f t="shared" si="71"/>
        <v>0</v>
      </c>
      <c r="NY101" s="184">
        <f t="shared" si="71"/>
        <v>0</v>
      </c>
      <c r="NZ101" s="184">
        <f t="shared" si="71"/>
        <v>0</v>
      </c>
      <c r="OA101" s="184">
        <f t="shared" si="71"/>
        <v>0</v>
      </c>
      <c r="OB101" s="184">
        <f t="shared" si="71"/>
        <v>0</v>
      </c>
      <c r="OC101" s="14"/>
      <c r="OD101" s="80">
        <f>SUM(OD8:OD100)-SUM(NN102:NQ102)</f>
        <v>17921.5</v>
      </c>
    </row>
    <row r="102" spans="1:394" ht="14.45" customHeight="1" thickBot="1" x14ac:dyDescent="0.3">
      <c r="A102" s="47"/>
      <c r="B102" s="12"/>
      <c r="C102" s="14"/>
      <c r="D102" s="14"/>
      <c r="E102" s="14"/>
      <c r="F102" s="14"/>
      <c r="G102" s="14"/>
      <c r="H102" s="14"/>
      <c r="I102" s="14"/>
      <c r="J102" s="14"/>
      <c r="K102" s="25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25"/>
      <c r="X102" s="14"/>
      <c r="Y102" s="14"/>
      <c r="Z102" s="14"/>
      <c r="AA102" s="14"/>
      <c r="AB102" s="14"/>
      <c r="AC102" s="14"/>
      <c r="AD102" s="14"/>
      <c r="AE102" s="14"/>
      <c r="AF102" s="14"/>
      <c r="AG102" s="3"/>
      <c r="AH102" s="14"/>
      <c r="AI102" s="14"/>
      <c r="AJ102" s="14"/>
      <c r="AK102" s="14"/>
      <c r="AL102" s="14"/>
      <c r="AM102" s="14"/>
      <c r="AN102" s="14"/>
      <c r="AO102" s="25"/>
      <c r="AP102" s="14"/>
      <c r="AQ102" s="25"/>
      <c r="AS102" s="12"/>
      <c r="AT102" s="12"/>
      <c r="AU102" s="12"/>
      <c r="AV102" s="12"/>
      <c r="AW102" s="12"/>
      <c r="AX102" s="12"/>
      <c r="AY102" s="12"/>
      <c r="AZ102" s="25"/>
      <c r="BA102" s="25"/>
      <c r="BB102" s="25"/>
      <c r="BC102" s="25"/>
      <c r="BD102" s="14"/>
      <c r="BE102" s="25"/>
      <c r="BF102" s="25"/>
      <c r="BG102" s="14"/>
      <c r="BH102" s="14"/>
      <c r="BI102" s="14"/>
      <c r="BJ102" s="14"/>
      <c r="BK102" s="14"/>
      <c r="BL102" s="14"/>
      <c r="BM102" s="14"/>
      <c r="BN102" s="25"/>
      <c r="BO102" s="25"/>
      <c r="BP102" s="14"/>
      <c r="BQ102" s="25"/>
      <c r="BR102" s="25"/>
      <c r="BS102" s="14"/>
      <c r="BT102" s="14"/>
      <c r="BU102" s="14"/>
      <c r="BV102" s="14"/>
      <c r="BW102" s="14"/>
      <c r="BX102" s="14"/>
      <c r="BY102" s="14"/>
      <c r="BZ102" s="25"/>
      <c r="CA102" s="25"/>
      <c r="CB102" s="25"/>
      <c r="CC102" s="25"/>
      <c r="CD102" s="25"/>
      <c r="CE102" s="25"/>
      <c r="CF102" s="25"/>
      <c r="CG102" s="25"/>
      <c r="CH102" s="25"/>
      <c r="CI102" s="14"/>
      <c r="CJ102" s="25"/>
      <c r="CK102" s="8"/>
      <c r="CL102" s="740" t="s">
        <v>68</v>
      </c>
      <c r="CM102" s="740"/>
      <c r="CN102" s="740"/>
      <c r="CO102" s="740"/>
      <c r="CP102" s="740"/>
      <c r="CQ102" s="740"/>
      <c r="CR102" s="14"/>
      <c r="CS102" s="25"/>
      <c r="CT102" s="25"/>
      <c r="CU102" s="25"/>
      <c r="CV102" s="25"/>
      <c r="CW102" s="25"/>
      <c r="CX102" s="25"/>
      <c r="CY102" s="25"/>
      <c r="CZ102" s="33"/>
      <c r="DA102" s="14"/>
      <c r="DB102" s="33"/>
      <c r="DC102" s="33"/>
      <c r="DD102" s="14"/>
      <c r="DE102" s="14"/>
      <c r="DF102" s="14"/>
      <c r="DG102" s="14"/>
      <c r="DH102" s="14"/>
      <c r="DI102" s="14"/>
      <c r="DJ102" s="14"/>
      <c r="DK102" s="33"/>
      <c r="DL102" s="33"/>
      <c r="DM102" s="33"/>
      <c r="DN102" s="33"/>
      <c r="DO102" s="33"/>
      <c r="DP102" s="33"/>
      <c r="DQ102" s="33"/>
      <c r="DR102" s="33"/>
      <c r="DS102" s="33"/>
      <c r="DT102" s="33"/>
      <c r="DU102" s="14"/>
      <c r="DV102" s="33"/>
      <c r="DW102" s="8"/>
      <c r="DX102" s="8"/>
      <c r="IH102" s="152" t="s">
        <v>217</v>
      </c>
      <c r="II102" s="94"/>
      <c r="IJ102" s="94"/>
      <c r="IK102" s="94"/>
      <c r="IL102" s="152" t="s">
        <v>222</v>
      </c>
      <c r="KC102">
        <v>6</v>
      </c>
      <c r="KF102" s="212">
        <f>SUM(JI102:KD102)</f>
        <v>6</v>
      </c>
      <c r="KH102" s="699" t="s">
        <v>243</v>
      </c>
      <c r="KI102" s="700"/>
      <c r="KJ102" s="700"/>
      <c r="KK102" s="700"/>
      <c r="KL102" s="700"/>
      <c r="KM102" s="701"/>
      <c r="KN102" s="185"/>
      <c r="KO102" s="1">
        <v>44</v>
      </c>
      <c r="KP102" s="1"/>
      <c r="KQ102" s="1"/>
      <c r="KR102" s="1">
        <v>2</v>
      </c>
      <c r="KT102" s="212">
        <f>SUM(KO102:KR102)</f>
        <v>46</v>
      </c>
      <c r="KV102" s="699" t="s">
        <v>243</v>
      </c>
      <c r="KW102" s="700"/>
      <c r="KX102" s="700"/>
      <c r="KY102" s="700"/>
      <c r="KZ102" s="700"/>
      <c r="LA102" s="701"/>
      <c r="LB102" s="185"/>
      <c r="LC102" s="1">
        <v>37.090000000000003</v>
      </c>
      <c r="LD102" s="1">
        <v>1</v>
      </c>
      <c r="LE102" s="1">
        <v>1</v>
      </c>
      <c r="LG102" s="212">
        <f>SUM(LC102:LE102)</f>
        <v>39.090000000000003</v>
      </c>
      <c r="LI102" s="699" t="s">
        <v>243</v>
      </c>
      <c r="LJ102" s="700"/>
      <c r="LK102" s="700"/>
      <c r="LL102" s="700"/>
      <c r="LM102" s="700"/>
      <c r="LN102" s="701"/>
      <c r="LO102" s="185"/>
      <c r="LP102" s="1"/>
      <c r="LQ102" s="1"/>
      <c r="LR102" s="1">
        <f>9</f>
        <v>9</v>
      </c>
      <c r="LS102" s="1">
        <v>5</v>
      </c>
      <c r="LT102" s="1"/>
      <c r="LU102" s="1"/>
      <c r="LV102" s="1">
        <v>8</v>
      </c>
      <c r="LW102" s="1">
        <f>0.5</f>
        <v>0.5</v>
      </c>
      <c r="LX102" s="1"/>
      <c r="LY102" s="1">
        <v>40</v>
      </c>
      <c r="LZ102" s="1">
        <v>7</v>
      </c>
      <c r="MA102" s="1"/>
      <c r="MB102" s="1">
        <v>1</v>
      </c>
      <c r="MC102" s="1">
        <v>9</v>
      </c>
      <c r="MD102" s="1">
        <f>2+0.5+2+1</f>
        <v>5.5</v>
      </c>
      <c r="MF102" s="212">
        <f>SUM(LP102:MC102)</f>
        <v>79.5</v>
      </c>
      <c r="MH102" s="699" t="s">
        <v>243</v>
      </c>
      <c r="MI102" s="700"/>
      <c r="MJ102" s="700"/>
      <c r="MK102" s="700"/>
      <c r="ML102" s="700"/>
      <c r="MM102" s="701"/>
      <c r="MN102" s="185"/>
      <c r="MO102" s="1">
        <v>51.2</v>
      </c>
      <c r="MP102" s="1">
        <v>0</v>
      </c>
      <c r="MQ102" s="1"/>
      <c r="MR102" s="1"/>
      <c r="MS102" s="1">
        <f>2-15-21</f>
        <v>-34</v>
      </c>
      <c r="MT102" s="1">
        <f>5-21</f>
        <v>-16</v>
      </c>
      <c r="MU102" s="1"/>
      <c r="MV102" s="1">
        <v>4</v>
      </c>
      <c r="MW102" s="1">
        <v>1</v>
      </c>
      <c r="MX102" s="1"/>
      <c r="MY102" s="1">
        <v>14</v>
      </c>
      <c r="MZ102" s="1">
        <v>1</v>
      </c>
      <c r="NA102" s="1">
        <v>15</v>
      </c>
      <c r="NB102" s="1">
        <v>15</v>
      </c>
      <c r="NC102" s="1"/>
      <c r="NE102" s="212">
        <f>SUM(MO102:NB102)</f>
        <v>51.2</v>
      </c>
      <c r="NG102" s="699" t="s">
        <v>243</v>
      </c>
      <c r="NH102" s="700"/>
      <c r="NI102" s="700"/>
      <c r="NJ102" s="700"/>
      <c r="NK102" s="700"/>
      <c r="NL102" s="701"/>
      <c r="NM102" s="185"/>
      <c r="NN102" s="1">
        <v>16</v>
      </c>
      <c r="NO102" s="1">
        <v>15</v>
      </c>
      <c r="NP102" s="1"/>
      <c r="NQ102" s="1">
        <f>-42+3.5</f>
        <v>-38.5</v>
      </c>
      <c r="NR102" s="1">
        <f>-10</f>
        <v>-10</v>
      </c>
      <c r="NS102" s="1"/>
      <c r="NT102" s="1"/>
      <c r="NU102" s="1"/>
      <c r="NV102" s="1"/>
      <c r="NW102" s="1"/>
      <c r="NX102" s="1"/>
      <c r="NY102" s="1"/>
      <c r="NZ102" s="1"/>
      <c r="OA102" s="1"/>
      <c r="OB102" s="1"/>
      <c r="OD102" s="212">
        <f>SUM(NN102:OA102)</f>
        <v>-17.5</v>
      </c>
    </row>
    <row r="103" spans="1:394" ht="14.45" customHeight="1" x14ac:dyDescent="0.25">
      <c r="A103" s="748" t="s">
        <v>84</v>
      </c>
      <c r="B103" s="748"/>
      <c r="C103" s="748"/>
      <c r="D103" s="748"/>
      <c r="E103" s="748"/>
      <c r="F103" s="748"/>
      <c r="G103" s="748"/>
      <c r="H103" s="748"/>
      <c r="I103" s="748"/>
      <c r="J103" s="748"/>
      <c r="K103" s="748"/>
      <c r="L103" s="748"/>
      <c r="M103" s="748"/>
      <c r="N103" s="748"/>
      <c r="O103" s="748"/>
      <c r="P103" s="748"/>
      <c r="Q103" s="748"/>
      <c r="R103" s="748"/>
      <c r="S103" s="748"/>
      <c r="T103" s="748"/>
      <c r="U103" s="748"/>
      <c r="V103" s="748"/>
      <c r="W103" s="748"/>
      <c r="X103" s="748"/>
      <c r="Y103" s="748"/>
      <c r="Z103" s="34"/>
      <c r="AA103" s="34"/>
      <c r="AB103" s="34"/>
      <c r="AC103" s="34"/>
      <c r="AD103" s="34"/>
      <c r="AE103" s="34"/>
      <c r="AF103" s="34"/>
      <c r="AG103" s="6"/>
      <c r="AH103" s="12"/>
      <c r="AI103" s="12"/>
      <c r="AJ103" s="12"/>
      <c r="AK103" s="12"/>
      <c r="AL103" s="12"/>
      <c r="AM103" s="12"/>
      <c r="AN103" s="14"/>
      <c r="AO103" s="25"/>
      <c r="AP103" s="14"/>
      <c r="AQ103" s="25"/>
      <c r="AR103" s="8"/>
      <c r="AS103" s="12"/>
      <c r="AT103" s="12"/>
      <c r="AU103" s="12"/>
      <c r="AV103" s="12"/>
      <c r="AW103" s="12"/>
      <c r="AX103" s="12"/>
      <c r="AY103" s="12"/>
      <c r="AZ103" s="25"/>
      <c r="BA103" s="25"/>
      <c r="BB103" s="25"/>
      <c r="BC103" s="25"/>
      <c r="BD103" s="14"/>
      <c r="BE103" s="25"/>
      <c r="BF103" s="25"/>
      <c r="BG103" s="14"/>
      <c r="BH103" s="14"/>
      <c r="BI103" s="14"/>
      <c r="BJ103" s="14"/>
      <c r="BK103" s="14"/>
      <c r="BL103" s="14"/>
      <c r="BM103" s="14"/>
      <c r="BN103" s="25"/>
      <c r="BO103" s="25"/>
      <c r="BP103" s="14"/>
      <c r="BQ103" s="25"/>
      <c r="BR103" s="25"/>
      <c r="BS103" s="14"/>
      <c r="BT103" s="14"/>
      <c r="BU103" s="14"/>
      <c r="BV103" s="14"/>
      <c r="BW103" s="14"/>
      <c r="BX103" s="14"/>
      <c r="BY103" s="14"/>
      <c r="BZ103" s="25"/>
      <c r="CA103" s="25"/>
      <c r="CB103" s="25"/>
      <c r="CC103" s="25"/>
      <c r="CD103" s="25"/>
      <c r="CE103" s="25"/>
      <c r="CF103" s="25"/>
      <c r="CG103" s="25"/>
      <c r="CH103" s="25"/>
      <c r="CI103" s="14"/>
      <c r="CJ103" s="25"/>
      <c r="CK103" s="8"/>
      <c r="CL103" s="14"/>
      <c r="CM103" s="14"/>
      <c r="CN103" s="14"/>
      <c r="CO103" s="14"/>
      <c r="CP103" s="14"/>
      <c r="CQ103" s="14"/>
      <c r="CR103" s="14"/>
      <c r="CS103" s="25"/>
      <c r="CT103" s="25"/>
      <c r="CU103" s="25"/>
      <c r="CV103" s="25"/>
      <c r="CW103" s="25"/>
      <c r="CX103" s="25"/>
      <c r="CY103" s="25"/>
      <c r="CZ103" s="33"/>
      <c r="DA103" s="14"/>
      <c r="DB103" s="33"/>
      <c r="DC103" s="33"/>
      <c r="DD103" s="14"/>
      <c r="DE103" s="14"/>
      <c r="DF103" s="14"/>
      <c r="DG103" s="14"/>
      <c r="DH103" s="14"/>
      <c r="DI103" s="14"/>
      <c r="DJ103" s="14"/>
      <c r="DK103" s="33"/>
      <c r="DL103" s="33"/>
      <c r="DM103" s="33"/>
      <c r="DN103" s="33"/>
      <c r="DO103" s="33"/>
      <c r="DP103" s="33"/>
      <c r="DQ103" s="33"/>
      <c r="DR103" s="33"/>
      <c r="DS103" s="33"/>
      <c r="DT103" s="33"/>
      <c r="DU103" s="14"/>
      <c r="DV103" s="33"/>
      <c r="DW103" s="8"/>
      <c r="DX103" s="8"/>
      <c r="FW103" s="752"/>
      <c r="FX103" s="752"/>
      <c r="FY103" s="752"/>
      <c r="FZ103" s="752"/>
      <c r="GA103" s="752"/>
      <c r="GB103" s="752"/>
      <c r="IH103" s="94"/>
      <c r="II103" s="94"/>
      <c r="IJ103" s="94"/>
      <c r="IK103" s="94"/>
      <c r="IL103" s="94"/>
    </row>
    <row r="104" spans="1:394" ht="14.45" customHeight="1" x14ac:dyDescent="0.25">
      <c r="A104" s="748"/>
      <c r="B104" s="748"/>
      <c r="C104" s="748"/>
      <c r="D104" s="748"/>
      <c r="E104" s="748"/>
      <c r="F104" s="748"/>
      <c r="G104" s="748"/>
      <c r="H104" s="748"/>
      <c r="I104" s="748"/>
      <c r="J104" s="748"/>
      <c r="K104" s="748"/>
      <c r="L104" s="748"/>
      <c r="M104" s="748"/>
      <c r="N104" s="748"/>
      <c r="O104" s="748"/>
      <c r="P104" s="748"/>
      <c r="Q104" s="748"/>
      <c r="R104" s="748"/>
      <c r="S104" s="748"/>
      <c r="T104" s="748"/>
      <c r="U104" s="748"/>
      <c r="V104" s="748"/>
      <c r="W104" s="748"/>
      <c r="X104" s="748"/>
      <c r="Y104" s="748"/>
      <c r="Z104" s="34"/>
      <c r="AA104" s="34"/>
      <c r="AB104" s="34"/>
      <c r="AC104" s="34"/>
      <c r="AD104" s="34"/>
      <c r="AE104" s="34"/>
      <c r="AF104" s="34"/>
      <c r="AG104" s="6"/>
      <c r="AH104" s="12"/>
      <c r="AI104" s="12"/>
      <c r="AJ104" s="12"/>
      <c r="AK104" s="12"/>
      <c r="AL104" s="12"/>
      <c r="AM104" s="12"/>
      <c r="AN104" s="14"/>
      <c r="AO104" s="25"/>
      <c r="AP104" s="14"/>
      <c r="AQ104" s="25"/>
      <c r="AR104" s="8"/>
      <c r="AS104" s="12"/>
      <c r="AT104" s="12"/>
      <c r="AU104" s="12"/>
      <c r="AV104" s="12"/>
      <c r="AW104" s="12"/>
      <c r="AX104" s="12"/>
      <c r="AY104" s="12"/>
      <c r="AZ104" s="25"/>
      <c r="BA104" s="25"/>
      <c r="BB104" s="25"/>
      <c r="BC104" s="25"/>
      <c r="BD104" s="14"/>
      <c r="BE104" s="25"/>
      <c r="BF104" s="25"/>
      <c r="BG104" s="14"/>
      <c r="BH104" s="14"/>
      <c r="BI104" s="14"/>
      <c r="BJ104" s="14"/>
      <c r="BK104" s="14"/>
      <c r="BL104" s="14"/>
      <c r="BM104" s="14"/>
      <c r="BN104" s="25"/>
      <c r="BO104" s="25"/>
      <c r="BP104" s="14"/>
      <c r="BQ104" s="25"/>
      <c r="BR104" s="25"/>
      <c r="BS104" s="14"/>
      <c r="BT104" s="14"/>
      <c r="BU104" s="14"/>
      <c r="BV104" s="14"/>
      <c r="BW104" s="14"/>
      <c r="BX104" s="14"/>
      <c r="BY104" s="14"/>
      <c r="BZ104" s="25"/>
      <c r="CA104" s="25"/>
      <c r="CB104" s="25"/>
      <c r="CC104" s="25"/>
      <c r="CD104" s="25"/>
      <c r="CE104" s="25"/>
      <c r="CF104" s="25"/>
      <c r="CG104" s="25"/>
      <c r="CH104" s="25"/>
      <c r="CI104" s="14"/>
      <c r="CJ104" s="25"/>
      <c r="CK104" s="8"/>
      <c r="CL104" s="14"/>
      <c r="CM104" s="14"/>
      <c r="CN104" s="14"/>
      <c r="CO104" s="14"/>
      <c r="CP104" s="14"/>
      <c r="CQ104" s="14"/>
      <c r="CR104" s="14"/>
      <c r="CS104" s="25"/>
      <c r="CT104" s="25"/>
      <c r="CU104" s="25"/>
      <c r="CV104" s="25"/>
      <c r="CW104" s="25"/>
      <c r="CX104" s="25"/>
      <c r="CY104" s="25"/>
      <c r="CZ104" s="33"/>
      <c r="DA104" s="14"/>
      <c r="DB104" s="33"/>
      <c r="DC104" s="33"/>
      <c r="DD104" s="14"/>
      <c r="DE104" s="14"/>
      <c r="DF104" s="14"/>
      <c r="DG104" s="14"/>
      <c r="DH104" s="14"/>
      <c r="DI104" s="14"/>
      <c r="DJ104" s="14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14"/>
      <c r="DV104" s="33"/>
      <c r="DW104" s="8"/>
      <c r="DX104" s="8"/>
      <c r="FW104" s="752"/>
      <c r="FX104" s="752"/>
      <c r="FY104" s="752"/>
      <c r="FZ104" s="752"/>
      <c r="GA104" s="752"/>
      <c r="GB104" s="752"/>
      <c r="IH104" s="94"/>
      <c r="II104" s="94"/>
      <c r="IJ104" s="94"/>
      <c r="IK104" s="94"/>
      <c r="IL104" s="94"/>
    </row>
    <row r="105" spans="1:394" ht="14.45" customHeight="1" x14ac:dyDescent="0.25">
      <c r="A105" s="748"/>
      <c r="B105" s="748"/>
      <c r="C105" s="748"/>
      <c r="D105" s="748"/>
      <c r="E105" s="748"/>
      <c r="F105" s="748"/>
      <c r="G105" s="748"/>
      <c r="H105" s="748"/>
      <c r="I105" s="748"/>
      <c r="J105" s="748"/>
      <c r="K105" s="748"/>
      <c r="L105" s="748"/>
      <c r="M105" s="748"/>
      <c r="N105" s="748"/>
      <c r="O105" s="748"/>
      <c r="P105" s="748"/>
      <c r="Q105" s="748"/>
      <c r="R105" s="748"/>
      <c r="S105" s="748"/>
      <c r="T105" s="748"/>
      <c r="U105" s="748"/>
      <c r="V105" s="748"/>
      <c r="W105" s="748"/>
      <c r="X105" s="748"/>
      <c r="Y105" s="748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8"/>
      <c r="CL105" s="8"/>
      <c r="CM105" s="8"/>
      <c r="CN105" s="8"/>
      <c r="CP105" s="8"/>
      <c r="CQ105" s="8"/>
      <c r="CR105" s="8"/>
      <c r="CS105" s="8"/>
      <c r="CT105" s="8"/>
      <c r="CU105" s="8"/>
      <c r="CV105" s="8"/>
      <c r="CW105" s="8"/>
      <c r="CX105" s="8"/>
      <c r="CY105" s="8"/>
      <c r="CZ105" s="8"/>
      <c r="DA105" s="8"/>
      <c r="DB105" s="8"/>
      <c r="DC105" s="8"/>
      <c r="DD105" s="8"/>
      <c r="DE105" s="8"/>
      <c r="DF105" s="8"/>
      <c r="DG105" s="8"/>
      <c r="DH105" s="8"/>
      <c r="DI105" s="8"/>
      <c r="DJ105" s="8"/>
      <c r="DK105" s="8"/>
      <c r="DL105" s="8"/>
      <c r="DM105" s="8"/>
      <c r="DN105" s="8"/>
      <c r="DO105" s="8"/>
      <c r="DP105" s="8"/>
      <c r="DQ105" s="8"/>
      <c r="DR105" s="8"/>
      <c r="DS105" s="8"/>
      <c r="DT105" s="8"/>
      <c r="DU105" s="8"/>
      <c r="DV105" s="8"/>
      <c r="DW105" s="8"/>
      <c r="DX105" s="8"/>
      <c r="FW105" s="752"/>
      <c r="FX105" s="752"/>
      <c r="FY105" s="752"/>
      <c r="FZ105" s="752"/>
      <c r="GA105" s="752"/>
      <c r="GB105" s="752"/>
      <c r="IH105" s="94"/>
      <c r="II105" s="94"/>
      <c r="IJ105" s="94"/>
      <c r="IK105" s="94"/>
      <c r="IL105" s="94"/>
    </row>
    <row r="106" spans="1:394" ht="14.45" customHeight="1" thickBot="1" x14ac:dyDescent="0.3">
      <c r="A106" s="48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8"/>
      <c r="CL106" s="8"/>
      <c r="CM106" s="8"/>
      <c r="CN106" s="8"/>
      <c r="CP106" s="8"/>
      <c r="CQ106" s="8"/>
      <c r="CR106" s="8"/>
      <c r="CS106" s="8"/>
      <c r="CT106" s="8"/>
      <c r="CU106" s="8"/>
      <c r="CV106" s="8"/>
      <c r="CW106" s="8"/>
      <c r="CX106" s="8"/>
      <c r="CY106" s="8"/>
      <c r="CZ106" s="8"/>
      <c r="DA106" s="8"/>
      <c r="DB106" s="8"/>
      <c r="DC106" s="8"/>
      <c r="DD106" s="8"/>
      <c r="DE106" s="8"/>
      <c r="DF106" s="8"/>
      <c r="DG106" s="8"/>
      <c r="DH106" s="8"/>
      <c r="DI106" s="8"/>
      <c r="DJ106" s="8"/>
      <c r="DK106" s="8"/>
      <c r="DL106" s="8"/>
      <c r="DM106" s="8"/>
      <c r="DN106" s="8"/>
      <c r="DO106" s="8"/>
      <c r="DP106" s="8"/>
      <c r="DQ106" s="8"/>
      <c r="DR106" s="8"/>
      <c r="DS106" s="8"/>
      <c r="DT106" s="8"/>
      <c r="DU106" s="8"/>
      <c r="DV106" s="8"/>
      <c r="DW106" s="8"/>
      <c r="DX106" s="8"/>
      <c r="FW106" s="752"/>
      <c r="FX106" s="752"/>
      <c r="FY106" s="752"/>
      <c r="FZ106" s="752"/>
      <c r="GA106" s="752"/>
      <c r="GB106" s="752"/>
      <c r="IH106" s="94"/>
      <c r="II106" s="94"/>
      <c r="IJ106" s="94"/>
      <c r="IK106" s="94"/>
      <c r="IL106" s="94"/>
    </row>
    <row r="107" spans="1:394" ht="14.45" customHeight="1" x14ac:dyDescent="0.25">
      <c r="A107" s="44"/>
      <c r="B107" s="9"/>
      <c r="C107" s="662" t="s">
        <v>2</v>
      </c>
      <c r="D107" s="663"/>
      <c r="E107" s="663"/>
      <c r="F107" s="663"/>
      <c r="G107" s="663"/>
      <c r="H107" s="668"/>
      <c r="I107" s="738" t="s">
        <v>73</v>
      </c>
      <c r="J107" s="733"/>
      <c r="K107" s="733"/>
      <c r="L107" s="739"/>
      <c r="M107" s="732" t="s">
        <v>74</v>
      </c>
      <c r="N107" s="733"/>
      <c r="O107" s="733"/>
      <c r="P107" s="734"/>
      <c r="Q107" s="732" t="s">
        <v>96</v>
      </c>
      <c r="R107" s="733"/>
      <c r="S107" s="733"/>
      <c r="T107" s="734"/>
      <c r="U107" s="732" t="s">
        <v>181</v>
      </c>
      <c r="V107" s="733"/>
      <c r="W107" s="733"/>
      <c r="X107" s="734"/>
      <c r="Y107" s="738" t="s">
        <v>264</v>
      </c>
      <c r="Z107" s="733"/>
      <c r="AA107" s="733"/>
      <c r="AB107" s="733"/>
      <c r="AC107" s="733" t="s">
        <v>265</v>
      </c>
      <c r="AD107" s="733"/>
      <c r="AE107" s="733"/>
      <c r="AF107" s="733"/>
      <c r="AG107" s="733"/>
      <c r="AH107" s="733"/>
      <c r="AI107" s="733"/>
      <c r="AJ107" s="738" t="s">
        <v>288</v>
      </c>
      <c r="AK107" s="733"/>
      <c r="AL107" s="733"/>
      <c r="AM107" s="734"/>
      <c r="AN107" s="664" t="s">
        <v>72</v>
      </c>
      <c r="AO107" s="753"/>
      <c r="AP107" s="753"/>
      <c r="AQ107" s="753"/>
      <c r="AR107" s="221"/>
      <c r="AS107" s="221"/>
      <c r="AT107" s="221"/>
      <c r="AU107" s="35"/>
      <c r="AV107" s="35"/>
      <c r="AW107" s="35"/>
      <c r="AX107" s="35"/>
      <c r="AY107" s="36"/>
      <c r="AZ107" s="36"/>
      <c r="BA107" s="36"/>
      <c r="BB107" s="36"/>
      <c r="BC107" s="36"/>
      <c r="BD107" s="36"/>
      <c r="BE107" s="8"/>
      <c r="BF107" s="3"/>
      <c r="BG107" s="3"/>
      <c r="BH107" s="3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  <c r="CK107" s="8"/>
      <c r="CL107" s="8"/>
      <c r="CM107" s="8"/>
      <c r="CN107" s="8"/>
      <c r="CO107" s="8"/>
      <c r="CP107" s="8"/>
      <c r="CQ107" s="8"/>
      <c r="CR107" s="8"/>
      <c r="CS107" s="8"/>
      <c r="CT107" s="8"/>
      <c r="CU107" s="8"/>
      <c r="CV107" s="8"/>
      <c r="CW107" s="8"/>
      <c r="CX107" s="8"/>
      <c r="CY107" s="8"/>
      <c r="CZ107" s="8"/>
      <c r="DA107" s="8"/>
      <c r="DB107" s="8"/>
      <c r="DC107" s="8"/>
      <c r="DD107" s="8"/>
      <c r="DE107" s="8"/>
      <c r="DF107" s="8"/>
      <c r="DI107" s="8"/>
      <c r="DJ107" s="8"/>
      <c r="DK107" s="8"/>
      <c r="DL107" s="8"/>
      <c r="DM107" s="8"/>
      <c r="DN107" s="8"/>
      <c r="DO107" s="8"/>
      <c r="DP107" s="8"/>
      <c r="DQ107" s="8"/>
      <c r="DR107" s="8"/>
      <c r="DS107" s="8"/>
      <c r="DT107" s="8"/>
      <c r="DU107" s="8"/>
      <c r="DV107" s="8"/>
      <c r="DW107" s="8"/>
      <c r="DX107" s="8"/>
      <c r="DY107" s="8"/>
      <c r="DZ107" s="8"/>
      <c r="EA107" s="8"/>
      <c r="EB107" s="8"/>
      <c r="EC107" s="8"/>
      <c r="ED107" s="8"/>
      <c r="EE107" s="8"/>
      <c r="EF107" s="8"/>
      <c r="EG107" s="8"/>
      <c r="EH107" s="8"/>
      <c r="EI107" s="8"/>
      <c r="EJ107" s="8"/>
      <c r="EK107" s="8"/>
      <c r="EL107" s="8"/>
      <c r="EM107" s="8"/>
      <c r="EN107" s="8"/>
      <c r="EO107" s="8"/>
      <c r="EP107" s="8"/>
      <c r="IT107" s="94"/>
      <c r="IU107" s="94"/>
      <c r="IV107" s="94"/>
      <c r="IW107" s="94"/>
      <c r="IX107" s="94"/>
    </row>
    <row r="108" spans="1:394" ht="14.45" customHeight="1" x14ac:dyDescent="0.25">
      <c r="A108" s="44"/>
      <c r="B108" s="9"/>
      <c r="C108" s="644" t="s">
        <v>55</v>
      </c>
      <c r="D108" s="644"/>
      <c r="E108" s="644"/>
      <c r="F108" s="644"/>
      <c r="G108" s="644"/>
      <c r="H108" s="642"/>
      <c r="I108" s="737">
        <f t="shared" ref="I108:I139" si="72">M8+Y8+AP8+BD8</f>
        <v>0</v>
      </c>
      <c r="J108" s="689"/>
      <c r="K108" s="675">
        <f t="shared" ref="K108:K139" si="73">N8+Z8+AQ8+BE8</f>
        <v>0</v>
      </c>
      <c r="L108" s="690"/>
      <c r="M108" s="689">
        <f t="shared" ref="M108:M139" si="74">BP8+CI8+DA8+DU8</f>
        <v>26</v>
      </c>
      <c r="N108" s="689"/>
      <c r="O108" s="675">
        <f t="shared" ref="O108:O139" si="75">BQ8+CJ8+DB8+DV8</f>
        <v>194</v>
      </c>
      <c r="P108" s="676"/>
      <c r="Q108" s="689">
        <f t="shared" ref="Q108:Q139" si="76">EO8+FT8</f>
        <v>5</v>
      </c>
      <c r="R108" s="689"/>
      <c r="S108" s="675">
        <f t="shared" ref="S108:S139" si="77">EP8+FU8</f>
        <v>37.5</v>
      </c>
      <c r="T108" s="676"/>
      <c r="U108" s="689">
        <f t="shared" ref="U108:U139" si="78">GQ8+HL8+HW8+IM8</f>
        <v>6</v>
      </c>
      <c r="V108" s="689"/>
      <c r="W108" s="678">
        <f t="shared" ref="W108:W139" si="79">GR8+HM8+HX8+IN8</f>
        <v>47</v>
      </c>
      <c r="X108" s="678"/>
      <c r="Y108" s="691">
        <f t="shared" ref="Y108:Y139" si="80">IY8+KE8+KS8+LF8</f>
        <v>27</v>
      </c>
      <c r="Z108" s="688"/>
      <c r="AA108" s="675">
        <f t="shared" ref="AA108:AA139" si="81">IZ8+KF8+KT8+LG8</f>
        <v>216</v>
      </c>
      <c r="AB108" s="692"/>
      <c r="AC108" s="679">
        <f t="shared" ref="AC108:AC139" si="82">ME8+ND8</f>
        <v>29</v>
      </c>
      <c r="AD108" s="679"/>
      <c r="AE108" s="679"/>
      <c r="AF108" s="679"/>
      <c r="AG108" s="679"/>
      <c r="AH108" s="678">
        <f t="shared" ref="AH108:AH139" si="83">MF8+NE8</f>
        <v>232</v>
      </c>
      <c r="AI108" s="675"/>
      <c r="AJ108" s="673">
        <f>OC8</f>
        <v>26</v>
      </c>
      <c r="AK108" s="674"/>
      <c r="AL108" s="675">
        <f>OD8</f>
        <v>208</v>
      </c>
      <c r="AM108" s="676"/>
      <c r="AN108" s="659">
        <f>I108+M108+Q108+U108+Y108+AC108+AJ108</f>
        <v>119</v>
      </c>
      <c r="AO108" s="660"/>
      <c r="AP108" s="661">
        <f>K108+O108+S108+W108+AA108+AH108+AL108</f>
        <v>934.5</v>
      </c>
      <c r="AQ108" s="661"/>
      <c r="AR108" s="35"/>
      <c r="AS108" s="35"/>
      <c r="AT108" s="35"/>
      <c r="AU108" s="35"/>
      <c r="AV108" s="36"/>
      <c r="AW108" s="36"/>
      <c r="AX108" s="36"/>
      <c r="AY108" s="36"/>
      <c r="AZ108" s="36"/>
      <c r="BA108" s="36"/>
      <c r="BB108" s="8"/>
      <c r="BC108" s="3"/>
      <c r="BD108" s="3"/>
      <c r="BE108" s="3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  <c r="CB108" s="8"/>
      <c r="CC108" s="8"/>
      <c r="CD108" s="8"/>
      <c r="CE108" s="8"/>
      <c r="CF108" s="8"/>
      <c r="CG108" s="8"/>
      <c r="CH108" s="8"/>
      <c r="CI108" s="8"/>
      <c r="CJ108" s="8"/>
      <c r="CK108" s="8"/>
      <c r="CL108" s="8"/>
      <c r="CM108" s="8"/>
      <c r="CN108" s="8"/>
      <c r="CO108" s="8"/>
      <c r="CP108" s="8"/>
      <c r="CQ108" s="8"/>
      <c r="CR108" s="8"/>
      <c r="CS108" s="8"/>
      <c r="CT108" s="8"/>
      <c r="CU108" s="8"/>
      <c r="CV108" s="8"/>
      <c r="CW108" s="8"/>
      <c r="CX108" s="8"/>
      <c r="CY108" s="8"/>
      <c r="CZ108" s="8"/>
      <c r="DA108" s="8"/>
      <c r="DB108" s="8"/>
      <c r="DC108" s="8"/>
      <c r="DD108" s="8"/>
      <c r="DE108" s="8"/>
      <c r="DF108" s="8"/>
      <c r="DG108" s="8"/>
      <c r="DH108" s="8"/>
      <c r="DI108" s="8"/>
      <c r="DJ108" s="8"/>
      <c r="DK108" s="8"/>
      <c r="DL108" s="8"/>
      <c r="DM108" s="8"/>
      <c r="DN108" s="8"/>
      <c r="DO108" s="8"/>
      <c r="DP108" s="8"/>
      <c r="DQ108" s="8"/>
      <c r="DR108" s="8"/>
      <c r="DS108" s="8"/>
      <c r="DT108" s="8"/>
      <c r="DU108" s="8"/>
      <c r="DV108" s="8"/>
      <c r="DW108" s="8"/>
      <c r="DX108" s="8"/>
      <c r="DY108" s="8"/>
      <c r="DZ108" s="8"/>
      <c r="EA108" s="8"/>
      <c r="EB108" s="8"/>
      <c r="EC108" s="8"/>
      <c r="ED108" s="8"/>
      <c r="EE108" s="8"/>
      <c r="EF108" s="8"/>
      <c r="EG108" s="8"/>
      <c r="EH108" s="8"/>
      <c r="EI108" s="8"/>
      <c r="EJ108" s="8"/>
      <c r="EK108" s="8"/>
      <c r="EL108" s="8"/>
      <c r="EM108" s="8"/>
      <c r="IQ108" s="94"/>
      <c r="IR108" s="94"/>
      <c r="IS108" s="94"/>
      <c r="IT108" s="94"/>
      <c r="IU108" s="94"/>
    </row>
    <row r="109" spans="1:394" ht="14.45" customHeight="1" x14ac:dyDescent="0.25">
      <c r="A109" s="44"/>
      <c r="B109" s="9"/>
      <c r="C109" s="644" t="s">
        <v>4</v>
      </c>
      <c r="D109" s="644"/>
      <c r="E109" s="644"/>
      <c r="F109" s="644"/>
      <c r="G109" s="644"/>
      <c r="H109" s="642"/>
      <c r="I109" s="737">
        <f t="shared" si="72"/>
        <v>33</v>
      </c>
      <c r="J109" s="689"/>
      <c r="K109" s="675">
        <f t="shared" si="73"/>
        <v>431</v>
      </c>
      <c r="L109" s="690"/>
      <c r="M109" s="689">
        <f t="shared" si="74"/>
        <v>22</v>
      </c>
      <c r="N109" s="689"/>
      <c r="O109" s="675">
        <f t="shared" si="75"/>
        <v>329</v>
      </c>
      <c r="P109" s="676"/>
      <c r="Q109" s="689">
        <f t="shared" si="76"/>
        <v>49</v>
      </c>
      <c r="R109" s="689"/>
      <c r="S109" s="675">
        <f t="shared" si="77"/>
        <v>735</v>
      </c>
      <c r="T109" s="676"/>
      <c r="U109" s="689">
        <f t="shared" si="78"/>
        <v>49</v>
      </c>
      <c r="V109" s="689"/>
      <c r="W109" s="678">
        <f t="shared" si="79"/>
        <v>774</v>
      </c>
      <c r="X109" s="678"/>
      <c r="Y109" s="691">
        <f t="shared" si="80"/>
        <v>91</v>
      </c>
      <c r="Z109" s="688"/>
      <c r="AA109" s="675">
        <f t="shared" si="81"/>
        <v>1371</v>
      </c>
      <c r="AB109" s="692"/>
      <c r="AC109" s="679">
        <f t="shared" si="82"/>
        <v>155</v>
      </c>
      <c r="AD109" s="679"/>
      <c r="AE109" s="679"/>
      <c r="AF109" s="679"/>
      <c r="AG109" s="679"/>
      <c r="AH109" s="678">
        <f t="shared" si="83"/>
        <v>2325</v>
      </c>
      <c r="AI109" s="675"/>
      <c r="AJ109" s="673">
        <f t="shared" ref="AJ109:AJ172" si="84">OC9</f>
        <v>3</v>
      </c>
      <c r="AK109" s="674"/>
      <c r="AL109" s="675">
        <f t="shared" ref="AL109:AL172" si="85">OD9</f>
        <v>45</v>
      </c>
      <c r="AM109" s="676"/>
      <c r="AN109" s="659">
        <f t="shared" ref="AN109:AN172" si="86">I109+M109+Q109+U109+Y109+AC109+AJ109</f>
        <v>402</v>
      </c>
      <c r="AO109" s="660"/>
      <c r="AP109" s="661">
        <f t="shared" ref="AP109:AP172" si="87">K109+O109+S109+W109+AA109+AH109+AL109</f>
        <v>6010</v>
      </c>
      <c r="AQ109" s="661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3"/>
      <c r="BD109" s="3"/>
      <c r="BE109" s="3"/>
      <c r="IQ109" s="94"/>
      <c r="IR109" s="94"/>
      <c r="IS109" s="94"/>
      <c r="IT109" s="94"/>
      <c r="IU109" s="94"/>
    </row>
    <row r="110" spans="1:394" ht="14.45" customHeight="1" x14ac:dyDescent="0.25">
      <c r="A110" s="44"/>
      <c r="B110" s="9"/>
      <c r="C110" s="644" t="s">
        <v>5</v>
      </c>
      <c r="D110" s="644"/>
      <c r="E110" s="644"/>
      <c r="F110" s="644"/>
      <c r="G110" s="644"/>
      <c r="H110" s="642"/>
      <c r="I110" s="737">
        <f t="shared" si="72"/>
        <v>12</v>
      </c>
      <c r="J110" s="689"/>
      <c r="K110" s="675">
        <f t="shared" si="73"/>
        <v>437</v>
      </c>
      <c r="L110" s="690"/>
      <c r="M110" s="689">
        <f t="shared" si="74"/>
        <v>18</v>
      </c>
      <c r="N110" s="689"/>
      <c r="O110" s="675">
        <f t="shared" si="75"/>
        <v>718</v>
      </c>
      <c r="P110" s="676"/>
      <c r="Q110" s="689">
        <f t="shared" si="76"/>
        <v>19</v>
      </c>
      <c r="R110" s="689"/>
      <c r="S110" s="675">
        <f t="shared" si="77"/>
        <v>760</v>
      </c>
      <c r="T110" s="676"/>
      <c r="U110" s="689">
        <f t="shared" si="78"/>
        <v>18</v>
      </c>
      <c r="V110" s="689"/>
      <c r="W110" s="678">
        <f t="shared" si="79"/>
        <v>736</v>
      </c>
      <c r="X110" s="678"/>
      <c r="Y110" s="691">
        <f t="shared" si="80"/>
        <v>41</v>
      </c>
      <c r="Z110" s="688"/>
      <c r="AA110" s="675">
        <f t="shared" si="81"/>
        <v>1701</v>
      </c>
      <c r="AB110" s="692"/>
      <c r="AC110" s="679">
        <f t="shared" si="82"/>
        <v>107</v>
      </c>
      <c r="AD110" s="679"/>
      <c r="AE110" s="679"/>
      <c r="AF110" s="679"/>
      <c r="AG110" s="679"/>
      <c r="AH110" s="678">
        <f t="shared" si="83"/>
        <v>4173</v>
      </c>
      <c r="AI110" s="675"/>
      <c r="AJ110" s="673">
        <f t="shared" si="84"/>
        <v>37</v>
      </c>
      <c r="AK110" s="674"/>
      <c r="AL110" s="675">
        <f t="shared" si="85"/>
        <v>1443</v>
      </c>
      <c r="AM110" s="676"/>
      <c r="AN110" s="659">
        <f t="shared" si="86"/>
        <v>252</v>
      </c>
      <c r="AO110" s="660"/>
      <c r="AP110" s="661">
        <f t="shared" si="87"/>
        <v>9968</v>
      </c>
      <c r="AQ110" s="661"/>
      <c r="AR110" s="24"/>
      <c r="AS110" s="33"/>
      <c r="AT110" s="33"/>
      <c r="AU110" s="33"/>
      <c r="AV110" s="33"/>
      <c r="AW110" s="33"/>
      <c r="AX110" s="33"/>
      <c r="AY110" s="33"/>
      <c r="AZ110" s="33"/>
      <c r="BA110" s="33"/>
      <c r="BB110" s="14"/>
      <c r="BC110" s="3"/>
      <c r="BD110" s="3"/>
      <c r="BE110" s="3"/>
      <c r="IU110" s="94"/>
    </row>
    <row r="111" spans="1:394" ht="14.45" customHeight="1" x14ac:dyDescent="0.25">
      <c r="A111" s="44"/>
      <c r="B111" s="9"/>
      <c r="C111" s="644" t="s">
        <v>56</v>
      </c>
      <c r="D111" s="644"/>
      <c r="E111" s="644"/>
      <c r="F111" s="644"/>
      <c r="G111" s="644"/>
      <c r="H111" s="642"/>
      <c r="I111" s="737">
        <f t="shared" si="72"/>
        <v>0</v>
      </c>
      <c r="J111" s="689"/>
      <c r="K111" s="675">
        <f t="shared" si="73"/>
        <v>0</v>
      </c>
      <c r="L111" s="690"/>
      <c r="M111" s="689">
        <f t="shared" si="74"/>
        <v>1</v>
      </c>
      <c r="N111" s="689"/>
      <c r="O111" s="675">
        <f t="shared" si="75"/>
        <v>12</v>
      </c>
      <c r="P111" s="676"/>
      <c r="Q111" s="689">
        <f t="shared" si="76"/>
        <v>1</v>
      </c>
      <c r="R111" s="689"/>
      <c r="S111" s="675">
        <f t="shared" si="77"/>
        <v>12</v>
      </c>
      <c r="T111" s="676"/>
      <c r="U111" s="689">
        <f t="shared" si="78"/>
        <v>9</v>
      </c>
      <c r="V111" s="689"/>
      <c r="W111" s="678">
        <f t="shared" si="79"/>
        <v>108</v>
      </c>
      <c r="X111" s="678"/>
      <c r="Y111" s="691">
        <f t="shared" si="80"/>
        <v>13</v>
      </c>
      <c r="Z111" s="688"/>
      <c r="AA111" s="675">
        <f t="shared" si="81"/>
        <v>169</v>
      </c>
      <c r="AB111" s="692"/>
      <c r="AC111" s="679">
        <f t="shared" si="82"/>
        <v>35</v>
      </c>
      <c r="AD111" s="679"/>
      <c r="AE111" s="679"/>
      <c r="AF111" s="679"/>
      <c r="AG111" s="679"/>
      <c r="AH111" s="678">
        <f t="shared" si="83"/>
        <v>455</v>
      </c>
      <c r="AI111" s="675"/>
      <c r="AJ111" s="673">
        <f t="shared" si="84"/>
        <v>7</v>
      </c>
      <c r="AK111" s="674"/>
      <c r="AL111" s="675">
        <f t="shared" si="85"/>
        <v>91</v>
      </c>
      <c r="AM111" s="676"/>
      <c r="AN111" s="659">
        <f t="shared" si="86"/>
        <v>66</v>
      </c>
      <c r="AO111" s="660"/>
      <c r="AP111" s="661">
        <f t="shared" si="87"/>
        <v>847</v>
      </c>
      <c r="AQ111" s="661"/>
      <c r="AR111" s="24"/>
      <c r="AS111" s="33"/>
      <c r="AT111" s="33"/>
      <c r="AU111" s="33"/>
      <c r="AV111" s="33"/>
      <c r="AW111" s="33"/>
      <c r="AX111" s="33"/>
      <c r="AY111" s="33"/>
      <c r="AZ111" s="33"/>
      <c r="BA111" s="33"/>
      <c r="BB111" s="14"/>
      <c r="BC111" s="3"/>
      <c r="BD111" s="3"/>
      <c r="BE111" s="3"/>
      <c r="IU111" s="94"/>
    </row>
    <row r="112" spans="1:394" ht="14.45" customHeight="1" x14ac:dyDescent="0.25">
      <c r="A112" s="44"/>
      <c r="B112" s="9"/>
      <c r="C112" s="644" t="s">
        <v>49</v>
      </c>
      <c r="D112" s="644"/>
      <c r="E112" s="644"/>
      <c r="F112" s="644"/>
      <c r="G112" s="644"/>
      <c r="H112" s="642"/>
      <c r="I112" s="737">
        <f t="shared" si="72"/>
        <v>0</v>
      </c>
      <c r="J112" s="689"/>
      <c r="K112" s="675">
        <f t="shared" si="73"/>
        <v>0</v>
      </c>
      <c r="L112" s="690"/>
      <c r="M112" s="689">
        <f t="shared" si="74"/>
        <v>22</v>
      </c>
      <c r="N112" s="689"/>
      <c r="O112" s="675">
        <f t="shared" si="75"/>
        <v>593</v>
      </c>
      <c r="P112" s="676"/>
      <c r="Q112" s="689">
        <f t="shared" si="76"/>
        <v>19</v>
      </c>
      <c r="R112" s="689"/>
      <c r="S112" s="675">
        <f t="shared" si="77"/>
        <v>513</v>
      </c>
      <c r="T112" s="676"/>
      <c r="U112" s="689">
        <f t="shared" si="78"/>
        <v>21</v>
      </c>
      <c r="V112" s="689"/>
      <c r="W112" s="678">
        <f t="shared" si="79"/>
        <v>582</v>
      </c>
      <c r="X112" s="678"/>
      <c r="Y112" s="691">
        <f t="shared" si="80"/>
        <v>42</v>
      </c>
      <c r="Z112" s="688"/>
      <c r="AA112" s="675">
        <f t="shared" si="81"/>
        <v>1160</v>
      </c>
      <c r="AB112" s="692"/>
      <c r="AC112" s="679">
        <f t="shared" si="82"/>
        <v>106</v>
      </c>
      <c r="AD112" s="679"/>
      <c r="AE112" s="679"/>
      <c r="AF112" s="679"/>
      <c r="AG112" s="679"/>
      <c r="AH112" s="678">
        <f t="shared" si="83"/>
        <v>2756</v>
      </c>
      <c r="AI112" s="675"/>
      <c r="AJ112" s="673">
        <f t="shared" si="84"/>
        <v>9</v>
      </c>
      <c r="AK112" s="674"/>
      <c r="AL112" s="675">
        <f t="shared" si="85"/>
        <v>234</v>
      </c>
      <c r="AM112" s="676"/>
      <c r="AN112" s="659">
        <f t="shared" si="86"/>
        <v>219</v>
      </c>
      <c r="AO112" s="660"/>
      <c r="AP112" s="661">
        <f t="shared" si="87"/>
        <v>5838</v>
      </c>
      <c r="AQ112" s="661"/>
      <c r="AR112" s="24"/>
      <c r="AS112" s="33"/>
      <c r="AT112" s="33"/>
      <c r="AU112" s="33"/>
      <c r="AV112" s="33"/>
      <c r="AW112" s="33"/>
      <c r="AX112" s="33"/>
      <c r="AY112" s="33"/>
      <c r="AZ112" s="33"/>
      <c r="BA112" s="33"/>
      <c r="BB112" s="14"/>
      <c r="BC112" s="3"/>
      <c r="BD112" s="3"/>
      <c r="BE112" s="3"/>
    </row>
    <row r="113" spans="1:57" ht="14.45" customHeight="1" x14ac:dyDescent="0.25">
      <c r="A113" s="44"/>
      <c r="B113" s="9"/>
      <c r="C113" s="644" t="s">
        <v>50</v>
      </c>
      <c r="D113" s="644"/>
      <c r="E113" s="644"/>
      <c r="F113" s="644"/>
      <c r="G113" s="644"/>
      <c r="H113" s="642"/>
      <c r="I113" s="737">
        <f t="shared" si="72"/>
        <v>0</v>
      </c>
      <c r="J113" s="689"/>
      <c r="K113" s="675">
        <f t="shared" si="73"/>
        <v>0</v>
      </c>
      <c r="L113" s="690"/>
      <c r="M113" s="689">
        <f t="shared" si="74"/>
        <v>1</v>
      </c>
      <c r="N113" s="689"/>
      <c r="O113" s="675">
        <f t="shared" si="75"/>
        <v>7</v>
      </c>
      <c r="P113" s="676"/>
      <c r="Q113" s="689">
        <f t="shared" si="76"/>
        <v>0</v>
      </c>
      <c r="R113" s="689"/>
      <c r="S113" s="675">
        <f t="shared" si="77"/>
        <v>0</v>
      </c>
      <c r="T113" s="676"/>
      <c r="U113" s="689">
        <f t="shared" si="78"/>
        <v>1</v>
      </c>
      <c r="V113" s="689"/>
      <c r="W113" s="678">
        <f t="shared" si="79"/>
        <v>8</v>
      </c>
      <c r="X113" s="678"/>
      <c r="Y113" s="691">
        <f t="shared" si="80"/>
        <v>14</v>
      </c>
      <c r="Z113" s="688"/>
      <c r="AA113" s="675">
        <f t="shared" si="81"/>
        <v>98</v>
      </c>
      <c r="AB113" s="692"/>
      <c r="AC113" s="679">
        <f t="shared" si="82"/>
        <v>4</v>
      </c>
      <c r="AD113" s="679"/>
      <c r="AE113" s="679"/>
      <c r="AF113" s="679"/>
      <c r="AG113" s="679"/>
      <c r="AH113" s="678">
        <f t="shared" si="83"/>
        <v>28</v>
      </c>
      <c r="AI113" s="675"/>
      <c r="AJ113" s="673">
        <f t="shared" si="84"/>
        <v>1</v>
      </c>
      <c r="AK113" s="674"/>
      <c r="AL113" s="675">
        <f t="shared" si="85"/>
        <v>7</v>
      </c>
      <c r="AM113" s="676"/>
      <c r="AN113" s="659">
        <f t="shared" si="86"/>
        <v>21</v>
      </c>
      <c r="AO113" s="660"/>
      <c r="AP113" s="661">
        <f t="shared" si="87"/>
        <v>148</v>
      </c>
      <c r="AQ113" s="661"/>
      <c r="AR113" s="24"/>
      <c r="AS113" s="33"/>
      <c r="AT113" s="33"/>
      <c r="AU113" s="33"/>
      <c r="AV113" s="33"/>
      <c r="AW113" s="33"/>
      <c r="AX113" s="33"/>
      <c r="AY113" s="33"/>
      <c r="AZ113" s="33"/>
      <c r="BA113" s="33"/>
      <c r="BB113" s="14"/>
      <c r="BC113" s="3"/>
      <c r="BD113" s="3"/>
      <c r="BE113" s="3"/>
    </row>
    <row r="114" spans="1:57" ht="14.45" customHeight="1" x14ac:dyDescent="0.25">
      <c r="A114" s="44"/>
      <c r="B114" s="9"/>
      <c r="C114" s="644" t="s">
        <v>6</v>
      </c>
      <c r="D114" s="644"/>
      <c r="E114" s="644"/>
      <c r="F114" s="644"/>
      <c r="G114" s="644"/>
      <c r="H114" s="642"/>
      <c r="I114" s="737">
        <f t="shared" si="72"/>
        <v>23</v>
      </c>
      <c r="J114" s="689"/>
      <c r="K114" s="675">
        <f t="shared" si="73"/>
        <v>231</v>
      </c>
      <c r="L114" s="690"/>
      <c r="M114" s="689">
        <f t="shared" si="74"/>
        <v>2</v>
      </c>
      <c r="N114" s="689"/>
      <c r="O114" s="675">
        <f t="shared" si="75"/>
        <v>21</v>
      </c>
      <c r="P114" s="676"/>
      <c r="Q114" s="689">
        <f t="shared" si="76"/>
        <v>3</v>
      </c>
      <c r="R114" s="689"/>
      <c r="S114" s="675">
        <f t="shared" si="77"/>
        <v>31.5</v>
      </c>
      <c r="T114" s="676"/>
      <c r="U114" s="689">
        <f t="shared" si="78"/>
        <v>13</v>
      </c>
      <c r="V114" s="689"/>
      <c r="W114" s="678">
        <f t="shared" si="79"/>
        <v>134</v>
      </c>
      <c r="X114" s="678"/>
      <c r="Y114" s="691">
        <f t="shared" si="80"/>
        <v>24</v>
      </c>
      <c r="Z114" s="688"/>
      <c r="AA114" s="675">
        <f t="shared" si="81"/>
        <v>264</v>
      </c>
      <c r="AB114" s="692"/>
      <c r="AC114" s="679">
        <f t="shared" si="82"/>
        <v>42</v>
      </c>
      <c r="AD114" s="679"/>
      <c r="AE114" s="679"/>
      <c r="AF114" s="679"/>
      <c r="AG114" s="679"/>
      <c r="AH114" s="678">
        <f t="shared" si="83"/>
        <v>462</v>
      </c>
      <c r="AI114" s="675"/>
      <c r="AJ114" s="673">
        <f t="shared" si="84"/>
        <v>14</v>
      </c>
      <c r="AK114" s="674"/>
      <c r="AL114" s="675">
        <f t="shared" si="85"/>
        <v>154</v>
      </c>
      <c r="AM114" s="676"/>
      <c r="AN114" s="659">
        <f t="shared" si="86"/>
        <v>121</v>
      </c>
      <c r="AO114" s="660"/>
      <c r="AP114" s="661">
        <f t="shared" si="87"/>
        <v>1297.5</v>
      </c>
      <c r="AQ114" s="661"/>
      <c r="AR114" s="24"/>
      <c r="AS114" s="33"/>
      <c r="AT114" s="33"/>
      <c r="AU114" s="33"/>
      <c r="AV114" s="33"/>
      <c r="AW114" s="33"/>
      <c r="AX114" s="33"/>
      <c r="AY114" s="33"/>
      <c r="AZ114" s="33"/>
      <c r="BA114" s="33"/>
      <c r="BB114" s="14"/>
      <c r="BC114" s="3"/>
      <c r="BD114" s="3"/>
      <c r="BE114" s="3"/>
    </row>
    <row r="115" spans="1:57" ht="14.45" customHeight="1" x14ac:dyDescent="0.25">
      <c r="A115" s="44"/>
      <c r="B115" s="9"/>
      <c r="C115" s="644" t="s">
        <v>7</v>
      </c>
      <c r="D115" s="644"/>
      <c r="E115" s="644"/>
      <c r="F115" s="644"/>
      <c r="G115" s="644"/>
      <c r="H115" s="642"/>
      <c r="I115" s="737">
        <f t="shared" si="72"/>
        <v>5</v>
      </c>
      <c r="J115" s="689"/>
      <c r="K115" s="675">
        <f t="shared" si="73"/>
        <v>140</v>
      </c>
      <c r="L115" s="690"/>
      <c r="M115" s="689">
        <f t="shared" si="74"/>
        <v>7</v>
      </c>
      <c r="N115" s="689"/>
      <c r="O115" s="675">
        <f t="shared" si="75"/>
        <v>210</v>
      </c>
      <c r="P115" s="676"/>
      <c r="Q115" s="689">
        <f t="shared" si="76"/>
        <v>11</v>
      </c>
      <c r="R115" s="689"/>
      <c r="S115" s="675">
        <f t="shared" si="77"/>
        <v>330</v>
      </c>
      <c r="T115" s="676"/>
      <c r="U115" s="689">
        <f t="shared" si="78"/>
        <v>6</v>
      </c>
      <c r="V115" s="689"/>
      <c r="W115" s="678">
        <f t="shared" si="79"/>
        <v>190</v>
      </c>
      <c r="X115" s="678"/>
      <c r="Y115" s="691">
        <f t="shared" si="80"/>
        <v>11</v>
      </c>
      <c r="Z115" s="688"/>
      <c r="AA115" s="675">
        <f t="shared" si="81"/>
        <v>365</v>
      </c>
      <c r="AB115" s="692"/>
      <c r="AC115" s="679">
        <f t="shared" si="82"/>
        <v>38</v>
      </c>
      <c r="AD115" s="679"/>
      <c r="AE115" s="679"/>
      <c r="AF115" s="679"/>
      <c r="AG115" s="679"/>
      <c r="AH115" s="678">
        <f t="shared" si="83"/>
        <v>1140</v>
      </c>
      <c r="AI115" s="675"/>
      <c r="AJ115" s="673">
        <f t="shared" si="84"/>
        <v>11</v>
      </c>
      <c r="AK115" s="674"/>
      <c r="AL115" s="675">
        <f t="shared" si="85"/>
        <v>330</v>
      </c>
      <c r="AM115" s="676"/>
      <c r="AN115" s="659">
        <f t="shared" si="86"/>
        <v>89</v>
      </c>
      <c r="AO115" s="660"/>
      <c r="AP115" s="661">
        <f t="shared" si="87"/>
        <v>2705</v>
      </c>
      <c r="AQ115" s="661"/>
      <c r="AR115" s="24"/>
      <c r="AS115" s="33"/>
      <c r="AT115" s="33"/>
      <c r="AU115" s="33"/>
      <c r="AV115" s="33"/>
      <c r="AW115" s="33"/>
      <c r="AX115" s="33"/>
      <c r="AY115" s="33"/>
      <c r="AZ115" s="33"/>
      <c r="BA115" s="33"/>
      <c r="BB115" s="14"/>
      <c r="BC115" s="3"/>
      <c r="BD115" s="3"/>
      <c r="BE115" s="3"/>
    </row>
    <row r="116" spans="1:57" ht="14.45" customHeight="1" x14ac:dyDescent="0.25">
      <c r="A116" s="44"/>
      <c r="B116" s="9"/>
      <c r="C116" s="644" t="s">
        <v>8</v>
      </c>
      <c r="D116" s="644"/>
      <c r="E116" s="644"/>
      <c r="F116" s="644"/>
      <c r="G116" s="644"/>
      <c r="H116" s="642"/>
      <c r="I116" s="737">
        <f t="shared" si="72"/>
        <v>12</v>
      </c>
      <c r="J116" s="689"/>
      <c r="K116" s="675">
        <f t="shared" si="73"/>
        <v>144</v>
      </c>
      <c r="L116" s="690"/>
      <c r="M116" s="689">
        <f t="shared" si="74"/>
        <v>7</v>
      </c>
      <c r="N116" s="689"/>
      <c r="O116" s="675">
        <f t="shared" si="75"/>
        <v>97</v>
      </c>
      <c r="P116" s="676"/>
      <c r="Q116" s="689">
        <f t="shared" si="76"/>
        <v>7</v>
      </c>
      <c r="R116" s="689"/>
      <c r="S116" s="675">
        <f t="shared" si="77"/>
        <v>98</v>
      </c>
      <c r="T116" s="676"/>
      <c r="U116" s="689">
        <f t="shared" si="78"/>
        <v>15</v>
      </c>
      <c r="V116" s="689"/>
      <c r="W116" s="678">
        <f t="shared" si="79"/>
        <v>214</v>
      </c>
      <c r="X116" s="678"/>
      <c r="Y116" s="691">
        <f t="shared" si="80"/>
        <v>39</v>
      </c>
      <c r="Z116" s="688"/>
      <c r="AA116" s="675">
        <f t="shared" si="81"/>
        <v>546</v>
      </c>
      <c r="AB116" s="692"/>
      <c r="AC116" s="679">
        <f t="shared" si="82"/>
        <v>49</v>
      </c>
      <c r="AD116" s="679"/>
      <c r="AE116" s="679"/>
      <c r="AF116" s="679"/>
      <c r="AG116" s="679"/>
      <c r="AH116" s="678">
        <f t="shared" si="83"/>
        <v>686</v>
      </c>
      <c r="AI116" s="675"/>
      <c r="AJ116" s="673">
        <f t="shared" si="84"/>
        <v>25</v>
      </c>
      <c r="AK116" s="674"/>
      <c r="AL116" s="675">
        <f t="shared" si="85"/>
        <v>350</v>
      </c>
      <c r="AM116" s="676"/>
      <c r="AN116" s="659">
        <f t="shared" si="86"/>
        <v>154</v>
      </c>
      <c r="AO116" s="660"/>
      <c r="AP116" s="661">
        <f t="shared" si="87"/>
        <v>2135</v>
      </c>
      <c r="AQ116" s="661"/>
      <c r="AR116" s="24"/>
      <c r="AS116" s="33"/>
      <c r="AT116" s="33"/>
      <c r="AU116" s="33"/>
      <c r="AV116" s="33"/>
      <c r="AW116" s="33"/>
      <c r="AX116" s="33"/>
      <c r="AY116" s="33"/>
      <c r="AZ116" s="33"/>
      <c r="BA116" s="33"/>
      <c r="BB116" s="14"/>
      <c r="BC116" s="3"/>
      <c r="BD116" s="3"/>
      <c r="BE116" s="3"/>
    </row>
    <row r="117" spans="1:57" ht="14.45" customHeight="1" x14ac:dyDescent="0.25">
      <c r="A117" s="44"/>
      <c r="B117" s="9"/>
      <c r="C117" s="644" t="s">
        <v>9</v>
      </c>
      <c r="D117" s="644"/>
      <c r="E117" s="644"/>
      <c r="F117" s="644"/>
      <c r="G117" s="644"/>
      <c r="H117" s="642"/>
      <c r="I117" s="737">
        <f t="shared" si="72"/>
        <v>22</v>
      </c>
      <c r="J117" s="689"/>
      <c r="K117" s="675">
        <f t="shared" si="73"/>
        <v>618</v>
      </c>
      <c r="L117" s="690"/>
      <c r="M117" s="689">
        <f t="shared" si="74"/>
        <v>41</v>
      </c>
      <c r="N117" s="689"/>
      <c r="O117" s="675">
        <f t="shared" si="75"/>
        <v>1221</v>
      </c>
      <c r="P117" s="676"/>
      <c r="Q117" s="689">
        <f t="shared" si="76"/>
        <v>24</v>
      </c>
      <c r="R117" s="689"/>
      <c r="S117" s="675">
        <f t="shared" si="77"/>
        <v>720</v>
      </c>
      <c r="T117" s="676"/>
      <c r="U117" s="689">
        <f t="shared" si="78"/>
        <v>50</v>
      </c>
      <c r="V117" s="689"/>
      <c r="W117" s="678">
        <f t="shared" si="79"/>
        <v>1504</v>
      </c>
      <c r="X117" s="678"/>
      <c r="Y117" s="691">
        <f t="shared" si="80"/>
        <v>55</v>
      </c>
      <c r="Z117" s="688"/>
      <c r="AA117" s="675">
        <f t="shared" si="81"/>
        <v>1748</v>
      </c>
      <c r="AB117" s="692"/>
      <c r="AC117" s="679">
        <f t="shared" si="82"/>
        <v>115</v>
      </c>
      <c r="AD117" s="679"/>
      <c r="AE117" s="679"/>
      <c r="AF117" s="679"/>
      <c r="AG117" s="679"/>
      <c r="AH117" s="678">
        <f t="shared" si="83"/>
        <v>3450</v>
      </c>
      <c r="AI117" s="675"/>
      <c r="AJ117" s="673">
        <f t="shared" si="84"/>
        <v>37</v>
      </c>
      <c r="AK117" s="674"/>
      <c r="AL117" s="675">
        <f t="shared" si="85"/>
        <v>1110</v>
      </c>
      <c r="AM117" s="676"/>
      <c r="AN117" s="659">
        <f t="shared" si="86"/>
        <v>344</v>
      </c>
      <c r="AO117" s="660"/>
      <c r="AP117" s="661">
        <f t="shared" si="87"/>
        <v>10371</v>
      </c>
      <c r="AQ117" s="661"/>
      <c r="AR117" s="24"/>
      <c r="AS117" s="33"/>
      <c r="AT117" s="33"/>
      <c r="AU117" s="33"/>
      <c r="AV117" s="33"/>
      <c r="AW117" s="33"/>
      <c r="AX117" s="33"/>
      <c r="AY117" s="33"/>
      <c r="AZ117" s="33"/>
      <c r="BA117" s="33"/>
      <c r="BB117" s="14"/>
      <c r="BC117" s="3"/>
      <c r="BD117" s="3"/>
      <c r="BE117" s="3"/>
    </row>
    <row r="118" spans="1:57" ht="14.45" customHeight="1" x14ac:dyDescent="0.25">
      <c r="A118" s="44"/>
      <c r="B118" s="9"/>
      <c r="C118" s="644" t="s">
        <v>10</v>
      </c>
      <c r="D118" s="644"/>
      <c r="E118" s="644"/>
      <c r="F118" s="644"/>
      <c r="G118" s="644"/>
      <c r="H118" s="642"/>
      <c r="I118" s="737">
        <f t="shared" si="72"/>
        <v>17</v>
      </c>
      <c r="J118" s="689"/>
      <c r="K118" s="675">
        <f t="shared" si="73"/>
        <v>509</v>
      </c>
      <c r="L118" s="690"/>
      <c r="M118" s="689">
        <f t="shared" si="74"/>
        <v>12</v>
      </c>
      <c r="N118" s="689"/>
      <c r="O118" s="675">
        <f t="shared" si="75"/>
        <v>383</v>
      </c>
      <c r="P118" s="676"/>
      <c r="Q118" s="689">
        <f t="shared" si="76"/>
        <v>7</v>
      </c>
      <c r="R118" s="689"/>
      <c r="S118" s="675">
        <f t="shared" si="77"/>
        <v>224</v>
      </c>
      <c r="T118" s="676"/>
      <c r="U118" s="689">
        <f t="shared" si="78"/>
        <v>8</v>
      </c>
      <c r="V118" s="689"/>
      <c r="W118" s="678">
        <f t="shared" si="79"/>
        <v>261</v>
      </c>
      <c r="X118" s="678"/>
      <c r="Y118" s="691">
        <f t="shared" si="80"/>
        <v>19</v>
      </c>
      <c r="Z118" s="688"/>
      <c r="AA118" s="675">
        <f t="shared" si="81"/>
        <v>628</v>
      </c>
      <c r="AB118" s="692"/>
      <c r="AC118" s="679">
        <f t="shared" si="82"/>
        <v>45</v>
      </c>
      <c r="AD118" s="679"/>
      <c r="AE118" s="679"/>
      <c r="AF118" s="679"/>
      <c r="AG118" s="679"/>
      <c r="AH118" s="678">
        <f t="shared" si="83"/>
        <v>1395</v>
      </c>
      <c r="AI118" s="675"/>
      <c r="AJ118" s="673">
        <f t="shared" si="84"/>
        <v>7</v>
      </c>
      <c r="AK118" s="674"/>
      <c r="AL118" s="675">
        <f t="shared" si="85"/>
        <v>217</v>
      </c>
      <c r="AM118" s="676"/>
      <c r="AN118" s="659">
        <f t="shared" si="86"/>
        <v>115</v>
      </c>
      <c r="AO118" s="660"/>
      <c r="AP118" s="661">
        <f t="shared" si="87"/>
        <v>3617</v>
      </c>
      <c r="AQ118" s="661"/>
      <c r="AR118" s="24"/>
      <c r="AS118" s="33"/>
      <c r="AT118" s="33"/>
      <c r="AU118" s="33"/>
      <c r="AV118" s="33"/>
      <c r="AW118" s="33"/>
      <c r="AX118" s="33"/>
      <c r="AY118" s="33"/>
      <c r="AZ118" s="33"/>
      <c r="BA118" s="33"/>
      <c r="BB118" s="14"/>
      <c r="BC118" s="3"/>
      <c r="BD118" s="3"/>
      <c r="BE118" s="3"/>
    </row>
    <row r="119" spans="1:57" ht="14.45" customHeight="1" x14ac:dyDescent="0.25">
      <c r="A119" s="44"/>
      <c r="B119" s="9"/>
      <c r="C119" s="644" t="s">
        <v>11</v>
      </c>
      <c r="D119" s="644"/>
      <c r="E119" s="644"/>
      <c r="F119" s="644"/>
      <c r="G119" s="644"/>
      <c r="H119" s="642"/>
      <c r="I119" s="737">
        <f t="shared" si="72"/>
        <v>9</v>
      </c>
      <c r="J119" s="689"/>
      <c r="K119" s="675">
        <f t="shared" si="73"/>
        <v>905</v>
      </c>
      <c r="L119" s="690"/>
      <c r="M119" s="689">
        <f t="shared" si="74"/>
        <v>16</v>
      </c>
      <c r="N119" s="689"/>
      <c r="O119" s="675">
        <f t="shared" si="75"/>
        <v>1690</v>
      </c>
      <c r="P119" s="676"/>
      <c r="Q119" s="689">
        <f t="shared" si="76"/>
        <v>12</v>
      </c>
      <c r="R119" s="689"/>
      <c r="S119" s="675">
        <f t="shared" si="77"/>
        <v>1268</v>
      </c>
      <c r="T119" s="676"/>
      <c r="U119" s="689">
        <f t="shared" si="78"/>
        <v>23</v>
      </c>
      <c r="V119" s="689"/>
      <c r="W119" s="678">
        <f t="shared" si="79"/>
        <v>2470</v>
      </c>
      <c r="X119" s="678"/>
      <c r="Y119" s="691">
        <f t="shared" si="80"/>
        <v>28</v>
      </c>
      <c r="Z119" s="688"/>
      <c r="AA119" s="675">
        <f t="shared" si="81"/>
        <v>3108</v>
      </c>
      <c r="AB119" s="692"/>
      <c r="AC119" s="679">
        <f t="shared" si="82"/>
        <v>60</v>
      </c>
      <c r="AD119" s="679"/>
      <c r="AE119" s="679"/>
      <c r="AF119" s="679"/>
      <c r="AG119" s="679"/>
      <c r="AH119" s="678">
        <f t="shared" si="83"/>
        <v>6360</v>
      </c>
      <c r="AI119" s="675"/>
      <c r="AJ119" s="673">
        <f t="shared" si="84"/>
        <v>29</v>
      </c>
      <c r="AK119" s="674"/>
      <c r="AL119" s="675">
        <f t="shared" si="85"/>
        <v>3074</v>
      </c>
      <c r="AM119" s="676"/>
      <c r="AN119" s="659">
        <f t="shared" si="86"/>
        <v>177</v>
      </c>
      <c r="AO119" s="660"/>
      <c r="AP119" s="661">
        <f t="shared" si="87"/>
        <v>18875</v>
      </c>
      <c r="AQ119" s="661"/>
      <c r="AR119" s="24"/>
      <c r="AS119" s="33"/>
      <c r="AT119" s="33"/>
      <c r="AU119" s="33"/>
      <c r="AV119" s="33"/>
      <c r="AW119" s="33"/>
      <c r="AX119" s="33"/>
      <c r="AY119" s="33"/>
      <c r="AZ119" s="33"/>
      <c r="BA119" s="33"/>
      <c r="BB119" s="14"/>
      <c r="BC119" s="3"/>
      <c r="BD119" s="3"/>
      <c r="BE119" s="3"/>
    </row>
    <row r="120" spans="1:57" ht="14.45" customHeight="1" x14ac:dyDescent="0.25">
      <c r="A120" s="44"/>
      <c r="B120" s="9"/>
      <c r="C120" s="644" t="s">
        <v>57</v>
      </c>
      <c r="D120" s="644"/>
      <c r="E120" s="644"/>
      <c r="F120" s="644"/>
      <c r="G120" s="644"/>
      <c r="H120" s="642"/>
      <c r="I120" s="737">
        <f t="shared" si="72"/>
        <v>0</v>
      </c>
      <c r="J120" s="689"/>
      <c r="K120" s="675">
        <f t="shared" si="73"/>
        <v>0</v>
      </c>
      <c r="L120" s="690"/>
      <c r="M120" s="689">
        <f t="shared" si="74"/>
        <v>7</v>
      </c>
      <c r="N120" s="689"/>
      <c r="O120" s="675">
        <f t="shared" si="75"/>
        <v>350</v>
      </c>
      <c r="P120" s="676"/>
      <c r="Q120" s="689">
        <f t="shared" si="76"/>
        <v>15</v>
      </c>
      <c r="R120" s="689"/>
      <c r="S120" s="675">
        <f t="shared" si="77"/>
        <v>750</v>
      </c>
      <c r="T120" s="676"/>
      <c r="U120" s="689">
        <f t="shared" si="78"/>
        <v>6</v>
      </c>
      <c r="V120" s="689"/>
      <c r="W120" s="678">
        <f t="shared" si="79"/>
        <v>324</v>
      </c>
      <c r="X120" s="678"/>
      <c r="Y120" s="691">
        <f t="shared" si="80"/>
        <v>33</v>
      </c>
      <c r="Z120" s="688"/>
      <c r="AA120" s="675">
        <f t="shared" si="81"/>
        <v>1710</v>
      </c>
      <c r="AB120" s="692"/>
      <c r="AC120" s="679">
        <f t="shared" si="82"/>
        <v>86</v>
      </c>
      <c r="AD120" s="679"/>
      <c r="AE120" s="679"/>
      <c r="AF120" s="679"/>
      <c r="AG120" s="679"/>
      <c r="AH120" s="678">
        <f t="shared" si="83"/>
        <v>4300</v>
      </c>
      <c r="AI120" s="675"/>
      <c r="AJ120" s="673">
        <f t="shared" si="84"/>
        <v>17</v>
      </c>
      <c r="AK120" s="674"/>
      <c r="AL120" s="675">
        <f t="shared" si="85"/>
        <v>850</v>
      </c>
      <c r="AM120" s="676"/>
      <c r="AN120" s="659">
        <f t="shared" si="86"/>
        <v>164</v>
      </c>
      <c r="AO120" s="660"/>
      <c r="AP120" s="661">
        <f t="shared" si="87"/>
        <v>8284</v>
      </c>
      <c r="AQ120" s="661"/>
      <c r="AR120" s="24"/>
      <c r="AS120" s="33"/>
      <c r="AT120" s="33"/>
      <c r="AU120" s="33"/>
      <c r="AV120" s="33"/>
      <c r="AW120" s="33"/>
      <c r="AX120" s="33"/>
      <c r="AY120" s="33"/>
      <c r="AZ120" s="33"/>
      <c r="BA120" s="33"/>
      <c r="BB120" s="14"/>
      <c r="BC120" s="3"/>
      <c r="BD120" s="3"/>
      <c r="BE120" s="3"/>
    </row>
    <row r="121" spans="1:57" ht="14.45" customHeight="1" x14ac:dyDescent="0.25">
      <c r="A121" s="44"/>
      <c r="B121" s="9"/>
      <c r="C121" s="644" t="s">
        <v>51</v>
      </c>
      <c r="D121" s="644"/>
      <c r="E121" s="644"/>
      <c r="F121" s="644"/>
      <c r="G121" s="644"/>
      <c r="H121" s="642"/>
      <c r="I121" s="737">
        <f t="shared" si="72"/>
        <v>0</v>
      </c>
      <c r="J121" s="689"/>
      <c r="K121" s="675">
        <f t="shared" si="73"/>
        <v>0</v>
      </c>
      <c r="L121" s="690"/>
      <c r="M121" s="689">
        <f t="shared" si="74"/>
        <v>0</v>
      </c>
      <c r="N121" s="689"/>
      <c r="O121" s="675">
        <f t="shared" si="75"/>
        <v>0</v>
      </c>
      <c r="P121" s="676"/>
      <c r="Q121" s="689">
        <f t="shared" si="76"/>
        <v>2</v>
      </c>
      <c r="R121" s="689"/>
      <c r="S121" s="675">
        <f t="shared" si="77"/>
        <v>96</v>
      </c>
      <c r="T121" s="676"/>
      <c r="U121" s="689">
        <f t="shared" si="78"/>
        <v>3</v>
      </c>
      <c r="V121" s="689"/>
      <c r="W121" s="678">
        <f t="shared" si="79"/>
        <v>144</v>
      </c>
      <c r="X121" s="678"/>
      <c r="Y121" s="691">
        <f t="shared" si="80"/>
        <v>7</v>
      </c>
      <c r="Z121" s="688"/>
      <c r="AA121" s="675">
        <f t="shared" si="81"/>
        <v>346</v>
      </c>
      <c r="AB121" s="692"/>
      <c r="AC121" s="679">
        <f t="shared" si="82"/>
        <v>15</v>
      </c>
      <c r="AD121" s="679"/>
      <c r="AE121" s="679"/>
      <c r="AF121" s="679"/>
      <c r="AG121" s="679"/>
      <c r="AH121" s="678">
        <f t="shared" si="83"/>
        <v>690</v>
      </c>
      <c r="AI121" s="675"/>
      <c r="AJ121" s="673">
        <f t="shared" si="84"/>
        <v>2</v>
      </c>
      <c r="AK121" s="674"/>
      <c r="AL121" s="675">
        <f t="shared" si="85"/>
        <v>92</v>
      </c>
      <c r="AM121" s="676"/>
      <c r="AN121" s="659">
        <f t="shared" si="86"/>
        <v>29</v>
      </c>
      <c r="AO121" s="660"/>
      <c r="AP121" s="661">
        <f t="shared" si="87"/>
        <v>1368</v>
      </c>
      <c r="AQ121" s="661"/>
      <c r="AR121" s="24"/>
      <c r="AS121" s="33"/>
      <c r="AT121" s="33"/>
      <c r="AU121" s="33"/>
      <c r="AV121" s="33"/>
      <c r="AW121" s="33"/>
      <c r="AX121" s="33"/>
      <c r="AY121" s="33"/>
      <c r="AZ121" s="33"/>
      <c r="BA121" s="33"/>
      <c r="BB121" s="14"/>
      <c r="BC121" s="3"/>
      <c r="BD121" s="3"/>
      <c r="BE121" s="3"/>
    </row>
    <row r="122" spans="1:57" ht="14.45" customHeight="1" x14ac:dyDescent="0.25">
      <c r="A122" s="44"/>
      <c r="B122" s="9"/>
      <c r="C122" s="644" t="s">
        <v>52</v>
      </c>
      <c r="D122" s="644"/>
      <c r="E122" s="644"/>
      <c r="F122" s="644"/>
      <c r="G122" s="644"/>
      <c r="H122" s="642"/>
      <c r="I122" s="737">
        <f t="shared" si="72"/>
        <v>0</v>
      </c>
      <c r="J122" s="689"/>
      <c r="K122" s="675">
        <f t="shared" si="73"/>
        <v>0</v>
      </c>
      <c r="L122" s="690"/>
      <c r="M122" s="689">
        <f t="shared" si="74"/>
        <v>0</v>
      </c>
      <c r="N122" s="689"/>
      <c r="O122" s="675">
        <f t="shared" si="75"/>
        <v>0</v>
      </c>
      <c r="P122" s="676"/>
      <c r="Q122" s="689">
        <f t="shared" si="76"/>
        <v>1</v>
      </c>
      <c r="R122" s="689"/>
      <c r="S122" s="675">
        <f t="shared" si="77"/>
        <v>63</v>
      </c>
      <c r="T122" s="676"/>
      <c r="U122" s="689">
        <f t="shared" si="78"/>
        <v>0</v>
      </c>
      <c r="V122" s="689"/>
      <c r="W122" s="678">
        <f t="shared" si="79"/>
        <v>0</v>
      </c>
      <c r="X122" s="678"/>
      <c r="Y122" s="691">
        <f t="shared" si="80"/>
        <v>0</v>
      </c>
      <c r="Z122" s="688"/>
      <c r="AA122" s="675">
        <f t="shared" si="81"/>
        <v>0</v>
      </c>
      <c r="AB122" s="692"/>
      <c r="AC122" s="679">
        <f t="shared" si="82"/>
        <v>8</v>
      </c>
      <c r="AD122" s="679"/>
      <c r="AE122" s="679"/>
      <c r="AF122" s="679"/>
      <c r="AG122" s="679"/>
      <c r="AH122" s="678">
        <f t="shared" si="83"/>
        <v>488</v>
      </c>
      <c r="AI122" s="675"/>
      <c r="AJ122" s="673">
        <f t="shared" si="84"/>
        <v>1</v>
      </c>
      <c r="AK122" s="674"/>
      <c r="AL122" s="675">
        <f t="shared" si="85"/>
        <v>61</v>
      </c>
      <c r="AM122" s="676"/>
      <c r="AN122" s="659">
        <f t="shared" si="86"/>
        <v>10</v>
      </c>
      <c r="AO122" s="660"/>
      <c r="AP122" s="661">
        <f t="shared" si="87"/>
        <v>612</v>
      </c>
      <c r="AQ122" s="661"/>
      <c r="AR122" s="24"/>
      <c r="AS122" s="33"/>
      <c r="AT122" s="33"/>
      <c r="AU122" s="33"/>
      <c r="AV122" s="33"/>
      <c r="AW122" s="33"/>
      <c r="AX122" s="33"/>
      <c r="AY122" s="33"/>
      <c r="AZ122" s="33"/>
      <c r="BA122" s="33"/>
      <c r="BB122" s="14"/>
      <c r="BC122" s="3"/>
      <c r="BD122" s="3"/>
      <c r="BE122" s="3"/>
    </row>
    <row r="123" spans="1:57" ht="14.45" customHeight="1" x14ac:dyDescent="0.25">
      <c r="A123" s="44"/>
      <c r="B123" s="9"/>
      <c r="C123" s="644" t="s">
        <v>12</v>
      </c>
      <c r="D123" s="644"/>
      <c r="E123" s="644"/>
      <c r="F123" s="644"/>
      <c r="G123" s="644"/>
      <c r="H123" s="642"/>
      <c r="I123" s="737">
        <f t="shared" si="72"/>
        <v>6</v>
      </c>
      <c r="J123" s="689"/>
      <c r="K123" s="675">
        <f t="shared" si="73"/>
        <v>156</v>
      </c>
      <c r="L123" s="690"/>
      <c r="M123" s="689">
        <f t="shared" si="74"/>
        <v>48</v>
      </c>
      <c r="N123" s="689"/>
      <c r="O123" s="675">
        <f t="shared" si="75"/>
        <v>1432</v>
      </c>
      <c r="P123" s="676"/>
      <c r="Q123" s="689">
        <f t="shared" si="76"/>
        <v>18</v>
      </c>
      <c r="R123" s="689"/>
      <c r="S123" s="675">
        <f t="shared" si="77"/>
        <v>558</v>
      </c>
      <c r="T123" s="676"/>
      <c r="U123" s="689">
        <f t="shared" si="78"/>
        <v>38</v>
      </c>
      <c r="V123" s="689"/>
      <c r="W123" s="678">
        <f t="shared" si="79"/>
        <v>1178</v>
      </c>
      <c r="X123" s="678"/>
      <c r="Y123" s="691">
        <f t="shared" si="80"/>
        <v>28</v>
      </c>
      <c r="Z123" s="688"/>
      <c r="AA123" s="675">
        <f t="shared" si="81"/>
        <v>928</v>
      </c>
      <c r="AB123" s="692"/>
      <c r="AC123" s="679">
        <f t="shared" si="82"/>
        <v>72</v>
      </c>
      <c r="AD123" s="679"/>
      <c r="AE123" s="679"/>
      <c r="AF123" s="679"/>
      <c r="AG123" s="679"/>
      <c r="AH123" s="678">
        <f t="shared" si="83"/>
        <v>2232</v>
      </c>
      <c r="AI123" s="675"/>
      <c r="AJ123" s="673">
        <f t="shared" si="84"/>
        <v>0</v>
      </c>
      <c r="AK123" s="674"/>
      <c r="AL123" s="675">
        <f t="shared" si="85"/>
        <v>0</v>
      </c>
      <c r="AM123" s="676"/>
      <c r="AN123" s="659">
        <f t="shared" si="86"/>
        <v>210</v>
      </c>
      <c r="AO123" s="660"/>
      <c r="AP123" s="661">
        <f t="shared" si="87"/>
        <v>6484</v>
      </c>
      <c r="AQ123" s="661"/>
      <c r="AR123" s="24"/>
      <c r="AS123" s="33"/>
      <c r="AT123" s="33"/>
      <c r="AU123" s="33"/>
      <c r="AV123" s="33"/>
      <c r="AW123" s="33"/>
      <c r="AX123" s="33"/>
      <c r="AY123" s="33"/>
      <c r="AZ123" s="33"/>
      <c r="BA123" s="33"/>
      <c r="BB123" s="14"/>
      <c r="BC123" s="3"/>
      <c r="BD123" s="3"/>
      <c r="BE123" s="3"/>
    </row>
    <row r="124" spans="1:57" ht="14.45" customHeight="1" x14ac:dyDescent="0.25">
      <c r="A124" s="44"/>
      <c r="B124" s="9"/>
      <c r="C124" s="644" t="s">
        <v>13</v>
      </c>
      <c r="D124" s="644"/>
      <c r="E124" s="644"/>
      <c r="F124" s="644"/>
      <c r="G124" s="644"/>
      <c r="H124" s="642"/>
      <c r="I124" s="737">
        <f t="shared" si="72"/>
        <v>86</v>
      </c>
      <c r="J124" s="689"/>
      <c r="K124" s="675">
        <f t="shared" si="73"/>
        <v>2418</v>
      </c>
      <c r="L124" s="690"/>
      <c r="M124" s="689">
        <f t="shared" si="74"/>
        <v>135</v>
      </c>
      <c r="N124" s="689"/>
      <c r="O124" s="675">
        <f t="shared" si="75"/>
        <v>4415</v>
      </c>
      <c r="P124" s="676"/>
      <c r="Q124" s="689">
        <f t="shared" si="76"/>
        <v>146</v>
      </c>
      <c r="R124" s="689"/>
      <c r="S124" s="675">
        <f t="shared" si="77"/>
        <v>4818</v>
      </c>
      <c r="T124" s="676"/>
      <c r="U124" s="689">
        <f t="shared" si="78"/>
        <v>96</v>
      </c>
      <c r="V124" s="689"/>
      <c r="W124" s="678">
        <f t="shared" si="79"/>
        <v>3283</v>
      </c>
      <c r="X124" s="678"/>
      <c r="Y124" s="691">
        <f t="shared" si="80"/>
        <v>196</v>
      </c>
      <c r="Z124" s="688"/>
      <c r="AA124" s="675">
        <f t="shared" si="81"/>
        <v>6961</v>
      </c>
      <c r="AB124" s="692"/>
      <c r="AC124" s="679">
        <f t="shared" si="82"/>
        <v>612</v>
      </c>
      <c r="AD124" s="679"/>
      <c r="AE124" s="679"/>
      <c r="AF124" s="679"/>
      <c r="AG124" s="679"/>
      <c r="AH124" s="678">
        <f t="shared" si="83"/>
        <v>20808</v>
      </c>
      <c r="AI124" s="675"/>
      <c r="AJ124" s="673">
        <f t="shared" si="84"/>
        <v>145</v>
      </c>
      <c r="AK124" s="674"/>
      <c r="AL124" s="675">
        <f t="shared" si="85"/>
        <v>4930</v>
      </c>
      <c r="AM124" s="676"/>
      <c r="AN124" s="659">
        <f t="shared" si="86"/>
        <v>1416</v>
      </c>
      <c r="AO124" s="660"/>
      <c r="AP124" s="661">
        <f t="shared" si="87"/>
        <v>47633</v>
      </c>
      <c r="AQ124" s="661"/>
      <c r="AR124" s="24"/>
      <c r="AS124" s="33"/>
      <c r="AT124" s="33"/>
      <c r="AU124" s="33"/>
      <c r="AV124" s="33"/>
      <c r="AW124" s="33"/>
      <c r="AX124" s="33"/>
      <c r="AY124" s="33"/>
      <c r="AZ124" s="33"/>
      <c r="BA124" s="33"/>
      <c r="BB124" s="14"/>
      <c r="BC124" s="3"/>
      <c r="BD124" s="3"/>
      <c r="BE124" s="3"/>
    </row>
    <row r="125" spans="1:57" ht="14.45" customHeight="1" x14ac:dyDescent="0.25">
      <c r="A125" s="44"/>
      <c r="B125" s="9"/>
      <c r="C125" s="713" t="s">
        <v>67</v>
      </c>
      <c r="D125" s="713"/>
      <c r="E125" s="713"/>
      <c r="F125" s="713"/>
      <c r="G125" s="713"/>
      <c r="H125" s="746"/>
      <c r="I125" s="737">
        <f t="shared" si="72"/>
        <v>0</v>
      </c>
      <c r="J125" s="689"/>
      <c r="K125" s="675">
        <f t="shared" si="73"/>
        <v>0</v>
      </c>
      <c r="L125" s="690"/>
      <c r="M125" s="689">
        <f t="shared" si="74"/>
        <v>8</v>
      </c>
      <c r="N125" s="689"/>
      <c r="O125" s="675">
        <f t="shared" si="75"/>
        <v>224</v>
      </c>
      <c r="P125" s="676"/>
      <c r="Q125" s="689">
        <f t="shared" si="76"/>
        <v>1</v>
      </c>
      <c r="R125" s="689"/>
      <c r="S125" s="675">
        <f t="shared" si="77"/>
        <v>28</v>
      </c>
      <c r="T125" s="676"/>
      <c r="U125" s="689">
        <f t="shared" si="78"/>
        <v>2</v>
      </c>
      <c r="V125" s="689"/>
      <c r="W125" s="678">
        <f t="shared" si="79"/>
        <v>50</v>
      </c>
      <c r="X125" s="678"/>
      <c r="Y125" s="691">
        <f t="shared" si="80"/>
        <v>0</v>
      </c>
      <c r="Z125" s="688"/>
      <c r="AA125" s="675">
        <f t="shared" si="81"/>
        <v>0</v>
      </c>
      <c r="AB125" s="692"/>
      <c r="AC125" s="679">
        <f t="shared" si="82"/>
        <v>0</v>
      </c>
      <c r="AD125" s="679"/>
      <c r="AE125" s="679"/>
      <c r="AF125" s="679"/>
      <c r="AG125" s="679"/>
      <c r="AH125" s="678">
        <f t="shared" si="83"/>
        <v>0</v>
      </c>
      <c r="AI125" s="675"/>
      <c r="AJ125" s="673">
        <f t="shared" si="84"/>
        <v>0</v>
      </c>
      <c r="AK125" s="674"/>
      <c r="AL125" s="675">
        <f t="shared" si="85"/>
        <v>0</v>
      </c>
      <c r="AM125" s="676"/>
      <c r="AN125" s="659">
        <f t="shared" si="86"/>
        <v>11</v>
      </c>
      <c r="AO125" s="660"/>
      <c r="AP125" s="661">
        <f t="shared" si="87"/>
        <v>302</v>
      </c>
      <c r="AQ125" s="661"/>
      <c r="AR125" s="24"/>
      <c r="AS125" s="33"/>
      <c r="AT125" s="33"/>
      <c r="AU125" s="33"/>
      <c r="AV125" s="33"/>
      <c r="AW125" s="33"/>
      <c r="AX125" s="33"/>
      <c r="AY125" s="33"/>
      <c r="AZ125" s="33"/>
      <c r="BA125" s="33"/>
      <c r="BB125" s="14"/>
      <c r="BC125" s="3"/>
      <c r="BD125" s="3"/>
      <c r="BE125" s="3"/>
    </row>
    <row r="126" spans="1:57" ht="14.45" customHeight="1" x14ac:dyDescent="0.25">
      <c r="A126" s="44"/>
      <c r="B126" s="9"/>
      <c r="C126" s="642" t="s">
        <v>98</v>
      </c>
      <c r="D126" s="643"/>
      <c r="E126" s="643"/>
      <c r="F126" s="643"/>
      <c r="G126" s="643"/>
      <c r="H126" s="716"/>
      <c r="I126" s="737">
        <f t="shared" si="72"/>
        <v>0</v>
      </c>
      <c r="J126" s="689"/>
      <c r="K126" s="675">
        <f t="shared" si="73"/>
        <v>0</v>
      </c>
      <c r="L126" s="690"/>
      <c r="M126" s="689">
        <f t="shared" si="74"/>
        <v>0</v>
      </c>
      <c r="N126" s="689"/>
      <c r="O126" s="675">
        <f t="shared" si="75"/>
        <v>0</v>
      </c>
      <c r="P126" s="676"/>
      <c r="Q126" s="689">
        <f t="shared" si="76"/>
        <v>0</v>
      </c>
      <c r="R126" s="689"/>
      <c r="S126" s="675">
        <f t="shared" si="77"/>
        <v>0</v>
      </c>
      <c r="T126" s="676"/>
      <c r="U126" s="689">
        <f t="shared" si="78"/>
        <v>0</v>
      </c>
      <c r="V126" s="689"/>
      <c r="W126" s="678">
        <f t="shared" si="79"/>
        <v>0</v>
      </c>
      <c r="X126" s="678"/>
      <c r="Y126" s="691">
        <f t="shared" si="80"/>
        <v>0</v>
      </c>
      <c r="Z126" s="688"/>
      <c r="AA126" s="675">
        <f t="shared" si="81"/>
        <v>0</v>
      </c>
      <c r="AB126" s="692"/>
      <c r="AC126" s="679">
        <f t="shared" si="82"/>
        <v>0</v>
      </c>
      <c r="AD126" s="679"/>
      <c r="AE126" s="679"/>
      <c r="AF126" s="679"/>
      <c r="AG126" s="679"/>
      <c r="AH126" s="678">
        <f t="shared" si="83"/>
        <v>0</v>
      </c>
      <c r="AI126" s="675"/>
      <c r="AJ126" s="673">
        <f t="shared" si="84"/>
        <v>0</v>
      </c>
      <c r="AK126" s="674"/>
      <c r="AL126" s="675">
        <f t="shared" si="85"/>
        <v>0</v>
      </c>
      <c r="AM126" s="676"/>
      <c r="AN126" s="659">
        <f t="shared" si="86"/>
        <v>0</v>
      </c>
      <c r="AO126" s="660"/>
      <c r="AP126" s="661">
        <f t="shared" si="87"/>
        <v>0</v>
      </c>
      <c r="AQ126" s="661"/>
      <c r="AR126" s="24"/>
      <c r="AS126" s="33"/>
      <c r="AT126" s="33"/>
      <c r="AU126" s="33"/>
      <c r="AV126" s="33"/>
      <c r="AW126" s="33"/>
      <c r="AX126" s="33"/>
      <c r="AY126" s="33"/>
      <c r="AZ126" s="33"/>
      <c r="BA126" s="33"/>
      <c r="BB126" s="14"/>
      <c r="BC126" s="3"/>
      <c r="BD126" s="3"/>
      <c r="BE126" s="3"/>
    </row>
    <row r="127" spans="1:57" ht="14.45" customHeight="1" x14ac:dyDescent="0.25">
      <c r="A127" s="44"/>
      <c r="B127" s="9"/>
      <c r="C127" s="642" t="s">
        <v>99</v>
      </c>
      <c r="D127" s="643"/>
      <c r="E127" s="643"/>
      <c r="F127" s="643"/>
      <c r="G127" s="643"/>
      <c r="H127" s="716"/>
      <c r="I127" s="737">
        <f t="shared" si="72"/>
        <v>0</v>
      </c>
      <c r="J127" s="689"/>
      <c r="K127" s="675">
        <f t="shared" si="73"/>
        <v>0</v>
      </c>
      <c r="L127" s="690"/>
      <c r="M127" s="689">
        <f t="shared" si="74"/>
        <v>0</v>
      </c>
      <c r="N127" s="689"/>
      <c r="O127" s="675">
        <f t="shared" si="75"/>
        <v>0</v>
      </c>
      <c r="P127" s="676"/>
      <c r="Q127" s="689">
        <f t="shared" si="76"/>
        <v>0</v>
      </c>
      <c r="R127" s="689"/>
      <c r="S127" s="675">
        <f t="shared" si="77"/>
        <v>0</v>
      </c>
      <c r="T127" s="676"/>
      <c r="U127" s="689">
        <f t="shared" si="78"/>
        <v>0</v>
      </c>
      <c r="V127" s="689"/>
      <c r="W127" s="678">
        <f t="shared" si="79"/>
        <v>0</v>
      </c>
      <c r="X127" s="678"/>
      <c r="Y127" s="691">
        <f t="shared" si="80"/>
        <v>1</v>
      </c>
      <c r="Z127" s="688"/>
      <c r="AA127" s="675">
        <f t="shared" si="81"/>
        <v>135</v>
      </c>
      <c r="AB127" s="692"/>
      <c r="AC127" s="679">
        <f t="shared" si="82"/>
        <v>0</v>
      </c>
      <c r="AD127" s="679"/>
      <c r="AE127" s="679"/>
      <c r="AF127" s="679"/>
      <c r="AG127" s="679"/>
      <c r="AH127" s="678">
        <f t="shared" si="83"/>
        <v>0</v>
      </c>
      <c r="AI127" s="675"/>
      <c r="AJ127" s="673">
        <f t="shared" si="84"/>
        <v>1</v>
      </c>
      <c r="AK127" s="674"/>
      <c r="AL127" s="675">
        <f t="shared" si="85"/>
        <v>125</v>
      </c>
      <c r="AM127" s="676"/>
      <c r="AN127" s="659">
        <f t="shared" si="86"/>
        <v>2</v>
      </c>
      <c r="AO127" s="660"/>
      <c r="AP127" s="661">
        <f t="shared" si="87"/>
        <v>260</v>
      </c>
      <c r="AQ127" s="661"/>
      <c r="AR127" s="24"/>
      <c r="AS127" s="33"/>
      <c r="AT127" s="33"/>
      <c r="AU127" s="33"/>
      <c r="AV127" s="33"/>
      <c r="AW127" s="33"/>
      <c r="AX127" s="33"/>
      <c r="AY127" s="33"/>
      <c r="AZ127" s="33"/>
      <c r="BA127" s="33"/>
      <c r="BB127" s="14"/>
      <c r="BC127" s="3"/>
      <c r="BD127" s="3"/>
      <c r="BE127" s="3"/>
    </row>
    <row r="128" spans="1:57" ht="14.45" customHeight="1" x14ac:dyDescent="0.25">
      <c r="A128" s="44"/>
      <c r="B128" s="9"/>
      <c r="C128" s="642" t="s">
        <v>100</v>
      </c>
      <c r="D128" s="643"/>
      <c r="E128" s="643"/>
      <c r="F128" s="643"/>
      <c r="G128" s="643"/>
      <c r="H128" s="716"/>
      <c r="I128" s="737">
        <f t="shared" si="72"/>
        <v>0</v>
      </c>
      <c r="J128" s="689"/>
      <c r="K128" s="675">
        <f t="shared" si="73"/>
        <v>0</v>
      </c>
      <c r="L128" s="690"/>
      <c r="M128" s="689">
        <f t="shared" si="74"/>
        <v>0</v>
      </c>
      <c r="N128" s="689"/>
      <c r="O128" s="675">
        <f t="shared" si="75"/>
        <v>0</v>
      </c>
      <c r="P128" s="676"/>
      <c r="Q128" s="689">
        <f t="shared" si="76"/>
        <v>0</v>
      </c>
      <c r="R128" s="689"/>
      <c r="S128" s="675">
        <f t="shared" si="77"/>
        <v>0</v>
      </c>
      <c r="T128" s="676"/>
      <c r="U128" s="689">
        <f t="shared" si="78"/>
        <v>0</v>
      </c>
      <c r="V128" s="689"/>
      <c r="W128" s="678">
        <f t="shared" si="79"/>
        <v>0</v>
      </c>
      <c r="X128" s="678"/>
      <c r="Y128" s="691">
        <f t="shared" si="80"/>
        <v>0</v>
      </c>
      <c r="Z128" s="688"/>
      <c r="AA128" s="675">
        <f t="shared" si="81"/>
        <v>0</v>
      </c>
      <c r="AB128" s="692"/>
      <c r="AC128" s="679">
        <f t="shared" si="82"/>
        <v>4</v>
      </c>
      <c r="AD128" s="679"/>
      <c r="AE128" s="679"/>
      <c r="AF128" s="679"/>
      <c r="AG128" s="679"/>
      <c r="AH128" s="678">
        <f t="shared" si="83"/>
        <v>480</v>
      </c>
      <c r="AI128" s="675"/>
      <c r="AJ128" s="673">
        <f t="shared" si="84"/>
        <v>1</v>
      </c>
      <c r="AK128" s="674"/>
      <c r="AL128" s="675">
        <f t="shared" si="85"/>
        <v>120</v>
      </c>
      <c r="AM128" s="676"/>
      <c r="AN128" s="659">
        <f t="shared" si="86"/>
        <v>5</v>
      </c>
      <c r="AO128" s="660"/>
      <c r="AP128" s="661">
        <f t="shared" si="87"/>
        <v>600</v>
      </c>
      <c r="AQ128" s="661"/>
      <c r="AR128" s="24"/>
      <c r="AS128" s="33"/>
      <c r="AT128" s="33"/>
      <c r="AU128" s="33"/>
      <c r="AV128" s="33"/>
      <c r="AW128" s="33"/>
      <c r="AX128" s="33"/>
      <c r="AY128" s="33"/>
      <c r="AZ128" s="33"/>
      <c r="BA128" s="33"/>
      <c r="BB128" s="14"/>
      <c r="BC128" s="3"/>
      <c r="BD128" s="3"/>
      <c r="BE128" s="3"/>
    </row>
    <row r="129" spans="1:57" ht="14.45" customHeight="1" x14ac:dyDescent="0.25">
      <c r="A129" s="44"/>
      <c r="B129" s="9"/>
      <c r="C129" s="642" t="s">
        <v>101</v>
      </c>
      <c r="D129" s="643"/>
      <c r="E129" s="643"/>
      <c r="F129" s="643"/>
      <c r="G129" s="643"/>
      <c r="H129" s="716"/>
      <c r="I129" s="737">
        <f t="shared" si="72"/>
        <v>0</v>
      </c>
      <c r="J129" s="689"/>
      <c r="K129" s="675">
        <f t="shared" si="73"/>
        <v>0</v>
      </c>
      <c r="L129" s="690"/>
      <c r="M129" s="689">
        <f t="shared" si="74"/>
        <v>0</v>
      </c>
      <c r="N129" s="689"/>
      <c r="O129" s="675">
        <f t="shared" si="75"/>
        <v>0</v>
      </c>
      <c r="P129" s="676"/>
      <c r="Q129" s="689">
        <f t="shared" si="76"/>
        <v>0</v>
      </c>
      <c r="R129" s="689"/>
      <c r="S129" s="675">
        <f t="shared" si="77"/>
        <v>0</v>
      </c>
      <c r="T129" s="676"/>
      <c r="U129" s="689">
        <f t="shared" si="78"/>
        <v>0</v>
      </c>
      <c r="V129" s="689"/>
      <c r="W129" s="678">
        <f t="shared" si="79"/>
        <v>0</v>
      </c>
      <c r="X129" s="678"/>
      <c r="Y129" s="691">
        <f t="shared" si="80"/>
        <v>0</v>
      </c>
      <c r="Z129" s="688"/>
      <c r="AA129" s="675">
        <f t="shared" si="81"/>
        <v>0</v>
      </c>
      <c r="AB129" s="692"/>
      <c r="AC129" s="679">
        <f t="shared" si="82"/>
        <v>1</v>
      </c>
      <c r="AD129" s="679"/>
      <c r="AE129" s="679"/>
      <c r="AF129" s="679"/>
      <c r="AG129" s="679"/>
      <c r="AH129" s="678">
        <f t="shared" si="83"/>
        <v>115</v>
      </c>
      <c r="AI129" s="675"/>
      <c r="AJ129" s="673">
        <f t="shared" si="84"/>
        <v>1</v>
      </c>
      <c r="AK129" s="674"/>
      <c r="AL129" s="675">
        <f t="shared" si="85"/>
        <v>115</v>
      </c>
      <c r="AM129" s="676"/>
      <c r="AN129" s="659">
        <f t="shared" si="86"/>
        <v>2</v>
      </c>
      <c r="AO129" s="660"/>
      <c r="AP129" s="661">
        <f t="shared" si="87"/>
        <v>230</v>
      </c>
      <c r="AQ129" s="661"/>
      <c r="AR129" s="24"/>
      <c r="AS129" s="33"/>
      <c r="AT129" s="33"/>
      <c r="AU129" s="33"/>
      <c r="AV129" s="33"/>
      <c r="AW129" s="33"/>
      <c r="AX129" s="33"/>
      <c r="AY129" s="33"/>
      <c r="AZ129" s="33"/>
      <c r="BA129" s="33"/>
      <c r="BB129" s="14"/>
      <c r="BC129" s="3"/>
      <c r="BD129" s="3"/>
      <c r="BE129" s="3"/>
    </row>
    <row r="130" spans="1:57" ht="14.45" customHeight="1" x14ac:dyDescent="0.25">
      <c r="A130" s="44"/>
      <c r="B130" s="9"/>
      <c r="C130" s="644" t="s">
        <v>53</v>
      </c>
      <c r="D130" s="644"/>
      <c r="E130" s="644"/>
      <c r="F130" s="644"/>
      <c r="G130" s="644"/>
      <c r="H130" s="642"/>
      <c r="I130" s="737">
        <f t="shared" si="72"/>
        <v>0</v>
      </c>
      <c r="J130" s="689"/>
      <c r="K130" s="675">
        <f t="shared" si="73"/>
        <v>0</v>
      </c>
      <c r="L130" s="690"/>
      <c r="M130" s="689">
        <f t="shared" si="74"/>
        <v>0</v>
      </c>
      <c r="N130" s="689"/>
      <c r="O130" s="675">
        <f t="shared" si="75"/>
        <v>0</v>
      </c>
      <c r="P130" s="676"/>
      <c r="Q130" s="689">
        <f t="shared" si="76"/>
        <v>2</v>
      </c>
      <c r="R130" s="689"/>
      <c r="S130" s="675">
        <f t="shared" si="77"/>
        <v>50</v>
      </c>
      <c r="T130" s="676"/>
      <c r="U130" s="689">
        <f t="shared" si="78"/>
        <v>2</v>
      </c>
      <c r="V130" s="689"/>
      <c r="W130" s="678">
        <f t="shared" si="79"/>
        <v>50</v>
      </c>
      <c r="X130" s="678"/>
      <c r="Y130" s="691">
        <f t="shared" si="80"/>
        <v>0</v>
      </c>
      <c r="Z130" s="688"/>
      <c r="AA130" s="675">
        <f t="shared" si="81"/>
        <v>0</v>
      </c>
      <c r="AB130" s="692"/>
      <c r="AC130" s="679">
        <f t="shared" si="82"/>
        <v>0</v>
      </c>
      <c r="AD130" s="679"/>
      <c r="AE130" s="679"/>
      <c r="AF130" s="679"/>
      <c r="AG130" s="679"/>
      <c r="AH130" s="678">
        <f t="shared" si="83"/>
        <v>0</v>
      </c>
      <c r="AI130" s="675"/>
      <c r="AJ130" s="673">
        <f t="shared" si="84"/>
        <v>0</v>
      </c>
      <c r="AK130" s="674"/>
      <c r="AL130" s="675">
        <f t="shared" si="85"/>
        <v>0</v>
      </c>
      <c r="AM130" s="676"/>
      <c r="AN130" s="659">
        <f t="shared" si="86"/>
        <v>4</v>
      </c>
      <c r="AO130" s="660"/>
      <c r="AP130" s="661">
        <f t="shared" si="87"/>
        <v>100</v>
      </c>
      <c r="AQ130" s="661"/>
      <c r="AR130" s="24"/>
      <c r="AS130" s="33"/>
      <c r="AT130" s="33"/>
      <c r="AU130" s="33"/>
      <c r="AV130" s="33"/>
      <c r="AW130" s="33"/>
      <c r="AX130" s="33"/>
      <c r="AY130" s="33"/>
      <c r="AZ130" s="33"/>
      <c r="BA130" s="33"/>
      <c r="BB130" s="14"/>
      <c r="BC130" s="3"/>
      <c r="BD130" s="3"/>
      <c r="BE130" s="3"/>
    </row>
    <row r="131" spans="1:57" ht="14.45" customHeight="1" x14ac:dyDescent="0.25">
      <c r="A131" s="44"/>
      <c r="B131" s="9"/>
      <c r="C131" s="644" t="s">
        <v>14</v>
      </c>
      <c r="D131" s="644"/>
      <c r="E131" s="644"/>
      <c r="F131" s="644"/>
      <c r="G131" s="644"/>
      <c r="H131" s="642"/>
      <c r="I131" s="737">
        <f t="shared" si="72"/>
        <v>1</v>
      </c>
      <c r="J131" s="689"/>
      <c r="K131" s="675">
        <f t="shared" si="73"/>
        <v>90</v>
      </c>
      <c r="L131" s="690"/>
      <c r="M131" s="689">
        <f t="shared" si="74"/>
        <v>0</v>
      </c>
      <c r="N131" s="689"/>
      <c r="O131" s="675">
        <f t="shared" si="75"/>
        <v>0</v>
      </c>
      <c r="P131" s="676"/>
      <c r="Q131" s="689">
        <f t="shared" si="76"/>
        <v>1</v>
      </c>
      <c r="R131" s="689"/>
      <c r="S131" s="675">
        <f t="shared" si="77"/>
        <v>105</v>
      </c>
      <c r="T131" s="676"/>
      <c r="U131" s="689">
        <f t="shared" si="78"/>
        <v>1</v>
      </c>
      <c r="V131" s="689"/>
      <c r="W131" s="678">
        <f t="shared" si="79"/>
        <v>95</v>
      </c>
      <c r="X131" s="678"/>
      <c r="Y131" s="691">
        <f t="shared" si="80"/>
        <v>3</v>
      </c>
      <c r="Z131" s="688"/>
      <c r="AA131" s="675">
        <f t="shared" si="81"/>
        <v>270</v>
      </c>
      <c r="AB131" s="692"/>
      <c r="AC131" s="679">
        <f t="shared" si="82"/>
        <v>1</v>
      </c>
      <c r="AD131" s="679"/>
      <c r="AE131" s="679"/>
      <c r="AF131" s="679"/>
      <c r="AG131" s="679"/>
      <c r="AH131" s="678">
        <f t="shared" si="83"/>
        <v>90</v>
      </c>
      <c r="AI131" s="675"/>
      <c r="AJ131" s="673">
        <f t="shared" si="84"/>
        <v>1</v>
      </c>
      <c r="AK131" s="674"/>
      <c r="AL131" s="675">
        <f t="shared" si="85"/>
        <v>90</v>
      </c>
      <c r="AM131" s="676"/>
      <c r="AN131" s="659">
        <f t="shared" si="86"/>
        <v>8</v>
      </c>
      <c r="AO131" s="660"/>
      <c r="AP131" s="661">
        <f t="shared" si="87"/>
        <v>740</v>
      </c>
      <c r="AQ131" s="661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14"/>
      <c r="BC131" s="3"/>
      <c r="BD131" s="3"/>
      <c r="BE131" s="3"/>
    </row>
    <row r="132" spans="1:57" ht="14.45" customHeight="1" x14ac:dyDescent="0.25">
      <c r="A132" s="44"/>
      <c r="B132" s="9"/>
      <c r="C132" s="644" t="s">
        <v>15</v>
      </c>
      <c r="D132" s="644"/>
      <c r="E132" s="644"/>
      <c r="F132" s="644"/>
      <c r="G132" s="644"/>
      <c r="H132" s="642"/>
      <c r="I132" s="737">
        <f t="shared" si="72"/>
        <v>2</v>
      </c>
      <c r="J132" s="689"/>
      <c r="K132" s="675">
        <f t="shared" si="73"/>
        <v>190</v>
      </c>
      <c r="L132" s="690"/>
      <c r="M132" s="689">
        <f t="shared" si="74"/>
        <v>3</v>
      </c>
      <c r="N132" s="689"/>
      <c r="O132" s="675">
        <f t="shared" si="75"/>
        <v>315</v>
      </c>
      <c r="P132" s="676"/>
      <c r="Q132" s="689">
        <f t="shared" si="76"/>
        <v>1</v>
      </c>
      <c r="R132" s="689"/>
      <c r="S132" s="675">
        <f t="shared" si="77"/>
        <v>100</v>
      </c>
      <c r="T132" s="676"/>
      <c r="U132" s="689">
        <f t="shared" si="78"/>
        <v>0</v>
      </c>
      <c r="V132" s="689"/>
      <c r="W132" s="678">
        <f t="shared" si="79"/>
        <v>0</v>
      </c>
      <c r="X132" s="678"/>
      <c r="Y132" s="691">
        <f t="shared" si="80"/>
        <v>2</v>
      </c>
      <c r="Z132" s="688"/>
      <c r="AA132" s="675">
        <f t="shared" si="81"/>
        <v>190</v>
      </c>
      <c r="AB132" s="692"/>
      <c r="AC132" s="679">
        <f t="shared" si="82"/>
        <v>0</v>
      </c>
      <c r="AD132" s="679"/>
      <c r="AE132" s="679"/>
      <c r="AF132" s="679"/>
      <c r="AG132" s="679"/>
      <c r="AH132" s="678">
        <f t="shared" si="83"/>
        <v>0</v>
      </c>
      <c r="AI132" s="675"/>
      <c r="AJ132" s="673">
        <f t="shared" si="84"/>
        <v>0</v>
      </c>
      <c r="AK132" s="674"/>
      <c r="AL132" s="675">
        <f t="shared" si="85"/>
        <v>0</v>
      </c>
      <c r="AM132" s="676"/>
      <c r="AN132" s="659">
        <f t="shared" si="86"/>
        <v>8</v>
      </c>
      <c r="AO132" s="660"/>
      <c r="AP132" s="661">
        <f t="shared" si="87"/>
        <v>795</v>
      </c>
      <c r="AQ132" s="661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14"/>
      <c r="BC132" s="3"/>
      <c r="BD132" s="3"/>
      <c r="BE132" s="3"/>
    </row>
    <row r="133" spans="1:57" ht="14.45" customHeight="1" x14ac:dyDescent="0.25">
      <c r="A133" s="44"/>
      <c r="B133" s="9"/>
      <c r="C133" s="644" t="s">
        <v>16</v>
      </c>
      <c r="D133" s="644"/>
      <c r="E133" s="644"/>
      <c r="F133" s="644"/>
      <c r="G133" s="644"/>
      <c r="H133" s="642"/>
      <c r="I133" s="737">
        <f t="shared" si="72"/>
        <v>3</v>
      </c>
      <c r="J133" s="689"/>
      <c r="K133" s="675">
        <f t="shared" si="73"/>
        <v>405</v>
      </c>
      <c r="L133" s="690"/>
      <c r="M133" s="689">
        <f t="shared" si="74"/>
        <v>0</v>
      </c>
      <c r="N133" s="689"/>
      <c r="O133" s="675">
        <f t="shared" si="75"/>
        <v>0</v>
      </c>
      <c r="P133" s="676"/>
      <c r="Q133" s="689">
        <f t="shared" si="76"/>
        <v>0</v>
      </c>
      <c r="R133" s="689"/>
      <c r="S133" s="675">
        <f t="shared" si="77"/>
        <v>0</v>
      </c>
      <c r="T133" s="676"/>
      <c r="U133" s="689">
        <f t="shared" si="78"/>
        <v>0</v>
      </c>
      <c r="V133" s="689"/>
      <c r="W133" s="678">
        <f t="shared" si="79"/>
        <v>0</v>
      </c>
      <c r="X133" s="678"/>
      <c r="Y133" s="691">
        <f t="shared" si="80"/>
        <v>0</v>
      </c>
      <c r="Z133" s="688"/>
      <c r="AA133" s="675">
        <f t="shared" si="81"/>
        <v>0</v>
      </c>
      <c r="AB133" s="692"/>
      <c r="AC133" s="679">
        <f t="shared" si="82"/>
        <v>1</v>
      </c>
      <c r="AD133" s="679"/>
      <c r="AE133" s="679"/>
      <c r="AF133" s="679"/>
      <c r="AG133" s="679"/>
      <c r="AH133" s="678">
        <f t="shared" si="83"/>
        <v>145</v>
      </c>
      <c r="AI133" s="675"/>
      <c r="AJ133" s="673">
        <f t="shared" si="84"/>
        <v>0</v>
      </c>
      <c r="AK133" s="674"/>
      <c r="AL133" s="675">
        <f t="shared" si="85"/>
        <v>0</v>
      </c>
      <c r="AM133" s="676"/>
      <c r="AN133" s="659">
        <f t="shared" si="86"/>
        <v>4</v>
      </c>
      <c r="AO133" s="660"/>
      <c r="AP133" s="661">
        <f t="shared" si="87"/>
        <v>550</v>
      </c>
      <c r="AQ133" s="661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14"/>
      <c r="BC133" s="3"/>
      <c r="BD133" s="3"/>
      <c r="BE133" s="3"/>
    </row>
    <row r="134" spans="1:57" ht="14.45" customHeight="1" x14ac:dyDescent="0.25">
      <c r="A134" s="44"/>
      <c r="B134" s="9"/>
      <c r="C134" s="644" t="s">
        <v>54</v>
      </c>
      <c r="D134" s="644"/>
      <c r="E134" s="644"/>
      <c r="F134" s="644"/>
      <c r="G134" s="644"/>
      <c r="H134" s="642"/>
      <c r="I134" s="737">
        <f t="shared" si="72"/>
        <v>0</v>
      </c>
      <c r="J134" s="689"/>
      <c r="K134" s="675">
        <f t="shared" si="73"/>
        <v>0</v>
      </c>
      <c r="L134" s="690"/>
      <c r="M134" s="689">
        <f t="shared" si="74"/>
        <v>5</v>
      </c>
      <c r="N134" s="689"/>
      <c r="O134" s="675">
        <f t="shared" si="75"/>
        <v>500</v>
      </c>
      <c r="P134" s="676"/>
      <c r="Q134" s="689">
        <f t="shared" si="76"/>
        <v>5</v>
      </c>
      <c r="R134" s="689"/>
      <c r="S134" s="675">
        <f t="shared" si="77"/>
        <v>500</v>
      </c>
      <c r="T134" s="676"/>
      <c r="U134" s="689">
        <f t="shared" si="78"/>
        <v>6</v>
      </c>
      <c r="V134" s="689"/>
      <c r="W134" s="678">
        <f t="shared" si="79"/>
        <v>600</v>
      </c>
      <c r="X134" s="678"/>
      <c r="Y134" s="691">
        <f t="shared" si="80"/>
        <v>6</v>
      </c>
      <c r="Z134" s="688"/>
      <c r="AA134" s="675">
        <f t="shared" si="81"/>
        <v>600</v>
      </c>
      <c r="AB134" s="692"/>
      <c r="AC134" s="679">
        <f t="shared" si="82"/>
        <v>4</v>
      </c>
      <c r="AD134" s="679"/>
      <c r="AE134" s="679"/>
      <c r="AF134" s="679"/>
      <c r="AG134" s="679"/>
      <c r="AH134" s="678">
        <f t="shared" si="83"/>
        <v>400</v>
      </c>
      <c r="AI134" s="675"/>
      <c r="AJ134" s="673">
        <f t="shared" si="84"/>
        <v>2</v>
      </c>
      <c r="AK134" s="674"/>
      <c r="AL134" s="675">
        <f t="shared" si="85"/>
        <v>200</v>
      </c>
      <c r="AM134" s="676"/>
      <c r="AN134" s="659">
        <f t="shared" si="86"/>
        <v>28</v>
      </c>
      <c r="AO134" s="660"/>
      <c r="AP134" s="661">
        <f t="shared" si="87"/>
        <v>2800</v>
      </c>
      <c r="AQ134" s="661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14"/>
      <c r="BC134" s="3"/>
      <c r="BD134" s="3"/>
      <c r="BE134" s="3"/>
    </row>
    <row r="135" spans="1:57" ht="14.45" customHeight="1" x14ac:dyDescent="0.25">
      <c r="A135" s="44"/>
      <c r="B135" s="9"/>
      <c r="C135" s="644" t="s">
        <v>17</v>
      </c>
      <c r="D135" s="644"/>
      <c r="E135" s="644"/>
      <c r="F135" s="644"/>
      <c r="G135" s="644"/>
      <c r="H135" s="642"/>
      <c r="I135" s="737">
        <f t="shared" si="72"/>
        <v>0</v>
      </c>
      <c r="J135" s="689"/>
      <c r="K135" s="675">
        <f t="shared" si="73"/>
        <v>0</v>
      </c>
      <c r="L135" s="690"/>
      <c r="M135" s="689">
        <f t="shared" si="74"/>
        <v>0</v>
      </c>
      <c r="N135" s="689"/>
      <c r="O135" s="675">
        <f t="shared" si="75"/>
        <v>0</v>
      </c>
      <c r="P135" s="676"/>
      <c r="Q135" s="689">
        <f t="shared" si="76"/>
        <v>0</v>
      </c>
      <c r="R135" s="689"/>
      <c r="S135" s="675">
        <f t="shared" si="77"/>
        <v>0</v>
      </c>
      <c r="T135" s="676"/>
      <c r="U135" s="689">
        <f t="shared" si="78"/>
        <v>0</v>
      </c>
      <c r="V135" s="689"/>
      <c r="W135" s="678">
        <f t="shared" si="79"/>
        <v>0</v>
      </c>
      <c r="X135" s="678"/>
      <c r="Y135" s="691">
        <f t="shared" si="80"/>
        <v>0</v>
      </c>
      <c r="Z135" s="688"/>
      <c r="AA135" s="675">
        <f t="shared" si="81"/>
        <v>0</v>
      </c>
      <c r="AB135" s="692"/>
      <c r="AC135" s="679">
        <f t="shared" si="82"/>
        <v>0</v>
      </c>
      <c r="AD135" s="679"/>
      <c r="AE135" s="679"/>
      <c r="AF135" s="679"/>
      <c r="AG135" s="679"/>
      <c r="AH135" s="678">
        <f t="shared" si="83"/>
        <v>0</v>
      </c>
      <c r="AI135" s="675"/>
      <c r="AJ135" s="673">
        <f t="shared" si="84"/>
        <v>0</v>
      </c>
      <c r="AK135" s="674"/>
      <c r="AL135" s="675">
        <f t="shared" si="85"/>
        <v>0</v>
      </c>
      <c r="AM135" s="676"/>
      <c r="AN135" s="659">
        <f t="shared" si="86"/>
        <v>0</v>
      </c>
      <c r="AO135" s="660"/>
      <c r="AP135" s="661">
        <f t="shared" si="87"/>
        <v>0</v>
      </c>
      <c r="AQ135" s="661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14"/>
      <c r="BC135" s="3"/>
      <c r="BD135" s="3"/>
      <c r="BE135" s="3"/>
    </row>
    <row r="136" spans="1:57" ht="14.45" customHeight="1" x14ac:dyDescent="0.25">
      <c r="A136" s="44"/>
      <c r="B136" s="9"/>
      <c r="C136" s="644" t="s">
        <v>59</v>
      </c>
      <c r="D136" s="644"/>
      <c r="E136" s="644"/>
      <c r="F136" s="644"/>
      <c r="G136" s="644"/>
      <c r="H136" s="642"/>
      <c r="I136" s="737">
        <f t="shared" si="72"/>
        <v>0</v>
      </c>
      <c r="J136" s="689"/>
      <c r="K136" s="675">
        <f t="shared" si="73"/>
        <v>0</v>
      </c>
      <c r="L136" s="690"/>
      <c r="M136" s="689">
        <f t="shared" si="74"/>
        <v>3</v>
      </c>
      <c r="N136" s="689"/>
      <c r="O136" s="675">
        <f t="shared" si="75"/>
        <v>300</v>
      </c>
      <c r="P136" s="676"/>
      <c r="Q136" s="689">
        <f t="shared" si="76"/>
        <v>5</v>
      </c>
      <c r="R136" s="689"/>
      <c r="S136" s="675">
        <f t="shared" si="77"/>
        <v>500</v>
      </c>
      <c r="T136" s="676"/>
      <c r="U136" s="689">
        <f t="shared" si="78"/>
        <v>5</v>
      </c>
      <c r="V136" s="689"/>
      <c r="W136" s="678">
        <f t="shared" si="79"/>
        <v>500</v>
      </c>
      <c r="X136" s="678"/>
      <c r="Y136" s="691">
        <f t="shared" si="80"/>
        <v>6</v>
      </c>
      <c r="Z136" s="688"/>
      <c r="AA136" s="675">
        <f t="shared" si="81"/>
        <v>590</v>
      </c>
      <c r="AB136" s="692"/>
      <c r="AC136" s="679">
        <f t="shared" si="82"/>
        <v>2</v>
      </c>
      <c r="AD136" s="679"/>
      <c r="AE136" s="679"/>
      <c r="AF136" s="679"/>
      <c r="AG136" s="679"/>
      <c r="AH136" s="678">
        <f t="shared" si="83"/>
        <v>190</v>
      </c>
      <c r="AI136" s="675"/>
      <c r="AJ136" s="673">
        <f t="shared" si="84"/>
        <v>4</v>
      </c>
      <c r="AK136" s="674"/>
      <c r="AL136" s="675">
        <f t="shared" si="85"/>
        <v>360</v>
      </c>
      <c r="AM136" s="676"/>
      <c r="AN136" s="659">
        <f t="shared" si="86"/>
        <v>25</v>
      </c>
      <c r="AO136" s="660"/>
      <c r="AP136" s="661">
        <f t="shared" si="87"/>
        <v>2440</v>
      </c>
      <c r="AQ136" s="661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14"/>
      <c r="BC136" s="3"/>
      <c r="BD136" s="3"/>
      <c r="BE136" s="3"/>
    </row>
    <row r="137" spans="1:57" ht="14.45" customHeight="1" x14ac:dyDescent="0.25">
      <c r="A137" s="44"/>
      <c r="B137" s="9"/>
      <c r="C137" s="644" t="s">
        <v>18</v>
      </c>
      <c r="D137" s="644"/>
      <c r="E137" s="644"/>
      <c r="F137" s="644"/>
      <c r="G137" s="644"/>
      <c r="H137" s="642"/>
      <c r="I137" s="737">
        <f t="shared" si="72"/>
        <v>0</v>
      </c>
      <c r="J137" s="689"/>
      <c r="K137" s="675">
        <f t="shared" si="73"/>
        <v>0</v>
      </c>
      <c r="L137" s="690"/>
      <c r="M137" s="689">
        <f t="shared" si="74"/>
        <v>1</v>
      </c>
      <c r="N137" s="689"/>
      <c r="O137" s="675">
        <f t="shared" si="75"/>
        <v>240</v>
      </c>
      <c r="P137" s="676"/>
      <c r="Q137" s="689">
        <f t="shared" si="76"/>
        <v>0</v>
      </c>
      <c r="R137" s="689"/>
      <c r="S137" s="675">
        <f t="shared" si="77"/>
        <v>0</v>
      </c>
      <c r="T137" s="676"/>
      <c r="U137" s="689">
        <f t="shared" si="78"/>
        <v>0</v>
      </c>
      <c r="V137" s="689"/>
      <c r="W137" s="678">
        <f t="shared" si="79"/>
        <v>0</v>
      </c>
      <c r="X137" s="678"/>
      <c r="Y137" s="691">
        <f t="shared" si="80"/>
        <v>0</v>
      </c>
      <c r="Z137" s="688"/>
      <c r="AA137" s="675">
        <f t="shared" si="81"/>
        <v>0</v>
      </c>
      <c r="AB137" s="692"/>
      <c r="AC137" s="679">
        <f t="shared" si="82"/>
        <v>0</v>
      </c>
      <c r="AD137" s="679"/>
      <c r="AE137" s="679"/>
      <c r="AF137" s="679"/>
      <c r="AG137" s="679"/>
      <c r="AH137" s="678">
        <f t="shared" si="83"/>
        <v>0</v>
      </c>
      <c r="AI137" s="675"/>
      <c r="AJ137" s="673">
        <f t="shared" si="84"/>
        <v>0</v>
      </c>
      <c r="AK137" s="674"/>
      <c r="AL137" s="675">
        <f t="shared" si="85"/>
        <v>0</v>
      </c>
      <c r="AM137" s="676"/>
      <c r="AN137" s="659">
        <f t="shared" si="86"/>
        <v>1</v>
      </c>
      <c r="AO137" s="660"/>
      <c r="AP137" s="661">
        <f t="shared" si="87"/>
        <v>240</v>
      </c>
      <c r="AQ137" s="661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14"/>
      <c r="BC137" s="3"/>
      <c r="BD137" s="3"/>
      <c r="BE137" s="3"/>
    </row>
    <row r="138" spans="1:57" ht="14.45" customHeight="1" x14ac:dyDescent="0.25">
      <c r="A138" s="44"/>
      <c r="B138" s="9"/>
      <c r="C138" s="644" t="s">
        <v>19</v>
      </c>
      <c r="D138" s="644"/>
      <c r="E138" s="644"/>
      <c r="F138" s="644"/>
      <c r="G138" s="644"/>
      <c r="H138" s="642"/>
      <c r="I138" s="737">
        <f t="shared" si="72"/>
        <v>0</v>
      </c>
      <c r="J138" s="689"/>
      <c r="K138" s="675">
        <f t="shared" si="73"/>
        <v>0</v>
      </c>
      <c r="L138" s="690"/>
      <c r="M138" s="689">
        <f t="shared" si="74"/>
        <v>0</v>
      </c>
      <c r="N138" s="689"/>
      <c r="O138" s="675">
        <f t="shared" si="75"/>
        <v>0</v>
      </c>
      <c r="P138" s="676"/>
      <c r="Q138" s="689">
        <f t="shared" si="76"/>
        <v>0</v>
      </c>
      <c r="R138" s="689"/>
      <c r="S138" s="675">
        <f t="shared" si="77"/>
        <v>0</v>
      </c>
      <c r="T138" s="676"/>
      <c r="U138" s="689">
        <f t="shared" si="78"/>
        <v>0</v>
      </c>
      <c r="V138" s="689"/>
      <c r="W138" s="678">
        <f t="shared" si="79"/>
        <v>0</v>
      </c>
      <c r="X138" s="678"/>
      <c r="Y138" s="691">
        <f t="shared" si="80"/>
        <v>0</v>
      </c>
      <c r="Z138" s="688"/>
      <c r="AA138" s="675">
        <f t="shared" si="81"/>
        <v>0</v>
      </c>
      <c r="AB138" s="692"/>
      <c r="AC138" s="679">
        <f t="shared" si="82"/>
        <v>0</v>
      </c>
      <c r="AD138" s="679"/>
      <c r="AE138" s="679"/>
      <c r="AF138" s="679"/>
      <c r="AG138" s="679"/>
      <c r="AH138" s="678">
        <f t="shared" si="83"/>
        <v>0</v>
      </c>
      <c r="AI138" s="675"/>
      <c r="AJ138" s="673">
        <f t="shared" si="84"/>
        <v>0</v>
      </c>
      <c r="AK138" s="674"/>
      <c r="AL138" s="675">
        <f t="shared" si="85"/>
        <v>0</v>
      </c>
      <c r="AM138" s="676"/>
      <c r="AN138" s="659">
        <f t="shared" si="86"/>
        <v>0</v>
      </c>
      <c r="AO138" s="660"/>
      <c r="AP138" s="661">
        <f t="shared" si="87"/>
        <v>0</v>
      </c>
      <c r="AQ138" s="661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14"/>
      <c r="BC138" s="3"/>
      <c r="BD138" s="3"/>
      <c r="BE138" s="3"/>
    </row>
    <row r="139" spans="1:57" ht="14.45" customHeight="1" x14ac:dyDescent="0.25">
      <c r="A139" s="44"/>
      <c r="B139" s="9"/>
      <c r="C139" s="644" t="s">
        <v>20</v>
      </c>
      <c r="D139" s="644"/>
      <c r="E139" s="644"/>
      <c r="F139" s="644"/>
      <c r="G139" s="644"/>
      <c r="H139" s="642"/>
      <c r="I139" s="737">
        <f t="shared" si="72"/>
        <v>0</v>
      </c>
      <c r="J139" s="689"/>
      <c r="K139" s="675">
        <f t="shared" si="73"/>
        <v>0</v>
      </c>
      <c r="L139" s="690"/>
      <c r="M139" s="689">
        <f t="shared" si="74"/>
        <v>2</v>
      </c>
      <c r="N139" s="689"/>
      <c r="O139" s="675">
        <f t="shared" si="75"/>
        <v>11</v>
      </c>
      <c r="P139" s="676"/>
      <c r="Q139" s="689">
        <f t="shared" si="76"/>
        <v>2</v>
      </c>
      <c r="R139" s="689"/>
      <c r="S139" s="675">
        <f t="shared" si="77"/>
        <v>11</v>
      </c>
      <c r="T139" s="676"/>
      <c r="U139" s="689">
        <f t="shared" si="78"/>
        <v>17</v>
      </c>
      <c r="V139" s="689"/>
      <c r="W139" s="678">
        <f t="shared" si="79"/>
        <v>93.5</v>
      </c>
      <c r="X139" s="678"/>
      <c r="Y139" s="691">
        <f t="shared" si="80"/>
        <v>1</v>
      </c>
      <c r="Z139" s="688"/>
      <c r="AA139" s="675">
        <f t="shared" si="81"/>
        <v>5.5</v>
      </c>
      <c r="AB139" s="692"/>
      <c r="AC139" s="679">
        <f t="shared" si="82"/>
        <v>27</v>
      </c>
      <c r="AD139" s="679"/>
      <c r="AE139" s="679"/>
      <c r="AF139" s="679"/>
      <c r="AG139" s="679"/>
      <c r="AH139" s="678">
        <f t="shared" si="83"/>
        <v>143</v>
      </c>
      <c r="AI139" s="675"/>
      <c r="AJ139" s="673">
        <f t="shared" si="84"/>
        <v>0</v>
      </c>
      <c r="AK139" s="674"/>
      <c r="AL139" s="675">
        <f t="shared" si="85"/>
        <v>0</v>
      </c>
      <c r="AM139" s="676"/>
      <c r="AN139" s="659">
        <f t="shared" si="86"/>
        <v>49</v>
      </c>
      <c r="AO139" s="660"/>
      <c r="AP139" s="661">
        <f t="shared" si="87"/>
        <v>264</v>
      </c>
      <c r="AQ139" s="661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14"/>
      <c r="BC139" s="3"/>
      <c r="BD139" s="3"/>
      <c r="BE139" s="3"/>
    </row>
    <row r="140" spans="1:57" ht="14.45" customHeight="1" x14ac:dyDescent="0.25">
      <c r="A140" s="44"/>
      <c r="B140" s="9"/>
      <c r="C140" s="644" t="s">
        <v>21</v>
      </c>
      <c r="D140" s="644"/>
      <c r="E140" s="644"/>
      <c r="F140" s="644"/>
      <c r="G140" s="644"/>
      <c r="H140" s="642"/>
      <c r="I140" s="737">
        <f t="shared" ref="I140:I171" si="88">M40+Y40+AP40+BD40</f>
        <v>0</v>
      </c>
      <c r="J140" s="689"/>
      <c r="K140" s="675">
        <f t="shared" ref="K140:K171" si="89">N40+Z40+AQ40+BE40</f>
        <v>0</v>
      </c>
      <c r="L140" s="690"/>
      <c r="M140" s="689">
        <f t="shared" ref="M140:M171" si="90">BP40+CI40+DA40+DU40</f>
        <v>1</v>
      </c>
      <c r="N140" s="689"/>
      <c r="O140" s="675">
        <f t="shared" ref="O140:O171" si="91">BQ40+CJ40+DB40+DV40</f>
        <v>13</v>
      </c>
      <c r="P140" s="676"/>
      <c r="Q140" s="689">
        <f t="shared" ref="Q140:Q171" si="92">EO40+FT40</f>
        <v>1</v>
      </c>
      <c r="R140" s="689"/>
      <c r="S140" s="675">
        <f t="shared" ref="S140:S171" si="93">EP40+FU40</f>
        <v>13</v>
      </c>
      <c r="T140" s="676"/>
      <c r="U140" s="689">
        <f t="shared" ref="U140:U171" si="94">GQ40+HL40+HW40+IM40</f>
        <v>3</v>
      </c>
      <c r="V140" s="689"/>
      <c r="W140" s="678">
        <f t="shared" ref="W140:W171" si="95">GR40+HM40+HX40+IN40</f>
        <v>39</v>
      </c>
      <c r="X140" s="678"/>
      <c r="Y140" s="691">
        <f t="shared" ref="Y140:Y171" si="96">IY40+KE40+KS40+LF40</f>
        <v>4</v>
      </c>
      <c r="Z140" s="688"/>
      <c r="AA140" s="675">
        <f t="shared" ref="AA140:AA171" si="97">IZ40+KF40+KT40+LG40</f>
        <v>52</v>
      </c>
      <c r="AB140" s="692"/>
      <c r="AC140" s="679">
        <f t="shared" ref="AC140:AC171" si="98">ME40+ND40</f>
        <v>7</v>
      </c>
      <c r="AD140" s="679"/>
      <c r="AE140" s="679"/>
      <c r="AF140" s="679"/>
      <c r="AG140" s="679"/>
      <c r="AH140" s="678">
        <f t="shared" ref="AH140:AH171" si="99">MF40+NE40</f>
        <v>91</v>
      </c>
      <c r="AI140" s="675"/>
      <c r="AJ140" s="673">
        <f t="shared" si="84"/>
        <v>2</v>
      </c>
      <c r="AK140" s="674"/>
      <c r="AL140" s="675">
        <f t="shared" si="85"/>
        <v>22</v>
      </c>
      <c r="AM140" s="676"/>
      <c r="AN140" s="659">
        <f t="shared" si="86"/>
        <v>18</v>
      </c>
      <c r="AO140" s="660"/>
      <c r="AP140" s="661">
        <f t="shared" si="87"/>
        <v>230</v>
      </c>
      <c r="AQ140" s="661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14"/>
      <c r="BC140" s="3"/>
      <c r="BD140" s="3"/>
      <c r="BE140" s="3"/>
    </row>
    <row r="141" spans="1:57" ht="14.45" customHeight="1" x14ac:dyDescent="0.25">
      <c r="A141" s="44"/>
      <c r="B141" s="9"/>
      <c r="C141" s="644" t="s">
        <v>22</v>
      </c>
      <c r="D141" s="644"/>
      <c r="E141" s="644"/>
      <c r="F141" s="644"/>
      <c r="G141" s="644"/>
      <c r="H141" s="642"/>
      <c r="I141" s="737">
        <f t="shared" si="88"/>
        <v>4</v>
      </c>
      <c r="J141" s="689"/>
      <c r="K141" s="675">
        <f t="shared" si="89"/>
        <v>44</v>
      </c>
      <c r="L141" s="690"/>
      <c r="M141" s="689">
        <f t="shared" si="90"/>
        <v>0</v>
      </c>
      <c r="N141" s="689"/>
      <c r="O141" s="675">
        <f t="shared" si="91"/>
        <v>0</v>
      </c>
      <c r="P141" s="676"/>
      <c r="Q141" s="689">
        <f t="shared" si="92"/>
        <v>0</v>
      </c>
      <c r="R141" s="689"/>
      <c r="S141" s="675">
        <f t="shared" si="93"/>
        <v>0</v>
      </c>
      <c r="T141" s="676"/>
      <c r="U141" s="689">
        <f t="shared" si="94"/>
        <v>6</v>
      </c>
      <c r="V141" s="689"/>
      <c r="W141" s="678">
        <f t="shared" si="95"/>
        <v>69</v>
      </c>
      <c r="X141" s="678"/>
      <c r="Y141" s="691">
        <f t="shared" si="96"/>
        <v>0</v>
      </c>
      <c r="Z141" s="688"/>
      <c r="AA141" s="675">
        <f t="shared" si="97"/>
        <v>0</v>
      </c>
      <c r="AB141" s="692"/>
      <c r="AC141" s="679">
        <f t="shared" si="98"/>
        <v>7</v>
      </c>
      <c r="AD141" s="679"/>
      <c r="AE141" s="679"/>
      <c r="AF141" s="679"/>
      <c r="AG141" s="679"/>
      <c r="AH141" s="678">
        <f t="shared" si="99"/>
        <v>78.5</v>
      </c>
      <c r="AI141" s="675"/>
      <c r="AJ141" s="673">
        <f t="shared" si="84"/>
        <v>1</v>
      </c>
      <c r="AK141" s="674"/>
      <c r="AL141" s="675">
        <f t="shared" si="85"/>
        <v>11</v>
      </c>
      <c r="AM141" s="676"/>
      <c r="AN141" s="659">
        <f t="shared" si="86"/>
        <v>18</v>
      </c>
      <c r="AO141" s="660"/>
      <c r="AP141" s="661">
        <f t="shared" si="87"/>
        <v>202.5</v>
      </c>
      <c r="AQ141" s="661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14"/>
      <c r="BC141" s="3"/>
      <c r="BD141" s="3"/>
      <c r="BE141" s="3"/>
    </row>
    <row r="142" spans="1:57" ht="14.45" customHeight="1" x14ac:dyDescent="0.25">
      <c r="A142" s="44"/>
      <c r="B142" s="9"/>
      <c r="C142" s="644" t="s">
        <v>23</v>
      </c>
      <c r="D142" s="644"/>
      <c r="E142" s="644"/>
      <c r="F142" s="644"/>
      <c r="G142" s="644"/>
      <c r="H142" s="642"/>
      <c r="I142" s="737">
        <f t="shared" si="88"/>
        <v>0</v>
      </c>
      <c r="J142" s="689"/>
      <c r="K142" s="675">
        <f t="shared" si="89"/>
        <v>0</v>
      </c>
      <c r="L142" s="690"/>
      <c r="M142" s="689">
        <f t="shared" si="90"/>
        <v>0</v>
      </c>
      <c r="N142" s="689"/>
      <c r="O142" s="675">
        <f t="shared" si="91"/>
        <v>0</v>
      </c>
      <c r="P142" s="676"/>
      <c r="Q142" s="689">
        <f t="shared" si="92"/>
        <v>0</v>
      </c>
      <c r="R142" s="689"/>
      <c r="S142" s="675">
        <f t="shared" si="93"/>
        <v>0</v>
      </c>
      <c r="T142" s="676"/>
      <c r="U142" s="689">
        <f t="shared" si="94"/>
        <v>11</v>
      </c>
      <c r="V142" s="689"/>
      <c r="W142" s="678">
        <f t="shared" si="95"/>
        <v>44</v>
      </c>
      <c r="X142" s="678"/>
      <c r="Y142" s="691">
        <f t="shared" si="96"/>
        <v>0</v>
      </c>
      <c r="Z142" s="688"/>
      <c r="AA142" s="675">
        <f t="shared" si="97"/>
        <v>0</v>
      </c>
      <c r="AB142" s="692"/>
      <c r="AC142" s="679">
        <f t="shared" si="98"/>
        <v>0</v>
      </c>
      <c r="AD142" s="679"/>
      <c r="AE142" s="679"/>
      <c r="AF142" s="679"/>
      <c r="AG142" s="679"/>
      <c r="AH142" s="678">
        <f t="shared" si="99"/>
        <v>0</v>
      </c>
      <c r="AI142" s="675"/>
      <c r="AJ142" s="673">
        <f t="shared" si="84"/>
        <v>0</v>
      </c>
      <c r="AK142" s="674"/>
      <c r="AL142" s="675">
        <f t="shared" si="85"/>
        <v>0</v>
      </c>
      <c r="AM142" s="676"/>
      <c r="AN142" s="659">
        <f t="shared" si="86"/>
        <v>11</v>
      </c>
      <c r="AO142" s="660"/>
      <c r="AP142" s="661">
        <f t="shared" si="87"/>
        <v>44</v>
      </c>
      <c r="AQ142" s="661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14"/>
      <c r="BC142" s="3"/>
      <c r="BD142" s="3"/>
      <c r="BE142" s="3"/>
    </row>
    <row r="143" spans="1:57" ht="14.45" customHeight="1" x14ac:dyDescent="0.25">
      <c r="A143" s="44"/>
      <c r="B143" s="9"/>
      <c r="C143" s="644" t="s">
        <v>24</v>
      </c>
      <c r="D143" s="644"/>
      <c r="E143" s="644"/>
      <c r="F143" s="644"/>
      <c r="G143" s="644"/>
      <c r="H143" s="642"/>
      <c r="I143" s="737">
        <f t="shared" si="88"/>
        <v>1</v>
      </c>
      <c r="J143" s="689"/>
      <c r="K143" s="675">
        <f t="shared" si="89"/>
        <v>6</v>
      </c>
      <c r="L143" s="690"/>
      <c r="M143" s="689">
        <f t="shared" si="90"/>
        <v>1</v>
      </c>
      <c r="N143" s="689"/>
      <c r="O143" s="675">
        <f t="shared" si="91"/>
        <v>8.5</v>
      </c>
      <c r="P143" s="676"/>
      <c r="Q143" s="689">
        <f t="shared" si="92"/>
        <v>1</v>
      </c>
      <c r="R143" s="689"/>
      <c r="S143" s="675">
        <f t="shared" si="93"/>
        <v>8.5</v>
      </c>
      <c r="T143" s="676"/>
      <c r="U143" s="689">
        <f t="shared" si="94"/>
        <v>3</v>
      </c>
      <c r="V143" s="689"/>
      <c r="W143" s="678">
        <f t="shared" si="95"/>
        <v>25.5</v>
      </c>
      <c r="X143" s="678"/>
      <c r="Y143" s="691">
        <f t="shared" si="96"/>
        <v>1</v>
      </c>
      <c r="Z143" s="688"/>
      <c r="AA143" s="675">
        <f t="shared" si="97"/>
        <v>8.5</v>
      </c>
      <c r="AB143" s="692"/>
      <c r="AC143" s="679">
        <f t="shared" si="98"/>
        <v>17</v>
      </c>
      <c r="AD143" s="679"/>
      <c r="AE143" s="679"/>
      <c r="AF143" s="679"/>
      <c r="AG143" s="679"/>
      <c r="AH143" s="678">
        <f t="shared" si="99"/>
        <v>109.5</v>
      </c>
      <c r="AI143" s="675"/>
      <c r="AJ143" s="673">
        <f t="shared" si="84"/>
        <v>0</v>
      </c>
      <c r="AK143" s="674"/>
      <c r="AL143" s="675">
        <f t="shared" si="85"/>
        <v>0</v>
      </c>
      <c r="AM143" s="676"/>
      <c r="AN143" s="659">
        <f t="shared" si="86"/>
        <v>24</v>
      </c>
      <c r="AO143" s="660"/>
      <c r="AP143" s="661">
        <f t="shared" si="87"/>
        <v>166.5</v>
      </c>
      <c r="AQ143" s="661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14"/>
      <c r="BC143" s="3"/>
      <c r="BD143" s="3"/>
      <c r="BE143" s="3"/>
    </row>
    <row r="144" spans="1:57" ht="14.45" customHeight="1" x14ac:dyDescent="0.25">
      <c r="A144" s="44"/>
      <c r="B144" s="9"/>
      <c r="C144" s="644" t="s">
        <v>25</v>
      </c>
      <c r="D144" s="644"/>
      <c r="E144" s="644"/>
      <c r="F144" s="644"/>
      <c r="G144" s="644"/>
      <c r="H144" s="642"/>
      <c r="I144" s="737">
        <f t="shared" si="88"/>
        <v>0</v>
      </c>
      <c r="J144" s="689"/>
      <c r="K144" s="675">
        <f t="shared" si="89"/>
        <v>0</v>
      </c>
      <c r="L144" s="690"/>
      <c r="M144" s="689">
        <f t="shared" si="90"/>
        <v>0</v>
      </c>
      <c r="N144" s="689"/>
      <c r="O144" s="675">
        <f t="shared" si="91"/>
        <v>0</v>
      </c>
      <c r="P144" s="676"/>
      <c r="Q144" s="689">
        <f t="shared" si="92"/>
        <v>0</v>
      </c>
      <c r="R144" s="689"/>
      <c r="S144" s="675">
        <f t="shared" si="93"/>
        <v>0</v>
      </c>
      <c r="T144" s="676"/>
      <c r="U144" s="689">
        <f t="shared" si="94"/>
        <v>2</v>
      </c>
      <c r="V144" s="689"/>
      <c r="W144" s="678">
        <f t="shared" si="95"/>
        <v>52</v>
      </c>
      <c r="X144" s="678"/>
      <c r="Y144" s="691">
        <f t="shared" si="96"/>
        <v>0</v>
      </c>
      <c r="Z144" s="688"/>
      <c r="AA144" s="675">
        <f t="shared" si="97"/>
        <v>0</v>
      </c>
      <c r="AB144" s="692"/>
      <c r="AC144" s="679">
        <f t="shared" si="98"/>
        <v>0</v>
      </c>
      <c r="AD144" s="679"/>
      <c r="AE144" s="679"/>
      <c r="AF144" s="679"/>
      <c r="AG144" s="679"/>
      <c r="AH144" s="678">
        <f t="shared" si="99"/>
        <v>0</v>
      </c>
      <c r="AI144" s="675"/>
      <c r="AJ144" s="673">
        <f t="shared" si="84"/>
        <v>0</v>
      </c>
      <c r="AK144" s="674"/>
      <c r="AL144" s="675">
        <f t="shared" si="85"/>
        <v>0</v>
      </c>
      <c r="AM144" s="676"/>
      <c r="AN144" s="659">
        <f t="shared" si="86"/>
        <v>2</v>
      </c>
      <c r="AO144" s="660"/>
      <c r="AP144" s="661">
        <f t="shared" si="87"/>
        <v>52</v>
      </c>
      <c r="AQ144" s="661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14"/>
      <c r="BC144" s="3"/>
      <c r="BD144" s="3"/>
      <c r="BE144" s="3"/>
    </row>
    <row r="145" spans="1:57" ht="14.45" customHeight="1" x14ac:dyDescent="0.25">
      <c r="A145" s="44"/>
      <c r="B145" s="9"/>
      <c r="C145" s="644" t="s">
        <v>26</v>
      </c>
      <c r="D145" s="644"/>
      <c r="E145" s="644"/>
      <c r="F145" s="644"/>
      <c r="G145" s="644"/>
      <c r="H145" s="642"/>
      <c r="I145" s="737">
        <f t="shared" si="88"/>
        <v>0</v>
      </c>
      <c r="J145" s="689"/>
      <c r="K145" s="675">
        <f t="shared" si="89"/>
        <v>0</v>
      </c>
      <c r="L145" s="690"/>
      <c r="M145" s="689">
        <f t="shared" si="90"/>
        <v>0</v>
      </c>
      <c r="N145" s="689"/>
      <c r="O145" s="675">
        <f t="shared" si="91"/>
        <v>0</v>
      </c>
      <c r="P145" s="676"/>
      <c r="Q145" s="689">
        <f t="shared" si="92"/>
        <v>0</v>
      </c>
      <c r="R145" s="689"/>
      <c r="S145" s="675">
        <f t="shared" si="93"/>
        <v>0</v>
      </c>
      <c r="T145" s="676"/>
      <c r="U145" s="689">
        <f t="shared" si="94"/>
        <v>1</v>
      </c>
      <c r="V145" s="689"/>
      <c r="W145" s="678">
        <f t="shared" si="95"/>
        <v>40</v>
      </c>
      <c r="X145" s="678"/>
      <c r="Y145" s="691">
        <f t="shared" si="96"/>
        <v>0</v>
      </c>
      <c r="Z145" s="688"/>
      <c r="AA145" s="675">
        <f t="shared" si="97"/>
        <v>0</v>
      </c>
      <c r="AB145" s="692"/>
      <c r="AC145" s="679">
        <f t="shared" si="98"/>
        <v>1</v>
      </c>
      <c r="AD145" s="679"/>
      <c r="AE145" s="679"/>
      <c r="AF145" s="679"/>
      <c r="AG145" s="679"/>
      <c r="AH145" s="678">
        <f t="shared" si="99"/>
        <v>40</v>
      </c>
      <c r="AI145" s="675"/>
      <c r="AJ145" s="673">
        <f t="shared" si="84"/>
        <v>0</v>
      </c>
      <c r="AK145" s="674"/>
      <c r="AL145" s="675">
        <f t="shared" si="85"/>
        <v>0</v>
      </c>
      <c r="AM145" s="676"/>
      <c r="AN145" s="659">
        <f t="shared" si="86"/>
        <v>2</v>
      </c>
      <c r="AO145" s="660"/>
      <c r="AP145" s="661">
        <f t="shared" si="87"/>
        <v>80</v>
      </c>
      <c r="AQ145" s="661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14"/>
      <c r="BC145" s="3"/>
      <c r="BD145" s="3"/>
      <c r="BE145" s="3"/>
    </row>
    <row r="146" spans="1:57" ht="14.45" customHeight="1" x14ac:dyDescent="0.25">
      <c r="A146" s="44"/>
      <c r="B146" s="9"/>
      <c r="C146" s="644" t="s">
        <v>27</v>
      </c>
      <c r="D146" s="644"/>
      <c r="E146" s="644"/>
      <c r="F146" s="644"/>
      <c r="G146" s="644"/>
      <c r="H146" s="642"/>
      <c r="I146" s="737">
        <f t="shared" si="88"/>
        <v>1</v>
      </c>
      <c r="J146" s="689"/>
      <c r="K146" s="675">
        <f t="shared" si="89"/>
        <v>120</v>
      </c>
      <c r="L146" s="690"/>
      <c r="M146" s="689">
        <f t="shared" si="90"/>
        <v>2</v>
      </c>
      <c r="N146" s="689"/>
      <c r="O146" s="675">
        <f t="shared" si="91"/>
        <v>270</v>
      </c>
      <c r="P146" s="676"/>
      <c r="Q146" s="689">
        <f t="shared" si="92"/>
        <v>0</v>
      </c>
      <c r="R146" s="689"/>
      <c r="S146" s="675">
        <f t="shared" si="93"/>
        <v>0</v>
      </c>
      <c r="T146" s="676"/>
      <c r="U146" s="689">
        <f t="shared" si="94"/>
        <v>6</v>
      </c>
      <c r="V146" s="689"/>
      <c r="W146" s="678">
        <f t="shared" si="95"/>
        <v>810</v>
      </c>
      <c r="X146" s="678"/>
      <c r="Y146" s="691">
        <f t="shared" si="96"/>
        <v>2</v>
      </c>
      <c r="Z146" s="688"/>
      <c r="AA146" s="675">
        <f t="shared" si="97"/>
        <v>270</v>
      </c>
      <c r="AB146" s="692"/>
      <c r="AC146" s="679">
        <f t="shared" si="98"/>
        <v>12</v>
      </c>
      <c r="AD146" s="679"/>
      <c r="AE146" s="679"/>
      <c r="AF146" s="679"/>
      <c r="AG146" s="679"/>
      <c r="AH146" s="678">
        <f t="shared" si="99"/>
        <v>1590</v>
      </c>
      <c r="AI146" s="675"/>
      <c r="AJ146" s="673">
        <f t="shared" si="84"/>
        <v>11</v>
      </c>
      <c r="AK146" s="674"/>
      <c r="AL146" s="675">
        <f t="shared" si="85"/>
        <v>1430</v>
      </c>
      <c r="AM146" s="676"/>
      <c r="AN146" s="659">
        <f t="shared" si="86"/>
        <v>34</v>
      </c>
      <c r="AO146" s="660"/>
      <c r="AP146" s="661">
        <f t="shared" si="87"/>
        <v>4490</v>
      </c>
      <c r="AQ146" s="661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14"/>
      <c r="BC146" s="3"/>
      <c r="BD146" s="3"/>
      <c r="BE146" s="3"/>
    </row>
    <row r="147" spans="1:57" ht="14.45" customHeight="1" x14ac:dyDescent="0.25">
      <c r="A147" s="44"/>
      <c r="B147" s="9"/>
      <c r="C147" s="644" t="s">
        <v>28</v>
      </c>
      <c r="D147" s="644"/>
      <c r="E147" s="644"/>
      <c r="F147" s="644"/>
      <c r="G147" s="644"/>
      <c r="H147" s="642"/>
      <c r="I147" s="737">
        <f t="shared" si="88"/>
        <v>3</v>
      </c>
      <c r="J147" s="689"/>
      <c r="K147" s="675">
        <f t="shared" si="89"/>
        <v>84</v>
      </c>
      <c r="L147" s="690"/>
      <c r="M147" s="689">
        <f t="shared" si="90"/>
        <v>4</v>
      </c>
      <c r="N147" s="689"/>
      <c r="O147" s="675">
        <f t="shared" si="91"/>
        <v>140</v>
      </c>
      <c r="P147" s="676"/>
      <c r="Q147" s="689">
        <f t="shared" si="92"/>
        <v>3</v>
      </c>
      <c r="R147" s="689"/>
      <c r="S147" s="675">
        <f t="shared" si="93"/>
        <v>105</v>
      </c>
      <c r="T147" s="676"/>
      <c r="U147" s="689">
        <f t="shared" si="94"/>
        <v>0</v>
      </c>
      <c r="V147" s="689"/>
      <c r="W147" s="678">
        <f t="shared" si="95"/>
        <v>0</v>
      </c>
      <c r="X147" s="678"/>
      <c r="Y147" s="691">
        <f t="shared" si="96"/>
        <v>4</v>
      </c>
      <c r="Z147" s="688"/>
      <c r="AA147" s="675">
        <f t="shared" si="97"/>
        <v>140</v>
      </c>
      <c r="AB147" s="692"/>
      <c r="AC147" s="679">
        <f t="shared" si="98"/>
        <v>6</v>
      </c>
      <c r="AD147" s="679"/>
      <c r="AE147" s="679"/>
      <c r="AF147" s="679"/>
      <c r="AG147" s="679"/>
      <c r="AH147" s="678">
        <f t="shared" si="99"/>
        <v>210</v>
      </c>
      <c r="AI147" s="675"/>
      <c r="AJ147" s="673">
        <f t="shared" si="84"/>
        <v>4</v>
      </c>
      <c r="AK147" s="674"/>
      <c r="AL147" s="675">
        <f t="shared" si="85"/>
        <v>120</v>
      </c>
      <c r="AM147" s="676"/>
      <c r="AN147" s="659">
        <f t="shared" si="86"/>
        <v>24</v>
      </c>
      <c r="AO147" s="660"/>
      <c r="AP147" s="661">
        <f t="shared" si="87"/>
        <v>799</v>
      </c>
      <c r="AQ147" s="661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14"/>
      <c r="BC147" s="3"/>
      <c r="BD147" s="3"/>
      <c r="BE147" s="3"/>
    </row>
    <row r="148" spans="1:57" ht="14.45" customHeight="1" x14ac:dyDescent="0.25">
      <c r="A148" s="44"/>
      <c r="B148" s="9"/>
      <c r="C148" s="644" t="s">
        <v>29</v>
      </c>
      <c r="D148" s="644"/>
      <c r="E148" s="644"/>
      <c r="F148" s="644"/>
      <c r="G148" s="644"/>
      <c r="H148" s="642"/>
      <c r="I148" s="737">
        <f t="shared" si="88"/>
        <v>0</v>
      </c>
      <c r="J148" s="689"/>
      <c r="K148" s="675">
        <f t="shared" si="89"/>
        <v>0</v>
      </c>
      <c r="L148" s="690"/>
      <c r="M148" s="689">
        <f t="shared" si="90"/>
        <v>0</v>
      </c>
      <c r="N148" s="689"/>
      <c r="O148" s="675">
        <f t="shared" si="91"/>
        <v>0</v>
      </c>
      <c r="P148" s="676"/>
      <c r="Q148" s="689">
        <f t="shared" si="92"/>
        <v>1</v>
      </c>
      <c r="R148" s="689"/>
      <c r="S148" s="675">
        <f t="shared" si="93"/>
        <v>135</v>
      </c>
      <c r="T148" s="676"/>
      <c r="U148" s="689">
        <f t="shared" si="94"/>
        <v>1</v>
      </c>
      <c r="V148" s="689"/>
      <c r="W148" s="678">
        <f t="shared" si="95"/>
        <v>135</v>
      </c>
      <c r="X148" s="678"/>
      <c r="Y148" s="691">
        <f t="shared" si="96"/>
        <v>6</v>
      </c>
      <c r="Z148" s="688"/>
      <c r="AA148" s="675">
        <f t="shared" si="97"/>
        <v>810</v>
      </c>
      <c r="AB148" s="692"/>
      <c r="AC148" s="679">
        <f t="shared" si="98"/>
        <v>13</v>
      </c>
      <c r="AD148" s="679"/>
      <c r="AE148" s="679"/>
      <c r="AF148" s="679"/>
      <c r="AG148" s="679"/>
      <c r="AH148" s="678">
        <f t="shared" si="99"/>
        <v>1730</v>
      </c>
      <c r="AI148" s="675"/>
      <c r="AJ148" s="673">
        <f t="shared" si="84"/>
        <v>5</v>
      </c>
      <c r="AK148" s="674"/>
      <c r="AL148" s="675">
        <f t="shared" si="85"/>
        <v>650</v>
      </c>
      <c r="AM148" s="676"/>
      <c r="AN148" s="659">
        <f t="shared" si="86"/>
        <v>26</v>
      </c>
      <c r="AO148" s="660"/>
      <c r="AP148" s="661">
        <f t="shared" si="87"/>
        <v>3460</v>
      </c>
      <c r="AQ148" s="661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14"/>
      <c r="BC148" s="3"/>
      <c r="BD148" s="3"/>
      <c r="BE148" s="3"/>
    </row>
    <row r="149" spans="1:57" ht="14.45" customHeight="1" x14ac:dyDescent="0.25">
      <c r="A149" s="44"/>
      <c r="B149" s="9"/>
      <c r="C149" s="644" t="s">
        <v>113</v>
      </c>
      <c r="D149" s="644"/>
      <c r="E149" s="644"/>
      <c r="F149" s="644"/>
      <c r="G149" s="644"/>
      <c r="H149" s="642"/>
      <c r="I149" s="737">
        <f t="shared" si="88"/>
        <v>0</v>
      </c>
      <c r="J149" s="689"/>
      <c r="K149" s="675">
        <f t="shared" si="89"/>
        <v>0</v>
      </c>
      <c r="L149" s="690"/>
      <c r="M149" s="689">
        <f t="shared" si="90"/>
        <v>0</v>
      </c>
      <c r="N149" s="689"/>
      <c r="O149" s="675">
        <f t="shared" si="91"/>
        <v>0</v>
      </c>
      <c r="P149" s="676"/>
      <c r="Q149" s="689">
        <f t="shared" si="92"/>
        <v>0</v>
      </c>
      <c r="R149" s="689"/>
      <c r="S149" s="675">
        <f t="shared" si="93"/>
        <v>0</v>
      </c>
      <c r="T149" s="676"/>
      <c r="U149" s="689">
        <f t="shared" si="94"/>
        <v>0</v>
      </c>
      <c r="V149" s="689"/>
      <c r="W149" s="678">
        <f t="shared" si="95"/>
        <v>0</v>
      </c>
      <c r="X149" s="678"/>
      <c r="Y149" s="691">
        <f t="shared" si="96"/>
        <v>2</v>
      </c>
      <c r="Z149" s="688"/>
      <c r="AA149" s="675">
        <f t="shared" si="97"/>
        <v>70</v>
      </c>
      <c r="AB149" s="692"/>
      <c r="AC149" s="679">
        <f t="shared" si="98"/>
        <v>6</v>
      </c>
      <c r="AD149" s="679"/>
      <c r="AE149" s="679"/>
      <c r="AF149" s="679"/>
      <c r="AG149" s="679"/>
      <c r="AH149" s="678">
        <f t="shared" si="99"/>
        <v>210</v>
      </c>
      <c r="AI149" s="675"/>
      <c r="AJ149" s="673">
        <f t="shared" si="84"/>
        <v>3</v>
      </c>
      <c r="AK149" s="674"/>
      <c r="AL149" s="675">
        <f t="shared" si="85"/>
        <v>90</v>
      </c>
      <c r="AM149" s="676"/>
      <c r="AN149" s="659">
        <f t="shared" si="86"/>
        <v>11</v>
      </c>
      <c r="AO149" s="660"/>
      <c r="AP149" s="661">
        <f t="shared" si="87"/>
        <v>370</v>
      </c>
      <c r="AQ149" s="661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14"/>
      <c r="BC149" s="3"/>
      <c r="BD149" s="3"/>
      <c r="BE149" s="3"/>
    </row>
    <row r="150" spans="1:57" ht="14.45" customHeight="1" x14ac:dyDescent="0.25">
      <c r="A150" s="44"/>
      <c r="B150" s="9"/>
      <c r="C150" s="644" t="s">
        <v>30</v>
      </c>
      <c r="D150" s="644"/>
      <c r="E150" s="644"/>
      <c r="F150" s="644"/>
      <c r="G150" s="644"/>
      <c r="H150" s="642"/>
      <c r="I150" s="737">
        <f t="shared" si="88"/>
        <v>0</v>
      </c>
      <c r="J150" s="689"/>
      <c r="K150" s="675">
        <f t="shared" si="89"/>
        <v>0</v>
      </c>
      <c r="L150" s="690"/>
      <c r="M150" s="689">
        <f t="shared" si="90"/>
        <v>6</v>
      </c>
      <c r="N150" s="689"/>
      <c r="O150" s="675">
        <f t="shared" si="91"/>
        <v>810</v>
      </c>
      <c r="P150" s="676"/>
      <c r="Q150" s="689">
        <f t="shared" si="92"/>
        <v>0</v>
      </c>
      <c r="R150" s="689"/>
      <c r="S150" s="675">
        <f t="shared" si="93"/>
        <v>0</v>
      </c>
      <c r="T150" s="676"/>
      <c r="U150" s="689">
        <f t="shared" si="94"/>
        <v>0</v>
      </c>
      <c r="V150" s="689"/>
      <c r="W150" s="678">
        <f t="shared" si="95"/>
        <v>0</v>
      </c>
      <c r="X150" s="678"/>
      <c r="Y150" s="691">
        <f t="shared" si="96"/>
        <v>3</v>
      </c>
      <c r="Z150" s="688"/>
      <c r="AA150" s="675">
        <f t="shared" si="97"/>
        <v>405</v>
      </c>
      <c r="AB150" s="692"/>
      <c r="AC150" s="679">
        <f t="shared" si="98"/>
        <v>5</v>
      </c>
      <c r="AD150" s="679"/>
      <c r="AE150" s="679"/>
      <c r="AF150" s="679"/>
      <c r="AG150" s="679"/>
      <c r="AH150" s="678">
        <f t="shared" si="99"/>
        <v>660</v>
      </c>
      <c r="AI150" s="675"/>
      <c r="AJ150" s="673">
        <f t="shared" si="84"/>
        <v>2</v>
      </c>
      <c r="AK150" s="674"/>
      <c r="AL150" s="675">
        <f t="shared" si="85"/>
        <v>260</v>
      </c>
      <c r="AM150" s="676"/>
      <c r="AN150" s="659">
        <f t="shared" si="86"/>
        <v>16</v>
      </c>
      <c r="AO150" s="660"/>
      <c r="AP150" s="661">
        <f t="shared" si="87"/>
        <v>2135</v>
      </c>
      <c r="AQ150" s="661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14"/>
      <c r="BC150" s="3"/>
      <c r="BD150" s="3"/>
      <c r="BE150" s="3"/>
    </row>
    <row r="151" spans="1:57" ht="14.45" customHeight="1" x14ac:dyDescent="0.25">
      <c r="A151" s="44"/>
      <c r="B151" s="9"/>
      <c r="C151" s="644" t="s">
        <v>31</v>
      </c>
      <c r="D151" s="644"/>
      <c r="E151" s="644"/>
      <c r="F151" s="644"/>
      <c r="G151" s="644"/>
      <c r="H151" s="642"/>
      <c r="I151" s="737">
        <f t="shared" si="88"/>
        <v>1</v>
      </c>
      <c r="J151" s="689"/>
      <c r="K151" s="675">
        <f t="shared" si="89"/>
        <v>35</v>
      </c>
      <c r="L151" s="690"/>
      <c r="M151" s="689">
        <f t="shared" si="90"/>
        <v>3</v>
      </c>
      <c r="N151" s="689"/>
      <c r="O151" s="675">
        <f t="shared" si="91"/>
        <v>105</v>
      </c>
      <c r="P151" s="676"/>
      <c r="Q151" s="689">
        <f t="shared" si="92"/>
        <v>0</v>
      </c>
      <c r="R151" s="689"/>
      <c r="S151" s="675">
        <f t="shared" si="93"/>
        <v>0</v>
      </c>
      <c r="T151" s="676"/>
      <c r="U151" s="689">
        <f t="shared" si="94"/>
        <v>0</v>
      </c>
      <c r="V151" s="689"/>
      <c r="W151" s="678">
        <f t="shared" si="95"/>
        <v>0</v>
      </c>
      <c r="X151" s="678"/>
      <c r="Y151" s="691">
        <f t="shared" si="96"/>
        <v>0</v>
      </c>
      <c r="Z151" s="688"/>
      <c r="AA151" s="675">
        <f t="shared" si="97"/>
        <v>0</v>
      </c>
      <c r="AB151" s="692"/>
      <c r="AC151" s="679">
        <f t="shared" si="98"/>
        <v>4</v>
      </c>
      <c r="AD151" s="679"/>
      <c r="AE151" s="679"/>
      <c r="AF151" s="679"/>
      <c r="AG151" s="679"/>
      <c r="AH151" s="678">
        <f t="shared" si="99"/>
        <v>140</v>
      </c>
      <c r="AI151" s="675"/>
      <c r="AJ151" s="673">
        <f t="shared" si="84"/>
        <v>0</v>
      </c>
      <c r="AK151" s="674"/>
      <c r="AL151" s="675">
        <f t="shared" si="85"/>
        <v>0</v>
      </c>
      <c r="AM151" s="676"/>
      <c r="AN151" s="659">
        <f t="shared" si="86"/>
        <v>8</v>
      </c>
      <c r="AO151" s="660"/>
      <c r="AP151" s="661">
        <f t="shared" si="87"/>
        <v>280</v>
      </c>
      <c r="AQ151" s="661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14"/>
      <c r="BC151" s="3"/>
      <c r="BD151" s="3"/>
      <c r="BE151" s="3"/>
    </row>
    <row r="152" spans="1:57" ht="14.45" customHeight="1" x14ac:dyDescent="0.25">
      <c r="A152" s="44"/>
      <c r="B152" s="9"/>
      <c r="C152" s="644" t="s">
        <v>32</v>
      </c>
      <c r="D152" s="644"/>
      <c r="E152" s="644"/>
      <c r="F152" s="644"/>
      <c r="G152" s="644"/>
      <c r="H152" s="642"/>
      <c r="I152" s="737">
        <f t="shared" si="88"/>
        <v>0</v>
      </c>
      <c r="J152" s="689"/>
      <c r="K152" s="675">
        <f t="shared" si="89"/>
        <v>0</v>
      </c>
      <c r="L152" s="690"/>
      <c r="M152" s="689">
        <f t="shared" si="90"/>
        <v>0</v>
      </c>
      <c r="N152" s="689"/>
      <c r="O152" s="675">
        <f t="shared" si="91"/>
        <v>0</v>
      </c>
      <c r="P152" s="676"/>
      <c r="Q152" s="689">
        <f t="shared" si="92"/>
        <v>0</v>
      </c>
      <c r="R152" s="689"/>
      <c r="S152" s="675">
        <f t="shared" si="93"/>
        <v>0</v>
      </c>
      <c r="T152" s="676"/>
      <c r="U152" s="689">
        <f t="shared" si="94"/>
        <v>10</v>
      </c>
      <c r="V152" s="689"/>
      <c r="W152" s="678">
        <f t="shared" si="95"/>
        <v>180</v>
      </c>
      <c r="X152" s="678"/>
      <c r="Y152" s="691">
        <f t="shared" si="96"/>
        <v>0</v>
      </c>
      <c r="Z152" s="688"/>
      <c r="AA152" s="675">
        <f t="shared" si="97"/>
        <v>0</v>
      </c>
      <c r="AB152" s="692"/>
      <c r="AC152" s="679">
        <f t="shared" si="98"/>
        <v>9</v>
      </c>
      <c r="AD152" s="679"/>
      <c r="AE152" s="679"/>
      <c r="AF152" s="679"/>
      <c r="AG152" s="679"/>
      <c r="AH152" s="678">
        <f t="shared" si="99"/>
        <v>160</v>
      </c>
      <c r="AI152" s="675"/>
      <c r="AJ152" s="673">
        <f t="shared" si="84"/>
        <v>1</v>
      </c>
      <c r="AK152" s="674"/>
      <c r="AL152" s="675">
        <f t="shared" si="85"/>
        <v>15</v>
      </c>
      <c r="AM152" s="676"/>
      <c r="AN152" s="659">
        <f t="shared" si="86"/>
        <v>20</v>
      </c>
      <c r="AO152" s="660"/>
      <c r="AP152" s="661">
        <f t="shared" si="87"/>
        <v>355</v>
      </c>
      <c r="AQ152" s="661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14"/>
      <c r="BC152" s="3"/>
      <c r="BD152" s="3"/>
      <c r="BE152" s="3"/>
    </row>
    <row r="153" spans="1:57" ht="14.45" customHeight="1" x14ac:dyDescent="0.25">
      <c r="A153" s="44"/>
      <c r="B153" s="9"/>
      <c r="C153" s="644" t="s">
        <v>33</v>
      </c>
      <c r="D153" s="644"/>
      <c r="E153" s="644"/>
      <c r="F153" s="644"/>
      <c r="G153" s="644"/>
      <c r="H153" s="642"/>
      <c r="I153" s="737">
        <f t="shared" si="88"/>
        <v>0</v>
      </c>
      <c r="J153" s="689"/>
      <c r="K153" s="675">
        <f t="shared" si="89"/>
        <v>0</v>
      </c>
      <c r="L153" s="690"/>
      <c r="M153" s="689">
        <f t="shared" si="90"/>
        <v>0</v>
      </c>
      <c r="N153" s="689"/>
      <c r="O153" s="675">
        <f t="shared" si="91"/>
        <v>0</v>
      </c>
      <c r="P153" s="676"/>
      <c r="Q153" s="689">
        <f t="shared" si="92"/>
        <v>0</v>
      </c>
      <c r="R153" s="689"/>
      <c r="S153" s="675">
        <f t="shared" si="93"/>
        <v>0</v>
      </c>
      <c r="T153" s="676"/>
      <c r="U153" s="689">
        <f t="shared" si="94"/>
        <v>10</v>
      </c>
      <c r="V153" s="689"/>
      <c r="W153" s="678">
        <f t="shared" si="95"/>
        <v>170</v>
      </c>
      <c r="X153" s="678"/>
      <c r="Y153" s="691">
        <f t="shared" si="96"/>
        <v>0</v>
      </c>
      <c r="Z153" s="688"/>
      <c r="AA153" s="675">
        <f t="shared" si="97"/>
        <v>0</v>
      </c>
      <c r="AB153" s="692"/>
      <c r="AC153" s="679">
        <f t="shared" si="98"/>
        <v>0</v>
      </c>
      <c r="AD153" s="679"/>
      <c r="AE153" s="679"/>
      <c r="AF153" s="679"/>
      <c r="AG153" s="679"/>
      <c r="AH153" s="678">
        <f t="shared" si="99"/>
        <v>0</v>
      </c>
      <c r="AI153" s="675"/>
      <c r="AJ153" s="673">
        <f t="shared" si="84"/>
        <v>0</v>
      </c>
      <c r="AK153" s="674"/>
      <c r="AL153" s="675">
        <f t="shared" si="85"/>
        <v>0</v>
      </c>
      <c r="AM153" s="676"/>
      <c r="AN153" s="659">
        <f t="shared" si="86"/>
        <v>10</v>
      </c>
      <c r="AO153" s="660"/>
      <c r="AP153" s="661">
        <f t="shared" si="87"/>
        <v>170</v>
      </c>
      <c r="AQ153" s="661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14"/>
      <c r="BC153" s="3"/>
      <c r="BD153" s="3"/>
      <c r="BE153" s="3"/>
    </row>
    <row r="154" spans="1:57" ht="14.45" customHeight="1" x14ac:dyDescent="0.25">
      <c r="A154" s="44"/>
      <c r="B154" s="9"/>
      <c r="C154" s="644" t="s">
        <v>34</v>
      </c>
      <c r="D154" s="644"/>
      <c r="E154" s="644"/>
      <c r="F154" s="644"/>
      <c r="G154" s="644"/>
      <c r="H154" s="642"/>
      <c r="I154" s="737">
        <f t="shared" si="88"/>
        <v>0</v>
      </c>
      <c r="J154" s="689"/>
      <c r="K154" s="675">
        <f t="shared" si="89"/>
        <v>0</v>
      </c>
      <c r="L154" s="690"/>
      <c r="M154" s="689">
        <f t="shared" si="90"/>
        <v>3</v>
      </c>
      <c r="N154" s="689"/>
      <c r="O154" s="675">
        <f t="shared" si="91"/>
        <v>51</v>
      </c>
      <c r="P154" s="676"/>
      <c r="Q154" s="689">
        <f t="shared" si="92"/>
        <v>0</v>
      </c>
      <c r="R154" s="689"/>
      <c r="S154" s="675">
        <f t="shared" si="93"/>
        <v>0</v>
      </c>
      <c r="T154" s="676"/>
      <c r="U154" s="689">
        <f t="shared" si="94"/>
        <v>7</v>
      </c>
      <c r="V154" s="689"/>
      <c r="W154" s="678">
        <f t="shared" si="95"/>
        <v>119</v>
      </c>
      <c r="X154" s="678"/>
      <c r="Y154" s="691">
        <f t="shared" si="96"/>
        <v>0</v>
      </c>
      <c r="Z154" s="688"/>
      <c r="AA154" s="675">
        <f t="shared" si="97"/>
        <v>0</v>
      </c>
      <c r="AB154" s="692"/>
      <c r="AC154" s="679">
        <f t="shared" si="98"/>
        <v>0</v>
      </c>
      <c r="AD154" s="679"/>
      <c r="AE154" s="679"/>
      <c r="AF154" s="679"/>
      <c r="AG154" s="679"/>
      <c r="AH154" s="678">
        <f t="shared" si="99"/>
        <v>0</v>
      </c>
      <c r="AI154" s="675"/>
      <c r="AJ154" s="673">
        <f t="shared" si="84"/>
        <v>0</v>
      </c>
      <c r="AK154" s="674"/>
      <c r="AL154" s="675">
        <f t="shared" si="85"/>
        <v>0</v>
      </c>
      <c r="AM154" s="676"/>
      <c r="AN154" s="659">
        <f t="shared" si="86"/>
        <v>10</v>
      </c>
      <c r="AO154" s="660"/>
      <c r="AP154" s="661">
        <f t="shared" si="87"/>
        <v>170</v>
      </c>
      <c r="AQ154" s="661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14"/>
      <c r="BC154" s="8"/>
      <c r="BD154" s="8"/>
      <c r="BE154" s="8"/>
    </row>
    <row r="155" spans="1:57" ht="14.45" customHeight="1" x14ac:dyDescent="0.25">
      <c r="A155" s="44"/>
      <c r="B155" s="9"/>
      <c r="C155" s="644" t="s">
        <v>35</v>
      </c>
      <c r="D155" s="644"/>
      <c r="E155" s="644"/>
      <c r="F155" s="644"/>
      <c r="G155" s="644"/>
      <c r="H155" s="642"/>
      <c r="I155" s="737">
        <f t="shared" si="88"/>
        <v>2</v>
      </c>
      <c r="J155" s="689"/>
      <c r="K155" s="675">
        <f t="shared" si="89"/>
        <v>14</v>
      </c>
      <c r="L155" s="690"/>
      <c r="M155" s="689">
        <f t="shared" si="90"/>
        <v>3</v>
      </c>
      <c r="N155" s="689"/>
      <c r="O155" s="675">
        <f t="shared" si="91"/>
        <v>21</v>
      </c>
      <c r="P155" s="676"/>
      <c r="Q155" s="689">
        <f t="shared" si="92"/>
        <v>0</v>
      </c>
      <c r="R155" s="689"/>
      <c r="S155" s="675">
        <f t="shared" si="93"/>
        <v>0</v>
      </c>
      <c r="T155" s="676"/>
      <c r="U155" s="689">
        <f t="shared" si="94"/>
        <v>5</v>
      </c>
      <c r="V155" s="689"/>
      <c r="W155" s="678">
        <f t="shared" si="95"/>
        <v>35</v>
      </c>
      <c r="X155" s="678"/>
      <c r="Y155" s="691">
        <f t="shared" si="96"/>
        <v>1</v>
      </c>
      <c r="Z155" s="688"/>
      <c r="AA155" s="675">
        <f t="shared" si="97"/>
        <v>7</v>
      </c>
      <c r="AB155" s="692"/>
      <c r="AC155" s="679">
        <f t="shared" si="98"/>
        <v>4</v>
      </c>
      <c r="AD155" s="679"/>
      <c r="AE155" s="679"/>
      <c r="AF155" s="679"/>
      <c r="AG155" s="679"/>
      <c r="AH155" s="678">
        <f t="shared" si="99"/>
        <v>28</v>
      </c>
      <c r="AI155" s="675"/>
      <c r="AJ155" s="673">
        <f t="shared" si="84"/>
        <v>0</v>
      </c>
      <c r="AK155" s="674"/>
      <c r="AL155" s="675">
        <f t="shared" si="85"/>
        <v>0</v>
      </c>
      <c r="AM155" s="676"/>
      <c r="AN155" s="659">
        <f t="shared" si="86"/>
        <v>15</v>
      </c>
      <c r="AO155" s="660"/>
      <c r="AP155" s="661">
        <f t="shared" si="87"/>
        <v>105</v>
      </c>
      <c r="AQ155" s="661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14"/>
      <c r="BC155" s="8"/>
      <c r="BD155" s="8"/>
      <c r="BE155" s="8"/>
    </row>
    <row r="156" spans="1:57" ht="14.45" customHeight="1" x14ac:dyDescent="0.25">
      <c r="A156" s="44"/>
      <c r="B156" s="9"/>
      <c r="C156" s="644" t="s">
        <v>36</v>
      </c>
      <c r="D156" s="644"/>
      <c r="E156" s="644"/>
      <c r="F156" s="644"/>
      <c r="G156" s="644"/>
      <c r="H156" s="642"/>
      <c r="I156" s="737">
        <f t="shared" si="88"/>
        <v>0</v>
      </c>
      <c r="J156" s="689"/>
      <c r="K156" s="675">
        <f t="shared" si="89"/>
        <v>0</v>
      </c>
      <c r="L156" s="690"/>
      <c r="M156" s="689">
        <f t="shared" si="90"/>
        <v>0</v>
      </c>
      <c r="N156" s="689"/>
      <c r="O156" s="675">
        <f t="shared" si="91"/>
        <v>0</v>
      </c>
      <c r="P156" s="676"/>
      <c r="Q156" s="689">
        <f t="shared" si="92"/>
        <v>0</v>
      </c>
      <c r="R156" s="689"/>
      <c r="S156" s="675">
        <f t="shared" si="93"/>
        <v>0</v>
      </c>
      <c r="T156" s="676"/>
      <c r="U156" s="689">
        <f t="shared" si="94"/>
        <v>22</v>
      </c>
      <c r="V156" s="689"/>
      <c r="W156" s="678">
        <f t="shared" si="95"/>
        <v>154</v>
      </c>
      <c r="X156" s="678"/>
      <c r="Y156" s="691">
        <f t="shared" si="96"/>
        <v>0</v>
      </c>
      <c r="Z156" s="688"/>
      <c r="AA156" s="675">
        <f t="shared" si="97"/>
        <v>0</v>
      </c>
      <c r="AB156" s="692"/>
      <c r="AC156" s="679">
        <f t="shared" si="98"/>
        <v>5</v>
      </c>
      <c r="AD156" s="679"/>
      <c r="AE156" s="679"/>
      <c r="AF156" s="679"/>
      <c r="AG156" s="679"/>
      <c r="AH156" s="678">
        <f t="shared" si="99"/>
        <v>35</v>
      </c>
      <c r="AI156" s="675"/>
      <c r="AJ156" s="673">
        <f t="shared" si="84"/>
        <v>1</v>
      </c>
      <c r="AK156" s="674"/>
      <c r="AL156" s="675">
        <f t="shared" si="85"/>
        <v>7</v>
      </c>
      <c r="AM156" s="676"/>
      <c r="AN156" s="659">
        <f t="shared" si="86"/>
        <v>28</v>
      </c>
      <c r="AO156" s="660"/>
      <c r="AP156" s="661">
        <f t="shared" si="87"/>
        <v>196</v>
      </c>
      <c r="AQ156" s="661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14"/>
      <c r="BC156" s="8"/>
      <c r="BD156" s="8"/>
      <c r="BE156" s="8"/>
    </row>
    <row r="157" spans="1:57" ht="14.45" customHeight="1" x14ac:dyDescent="0.25">
      <c r="A157" s="44"/>
      <c r="B157" s="9"/>
      <c r="C157" s="644" t="s">
        <v>37</v>
      </c>
      <c r="D157" s="644"/>
      <c r="E157" s="644"/>
      <c r="F157" s="644"/>
      <c r="G157" s="644"/>
      <c r="H157" s="642"/>
      <c r="I157" s="737">
        <f t="shared" si="88"/>
        <v>0</v>
      </c>
      <c r="J157" s="689"/>
      <c r="K157" s="675">
        <f t="shared" si="89"/>
        <v>0</v>
      </c>
      <c r="L157" s="690"/>
      <c r="M157" s="689">
        <f t="shared" si="90"/>
        <v>0</v>
      </c>
      <c r="N157" s="689"/>
      <c r="O157" s="675">
        <f t="shared" si="91"/>
        <v>0</v>
      </c>
      <c r="P157" s="676"/>
      <c r="Q157" s="689">
        <f t="shared" si="92"/>
        <v>0</v>
      </c>
      <c r="R157" s="689"/>
      <c r="S157" s="675">
        <f t="shared" si="93"/>
        <v>0</v>
      </c>
      <c r="T157" s="676"/>
      <c r="U157" s="689">
        <f t="shared" si="94"/>
        <v>10</v>
      </c>
      <c r="V157" s="689"/>
      <c r="W157" s="678">
        <f t="shared" si="95"/>
        <v>90</v>
      </c>
      <c r="X157" s="678"/>
      <c r="Y157" s="691">
        <f t="shared" si="96"/>
        <v>0</v>
      </c>
      <c r="Z157" s="688"/>
      <c r="AA157" s="675">
        <f t="shared" si="97"/>
        <v>0</v>
      </c>
      <c r="AB157" s="692"/>
      <c r="AC157" s="679">
        <f t="shared" si="98"/>
        <v>0</v>
      </c>
      <c r="AD157" s="679"/>
      <c r="AE157" s="679"/>
      <c r="AF157" s="679"/>
      <c r="AG157" s="679"/>
      <c r="AH157" s="678">
        <f t="shared" si="99"/>
        <v>0</v>
      </c>
      <c r="AI157" s="675"/>
      <c r="AJ157" s="673">
        <f t="shared" si="84"/>
        <v>0</v>
      </c>
      <c r="AK157" s="674"/>
      <c r="AL157" s="675">
        <f t="shared" si="85"/>
        <v>0</v>
      </c>
      <c r="AM157" s="676"/>
      <c r="AN157" s="659">
        <f t="shared" si="86"/>
        <v>10</v>
      </c>
      <c r="AO157" s="660"/>
      <c r="AP157" s="661">
        <f t="shared" si="87"/>
        <v>90</v>
      </c>
      <c r="AQ157" s="661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14"/>
      <c r="BC157" s="8"/>
      <c r="BD157" s="8"/>
      <c r="BE157" s="8"/>
    </row>
    <row r="158" spans="1:57" ht="14.45" customHeight="1" x14ac:dyDescent="0.25">
      <c r="A158" s="44"/>
      <c r="B158" s="9"/>
      <c r="C158" s="644" t="s">
        <v>38</v>
      </c>
      <c r="D158" s="644"/>
      <c r="E158" s="644"/>
      <c r="F158" s="644"/>
      <c r="G158" s="644"/>
      <c r="H158" s="642"/>
      <c r="I158" s="737">
        <f t="shared" si="88"/>
        <v>0</v>
      </c>
      <c r="J158" s="689"/>
      <c r="K158" s="675">
        <f t="shared" si="89"/>
        <v>0</v>
      </c>
      <c r="L158" s="690"/>
      <c r="M158" s="689">
        <f t="shared" si="90"/>
        <v>0</v>
      </c>
      <c r="N158" s="689"/>
      <c r="O158" s="675">
        <f t="shared" si="91"/>
        <v>0</v>
      </c>
      <c r="P158" s="676"/>
      <c r="Q158" s="689">
        <f t="shared" si="92"/>
        <v>1</v>
      </c>
      <c r="R158" s="689"/>
      <c r="S158" s="675">
        <f t="shared" si="93"/>
        <v>13</v>
      </c>
      <c r="T158" s="676"/>
      <c r="U158" s="689">
        <f t="shared" si="94"/>
        <v>8</v>
      </c>
      <c r="V158" s="689"/>
      <c r="W158" s="678">
        <f t="shared" si="95"/>
        <v>104</v>
      </c>
      <c r="X158" s="678"/>
      <c r="Y158" s="691">
        <f t="shared" si="96"/>
        <v>0</v>
      </c>
      <c r="Z158" s="688"/>
      <c r="AA158" s="675">
        <f t="shared" si="97"/>
        <v>0</v>
      </c>
      <c r="AB158" s="692"/>
      <c r="AC158" s="679">
        <f t="shared" si="98"/>
        <v>0</v>
      </c>
      <c r="AD158" s="679"/>
      <c r="AE158" s="679"/>
      <c r="AF158" s="679"/>
      <c r="AG158" s="679"/>
      <c r="AH158" s="678">
        <f t="shared" si="99"/>
        <v>0</v>
      </c>
      <c r="AI158" s="675"/>
      <c r="AJ158" s="673">
        <f t="shared" si="84"/>
        <v>1</v>
      </c>
      <c r="AK158" s="674"/>
      <c r="AL158" s="675">
        <f t="shared" si="85"/>
        <v>13</v>
      </c>
      <c r="AM158" s="676"/>
      <c r="AN158" s="659">
        <f t="shared" si="86"/>
        <v>10</v>
      </c>
      <c r="AO158" s="660"/>
      <c r="AP158" s="661">
        <f t="shared" si="87"/>
        <v>130</v>
      </c>
      <c r="AQ158" s="661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14"/>
      <c r="BC158" s="8"/>
      <c r="BD158" s="8"/>
      <c r="BE158" s="8"/>
    </row>
    <row r="159" spans="1:57" ht="14.45" customHeight="1" x14ac:dyDescent="0.25">
      <c r="A159" s="44"/>
      <c r="B159" s="9"/>
      <c r="C159" s="644" t="s">
        <v>39</v>
      </c>
      <c r="D159" s="644"/>
      <c r="E159" s="644"/>
      <c r="F159" s="644"/>
      <c r="G159" s="644"/>
      <c r="H159" s="642"/>
      <c r="I159" s="737">
        <f t="shared" si="88"/>
        <v>0</v>
      </c>
      <c r="J159" s="689"/>
      <c r="K159" s="675">
        <f t="shared" si="89"/>
        <v>0</v>
      </c>
      <c r="L159" s="690"/>
      <c r="M159" s="689">
        <f t="shared" si="90"/>
        <v>0</v>
      </c>
      <c r="N159" s="689"/>
      <c r="O159" s="675">
        <f t="shared" si="91"/>
        <v>0</v>
      </c>
      <c r="P159" s="676"/>
      <c r="Q159" s="689">
        <f t="shared" si="92"/>
        <v>0</v>
      </c>
      <c r="R159" s="689"/>
      <c r="S159" s="675">
        <f t="shared" si="93"/>
        <v>0</v>
      </c>
      <c r="T159" s="676"/>
      <c r="U159" s="689">
        <f t="shared" si="94"/>
        <v>9</v>
      </c>
      <c r="V159" s="689"/>
      <c r="W159" s="678">
        <f t="shared" si="95"/>
        <v>162</v>
      </c>
      <c r="X159" s="678"/>
      <c r="Y159" s="691">
        <f t="shared" si="96"/>
        <v>0</v>
      </c>
      <c r="Z159" s="688"/>
      <c r="AA159" s="675">
        <f t="shared" si="97"/>
        <v>0</v>
      </c>
      <c r="AB159" s="692"/>
      <c r="AC159" s="679">
        <f t="shared" si="98"/>
        <v>1</v>
      </c>
      <c r="AD159" s="679"/>
      <c r="AE159" s="679"/>
      <c r="AF159" s="679"/>
      <c r="AG159" s="679"/>
      <c r="AH159" s="678">
        <f t="shared" si="99"/>
        <v>18</v>
      </c>
      <c r="AI159" s="675"/>
      <c r="AJ159" s="673">
        <f t="shared" si="84"/>
        <v>0</v>
      </c>
      <c r="AK159" s="674"/>
      <c r="AL159" s="675">
        <f t="shared" si="85"/>
        <v>0</v>
      </c>
      <c r="AM159" s="676"/>
      <c r="AN159" s="659">
        <f t="shared" si="86"/>
        <v>10</v>
      </c>
      <c r="AO159" s="660"/>
      <c r="AP159" s="661">
        <f t="shared" si="87"/>
        <v>180</v>
      </c>
      <c r="AQ159" s="661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14"/>
      <c r="BC159" s="8"/>
      <c r="BD159" s="8"/>
      <c r="BE159" s="8"/>
    </row>
    <row r="160" spans="1:57" ht="14.45" customHeight="1" x14ac:dyDescent="0.25">
      <c r="A160" s="44"/>
      <c r="B160" s="9"/>
      <c r="C160" s="644" t="s">
        <v>48</v>
      </c>
      <c r="D160" s="644"/>
      <c r="E160" s="644"/>
      <c r="F160" s="644"/>
      <c r="G160" s="644"/>
      <c r="H160" s="642"/>
      <c r="I160" s="737">
        <f t="shared" si="88"/>
        <v>0</v>
      </c>
      <c r="J160" s="689"/>
      <c r="K160" s="675">
        <f t="shared" si="89"/>
        <v>0</v>
      </c>
      <c r="L160" s="690"/>
      <c r="M160" s="689">
        <f t="shared" si="90"/>
        <v>0</v>
      </c>
      <c r="N160" s="689"/>
      <c r="O160" s="675">
        <f t="shared" si="91"/>
        <v>0</v>
      </c>
      <c r="P160" s="676"/>
      <c r="Q160" s="689">
        <f t="shared" si="92"/>
        <v>0</v>
      </c>
      <c r="R160" s="689"/>
      <c r="S160" s="675">
        <f t="shared" si="93"/>
        <v>0</v>
      </c>
      <c r="T160" s="676"/>
      <c r="U160" s="689">
        <f t="shared" si="94"/>
        <v>1</v>
      </c>
      <c r="V160" s="689"/>
      <c r="W160" s="678">
        <f t="shared" si="95"/>
        <v>100</v>
      </c>
      <c r="X160" s="678"/>
      <c r="Y160" s="691">
        <f t="shared" si="96"/>
        <v>0</v>
      </c>
      <c r="Z160" s="688"/>
      <c r="AA160" s="675">
        <f t="shared" si="97"/>
        <v>0</v>
      </c>
      <c r="AB160" s="692"/>
      <c r="AC160" s="679">
        <f t="shared" si="98"/>
        <v>0</v>
      </c>
      <c r="AD160" s="679"/>
      <c r="AE160" s="679"/>
      <c r="AF160" s="679"/>
      <c r="AG160" s="679"/>
      <c r="AH160" s="678">
        <f t="shared" si="99"/>
        <v>0</v>
      </c>
      <c r="AI160" s="675"/>
      <c r="AJ160" s="673">
        <f t="shared" si="84"/>
        <v>0</v>
      </c>
      <c r="AK160" s="674"/>
      <c r="AL160" s="675">
        <f t="shared" si="85"/>
        <v>0</v>
      </c>
      <c r="AM160" s="676"/>
      <c r="AN160" s="659">
        <f t="shared" si="86"/>
        <v>1</v>
      </c>
      <c r="AO160" s="660"/>
      <c r="AP160" s="661">
        <f t="shared" si="87"/>
        <v>100</v>
      </c>
      <c r="AQ160" s="661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14"/>
      <c r="BC160" s="8"/>
      <c r="BD160" s="8"/>
      <c r="BE160" s="8"/>
    </row>
    <row r="161" spans="1:57" ht="14.45" customHeight="1" x14ac:dyDescent="0.25">
      <c r="A161" s="44"/>
      <c r="B161" s="9"/>
      <c r="C161" s="644" t="s">
        <v>40</v>
      </c>
      <c r="D161" s="644"/>
      <c r="E161" s="644"/>
      <c r="F161" s="644"/>
      <c r="G161" s="644"/>
      <c r="H161" s="642"/>
      <c r="I161" s="737">
        <f t="shared" si="88"/>
        <v>0</v>
      </c>
      <c r="J161" s="689"/>
      <c r="K161" s="675">
        <f t="shared" si="89"/>
        <v>0</v>
      </c>
      <c r="L161" s="690"/>
      <c r="M161" s="689">
        <f t="shared" si="90"/>
        <v>0</v>
      </c>
      <c r="N161" s="689"/>
      <c r="O161" s="675">
        <f t="shared" si="91"/>
        <v>0</v>
      </c>
      <c r="P161" s="676"/>
      <c r="Q161" s="689">
        <f t="shared" si="92"/>
        <v>0</v>
      </c>
      <c r="R161" s="689"/>
      <c r="S161" s="675">
        <f t="shared" si="93"/>
        <v>0</v>
      </c>
      <c r="T161" s="676"/>
      <c r="U161" s="689">
        <f t="shared" si="94"/>
        <v>1</v>
      </c>
      <c r="V161" s="689"/>
      <c r="W161" s="678">
        <f t="shared" si="95"/>
        <v>90</v>
      </c>
      <c r="X161" s="678"/>
      <c r="Y161" s="691">
        <f t="shared" si="96"/>
        <v>0</v>
      </c>
      <c r="Z161" s="688"/>
      <c r="AA161" s="675">
        <f t="shared" si="97"/>
        <v>0</v>
      </c>
      <c r="AB161" s="692"/>
      <c r="AC161" s="679">
        <f t="shared" si="98"/>
        <v>0</v>
      </c>
      <c r="AD161" s="679"/>
      <c r="AE161" s="679"/>
      <c r="AF161" s="679"/>
      <c r="AG161" s="679"/>
      <c r="AH161" s="678">
        <f t="shared" si="99"/>
        <v>0</v>
      </c>
      <c r="AI161" s="675"/>
      <c r="AJ161" s="673">
        <f t="shared" si="84"/>
        <v>0</v>
      </c>
      <c r="AK161" s="674"/>
      <c r="AL161" s="675">
        <f t="shared" si="85"/>
        <v>0</v>
      </c>
      <c r="AM161" s="676"/>
      <c r="AN161" s="659">
        <f t="shared" si="86"/>
        <v>1</v>
      </c>
      <c r="AO161" s="660"/>
      <c r="AP161" s="661">
        <f t="shared" si="87"/>
        <v>90</v>
      </c>
      <c r="AQ161" s="661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14"/>
      <c r="BC161" s="8"/>
      <c r="BD161" s="8"/>
      <c r="BE161" s="8"/>
    </row>
    <row r="162" spans="1:57" ht="14.45" customHeight="1" x14ac:dyDescent="0.25">
      <c r="A162" s="44"/>
      <c r="B162" s="9"/>
      <c r="C162" s="644" t="s">
        <v>41</v>
      </c>
      <c r="D162" s="644"/>
      <c r="E162" s="644"/>
      <c r="F162" s="644"/>
      <c r="G162" s="644"/>
      <c r="H162" s="642"/>
      <c r="I162" s="737">
        <f t="shared" si="88"/>
        <v>0</v>
      </c>
      <c r="J162" s="689"/>
      <c r="K162" s="675">
        <f t="shared" si="89"/>
        <v>0</v>
      </c>
      <c r="L162" s="690"/>
      <c r="M162" s="689">
        <f t="shared" si="90"/>
        <v>9</v>
      </c>
      <c r="N162" s="689"/>
      <c r="O162" s="675">
        <f t="shared" si="91"/>
        <v>54</v>
      </c>
      <c r="P162" s="676"/>
      <c r="Q162" s="689">
        <f t="shared" si="92"/>
        <v>0</v>
      </c>
      <c r="R162" s="689"/>
      <c r="S162" s="675">
        <f t="shared" si="93"/>
        <v>0</v>
      </c>
      <c r="T162" s="676"/>
      <c r="U162" s="689">
        <f t="shared" si="94"/>
        <v>12</v>
      </c>
      <c r="V162" s="689"/>
      <c r="W162" s="678">
        <f t="shared" si="95"/>
        <v>72</v>
      </c>
      <c r="X162" s="678"/>
      <c r="Y162" s="691">
        <f t="shared" si="96"/>
        <v>17</v>
      </c>
      <c r="Z162" s="688"/>
      <c r="AA162" s="675">
        <f t="shared" si="97"/>
        <v>126.9</v>
      </c>
      <c r="AB162" s="692"/>
      <c r="AC162" s="679">
        <f t="shared" si="98"/>
        <v>13</v>
      </c>
      <c r="AD162" s="679"/>
      <c r="AE162" s="679"/>
      <c r="AF162" s="679"/>
      <c r="AG162" s="679"/>
      <c r="AH162" s="678">
        <f t="shared" si="99"/>
        <v>117</v>
      </c>
      <c r="AI162" s="675"/>
      <c r="AJ162" s="673">
        <f t="shared" si="84"/>
        <v>0</v>
      </c>
      <c r="AK162" s="674"/>
      <c r="AL162" s="675">
        <f t="shared" si="85"/>
        <v>0</v>
      </c>
      <c r="AM162" s="676"/>
      <c r="AN162" s="659">
        <f t="shared" si="86"/>
        <v>51</v>
      </c>
      <c r="AO162" s="660"/>
      <c r="AP162" s="661">
        <f t="shared" si="87"/>
        <v>369.9</v>
      </c>
      <c r="AQ162" s="661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14"/>
      <c r="BC162" s="8"/>
      <c r="BD162" s="8"/>
      <c r="BE162" s="8"/>
    </row>
    <row r="163" spans="1:57" ht="14.45" customHeight="1" x14ac:dyDescent="0.25">
      <c r="A163" s="44"/>
      <c r="B163" s="9"/>
      <c r="C163" s="644" t="s">
        <v>42</v>
      </c>
      <c r="D163" s="644"/>
      <c r="E163" s="644"/>
      <c r="F163" s="644"/>
      <c r="G163" s="644"/>
      <c r="H163" s="642"/>
      <c r="I163" s="737">
        <f t="shared" si="88"/>
        <v>0</v>
      </c>
      <c r="J163" s="689"/>
      <c r="K163" s="675">
        <f t="shared" si="89"/>
        <v>0</v>
      </c>
      <c r="L163" s="690"/>
      <c r="M163" s="689">
        <f t="shared" si="90"/>
        <v>3</v>
      </c>
      <c r="N163" s="689"/>
      <c r="O163" s="675">
        <f t="shared" si="91"/>
        <v>18</v>
      </c>
      <c r="P163" s="676"/>
      <c r="Q163" s="689">
        <f t="shared" si="92"/>
        <v>0</v>
      </c>
      <c r="R163" s="689"/>
      <c r="S163" s="675">
        <f t="shared" si="93"/>
        <v>0</v>
      </c>
      <c r="T163" s="676"/>
      <c r="U163" s="689">
        <f t="shared" si="94"/>
        <v>6</v>
      </c>
      <c r="V163" s="689"/>
      <c r="W163" s="678">
        <f t="shared" si="95"/>
        <v>36</v>
      </c>
      <c r="X163" s="678"/>
      <c r="Y163" s="691">
        <f t="shared" si="96"/>
        <v>3</v>
      </c>
      <c r="Z163" s="688"/>
      <c r="AA163" s="675">
        <f t="shared" si="97"/>
        <v>17.100000000000001</v>
      </c>
      <c r="AB163" s="692"/>
      <c r="AC163" s="679">
        <f t="shared" si="98"/>
        <v>12</v>
      </c>
      <c r="AD163" s="679"/>
      <c r="AE163" s="679"/>
      <c r="AF163" s="679"/>
      <c r="AG163" s="679"/>
      <c r="AH163" s="678">
        <f t="shared" si="99"/>
        <v>108</v>
      </c>
      <c r="AI163" s="675"/>
      <c r="AJ163" s="673">
        <f t="shared" si="84"/>
        <v>0</v>
      </c>
      <c r="AK163" s="674"/>
      <c r="AL163" s="675">
        <f t="shared" si="85"/>
        <v>0</v>
      </c>
      <c r="AM163" s="676"/>
      <c r="AN163" s="659">
        <f t="shared" si="86"/>
        <v>24</v>
      </c>
      <c r="AO163" s="660"/>
      <c r="AP163" s="661">
        <f t="shared" si="87"/>
        <v>179.1</v>
      </c>
      <c r="AQ163" s="661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14"/>
      <c r="BC163" s="8"/>
      <c r="BD163" s="8"/>
      <c r="BE163" s="8"/>
    </row>
    <row r="164" spans="1:57" ht="15.75" x14ac:dyDescent="0.25">
      <c r="A164" s="44"/>
      <c r="B164" s="9"/>
      <c r="C164" s="644" t="s">
        <v>45</v>
      </c>
      <c r="D164" s="644"/>
      <c r="E164" s="644"/>
      <c r="F164" s="644"/>
      <c r="G164" s="644"/>
      <c r="H164" s="642"/>
      <c r="I164" s="737">
        <f t="shared" si="88"/>
        <v>0</v>
      </c>
      <c r="J164" s="689"/>
      <c r="K164" s="675">
        <f t="shared" si="89"/>
        <v>0</v>
      </c>
      <c r="L164" s="690"/>
      <c r="M164" s="689">
        <f t="shared" si="90"/>
        <v>0</v>
      </c>
      <c r="N164" s="689"/>
      <c r="O164" s="675">
        <f t="shared" si="91"/>
        <v>0</v>
      </c>
      <c r="P164" s="676"/>
      <c r="Q164" s="689">
        <f t="shared" si="92"/>
        <v>0</v>
      </c>
      <c r="R164" s="689"/>
      <c r="S164" s="675">
        <f t="shared" si="93"/>
        <v>0</v>
      </c>
      <c r="T164" s="676"/>
      <c r="U164" s="689">
        <f t="shared" si="94"/>
        <v>3</v>
      </c>
      <c r="V164" s="689"/>
      <c r="W164" s="678">
        <f t="shared" si="95"/>
        <v>34.5</v>
      </c>
      <c r="X164" s="678"/>
      <c r="Y164" s="691">
        <f t="shared" si="96"/>
        <v>0</v>
      </c>
      <c r="Z164" s="688"/>
      <c r="AA164" s="675">
        <f t="shared" si="97"/>
        <v>0</v>
      </c>
      <c r="AB164" s="692"/>
      <c r="AC164" s="679">
        <f t="shared" si="98"/>
        <v>0</v>
      </c>
      <c r="AD164" s="679"/>
      <c r="AE164" s="679"/>
      <c r="AF164" s="679"/>
      <c r="AG164" s="679"/>
      <c r="AH164" s="678">
        <f t="shared" si="99"/>
        <v>0</v>
      </c>
      <c r="AI164" s="675"/>
      <c r="AJ164" s="673">
        <f t="shared" si="84"/>
        <v>0</v>
      </c>
      <c r="AK164" s="674"/>
      <c r="AL164" s="675">
        <f t="shared" si="85"/>
        <v>0</v>
      </c>
      <c r="AM164" s="676"/>
      <c r="AN164" s="659">
        <f t="shared" si="86"/>
        <v>3</v>
      </c>
      <c r="AO164" s="660"/>
      <c r="AP164" s="661">
        <f t="shared" si="87"/>
        <v>34.5</v>
      </c>
      <c r="AQ164" s="661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14"/>
      <c r="BC164" s="8"/>
      <c r="BD164" s="8"/>
      <c r="BE164" s="8"/>
    </row>
    <row r="165" spans="1:57" ht="15.75" x14ac:dyDescent="0.25">
      <c r="A165" s="44"/>
      <c r="B165" s="9"/>
      <c r="C165" s="644" t="s">
        <v>115</v>
      </c>
      <c r="D165" s="644"/>
      <c r="E165" s="644"/>
      <c r="F165" s="644"/>
      <c r="G165" s="644"/>
      <c r="H165" s="642"/>
      <c r="I165" s="737">
        <f t="shared" si="88"/>
        <v>0</v>
      </c>
      <c r="J165" s="689"/>
      <c r="K165" s="675">
        <f t="shared" si="89"/>
        <v>0</v>
      </c>
      <c r="L165" s="690"/>
      <c r="M165" s="689">
        <f t="shared" si="90"/>
        <v>0</v>
      </c>
      <c r="N165" s="689"/>
      <c r="O165" s="675">
        <f t="shared" si="91"/>
        <v>0</v>
      </c>
      <c r="P165" s="676"/>
      <c r="Q165" s="689">
        <f t="shared" si="92"/>
        <v>0</v>
      </c>
      <c r="R165" s="689"/>
      <c r="S165" s="675">
        <f t="shared" si="93"/>
        <v>0</v>
      </c>
      <c r="T165" s="676"/>
      <c r="U165" s="689">
        <f t="shared" si="94"/>
        <v>6</v>
      </c>
      <c r="V165" s="689"/>
      <c r="W165" s="678">
        <f t="shared" si="95"/>
        <v>36</v>
      </c>
      <c r="X165" s="678"/>
      <c r="Y165" s="691">
        <f t="shared" si="96"/>
        <v>0</v>
      </c>
      <c r="Z165" s="688"/>
      <c r="AA165" s="675">
        <f t="shared" si="97"/>
        <v>0</v>
      </c>
      <c r="AB165" s="692"/>
      <c r="AC165" s="679">
        <f t="shared" si="98"/>
        <v>0</v>
      </c>
      <c r="AD165" s="679"/>
      <c r="AE165" s="679"/>
      <c r="AF165" s="679"/>
      <c r="AG165" s="679"/>
      <c r="AH165" s="678">
        <f t="shared" si="99"/>
        <v>0</v>
      </c>
      <c r="AI165" s="675"/>
      <c r="AJ165" s="673">
        <f t="shared" si="84"/>
        <v>0</v>
      </c>
      <c r="AK165" s="674"/>
      <c r="AL165" s="675">
        <f t="shared" si="85"/>
        <v>0</v>
      </c>
      <c r="AM165" s="676"/>
      <c r="AN165" s="659">
        <f t="shared" si="86"/>
        <v>6</v>
      </c>
      <c r="AO165" s="660"/>
      <c r="AP165" s="661">
        <f t="shared" si="87"/>
        <v>36</v>
      </c>
      <c r="AQ165" s="661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14"/>
      <c r="BC165" s="8"/>
      <c r="BD165" s="8"/>
      <c r="BE165" s="8"/>
    </row>
    <row r="166" spans="1:57" ht="15.75" x14ac:dyDescent="0.25">
      <c r="A166" s="44"/>
      <c r="C166" s="644" t="s">
        <v>43</v>
      </c>
      <c r="D166" s="644"/>
      <c r="E166" s="644"/>
      <c r="F166" s="644"/>
      <c r="G166" s="644"/>
      <c r="H166" s="642"/>
      <c r="I166" s="737">
        <f t="shared" si="88"/>
        <v>0</v>
      </c>
      <c r="J166" s="689"/>
      <c r="K166" s="675">
        <f t="shared" si="89"/>
        <v>0</v>
      </c>
      <c r="L166" s="690"/>
      <c r="M166" s="689">
        <f t="shared" si="90"/>
        <v>3</v>
      </c>
      <c r="N166" s="689"/>
      <c r="O166" s="675">
        <f t="shared" si="91"/>
        <v>18</v>
      </c>
      <c r="P166" s="676"/>
      <c r="Q166" s="689">
        <f t="shared" si="92"/>
        <v>0</v>
      </c>
      <c r="R166" s="689"/>
      <c r="S166" s="675">
        <f t="shared" si="93"/>
        <v>0</v>
      </c>
      <c r="T166" s="676"/>
      <c r="U166" s="689">
        <f t="shared" si="94"/>
        <v>2</v>
      </c>
      <c r="V166" s="689"/>
      <c r="W166" s="678">
        <f t="shared" si="95"/>
        <v>12</v>
      </c>
      <c r="X166" s="678"/>
      <c r="Y166" s="691">
        <f t="shared" si="96"/>
        <v>0</v>
      </c>
      <c r="Z166" s="688"/>
      <c r="AA166" s="675">
        <f t="shared" si="97"/>
        <v>0</v>
      </c>
      <c r="AB166" s="692"/>
      <c r="AC166" s="679">
        <f t="shared" si="98"/>
        <v>0</v>
      </c>
      <c r="AD166" s="679"/>
      <c r="AE166" s="679"/>
      <c r="AF166" s="679"/>
      <c r="AG166" s="679"/>
      <c r="AH166" s="678">
        <f t="shared" si="99"/>
        <v>0</v>
      </c>
      <c r="AI166" s="675"/>
      <c r="AJ166" s="673">
        <f t="shared" si="84"/>
        <v>0</v>
      </c>
      <c r="AK166" s="674"/>
      <c r="AL166" s="675">
        <f t="shared" si="85"/>
        <v>0</v>
      </c>
      <c r="AM166" s="676"/>
      <c r="AN166" s="659">
        <f t="shared" si="86"/>
        <v>5</v>
      </c>
      <c r="AO166" s="660"/>
      <c r="AP166" s="661">
        <f t="shared" si="87"/>
        <v>30</v>
      </c>
      <c r="AQ166" s="661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14"/>
      <c r="BC166" s="8"/>
      <c r="BD166" s="8"/>
      <c r="BE166" s="8"/>
    </row>
    <row r="167" spans="1:57" ht="15.75" x14ac:dyDescent="0.25">
      <c r="A167" s="44"/>
      <c r="C167" s="644" t="s">
        <v>46</v>
      </c>
      <c r="D167" s="644"/>
      <c r="E167" s="644"/>
      <c r="F167" s="644"/>
      <c r="G167" s="644"/>
      <c r="H167" s="642"/>
      <c r="I167" s="737">
        <f t="shared" si="88"/>
        <v>0</v>
      </c>
      <c r="J167" s="689"/>
      <c r="K167" s="675">
        <f t="shared" si="89"/>
        <v>0</v>
      </c>
      <c r="L167" s="690"/>
      <c r="M167" s="689">
        <f t="shared" si="90"/>
        <v>0</v>
      </c>
      <c r="N167" s="689"/>
      <c r="O167" s="675">
        <f t="shared" si="91"/>
        <v>0</v>
      </c>
      <c r="P167" s="676"/>
      <c r="Q167" s="689">
        <f t="shared" si="92"/>
        <v>0</v>
      </c>
      <c r="R167" s="689"/>
      <c r="S167" s="675">
        <f t="shared" si="93"/>
        <v>0</v>
      </c>
      <c r="T167" s="676"/>
      <c r="U167" s="689">
        <f t="shared" si="94"/>
        <v>3</v>
      </c>
      <c r="V167" s="689"/>
      <c r="W167" s="678">
        <f t="shared" si="95"/>
        <v>34.5</v>
      </c>
      <c r="X167" s="678"/>
      <c r="Y167" s="691">
        <f t="shared" si="96"/>
        <v>0</v>
      </c>
      <c r="Z167" s="688"/>
      <c r="AA167" s="675">
        <f t="shared" si="97"/>
        <v>0</v>
      </c>
      <c r="AB167" s="692"/>
      <c r="AC167" s="679">
        <f t="shared" si="98"/>
        <v>0</v>
      </c>
      <c r="AD167" s="679"/>
      <c r="AE167" s="679"/>
      <c r="AF167" s="679"/>
      <c r="AG167" s="679"/>
      <c r="AH167" s="678">
        <f t="shared" si="99"/>
        <v>0</v>
      </c>
      <c r="AI167" s="675"/>
      <c r="AJ167" s="673">
        <f t="shared" si="84"/>
        <v>0</v>
      </c>
      <c r="AK167" s="674"/>
      <c r="AL167" s="675">
        <f t="shared" si="85"/>
        <v>0</v>
      </c>
      <c r="AM167" s="676"/>
      <c r="AN167" s="659">
        <f t="shared" si="86"/>
        <v>3</v>
      </c>
      <c r="AO167" s="660"/>
      <c r="AP167" s="661">
        <f t="shared" si="87"/>
        <v>34.5</v>
      </c>
      <c r="AQ167" s="661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14"/>
      <c r="BC167" s="8"/>
      <c r="BD167" s="8"/>
      <c r="BE167" s="8"/>
    </row>
    <row r="168" spans="1:57" ht="15.75" x14ac:dyDescent="0.25">
      <c r="A168" s="44"/>
      <c r="C168" s="644" t="s">
        <v>44</v>
      </c>
      <c r="D168" s="644"/>
      <c r="E168" s="644"/>
      <c r="F168" s="644"/>
      <c r="G168" s="644"/>
      <c r="H168" s="642"/>
      <c r="I168" s="737">
        <f t="shared" si="88"/>
        <v>0</v>
      </c>
      <c r="J168" s="689"/>
      <c r="K168" s="675">
        <f t="shared" si="89"/>
        <v>0</v>
      </c>
      <c r="L168" s="690"/>
      <c r="M168" s="689">
        <f t="shared" si="90"/>
        <v>3</v>
      </c>
      <c r="N168" s="689"/>
      <c r="O168" s="675">
        <f t="shared" si="91"/>
        <v>18</v>
      </c>
      <c r="P168" s="676"/>
      <c r="Q168" s="689">
        <f t="shared" si="92"/>
        <v>0</v>
      </c>
      <c r="R168" s="689"/>
      <c r="S168" s="675">
        <f t="shared" si="93"/>
        <v>0</v>
      </c>
      <c r="T168" s="676"/>
      <c r="U168" s="689">
        <f t="shared" si="94"/>
        <v>3</v>
      </c>
      <c r="V168" s="689"/>
      <c r="W168" s="678">
        <f t="shared" si="95"/>
        <v>18</v>
      </c>
      <c r="X168" s="678"/>
      <c r="Y168" s="691">
        <f t="shared" si="96"/>
        <v>0</v>
      </c>
      <c r="Z168" s="688"/>
      <c r="AA168" s="675">
        <f t="shared" si="97"/>
        <v>0</v>
      </c>
      <c r="AB168" s="692"/>
      <c r="AC168" s="679">
        <f t="shared" si="98"/>
        <v>0</v>
      </c>
      <c r="AD168" s="679"/>
      <c r="AE168" s="679"/>
      <c r="AF168" s="679"/>
      <c r="AG168" s="679"/>
      <c r="AH168" s="678">
        <f t="shared" si="99"/>
        <v>0</v>
      </c>
      <c r="AI168" s="675"/>
      <c r="AJ168" s="673">
        <f t="shared" si="84"/>
        <v>0</v>
      </c>
      <c r="AK168" s="674"/>
      <c r="AL168" s="675">
        <f t="shared" si="85"/>
        <v>0</v>
      </c>
      <c r="AM168" s="676"/>
      <c r="AN168" s="659">
        <f t="shared" si="86"/>
        <v>6</v>
      </c>
      <c r="AO168" s="660"/>
      <c r="AP168" s="661">
        <f t="shared" si="87"/>
        <v>36</v>
      </c>
      <c r="AQ168" s="661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14"/>
      <c r="BC168" s="8"/>
      <c r="BD168" s="8"/>
      <c r="BE168" s="8"/>
    </row>
    <row r="169" spans="1:57" ht="15.75" x14ac:dyDescent="0.25">
      <c r="A169" s="44"/>
      <c r="C169" s="644" t="s">
        <v>114</v>
      </c>
      <c r="D169" s="644"/>
      <c r="E169" s="644"/>
      <c r="F169" s="644"/>
      <c r="G169" s="644"/>
      <c r="H169" s="642"/>
      <c r="I169" s="737">
        <f t="shared" si="88"/>
        <v>0</v>
      </c>
      <c r="J169" s="689"/>
      <c r="K169" s="675">
        <f t="shared" si="89"/>
        <v>0</v>
      </c>
      <c r="L169" s="690"/>
      <c r="M169" s="689">
        <f t="shared" si="90"/>
        <v>0</v>
      </c>
      <c r="N169" s="689"/>
      <c r="O169" s="675">
        <f t="shared" si="91"/>
        <v>0</v>
      </c>
      <c r="P169" s="676"/>
      <c r="Q169" s="689">
        <f t="shared" si="92"/>
        <v>0</v>
      </c>
      <c r="R169" s="689"/>
      <c r="S169" s="675">
        <f t="shared" si="93"/>
        <v>0</v>
      </c>
      <c r="T169" s="676"/>
      <c r="U169" s="689">
        <f t="shared" si="94"/>
        <v>6</v>
      </c>
      <c r="V169" s="689"/>
      <c r="W169" s="678">
        <f t="shared" si="95"/>
        <v>36</v>
      </c>
      <c r="X169" s="678"/>
      <c r="Y169" s="691">
        <f t="shared" si="96"/>
        <v>0</v>
      </c>
      <c r="Z169" s="688"/>
      <c r="AA169" s="675">
        <f t="shared" si="97"/>
        <v>0</v>
      </c>
      <c r="AB169" s="692"/>
      <c r="AC169" s="679">
        <f t="shared" si="98"/>
        <v>0</v>
      </c>
      <c r="AD169" s="679"/>
      <c r="AE169" s="679"/>
      <c r="AF169" s="679"/>
      <c r="AG169" s="679"/>
      <c r="AH169" s="678">
        <f t="shared" si="99"/>
        <v>0</v>
      </c>
      <c r="AI169" s="675"/>
      <c r="AJ169" s="673">
        <f t="shared" si="84"/>
        <v>0</v>
      </c>
      <c r="AK169" s="674"/>
      <c r="AL169" s="675">
        <f t="shared" si="85"/>
        <v>0</v>
      </c>
      <c r="AM169" s="676"/>
      <c r="AN169" s="659">
        <f t="shared" si="86"/>
        <v>6</v>
      </c>
      <c r="AO169" s="660"/>
      <c r="AP169" s="661">
        <f t="shared" si="87"/>
        <v>36</v>
      </c>
      <c r="AQ169" s="661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14"/>
      <c r="BC169" s="8"/>
      <c r="BD169" s="8"/>
      <c r="BE169" s="8"/>
    </row>
    <row r="170" spans="1:57" ht="15.75" x14ac:dyDescent="0.25">
      <c r="A170" s="44"/>
      <c r="C170" s="644" t="s">
        <v>47</v>
      </c>
      <c r="D170" s="644"/>
      <c r="E170" s="644"/>
      <c r="F170" s="644"/>
      <c r="G170" s="644"/>
      <c r="H170" s="642"/>
      <c r="I170" s="737">
        <f t="shared" si="88"/>
        <v>0</v>
      </c>
      <c r="J170" s="689"/>
      <c r="K170" s="675">
        <f t="shared" si="89"/>
        <v>0</v>
      </c>
      <c r="L170" s="690"/>
      <c r="M170" s="689">
        <f t="shared" si="90"/>
        <v>0</v>
      </c>
      <c r="N170" s="689"/>
      <c r="O170" s="675">
        <f t="shared" si="91"/>
        <v>0</v>
      </c>
      <c r="P170" s="676"/>
      <c r="Q170" s="689">
        <f t="shared" si="92"/>
        <v>0</v>
      </c>
      <c r="R170" s="689"/>
      <c r="S170" s="675">
        <f t="shared" si="93"/>
        <v>0</v>
      </c>
      <c r="T170" s="676"/>
      <c r="U170" s="689">
        <f t="shared" si="94"/>
        <v>3</v>
      </c>
      <c r="V170" s="689"/>
      <c r="W170" s="678">
        <f t="shared" si="95"/>
        <v>34.5</v>
      </c>
      <c r="X170" s="678"/>
      <c r="Y170" s="691">
        <f t="shared" si="96"/>
        <v>0</v>
      </c>
      <c r="Z170" s="688"/>
      <c r="AA170" s="675">
        <f t="shared" si="97"/>
        <v>0</v>
      </c>
      <c r="AB170" s="692"/>
      <c r="AC170" s="679">
        <f t="shared" si="98"/>
        <v>0</v>
      </c>
      <c r="AD170" s="679"/>
      <c r="AE170" s="679"/>
      <c r="AF170" s="679"/>
      <c r="AG170" s="679"/>
      <c r="AH170" s="678">
        <f t="shared" si="99"/>
        <v>0</v>
      </c>
      <c r="AI170" s="675"/>
      <c r="AJ170" s="673">
        <f t="shared" si="84"/>
        <v>0</v>
      </c>
      <c r="AK170" s="674"/>
      <c r="AL170" s="675">
        <f t="shared" si="85"/>
        <v>0</v>
      </c>
      <c r="AM170" s="676"/>
      <c r="AN170" s="659">
        <f t="shared" si="86"/>
        <v>3</v>
      </c>
      <c r="AO170" s="660"/>
      <c r="AP170" s="661">
        <f t="shared" si="87"/>
        <v>34.5</v>
      </c>
      <c r="AQ170" s="661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14"/>
      <c r="BC170" s="8"/>
      <c r="BD170" s="8"/>
      <c r="BE170" s="8"/>
    </row>
    <row r="171" spans="1:57" ht="14.45" customHeight="1" x14ac:dyDescent="0.25">
      <c r="A171" s="44"/>
      <c r="C171" s="644" t="s">
        <v>58</v>
      </c>
      <c r="D171" s="644"/>
      <c r="E171" s="644"/>
      <c r="F171" s="644"/>
      <c r="G171" s="644"/>
      <c r="H171" s="642"/>
      <c r="I171" s="737">
        <f t="shared" si="88"/>
        <v>0</v>
      </c>
      <c r="J171" s="689"/>
      <c r="K171" s="675">
        <f t="shared" si="89"/>
        <v>0</v>
      </c>
      <c r="L171" s="690"/>
      <c r="M171" s="689">
        <f t="shared" si="90"/>
        <v>21</v>
      </c>
      <c r="N171" s="689"/>
      <c r="O171" s="675">
        <f t="shared" si="91"/>
        <v>315</v>
      </c>
      <c r="P171" s="676"/>
      <c r="Q171" s="689">
        <f t="shared" si="92"/>
        <v>25</v>
      </c>
      <c r="R171" s="689"/>
      <c r="S171" s="675">
        <f t="shared" si="93"/>
        <v>375</v>
      </c>
      <c r="T171" s="676"/>
      <c r="U171" s="689">
        <f t="shared" si="94"/>
        <v>1</v>
      </c>
      <c r="V171" s="689"/>
      <c r="W171" s="678">
        <f t="shared" si="95"/>
        <v>17</v>
      </c>
      <c r="X171" s="678"/>
      <c r="Y171" s="691">
        <f t="shared" si="96"/>
        <v>35</v>
      </c>
      <c r="Z171" s="688"/>
      <c r="AA171" s="675">
        <f t="shared" si="97"/>
        <v>577.5</v>
      </c>
      <c r="AB171" s="692"/>
      <c r="AC171" s="679">
        <f t="shared" si="98"/>
        <v>0</v>
      </c>
      <c r="AD171" s="679"/>
      <c r="AE171" s="679"/>
      <c r="AF171" s="679"/>
      <c r="AG171" s="679"/>
      <c r="AH171" s="678">
        <f t="shared" si="99"/>
        <v>0</v>
      </c>
      <c r="AI171" s="675"/>
      <c r="AJ171" s="673">
        <f t="shared" si="84"/>
        <v>10</v>
      </c>
      <c r="AK171" s="674"/>
      <c r="AL171" s="675">
        <f t="shared" si="85"/>
        <v>180</v>
      </c>
      <c r="AM171" s="676"/>
      <c r="AN171" s="659">
        <f t="shared" si="86"/>
        <v>92</v>
      </c>
      <c r="AO171" s="660"/>
      <c r="AP171" s="661">
        <f t="shared" si="87"/>
        <v>1464.5</v>
      </c>
      <c r="AQ171" s="661"/>
      <c r="AR171" s="24"/>
      <c r="AS171" s="33"/>
      <c r="AT171" s="24"/>
      <c r="AU171" s="33"/>
      <c r="AV171" s="24"/>
      <c r="AW171" s="33"/>
      <c r="AX171" s="33"/>
      <c r="AY171" s="33"/>
      <c r="AZ171" s="24"/>
      <c r="BA171" s="33"/>
      <c r="BB171" s="25"/>
      <c r="BC171" s="8"/>
      <c r="BD171" s="8"/>
      <c r="BE171" s="8"/>
    </row>
    <row r="172" spans="1:57" ht="14.45" customHeight="1" x14ac:dyDescent="0.25">
      <c r="A172" s="44"/>
      <c r="C172" s="644" t="s">
        <v>117</v>
      </c>
      <c r="D172" s="644"/>
      <c r="E172" s="644"/>
      <c r="F172" s="644"/>
      <c r="G172" s="644"/>
      <c r="H172" s="644"/>
      <c r="I172" s="688">
        <f>M72+Y72+AP72+BD72</f>
        <v>0</v>
      </c>
      <c r="J172" s="689"/>
      <c r="K172" s="675">
        <f>N72+Z72+AQ72+BE72</f>
        <v>0</v>
      </c>
      <c r="L172" s="690"/>
      <c r="M172" s="689">
        <f>BP72+CI72+DA72+DU72</f>
        <v>0</v>
      </c>
      <c r="N172" s="689"/>
      <c r="O172" s="675">
        <f>BQ72+CJ72+DB72+DV72</f>
        <v>0</v>
      </c>
      <c r="P172" s="676"/>
      <c r="Q172" s="689">
        <f>EO72+FT72</f>
        <v>0</v>
      </c>
      <c r="R172" s="689"/>
      <c r="S172" s="675">
        <f>EP72+FU72</f>
        <v>0</v>
      </c>
      <c r="T172" s="676"/>
      <c r="U172" s="689">
        <f t="shared" ref="U172:U190" si="100">GQ72+HL72+HW72+IM72</f>
        <v>0</v>
      </c>
      <c r="V172" s="689"/>
      <c r="W172" s="678">
        <f t="shared" ref="W172:W190" si="101">GR72+HM72+HX72+IN72</f>
        <v>0</v>
      </c>
      <c r="X172" s="678"/>
      <c r="Y172" s="691">
        <f t="shared" ref="Y172:Y190" si="102">IY72+KE72+KS72+LF72</f>
        <v>4</v>
      </c>
      <c r="Z172" s="688"/>
      <c r="AA172" s="675">
        <f t="shared" ref="AA172:AA190" si="103">IZ72+KF72+KT72+LG72</f>
        <v>72</v>
      </c>
      <c r="AB172" s="692"/>
      <c r="AC172" s="679">
        <f t="shared" ref="AC172:AC190" si="104">ME72+ND72</f>
        <v>0</v>
      </c>
      <c r="AD172" s="679"/>
      <c r="AE172" s="679"/>
      <c r="AF172" s="679"/>
      <c r="AG172" s="679"/>
      <c r="AH172" s="678">
        <f t="shared" ref="AH172:AH190" si="105">MF72+NE72</f>
        <v>0</v>
      </c>
      <c r="AI172" s="675"/>
      <c r="AJ172" s="673">
        <f t="shared" si="84"/>
        <v>5</v>
      </c>
      <c r="AK172" s="674"/>
      <c r="AL172" s="675">
        <f t="shared" si="85"/>
        <v>90</v>
      </c>
      <c r="AM172" s="676"/>
      <c r="AN172" s="659">
        <f t="shared" si="86"/>
        <v>9</v>
      </c>
      <c r="AO172" s="660"/>
      <c r="AP172" s="661">
        <f t="shared" si="87"/>
        <v>162</v>
      </c>
      <c r="AQ172" s="661"/>
      <c r="AR172" s="24"/>
      <c r="AS172" s="33"/>
      <c r="AT172" s="24"/>
      <c r="AU172" s="33"/>
      <c r="AV172" s="24"/>
      <c r="AW172" s="33"/>
      <c r="AX172" s="33"/>
      <c r="AY172" s="33"/>
      <c r="AZ172" s="24"/>
      <c r="BA172" s="33"/>
      <c r="BB172" s="25"/>
      <c r="BC172" s="8"/>
      <c r="BD172" s="8"/>
      <c r="BE172" s="8"/>
    </row>
    <row r="173" spans="1:57" ht="14.45" customHeight="1" x14ac:dyDescent="0.25">
      <c r="A173" s="44"/>
      <c r="C173" s="644" t="s">
        <v>194</v>
      </c>
      <c r="D173" s="644"/>
      <c r="E173" s="644"/>
      <c r="F173" s="644"/>
      <c r="G173" s="644"/>
      <c r="H173" s="644"/>
      <c r="I173" s="688">
        <f>M73+Y73+AP73+BD73</f>
        <v>0</v>
      </c>
      <c r="J173" s="689"/>
      <c r="K173" s="675">
        <f>N73+Z73+AQ73+BE73</f>
        <v>0</v>
      </c>
      <c r="L173" s="690"/>
      <c r="M173" s="689">
        <f>BP73+CI73+DA73+DU73</f>
        <v>0</v>
      </c>
      <c r="N173" s="689"/>
      <c r="O173" s="675">
        <f>BQ73+CJ73+DB73+DV73</f>
        <v>0</v>
      </c>
      <c r="P173" s="676"/>
      <c r="Q173" s="689">
        <f>EO73+FT73</f>
        <v>0</v>
      </c>
      <c r="R173" s="689"/>
      <c r="S173" s="675">
        <f>EP73+FU73</f>
        <v>0</v>
      </c>
      <c r="T173" s="676"/>
      <c r="U173" s="689">
        <f t="shared" si="100"/>
        <v>3</v>
      </c>
      <c r="V173" s="689"/>
      <c r="W173" s="678">
        <f t="shared" si="101"/>
        <v>225</v>
      </c>
      <c r="X173" s="678"/>
      <c r="Y173" s="691">
        <f t="shared" si="102"/>
        <v>0</v>
      </c>
      <c r="Z173" s="688"/>
      <c r="AA173" s="675">
        <f t="shared" si="103"/>
        <v>0</v>
      </c>
      <c r="AB173" s="692"/>
      <c r="AC173" s="679">
        <f t="shared" si="104"/>
        <v>0</v>
      </c>
      <c r="AD173" s="679"/>
      <c r="AE173" s="679"/>
      <c r="AF173" s="679"/>
      <c r="AG173" s="679"/>
      <c r="AH173" s="678">
        <f t="shared" si="105"/>
        <v>0</v>
      </c>
      <c r="AI173" s="675"/>
      <c r="AJ173" s="673">
        <f t="shared" ref="AJ173:AJ200" si="106">OC73</f>
        <v>0</v>
      </c>
      <c r="AK173" s="674"/>
      <c r="AL173" s="675">
        <f t="shared" ref="AL173:AL200" si="107">OD73</f>
        <v>0</v>
      </c>
      <c r="AM173" s="676"/>
      <c r="AN173" s="659">
        <f t="shared" ref="AN173:AN200" si="108">I173+M173+Q173+U173+Y173+AC173+AJ173</f>
        <v>3</v>
      </c>
      <c r="AO173" s="660"/>
      <c r="AP173" s="661">
        <f t="shared" ref="AP173:AP200" si="109">K173+O173+S173+W173+AA173+AH173+AL173</f>
        <v>225</v>
      </c>
      <c r="AQ173" s="661"/>
      <c r="AR173" s="24"/>
      <c r="AS173" s="33"/>
      <c r="AT173" s="24"/>
      <c r="AU173" s="33"/>
      <c r="AV173" s="24"/>
      <c r="AW173" s="33"/>
      <c r="AX173" s="33"/>
      <c r="AY173" s="33"/>
      <c r="AZ173" s="24"/>
      <c r="BA173" s="33"/>
      <c r="BB173" s="25"/>
      <c r="BC173" s="8"/>
      <c r="BD173" s="8"/>
      <c r="BE173" s="8"/>
    </row>
    <row r="174" spans="1:57" ht="14.45" customHeight="1" x14ac:dyDescent="0.25">
      <c r="A174" s="44"/>
      <c r="C174" s="644" t="s">
        <v>232</v>
      </c>
      <c r="D174" s="644"/>
      <c r="E174" s="644"/>
      <c r="F174" s="644"/>
      <c r="G174" s="644"/>
      <c r="H174" s="644"/>
      <c r="I174" s="688">
        <f>M74+Y74+AP74+BD74</f>
        <v>0</v>
      </c>
      <c r="J174" s="689"/>
      <c r="K174" s="675">
        <f>N74+Z74+AQ74+BE74</f>
        <v>0</v>
      </c>
      <c r="L174" s="690"/>
      <c r="M174" s="689">
        <f>BP74+CI74+DA74+DU74</f>
        <v>0</v>
      </c>
      <c r="N174" s="689"/>
      <c r="O174" s="675">
        <f>BQ74+CJ74+DB74+DV74</f>
        <v>0</v>
      </c>
      <c r="P174" s="676"/>
      <c r="Q174" s="689">
        <f>EO74+FT74</f>
        <v>0</v>
      </c>
      <c r="R174" s="689"/>
      <c r="S174" s="675">
        <f>EP74+FU74</f>
        <v>0</v>
      </c>
      <c r="T174" s="676"/>
      <c r="U174" s="689">
        <f t="shared" si="100"/>
        <v>0</v>
      </c>
      <c r="V174" s="689"/>
      <c r="W174" s="678">
        <f t="shared" si="101"/>
        <v>0</v>
      </c>
      <c r="X174" s="678"/>
      <c r="Y174" s="691">
        <f t="shared" si="102"/>
        <v>0</v>
      </c>
      <c r="Z174" s="688"/>
      <c r="AA174" s="675">
        <f t="shared" si="103"/>
        <v>0</v>
      </c>
      <c r="AB174" s="692"/>
      <c r="AC174" s="679">
        <f t="shared" si="104"/>
        <v>5</v>
      </c>
      <c r="AD174" s="679"/>
      <c r="AE174" s="679"/>
      <c r="AF174" s="679"/>
      <c r="AG174" s="679"/>
      <c r="AH174" s="678">
        <f t="shared" si="105"/>
        <v>205</v>
      </c>
      <c r="AI174" s="675"/>
      <c r="AJ174" s="673">
        <f t="shared" si="106"/>
        <v>11</v>
      </c>
      <c r="AK174" s="674"/>
      <c r="AL174" s="675">
        <f t="shared" si="107"/>
        <v>418</v>
      </c>
      <c r="AM174" s="676"/>
      <c r="AN174" s="659">
        <f t="shared" si="108"/>
        <v>16</v>
      </c>
      <c r="AO174" s="660"/>
      <c r="AP174" s="661">
        <f t="shared" si="109"/>
        <v>623</v>
      </c>
      <c r="AQ174" s="661"/>
      <c r="AR174" s="24"/>
      <c r="AS174" s="33"/>
      <c r="AT174" s="24"/>
      <c r="AU174" s="33"/>
      <c r="AV174" s="24"/>
      <c r="AW174" s="33"/>
      <c r="AX174" s="33"/>
      <c r="AY174" s="33"/>
      <c r="AZ174" s="24"/>
      <c r="BA174" s="33"/>
      <c r="BB174" s="25"/>
      <c r="BC174" s="8"/>
      <c r="BD174" s="8"/>
      <c r="BE174" s="8"/>
    </row>
    <row r="175" spans="1:57" ht="14.45" customHeight="1" x14ac:dyDescent="0.25">
      <c r="A175" s="44"/>
      <c r="C175" s="644" t="s">
        <v>235</v>
      </c>
      <c r="D175" s="644"/>
      <c r="E175" s="644"/>
      <c r="F175" s="644"/>
      <c r="G175" s="644"/>
      <c r="H175" s="644"/>
      <c r="I175" s="688">
        <f>M75+Y75+AP75+BD75</f>
        <v>0</v>
      </c>
      <c r="J175" s="689"/>
      <c r="K175" s="675">
        <f>N75+Z75+AQ75+BE75</f>
        <v>0</v>
      </c>
      <c r="L175" s="690"/>
      <c r="M175" s="689">
        <f>BP75+CI75+DA75+DU75</f>
        <v>0</v>
      </c>
      <c r="N175" s="689"/>
      <c r="O175" s="675">
        <f>BQ75+CJ75+DB75+DV75</f>
        <v>0</v>
      </c>
      <c r="P175" s="676"/>
      <c r="Q175" s="689">
        <f>EO75+FT75</f>
        <v>0</v>
      </c>
      <c r="R175" s="689"/>
      <c r="S175" s="675">
        <f>EP75+FU75</f>
        <v>0</v>
      </c>
      <c r="T175" s="676"/>
      <c r="U175" s="689">
        <f t="shared" si="100"/>
        <v>0</v>
      </c>
      <c r="V175" s="689"/>
      <c r="W175" s="678">
        <f t="shared" si="101"/>
        <v>0</v>
      </c>
      <c r="X175" s="678"/>
      <c r="Y175" s="691">
        <f t="shared" si="102"/>
        <v>26</v>
      </c>
      <c r="Z175" s="688"/>
      <c r="AA175" s="675">
        <f t="shared" si="103"/>
        <v>390</v>
      </c>
      <c r="AB175" s="692"/>
      <c r="AC175" s="679">
        <f t="shared" si="104"/>
        <v>28</v>
      </c>
      <c r="AD175" s="679"/>
      <c r="AE175" s="679"/>
      <c r="AF175" s="679"/>
      <c r="AG175" s="679"/>
      <c r="AH175" s="678">
        <f t="shared" si="105"/>
        <v>420</v>
      </c>
      <c r="AI175" s="675"/>
      <c r="AJ175" s="673">
        <f t="shared" si="106"/>
        <v>0</v>
      </c>
      <c r="AK175" s="674"/>
      <c r="AL175" s="675">
        <f t="shared" si="107"/>
        <v>0</v>
      </c>
      <c r="AM175" s="676"/>
      <c r="AN175" s="659">
        <f t="shared" si="108"/>
        <v>54</v>
      </c>
      <c r="AO175" s="660"/>
      <c r="AP175" s="661">
        <f t="shared" si="109"/>
        <v>810</v>
      </c>
      <c r="AQ175" s="661"/>
      <c r="AR175" s="24"/>
      <c r="AS175" s="33"/>
      <c r="AT175" s="24"/>
      <c r="AU175" s="33"/>
      <c r="AV175" s="24"/>
      <c r="AW175" s="33"/>
      <c r="AX175" s="33"/>
      <c r="AY175" s="33"/>
      <c r="AZ175" s="24"/>
      <c r="BA175" s="33"/>
      <c r="BB175" s="25"/>
      <c r="BC175" s="8"/>
      <c r="BD175" s="8"/>
      <c r="BE175" s="8"/>
    </row>
    <row r="176" spans="1:57" ht="14.45" customHeight="1" x14ac:dyDescent="0.25">
      <c r="A176" s="44"/>
      <c r="C176" s="644" t="s">
        <v>245</v>
      </c>
      <c r="D176" s="644"/>
      <c r="E176" s="644"/>
      <c r="F176" s="644"/>
      <c r="G176" s="644"/>
      <c r="H176" s="644"/>
      <c r="I176" s="688">
        <f t="shared" ref="I176:I190" si="110">M76+Y76+AP76+BD76</f>
        <v>0</v>
      </c>
      <c r="J176" s="689"/>
      <c r="K176" s="675">
        <f t="shared" ref="K176:K190" si="111">N76+Z76+AQ76+BE76</f>
        <v>0</v>
      </c>
      <c r="L176" s="690"/>
      <c r="M176" s="689">
        <f t="shared" ref="M176:M190" si="112">BP76+CI76+DA76+DU76</f>
        <v>0</v>
      </c>
      <c r="N176" s="689"/>
      <c r="O176" s="675">
        <f t="shared" ref="O176:O190" si="113">BQ76+CJ76+DB76+DV76</f>
        <v>0</v>
      </c>
      <c r="P176" s="676"/>
      <c r="Q176" s="689">
        <f t="shared" ref="Q176:Q190" si="114">EO76+FT76</f>
        <v>0</v>
      </c>
      <c r="R176" s="689"/>
      <c r="S176" s="675">
        <f t="shared" ref="S176:S190" si="115">EP76+FU76</f>
        <v>0</v>
      </c>
      <c r="T176" s="676"/>
      <c r="U176" s="689">
        <f t="shared" si="100"/>
        <v>0</v>
      </c>
      <c r="V176" s="689"/>
      <c r="W176" s="678">
        <f t="shared" si="101"/>
        <v>0</v>
      </c>
      <c r="X176" s="678"/>
      <c r="Y176" s="691">
        <f t="shared" si="102"/>
        <v>1</v>
      </c>
      <c r="Z176" s="688"/>
      <c r="AA176" s="675">
        <f t="shared" si="103"/>
        <v>9</v>
      </c>
      <c r="AB176" s="692"/>
      <c r="AC176" s="679">
        <f t="shared" si="104"/>
        <v>0</v>
      </c>
      <c r="AD176" s="679"/>
      <c r="AE176" s="679"/>
      <c r="AF176" s="679"/>
      <c r="AG176" s="679"/>
      <c r="AH176" s="678">
        <f t="shared" si="105"/>
        <v>0</v>
      </c>
      <c r="AI176" s="675"/>
      <c r="AJ176" s="673">
        <f t="shared" si="106"/>
        <v>0</v>
      </c>
      <c r="AK176" s="674"/>
      <c r="AL176" s="675">
        <f t="shared" si="107"/>
        <v>0</v>
      </c>
      <c r="AM176" s="676"/>
      <c r="AN176" s="659">
        <f t="shared" si="108"/>
        <v>1</v>
      </c>
      <c r="AO176" s="660"/>
      <c r="AP176" s="661">
        <f t="shared" si="109"/>
        <v>9</v>
      </c>
      <c r="AQ176" s="661"/>
      <c r="AR176" s="24"/>
      <c r="AS176" s="33"/>
      <c r="AT176" s="24"/>
      <c r="AU176" s="33"/>
      <c r="AV176" s="24"/>
      <c r="AW176" s="33"/>
      <c r="AX176" s="33"/>
      <c r="AY176" s="33"/>
      <c r="AZ176" s="24"/>
      <c r="BA176" s="33"/>
      <c r="BB176" s="25"/>
      <c r="BC176" s="8"/>
      <c r="BD176" s="8"/>
      <c r="BE176" s="8"/>
    </row>
    <row r="177" spans="1:57" ht="14.45" customHeight="1" x14ac:dyDescent="0.25">
      <c r="A177" s="44"/>
      <c r="C177" s="642" t="s">
        <v>246</v>
      </c>
      <c r="D177" s="643"/>
      <c r="E177" s="643"/>
      <c r="F177" s="643"/>
      <c r="G177" s="643"/>
      <c r="H177" s="705"/>
      <c r="I177" s="688">
        <f t="shared" si="110"/>
        <v>0</v>
      </c>
      <c r="J177" s="689"/>
      <c r="K177" s="675">
        <f t="shared" si="111"/>
        <v>0</v>
      </c>
      <c r="L177" s="690"/>
      <c r="M177" s="689">
        <f t="shared" si="112"/>
        <v>0</v>
      </c>
      <c r="N177" s="689"/>
      <c r="O177" s="675">
        <f t="shared" si="113"/>
        <v>0</v>
      </c>
      <c r="P177" s="676"/>
      <c r="Q177" s="689">
        <f t="shared" si="114"/>
        <v>0</v>
      </c>
      <c r="R177" s="689"/>
      <c r="S177" s="675">
        <f t="shared" si="115"/>
        <v>0</v>
      </c>
      <c r="T177" s="676"/>
      <c r="U177" s="689">
        <f t="shared" si="100"/>
        <v>0</v>
      </c>
      <c r="V177" s="689"/>
      <c r="W177" s="678">
        <f t="shared" si="101"/>
        <v>0</v>
      </c>
      <c r="X177" s="678"/>
      <c r="Y177" s="691">
        <f t="shared" si="102"/>
        <v>0</v>
      </c>
      <c r="Z177" s="688"/>
      <c r="AA177" s="675">
        <f t="shared" si="103"/>
        <v>0</v>
      </c>
      <c r="AB177" s="692"/>
      <c r="AC177" s="679">
        <f t="shared" si="104"/>
        <v>0</v>
      </c>
      <c r="AD177" s="679"/>
      <c r="AE177" s="679"/>
      <c r="AF177" s="679"/>
      <c r="AG177" s="679"/>
      <c r="AH177" s="678">
        <f t="shared" si="105"/>
        <v>0</v>
      </c>
      <c r="AI177" s="675"/>
      <c r="AJ177" s="673">
        <f t="shared" si="106"/>
        <v>5</v>
      </c>
      <c r="AK177" s="674"/>
      <c r="AL177" s="675">
        <f t="shared" si="107"/>
        <v>65</v>
      </c>
      <c r="AM177" s="676"/>
      <c r="AN177" s="659">
        <f t="shared" si="108"/>
        <v>5</v>
      </c>
      <c r="AO177" s="660"/>
      <c r="AP177" s="661">
        <f t="shared" si="109"/>
        <v>65</v>
      </c>
      <c r="AQ177" s="661"/>
      <c r="AR177" s="24"/>
      <c r="AS177" s="33"/>
      <c r="AT177" s="24"/>
      <c r="AU177" s="33"/>
      <c r="AV177" s="24"/>
      <c r="AW177" s="33"/>
      <c r="AX177" s="33"/>
      <c r="AY177" s="33"/>
      <c r="AZ177" s="24"/>
      <c r="BA177" s="33"/>
      <c r="BB177" s="25"/>
      <c r="BC177" s="8"/>
      <c r="BD177" s="8"/>
      <c r="BE177" s="8"/>
    </row>
    <row r="178" spans="1:57" ht="14.45" customHeight="1" x14ac:dyDescent="0.25">
      <c r="A178" s="44"/>
      <c r="C178" s="642" t="s">
        <v>247</v>
      </c>
      <c r="D178" s="643"/>
      <c r="E178" s="643"/>
      <c r="F178" s="643"/>
      <c r="G178" s="643"/>
      <c r="H178" s="705"/>
      <c r="I178" s="688">
        <f t="shared" si="110"/>
        <v>0</v>
      </c>
      <c r="J178" s="689"/>
      <c r="K178" s="675">
        <f t="shared" si="111"/>
        <v>0</v>
      </c>
      <c r="L178" s="690"/>
      <c r="M178" s="689">
        <f t="shared" si="112"/>
        <v>0</v>
      </c>
      <c r="N178" s="689"/>
      <c r="O178" s="675">
        <f t="shared" si="113"/>
        <v>0</v>
      </c>
      <c r="P178" s="676"/>
      <c r="Q178" s="689">
        <f t="shared" si="114"/>
        <v>0</v>
      </c>
      <c r="R178" s="689"/>
      <c r="S178" s="675">
        <f t="shared" si="115"/>
        <v>0</v>
      </c>
      <c r="T178" s="676"/>
      <c r="U178" s="689">
        <f t="shared" si="100"/>
        <v>0</v>
      </c>
      <c r="V178" s="689"/>
      <c r="W178" s="678">
        <f t="shared" si="101"/>
        <v>0</v>
      </c>
      <c r="X178" s="678"/>
      <c r="Y178" s="691">
        <f t="shared" si="102"/>
        <v>0</v>
      </c>
      <c r="Z178" s="688"/>
      <c r="AA178" s="675">
        <f t="shared" si="103"/>
        <v>0</v>
      </c>
      <c r="AB178" s="692"/>
      <c r="AC178" s="679">
        <f t="shared" si="104"/>
        <v>0</v>
      </c>
      <c r="AD178" s="679"/>
      <c r="AE178" s="679"/>
      <c r="AF178" s="679"/>
      <c r="AG178" s="679"/>
      <c r="AH178" s="678">
        <f t="shared" si="105"/>
        <v>0</v>
      </c>
      <c r="AI178" s="675"/>
      <c r="AJ178" s="673">
        <f t="shared" si="106"/>
        <v>8</v>
      </c>
      <c r="AK178" s="674"/>
      <c r="AL178" s="675">
        <f t="shared" si="107"/>
        <v>80</v>
      </c>
      <c r="AM178" s="676"/>
      <c r="AN178" s="659">
        <f t="shared" si="108"/>
        <v>8</v>
      </c>
      <c r="AO178" s="660"/>
      <c r="AP178" s="661">
        <f t="shared" si="109"/>
        <v>80</v>
      </c>
      <c r="AQ178" s="661"/>
      <c r="AR178" s="24"/>
      <c r="AS178" s="33"/>
      <c r="AT178" s="24"/>
      <c r="AU178" s="33"/>
      <c r="AV178" s="24"/>
      <c r="AW178" s="33"/>
      <c r="AX178" s="33"/>
      <c r="AY178" s="33"/>
      <c r="AZ178" s="24"/>
      <c r="BA178" s="33"/>
      <c r="BB178" s="25"/>
      <c r="BC178" s="8"/>
      <c r="BD178" s="8"/>
      <c r="BE178" s="8"/>
    </row>
    <row r="179" spans="1:57" ht="14.45" customHeight="1" x14ac:dyDescent="0.25">
      <c r="A179" s="44"/>
      <c r="C179" s="642" t="s">
        <v>249</v>
      </c>
      <c r="D179" s="643"/>
      <c r="E179" s="643"/>
      <c r="F179" s="643"/>
      <c r="G179" s="643"/>
      <c r="H179" s="705"/>
      <c r="I179" s="688">
        <f t="shared" si="110"/>
        <v>0</v>
      </c>
      <c r="J179" s="689"/>
      <c r="K179" s="675">
        <f t="shared" si="111"/>
        <v>0</v>
      </c>
      <c r="L179" s="690"/>
      <c r="M179" s="689">
        <f t="shared" si="112"/>
        <v>0</v>
      </c>
      <c r="N179" s="689"/>
      <c r="O179" s="675">
        <f t="shared" si="113"/>
        <v>0</v>
      </c>
      <c r="P179" s="676"/>
      <c r="Q179" s="689">
        <f t="shared" si="114"/>
        <v>0</v>
      </c>
      <c r="R179" s="689"/>
      <c r="S179" s="675">
        <f t="shared" si="115"/>
        <v>0</v>
      </c>
      <c r="T179" s="676"/>
      <c r="U179" s="689">
        <f t="shared" si="100"/>
        <v>0</v>
      </c>
      <c r="V179" s="689"/>
      <c r="W179" s="678">
        <f t="shared" si="101"/>
        <v>0</v>
      </c>
      <c r="X179" s="678"/>
      <c r="Y179" s="691">
        <f t="shared" si="102"/>
        <v>0</v>
      </c>
      <c r="Z179" s="688"/>
      <c r="AA179" s="675">
        <f t="shared" si="103"/>
        <v>0</v>
      </c>
      <c r="AB179" s="692"/>
      <c r="AC179" s="679">
        <f t="shared" si="104"/>
        <v>0</v>
      </c>
      <c r="AD179" s="679"/>
      <c r="AE179" s="679"/>
      <c r="AF179" s="679"/>
      <c r="AG179" s="679"/>
      <c r="AH179" s="678">
        <f t="shared" si="105"/>
        <v>0</v>
      </c>
      <c r="AI179" s="675"/>
      <c r="AJ179" s="673">
        <f t="shared" si="106"/>
        <v>0</v>
      </c>
      <c r="AK179" s="674"/>
      <c r="AL179" s="675">
        <f t="shared" si="107"/>
        <v>0</v>
      </c>
      <c r="AM179" s="676"/>
      <c r="AN179" s="659">
        <f t="shared" si="108"/>
        <v>0</v>
      </c>
      <c r="AO179" s="660"/>
      <c r="AP179" s="661">
        <f t="shared" si="109"/>
        <v>0</v>
      </c>
      <c r="AQ179" s="661"/>
      <c r="AR179" s="24"/>
      <c r="AS179" s="33"/>
      <c r="AT179" s="24"/>
      <c r="AU179" s="33"/>
      <c r="AV179" s="24"/>
      <c r="AW179" s="33"/>
      <c r="AX179" s="33"/>
      <c r="AY179" s="33"/>
      <c r="AZ179" s="24"/>
      <c r="BA179" s="33"/>
      <c r="BB179" s="25"/>
      <c r="BC179" s="8"/>
      <c r="BD179" s="8"/>
      <c r="BE179" s="8"/>
    </row>
    <row r="180" spans="1:57" ht="14.45" customHeight="1" x14ac:dyDescent="0.25">
      <c r="A180" s="44"/>
      <c r="C180" s="642" t="s">
        <v>250</v>
      </c>
      <c r="D180" s="643"/>
      <c r="E180" s="643"/>
      <c r="F180" s="643"/>
      <c r="G180" s="643"/>
      <c r="H180" s="705"/>
      <c r="I180" s="688">
        <f t="shared" si="110"/>
        <v>0</v>
      </c>
      <c r="J180" s="689"/>
      <c r="K180" s="675">
        <f t="shared" si="111"/>
        <v>0</v>
      </c>
      <c r="L180" s="690"/>
      <c r="M180" s="689">
        <f t="shared" si="112"/>
        <v>0</v>
      </c>
      <c r="N180" s="689"/>
      <c r="O180" s="675">
        <f t="shared" si="113"/>
        <v>0</v>
      </c>
      <c r="P180" s="676"/>
      <c r="Q180" s="689">
        <f t="shared" si="114"/>
        <v>0</v>
      </c>
      <c r="R180" s="689"/>
      <c r="S180" s="675">
        <f t="shared" si="115"/>
        <v>0</v>
      </c>
      <c r="T180" s="676"/>
      <c r="U180" s="689">
        <f t="shared" si="100"/>
        <v>0</v>
      </c>
      <c r="V180" s="689"/>
      <c r="W180" s="678">
        <f t="shared" si="101"/>
        <v>0</v>
      </c>
      <c r="X180" s="678"/>
      <c r="Y180" s="691">
        <f t="shared" si="102"/>
        <v>0</v>
      </c>
      <c r="Z180" s="688"/>
      <c r="AA180" s="675">
        <f t="shared" si="103"/>
        <v>0</v>
      </c>
      <c r="AB180" s="692"/>
      <c r="AC180" s="679">
        <f t="shared" si="104"/>
        <v>0</v>
      </c>
      <c r="AD180" s="679"/>
      <c r="AE180" s="679"/>
      <c r="AF180" s="679"/>
      <c r="AG180" s="679"/>
      <c r="AH180" s="678">
        <f t="shared" si="105"/>
        <v>0</v>
      </c>
      <c r="AI180" s="675"/>
      <c r="AJ180" s="673">
        <f t="shared" si="106"/>
        <v>0</v>
      </c>
      <c r="AK180" s="674"/>
      <c r="AL180" s="675">
        <f t="shared" si="107"/>
        <v>0</v>
      </c>
      <c r="AM180" s="676"/>
      <c r="AN180" s="659">
        <f t="shared" si="108"/>
        <v>0</v>
      </c>
      <c r="AO180" s="660"/>
      <c r="AP180" s="661">
        <f t="shared" si="109"/>
        <v>0</v>
      </c>
      <c r="AQ180" s="661"/>
      <c r="AR180" s="24"/>
      <c r="AS180" s="33"/>
      <c r="AT180" s="24"/>
      <c r="AU180" s="33"/>
      <c r="AV180" s="24"/>
      <c r="AW180" s="33"/>
      <c r="AX180" s="33"/>
      <c r="AY180" s="33"/>
      <c r="AZ180" s="24"/>
      <c r="BA180" s="33"/>
      <c r="BB180" s="25"/>
      <c r="BC180" s="8"/>
      <c r="BD180" s="8"/>
      <c r="BE180" s="8"/>
    </row>
    <row r="181" spans="1:57" ht="14.45" customHeight="1" x14ac:dyDescent="0.25">
      <c r="A181" s="44"/>
      <c r="C181" s="642" t="s">
        <v>251</v>
      </c>
      <c r="D181" s="643"/>
      <c r="E181" s="643"/>
      <c r="F181" s="643"/>
      <c r="G181" s="643"/>
      <c r="H181" s="705"/>
      <c r="I181" s="688">
        <f t="shared" si="110"/>
        <v>0</v>
      </c>
      <c r="J181" s="689"/>
      <c r="K181" s="675">
        <f t="shared" si="111"/>
        <v>0</v>
      </c>
      <c r="L181" s="690"/>
      <c r="M181" s="689">
        <f t="shared" si="112"/>
        <v>0</v>
      </c>
      <c r="N181" s="689"/>
      <c r="O181" s="675">
        <f t="shared" si="113"/>
        <v>0</v>
      </c>
      <c r="P181" s="676"/>
      <c r="Q181" s="689">
        <f t="shared" si="114"/>
        <v>0</v>
      </c>
      <c r="R181" s="689"/>
      <c r="S181" s="675">
        <f t="shared" si="115"/>
        <v>0</v>
      </c>
      <c r="T181" s="676"/>
      <c r="U181" s="689">
        <f t="shared" si="100"/>
        <v>0</v>
      </c>
      <c r="V181" s="689"/>
      <c r="W181" s="678">
        <f t="shared" si="101"/>
        <v>0</v>
      </c>
      <c r="X181" s="678"/>
      <c r="Y181" s="691">
        <f t="shared" si="102"/>
        <v>0</v>
      </c>
      <c r="Z181" s="688"/>
      <c r="AA181" s="675">
        <f t="shared" si="103"/>
        <v>0</v>
      </c>
      <c r="AB181" s="692"/>
      <c r="AC181" s="679">
        <f t="shared" si="104"/>
        <v>4</v>
      </c>
      <c r="AD181" s="679"/>
      <c r="AE181" s="679"/>
      <c r="AF181" s="679"/>
      <c r="AG181" s="679"/>
      <c r="AH181" s="678">
        <f t="shared" si="105"/>
        <v>36</v>
      </c>
      <c r="AI181" s="675"/>
      <c r="AJ181" s="673">
        <f t="shared" si="106"/>
        <v>3</v>
      </c>
      <c r="AK181" s="674"/>
      <c r="AL181" s="675">
        <f t="shared" si="107"/>
        <v>27</v>
      </c>
      <c r="AM181" s="676"/>
      <c r="AN181" s="659">
        <f t="shared" si="108"/>
        <v>7</v>
      </c>
      <c r="AO181" s="660"/>
      <c r="AP181" s="661">
        <f t="shared" si="109"/>
        <v>63</v>
      </c>
      <c r="AQ181" s="661"/>
      <c r="AR181" s="24"/>
      <c r="AS181" s="33"/>
      <c r="AT181" s="24"/>
      <c r="AU181" s="33"/>
      <c r="AV181" s="24"/>
      <c r="AW181" s="33"/>
      <c r="AX181" s="33"/>
      <c r="AY181" s="33"/>
      <c r="AZ181" s="24"/>
      <c r="BA181" s="33"/>
      <c r="BB181" s="25"/>
      <c r="BC181" s="8"/>
      <c r="BD181" s="8"/>
      <c r="BE181" s="8"/>
    </row>
    <row r="182" spans="1:57" ht="14.45" customHeight="1" x14ac:dyDescent="0.25">
      <c r="A182" s="44"/>
      <c r="C182" s="642" t="s">
        <v>252</v>
      </c>
      <c r="D182" s="643"/>
      <c r="E182" s="643"/>
      <c r="F182" s="643"/>
      <c r="G182" s="643"/>
      <c r="H182" s="705"/>
      <c r="I182" s="688">
        <f t="shared" si="110"/>
        <v>0</v>
      </c>
      <c r="J182" s="689"/>
      <c r="K182" s="675">
        <f t="shared" si="111"/>
        <v>0</v>
      </c>
      <c r="L182" s="690"/>
      <c r="M182" s="689">
        <f t="shared" si="112"/>
        <v>0</v>
      </c>
      <c r="N182" s="689"/>
      <c r="O182" s="675">
        <f t="shared" si="113"/>
        <v>0</v>
      </c>
      <c r="P182" s="676"/>
      <c r="Q182" s="689">
        <f t="shared" si="114"/>
        <v>0</v>
      </c>
      <c r="R182" s="689"/>
      <c r="S182" s="675">
        <f t="shared" si="115"/>
        <v>0</v>
      </c>
      <c r="T182" s="676"/>
      <c r="U182" s="689">
        <f t="shared" si="100"/>
        <v>0</v>
      </c>
      <c r="V182" s="689"/>
      <c r="W182" s="678">
        <f t="shared" si="101"/>
        <v>0</v>
      </c>
      <c r="X182" s="678"/>
      <c r="Y182" s="691">
        <f t="shared" si="102"/>
        <v>0</v>
      </c>
      <c r="Z182" s="688"/>
      <c r="AA182" s="675">
        <f t="shared" si="103"/>
        <v>0</v>
      </c>
      <c r="AB182" s="692"/>
      <c r="AC182" s="679">
        <f t="shared" si="104"/>
        <v>0</v>
      </c>
      <c r="AD182" s="679"/>
      <c r="AE182" s="679"/>
      <c r="AF182" s="679"/>
      <c r="AG182" s="679"/>
      <c r="AH182" s="678">
        <f t="shared" si="105"/>
        <v>0</v>
      </c>
      <c r="AI182" s="675"/>
      <c r="AJ182" s="673">
        <f t="shared" si="106"/>
        <v>0</v>
      </c>
      <c r="AK182" s="674"/>
      <c r="AL182" s="675">
        <f t="shared" si="107"/>
        <v>0</v>
      </c>
      <c r="AM182" s="676"/>
      <c r="AN182" s="659">
        <f t="shared" si="108"/>
        <v>0</v>
      </c>
      <c r="AO182" s="660"/>
      <c r="AP182" s="661">
        <f t="shared" si="109"/>
        <v>0</v>
      </c>
      <c r="AQ182" s="661"/>
      <c r="AR182" s="24"/>
      <c r="AS182" s="33"/>
      <c r="AT182" s="24"/>
      <c r="AU182" s="33"/>
      <c r="AV182" s="24"/>
      <c r="AW182" s="33"/>
      <c r="AX182" s="33"/>
      <c r="AY182" s="33"/>
      <c r="AZ182" s="24"/>
      <c r="BA182" s="33"/>
      <c r="BB182" s="25"/>
      <c r="BC182" s="8"/>
      <c r="BD182" s="8"/>
      <c r="BE182" s="8"/>
    </row>
    <row r="183" spans="1:57" ht="14.45" customHeight="1" x14ac:dyDescent="0.25">
      <c r="A183" s="44"/>
      <c r="C183" s="642" t="s">
        <v>253</v>
      </c>
      <c r="D183" s="643"/>
      <c r="E183" s="643"/>
      <c r="F183" s="643"/>
      <c r="G183" s="643"/>
      <c r="H183" s="705"/>
      <c r="I183" s="688">
        <f t="shared" si="110"/>
        <v>0</v>
      </c>
      <c r="J183" s="689"/>
      <c r="K183" s="675">
        <f t="shared" si="111"/>
        <v>0</v>
      </c>
      <c r="L183" s="690"/>
      <c r="M183" s="689">
        <f t="shared" si="112"/>
        <v>0</v>
      </c>
      <c r="N183" s="689"/>
      <c r="O183" s="675">
        <f t="shared" si="113"/>
        <v>0</v>
      </c>
      <c r="P183" s="676"/>
      <c r="Q183" s="689">
        <f t="shared" si="114"/>
        <v>0</v>
      </c>
      <c r="R183" s="689"/>
      <c r="S183" s="675">
        <f t="shared" si="115"/>
        <v>0</v>
      </c>
      <c r="T183" s="676"/>
      <c r="U183" s="689">
        <f t="shared" si="100"/>
        <v>0</v>
      </c>
      <c r="V183" s="689"/>
      <c r="W183" s="678">
        <f t="shared" si="101"/>
        <v>0</v>
      </c>
      <c r="X183" s="678"/>
      <c r="Y183" s="691">
        <f t="shared" si="102"/>
        <v>0</v>
      </c>
      <c r="Z183" s="688"/>
      <c r="AA183" s="675">
        <f t="shared" si="103"/>
        <v>0</v>
      </c>
      <c r="AB183" s="692"/>
      <c r="AC183" s="679">
        <f t="shared" si="104"/>
        <v>3</v>
      </c>
      <c r="AD183" s="679"/>
      <c r="AE183" s="679"/>
      <c r="AF183" s="679"/>
      <c r="AG183" s="679"/>
      <c r="AH183" s="678">
        <f t="shared" si="105"/>
        <v>48</v>
      </c>
      <c r="AI183" s="675"/>
      <c r="AJ183" s="673">
        <f t="shared" si="106"/>
        <v>1</v>
      </c>
      <c r="AK183" s="674"/>
      <c r="AL183" s="675">
        <f t="shared" si="107"/>
        <v>16</v>
      </c>
      <c r="AM183" s="676"/>
      <c r="AN183" s="659">
        <f t="shared" si="108"/>
        <v>4</v>
      </c>
      <c r="AO183" s="660"/>
      <c r="AP183" s="661">
        <f t="shared" si="109"/>
        <v>64</v>
      </c>
      <c r="AQ183" s="661"/>
      <c r="AR183" s="24"/>
      <c r="AS183" s="33"/>
      <c r="AT183" s="24"/>
      <c r="AU183" s="33"/>
      <c r="AV183" s="24"/>
      <c r="AW183" s="33"/>
      <c r="AX183" s="33"/>
      <c r="AY183" s="33"/>
      <c r="AZ183" s="24"/>
      <c r="BA183" s="33"/>
      <c r="BB183" s="25"/>
      <c r="BC183" s="8"/>
      <c r="BD183" s="8"/>
      <c r="BE183" s="8"/>
    </row>
    <row r="184" spans="1:57" ht="14.45" customHeight="1" x14ac:dyDescent="0.25">
      <c r="A184" s="44"/>
      <c r="C184" s="642" t="s">
        <v>248</v>
      </c>
      <c r="D184" s="643"/>
      <c r="E184" s="643"/>
      <c r="F184" s="643"/>
      <c r="G184" s="643"/>
      <c r="H184" s="705"/>
      <c r="I184" s="688">
        <f t="shared" si="110"/>
        <v>0</v>
      </c>
      <c r="J184" s="689"/>
      <c r="K184" s="675">
        <f t="shared" si="111"/>
        <v>0</v>
      </c>
      <c r="L184" s="690"/>
      <c r="M184" s="689">
        <f t="shared" si="112"/>
        <v>0</v>
      </c>
      <c r="N184" s="689"/>
      <c r="O184" s="675">
        <f t="shared" si="113"/>
        <v>0</v>
      </c>
      <c r="P184" s="676"/>
      <c r="Q184" s="689">
        <f t="shared" si="114"/>
        <v>0</v>
      </c>
      <c r="R184" s="689"/>
      <c r="S184" s="675">
        <f t="shared" si="115"/>
        <v>0</v>
      </c>
      <c r="T184" s="676"/>
      <c r="U184" s="689">
        <f t="shared" si="100"/>
        <v>0</v>
      </c>
      <c r="V184" s="689"/>
      <c r="W184" s="678">
        <f t="shared" si="101"/>
        <v>0</v>
      </c>
      <c r="X184" s="678"/>
      <c r="Y184" s="691">
        <f t="shared" si="102"/>
        <v>0</v>
      </c>
      <c r="Z184" s="688"/>
      <c r="AA184" s="675">
        <f t="shared" si="103"/>
        <v>0</v>
      </c>
      <c r="AB184" s="692"/>
      <c r="AC184" s="679">
        <f t="shared" si="104"/>
        <v>0</v>
      </c>
      <c r="AD184" s="679"/>
      <c r="AE184" s="679"/>
      <c r="AF184" s="679"/>
      <c r="AG184" s="679"/>
      <c r="AH184" s="678">
        <f t="shared" si="105"/>
        <v>0</v>
      </c>
      <c r="AI184" s="675"/>
      <c r="AJ184" s="673">
        <f t="shared" si="106"/>
        <v>2</v>
      </c>
      <c r="AK184" s="674"/>
      <c r="AL184" s="675">
        <f t="shared" si="107"/>
        <v>38</v>
      </c>
      <c r="AM184" s="676"/>
      <c r="AN184" s="659">
        <f t="shared" si="108"/>
        <v>2</v>
      </c>
      <c r="AO184" s="660"/>
      <c r="AP184" s="661">
        <f t="shared" si="109"/>
        <v>38</v>
      </c>
      <c r="AQ184" s="661"/>
      <c r="AR184" s="24"/>
      <c r="AS184" s="33"/>
      <c r="AT184" s="24"/>
      <c r="AU184" s="33"/>
      <c r="AV184" s="24"/>
      <c r="AW184" s="33"/>
      <c r="AX184" s="33"/>
      <c r="AY184" s="33"/>
      <c r="AZ184" s="24"/>
      <c r="BA184" s="33"/>
      <c r="BB184" s="25"/>
      <c r="BC184" s="8"/>
      <c r="BD184" s="8"/>
      <c r="BE184" s="8"/>
    </row>
    <row r="185" spans="1:57" ht="14.45" customHeight="1" x14ac:dyDescent="0.25">
      <c r="A185" s="44"/>
      <c r="C185" s="642" t="s">
        <v>254</v>
      </c>
      <c r="D185" s="643"/>
      <c r="E185" s="643"/>
      <c r="F185" s="643"/>
      <c r="G185" s="643"/>
      <c r="H185" s="705"/>
      <c r="I185" s="688">
        <f t="shared" si="110"/>
        <v>0</v>
      </c>
      <c r="J185" s="689"/>
      <c r="K185" s="675">
        <f t="shared" si="111"/>
        <v>0</v>
      </c>
      <c r="L185" s="690"/>
      <c r="M185" s="689">
        <f t="shared" si="112"/>
        <v>0</v>
      </c>
      <c r="N185" s="689"/>
      <c r="O185" s="675">
        <f t="shared" si="113"/>
        <v>0</v>
      </c>
      <c r="P185" s="676"/>
      <c r="Q185" s="689">
        <f t="shared" si="114"/>
        <v>0</v>
      </c>
      <c r="R185" s="689"/>
      <c r="S185" s="675">
        <f t="shared" si="115"/>
        <v>0</v>
      </c>
      <c r="T185" s="676"/>
      <c r="U185" s="689">
        <f t="shared" si="100"/>
        <v>0</v>
      </c>
      <c r="V185" s="689"/>
      <c r="W185" s="678">
        <f t="shared" si="101"/>
        <v>0</v>
      </c>
      <c r="X185" s="678"/>
      <c r="Y185" s="691">
        <f t="shared" si="102"/>
        <v>0</v>
      </c>
      <c r="Z185" s="688"/>
      <c r="AA185" s="675">
        <f t="shared" si="103"/>
        <v>0</v>
      </c>
      <c r="AB185" s="692"/>
      <c r="AC185" s="679">
        <f t="shared" si="104"/>
        <v>2</v>
      </c>
      <c r="AD185" s="679"/>
      <c r="AE185" s="679"/>
      <c r="AF185" s="679"/>
      <c r="AG185" s="679"/>
      <c r="AH185" s="678">
        <f t="shared" si="105"/>
        <v>68</v>
      </c>
      <c r="AI185" s="675"/>
      <c r="AJ185" s="673">
        <f t="shared" si="106"/>
        <v>2</v>
      </c>
      <c r="AK185" s="674"/>
      <c r="AL185" s="675">
        <f t="shared" si="107"/>
        <v>68</v>
      </c>
      <c r="AM185" s="676"/>
      <c r="AN185" s="659">
        <f t="shared" si="108"/>
        <v>4</v>
      </c>
      <c r="AO185" s="660"/>
      <c r="AP185" s="661">
        <f t="shared" si="109"/>
        <v>136</v>
      </c>
      <c r="AQ185" s="661"/>
      <c r="AR185" s="24"/>
      <c r="AS185" s="33"/>
      <c r="AT185" s="24"/>
      <c r="AU185" s="33"/>
      <c r="AV185" s="24"/>
      <c r="AW185" s="33"/>
      <c r="AX185" s="33"/>
      <c r="AY185" s="33"/>
      <c r="AZ185" s="24"/>
      <c r="BA185" s="33"/>
      <c r="BB185" s="25"/>
      <c r="BC185" s="8"/>
      <c r="BD185" s="8"/>
      <c r="BE185" s="8"/>
    </row>
    <row r="186" spans="1:57" ht="14.45" customHeight="1" x14ac:dyDescent="0.25">
      <c r="A186" s="44"/>
      <c r="C186" s="642" t="s">
        <v>255</v>
      </c>
      <c r="D186" s="643"/>
      <c r="E186" s="643"/>
      <c r="F186" s="643"/>
      <c r="G186" s="643"/>
      <c r="H186" s="705"/>
      <c r="I186" s="688">
        <f t="shared" si="110"/>
        <v>0</v>
      </c>
      <c r="J186" s="689"/>
      <c r="K186" s="675">
        <f t="shared" si="111"/>
        <v>0</v>
      </c>
      <c r="L186" s="690"/>
      <c r="M186" s="689">
        <f t="shared" si="112"/>
        <v>0</v>
      </c>
      <c r="N186" s="689"/>
      <c r="O186" s="675">
        <f t="shared" si="113"/>
        <v>0</v>
      </c>
      <c r="P186" s="676"/>
      <c r="Q186" s="689">
        <f t="shared" si="114"/>
        <v>0</v>
      </c>
      <c r="R186" s="689"/>
      <c r="S186" s="675">
        <f t="shared" si="115"/>
        <v>0</v>
      </c>
      <c r="T186" s="676"/>
      <c r="U186" s="689">
        <f t="shared" si="100"/>
        <v>0</v>
      </c>
      <c r="V186" s="689"/>
      <c r="W186" s="678">
        <f t="shared" si="101"/>
        <v>0</v>
      </c>
      <c r="X186" s="678"/>
      <c r="Y186" s="691">
        <f t="shared" si="102"/>
        <v>0</v>
      </c>
      <c r="Z186" s="688"/>
      <c r="AA186" s="675">
        <f t="shared" si="103"/>
        <v>0</v>
      </c>
      <c r="AB186" s="692"/>
      <c r="AC186" s="679">
        <f t="shared" si="104"/>
        <v>0</v>
      </c>
      <c r="AD186" s="679"/>
      <c r="AE186" s="679"/>
      <c r="AF186" s="679"/>
      <c r="AG186" s="679"/>
      <c r="AH186" s="678">
        <f t="shared" si="105"/>
        <v>0</v>
      </c>
      <c r="AI186" s="675"/>
      <c r="AJ186" s="673">
        <f t="shared" si="106"/>
        <v>0</v>
      </c>
      <c r="AK186" s="674"/>
      <c r="AL186" s="675">
        <f t="shared" si="107"/>
        <v>0</v>
      </c>
      <c r="AM186" s="676"/>
      <c r="AN186" s="659">
        <f t="shared" si="108"/>
        <v>0</v>
      </c>
      <c r="AO186" s="660"/>
      <c r="AP186" s="661">
        <f t="shared" si="109"/>
        <v>0</v>
      </c>
      <c r="AQ186" s="661"/>
      <c r="AR186" s="24"/>
      <c r="AS186" s="33"/>
      <c r="AT186" s="24"/>
      <c r="AU186" s="33"/>
      <c r="AV186" s="24"/>
      <c r="AW186" s="33"/>
      <c r="AX186" s="33"/>
      <c r="AY186" s="33"/>
      <c r="AZ186" s="24"/>
      <c r="BA186" s="33"/>
      <c r="BB186" s="25"/>
      <c r="BC186" s="8"/>
      <c r="BD186" s="8"/>
      <c r="BE186" s="8"/>
    </row>
    <row r="187" spans="1:57" ht="14.45" customHeight="1" x14ac:dyDescent="0.25">
      <c r="A187" s="44"/>
      <c r="C187" s="642" t="s">
        <v>256</v>
      </c>
      <c r="D187" s="643"/>
      <c r="E187" s="643"/>
      <c r="F187" s="643"/>
      <c r="G187" s="643"/>
      <c r="H187" s="705"/>
      <c r="I187" s="688">
        <f t="shared" si="110"/>
        <v>0</v>
      </c>
      <c r="J187" s="689"/>
      <c r="K187" s="675">
        <f t="shared" si="111"/>
        <v>0</v>
      </c>
      <c r="L187" s="690"/>
      <c r="M187" s="689">
        <f t="shared" si="112"/>
        <v>0</v>
      </c>
      <c r="N187" s="689"/>
      <c r="O187" s="675">
        <f t="shared" si="113"/>
        <v>0</v>
      </c>
      <c r="P187" s="676"/>
      <c r="Q187" s="689">
        <f t="shared" si="114"/>
        <v>0</v>
      </c>
      <c r="R187" s="689"/>
      <c r="S187" s="675">
        <f t="shared" si="115"/>
        <v>0</v>
      </c>
      <c r="T187" s="676"/>
      <c r="U187" s="689">
        <f t="shared" si="100"/>
        <v>0</v>
      </c>
      <c r="V187" s="689"/>
      <c r="W187" s="678">
        <f t="shared" si="101"/>
        <v>0</v>
      </c>
      <c r="X187" s="678"/>
      <c r="Y187" s="691">
        <f t="shared" si="102"/>
        <v>0</v>
      </c>
      <c r="Z187" s="688"/>
      <c r="AA187" s="675">
        <f t="shared" si="103"/>
        <v>0</v>
      </c>
      <c r="AB187" s="692"/>
      <c r="AC187" s="679">
        <f t="shared" si="104"/>
        <v>0</v>
      </c>
      <c r="AD187" s="679"/>
      <c r="AE187" s="679"/>
      <c r="AF187" s="679"/>
      <c r="AG187" s="679"/>
      <c r="AH187" s="678">
        <f t="shared" si="105"/>
        <v>0</v>
      </c>
      <c r="AI187" s="675"/>
      <c r="AJ187" s="673">
        <f t="shared" si="106"/>
        <v>0</v>
      </c>
      <c r="AK187" s="674"/>
      <c r="AL187" s="675">
        <f t="shared" si="107"/>
        <v>0</v>
      </c>
      <c r="AM187" s="676"/>
      <c r="AN187" s="659">
        <f t="shared" si="108"/>
        <v>0</v>
      </c>
      <c r="AO187" s="660"/>
      <c r="AP187" s="661">
        <f t="shared" si="109"/>
        <v>0</v>
      </c>
      <c r="AQ187" s="661"/>
      <c r="AR187" s="24"/>
      <c r="AS187" s="33"/>
      <c r="AT187" s="24"/>
      <c r="AU187" s="33"/>
      <c r="AV187" s="24"/>
      <c r="AW187" s="33"/>
      <c r="AX187" s="33"/>
      <c r="AY187" s="33"/>
      <c r="AZ187" s="24"/>
      <c r="BA187" s="33"/>
      <c r="BB187" s="25"/>
      <c r="BC187" s="8"/>
      <c r="BD187" s="8"/>
      <c r="BE187" s="8"/>
    </row>
    <row r="188" spans="1:57" ht="14.45" customHeight="1" x14ac:dyDescent="0.25">
      <c r="A188" s="44"/>
      <c r="C188" s="642" t="s">
        <v>257</v>
      </c>
      <c r="D188" s="643"/>
      <c r="E188" s="643"/>
      <c r="F188" s="643"/>
      <c r="G188" s="643"/>
      <c r="H188" s="705"/>
      <c r="I188" s="688">
        <f t="shared" si="110"/>
        <v>0</v>
      </c>
      <c r="J188" s="689"/>
      <c r="K188" s="675">
        <f t="shared" si="111"/>
        <v>0</v>
      </c>
      <c r="L188" s="690"/>
      <c r="M188" s="689">
        <f t="shared" si="112"/>
        <v>0</v>
      </c>
      <c r="N188" s="689"/>
      <c r="O188" s="675">
        <f t="shared" si="113"/>
        <v>0</v>
      </c>
      <c r="P188" s="676"/>
      <c r="Q188" s="689">
        <f t="shared" si="114"/>
        <v>0</v>
      </c>
      <c r="R188" s="689"/>
      <c r="S188" s="675">
        <f t="shared" si="115"/>
        <v>0</v>
      </c>
      <c r="T188" s="676"/>
      <c r="U188" s="689">
        <f t="shared" si="100"/>
        <v>0</v>
      </c>
      <c r="V188" s="689"/>
      <c r="W188" s="678">
        <f t="shared" si="101"/>
        <v>0</v>
      </c>
      <c r="X188" s="678"/>
      <c r="Y188" s="691">
        <f t="shared" si="102"/>
        <v>0</v>
      </c>
      <c r="Z188" s="688"/>
      <c r="AA188" s="675">
        <f t="shared" si="103"/>
        <v>0</v>
      </c>
      <c r="AB188" s="692"/>
      <c r="AC188" s="679">
        <f t="shared" si="104"/>
        <v>0</v>
      </c>
      <c r="AD188" s="679"/>
      <c r="AE188" s="679"/>
      <c r="AF188" s="679"/>
      <c r="AG188" s="679"/>
      <c r="AH188" s="678">
        <f t="shared" si="105"/>
        <v>0</v>
      </c>
      <c r="AI188" s="675"/>
      <c r="AJ188" s="673">
        <f t="shared" si="106"/>
        <v>0</v>
      </c>
      <c r="AK188" s="674"/>
      <c r="AL188" s="675">
        <f t="shared" si="107"/>
        <v>0</v>
      </c>
      <c r="AM188" s="676"/>
      <c r="AN188" s="659">
        <f t="shared" si="108"/>
        <v>0</v>
      </c>
      <c r="AO188" s="660"/>
      <c r="AP188" s="661">
        <f t="shared" si="109"/>
        <v>0</v>
      </c>
      <c r="AQ188" s="661"/>
      <c r="AR188" s="24"/>
      <c r="AS188" s="33"/>
      <c r="AT188" s="24"/>
      <c r="AU188" s="33"/>
      <c r="AV188" s="24"/>
      <c r="AW188" s="33"/>
      <c r="AX188" s="33"/>
      <c r="AY188" s="33"/>
      <c r="AZ188" s="24"/>
      <c r="BA188" s="33"/>
      <c r="BB188" s="25"/>
      <c r="BC188" s="8"/>
      <c r="BD188" s="8"/>
      <c r="BE188" s="8"/>
    </row>
    <row r="189" spans="1:57" ht="14.45" customHeight="1" x14ac:dyDescent="0.25">
      <c r="A189" s="44"/>
      <c r="C189" s="642" t="s">
        <v>258</v>
      </c>
      <c r="D189" s="643"/>
      <c r="E189" s="643"/>
      <c r="F189" s="643"/>
      <c r="G189" s="643"/>
      <c r="H189" s="705"/>
      <c r="I189" s="688">
        <f t="shared" si="110"/>
        <v>0</v>
      </c>
      <c r="J189" s="689"/>
      <c r="K189" s="675">
        <f t="shared" si="111"/>
        <v>0</v>
      </c>
      <c r="L189" s="690"/>
      <c r="M189" s="689">
        <f t="shared" si="112"/>
        <v>0</v>
      </c>
      <c r="N189" s="689"/>
      <c r="O189" s="675">
        <f t="shared" si="113"/>
        <v>0</v>
      </c>
      <c r="P189" s="676"/>
      <c r="Q189" s="689">
        <f t="shared" si="114"/>
        <v>0</v>
      </c>
      <c r="R189" s="689"/>
      <c r="S189" s="675">
        <f t="shared" si="115"/>
        <v>0</v>
      </c>
      <c r="T189" s="676"/>
      <c r="U189" s="689">
        <f t="shared" si="100"/>
        <v>0</v>
      </c>
      <c r="V189" s="689"/>
      <c r="W189" s="678">
        <f t="shared" si="101"/>
        <v>0</v>
      </c>
      <c r="X189" s="678"/>
      <c r="Y189" s="691">
        <f t="shared" si="102"/>
        <v>0</v>
      </c>
      <c r="Z189" s="688"/>
      <c r="AA189" s="675">
        <f t="shared" si="103"/>
        <v>0</v>
      </c>
      <c r="AB189" s="692"/>
      <c r="AC189" s="679">
        <f t="shared" si="104"/>
        <v>1</v>
      </c>
      <c r="AD189" s="679"/>
      <c r="AE189" s="679"/>
      <c r="AF189" s="679"/>
      <c r="AG189" s="679"/>
      <c r="AH189" s="678">
        <f t="shared" si="105"/>
        <v>20</v>
      </c>
      <c r="AI189" s="675"/>
      <c r="AJ189" s="673">
        <f t="shared" si="106"/>
        <v>0</v>
      </c>
      <c r="AK189" s="674"/>
      <c r="AL189" s="675">
        <f t="shared" si="107"/>
        <v>0</v>
      </c>
      <c r="AM189" s="676"/>
      <c r="AN189" s="659">
        <f t="shared" si="108"/>
        <v>1</v>
      </c>
      <c r="AO189" s="660"/>
      <c r="AP189" s="661">
        <f t="shared" si="109"/>
        <v>20</v>
      </c>
      <c r="AQ189" s="661"/>
      <c r="AR189" s="24"/>
      <c r="AS189" s="33"/>
      <c r="AT189" s="24"/>
      <c r="AU189" s="33"/>
      <c r="AV189" s="24"/>
      <c r="AW189" s="33"/>
      <c r="AX189" s="33"/>
      <c r="AY189" s="33"/>
      <c r="AZ189" s="24"/>
      <c r="BA189" s="33"/>
      <c r="BB189" s="25"/>
      <c r="BC189" s="8"/>
      <c r="BD189" s="8"/>
      <c r="BE189" s="8"/>
    </row>
    <row r="190" spans="1:57" ht="14.45" customHeight="1" x14ac:dyDescent="0.25">
      <c r="A190" s="44"/>
      <c r="C190" s="665" t="s">
        <v>259</v>
      </c>
      <c r="D190" s="666"/>
      <c r="E190" s="666"/>
      <c r="F190" s="666"/>
      <c r="G190" s="666"/>
      <c r="H190" s="667"/>
      <c r="I190" s="655">
        <f t="shared" si="110"/>
        <v>0</v>
      </c>
      <c r="J190" s="647"/>
      <c r="K190" s="645">
        <f t="shared" si="111"/>
        <v>0</v>
      </c>
      <c r="L190" s="646"/>
      <c r="M190" s="647">
        <f t="shared" si="112"/>
        <v>0</v>
      </c>
      <c r="N190" s="647"/>
      <c r="O190" s="645">
        <f t="shared" si="113"/>
        <v>0</v>
      </c>
      <c r="P190" s="648"/>
      <c r="Q190" s="647">
        <f t="shared" si="114"/>
        <v>0</v>
      </c>
      <c r="R190" s="647"/>
      <c r="S190" s="645">
        <f t="shared" si="115"/>
        <v>0</v>
      </c>
      <c r="T190" s="648"/>
      <c r="U190" s="647">
        <f t="shared" si="100"/>
        <v>0</v>
      </c>
      <c r="V190" s="647"/>
      <c r="W190" s="658">
        <f t="shared" si="101"/>
        <v>0</v>
      </c>
      <c r="X190" s="658"/>
      <c r="Y190" s="654">
        <f t="shared" si="102"/>
        <v>0</v>
      </c>
      <c r="Z190" s="655"/>
      <c r="AA190" s="645">
        <f t="shared" si="103"/>
        <v>0</v>
      </c>
      <c r="AB190" s="656"/>
      <c r="AC190" s="657">
        <f t="shared" si="104"/>
        <v>0</v>
      </c>
      <c r="AD190" s="657"/>
      <c r="AE190" s="657"/>
      <c r="AF190" s="657"/>
      <c r="AG190" s="657"/>
      <c r="AH190" s="658">
        <f t="shared" si="105"/>
        <v>0</v>
      </c>
      <c r="AI190" s="645"/>
      <c r="AJ190" s="673">
        <f t="shared" si="106"/>
        <v>0</v>
      </c>
      <c r="AK190" s="674"/>
      <c r="AL190" s="675">
        <f t="shared" si="107"/>
        <v>0</v>
      </c>
      <c r="AM190" s="676"/>
      <c r="AN190" s="659">
        <f t="shared" si="108"/>
        <v>0</v>
      </c>
      <c r="AO190" s="660"/>
      <c r="AP190" s="661">
        <f t="shared" si="109"/>
        <v>0</v>
      </c>
      <c r="AQ190" s="661"/>
      <c r="AR190" s="24"/>
      <c r="AS190" s="33"/>
      <c r="AT190" s="24"/>
      <c r="AU190" s="33"/>
      <c r="AV190" s="24"/>
      <c r="AW190" s="33"/>
      <c r="AX190" s="33"/>
      <c r="AY190" s="33"/>
      <c r="AZ190" s="24"/>
      <c r="BA190" s="33"/>
      <c r="BB190" s="25"/>
      <c r="BC190" s="8"/>
      <c r="BD190" s="8"/>
      <c r="BE190" s="8"/>
    </row>
    <row r="191" spans="1:57" ht="14.45" customHeight="1" x14ac:dyDescent="0.25">
      <c r="A191" s="44"/>
      <c r="C191" s="644" t="s">
        <v>274</v>
      </c>
      <c r="D191" s="644"/>
      <c r="E191" s="644"/>
      <c r="F191" s="644"/>
      <c r="G191" s="644"/>
      <c r="H191" s="644"/>
      <c r="I191" s="655">
        <f t="shared" ref="I191:I200" si="116">M91+Y91+AP91+BD91</f>
        <v>0</v>
      </c>
      <c r="J191" s="647"/>
      <c r="K191" s="645">
        <f t="shared" ref="K191:K200" si="117">N91+Z91+AQ91+BE91</f>
        <v>0</v>
      </c>
      <c r="L191" s="646"/>
      <c r="M191" s="647">
        <f t="shared" ref="M191:M200" si="118">BP91+CI91+DA91+DU91</f>
        <v>0</v>
      </c>
      <c r="N191" s="647"/>
      <c r="O191" s="645">
        <f t="shared" ref="O191:O200" si="119">BQ91+CJ91+DB91+DV91</f>
        <v>0</v>
      </c>
      <c r="P191" s="648"/>
      <c r="Q191" s="647">
        <f t="shared" ref="Q191:Q200" si="120">EO91+FT91</f>
        <v>0</v>
      </c>
      <c r="R191" s="647"/>
      <c r="S191" s="645">
        <f t="shared" ref="S191:S200" si="121">EP91+FU91</f>
        <v>0</v>
      </c>
      <c r="T191" s="648"/>
      <c r="U191" s="647">
        <f t="shared" ref="U191:U200" si="122">GQ91+HL91+HW91+IM91</f>
        <v>0</v>
      </c>
      <c r="V191" s="647"/>
      <c r="W191" s="658">
        <f t="shared" ref="W191:W200" si="123">GR91+HM91+HX91+IN91</f>
        <v>0</v>
      </c>
      <c r="X191" s="658"/>
      <c r="Y191" s="654">
        <f t="shared" ref="Y191:Y200" si="124">IY91+KE91+KS91+LF91</f>
        <v>0</v>
      </c>
      <c r="Z191" s="655"/>
      <c r="AA191" s="645">
        <f t="shared" ref="AA191:AA200" si="125">IZ91+KF91+KT91+LG91</f>
        <v>0</v>
      </c>
      <c r="AB191" s="656"/>
      <c r="AC191" s="657">
        <f t="shared" ref="AC191:AC200" si="126">ME91+ND91</f>
        <v>1</v>
      </c>
      <c r="AD191" s="657"/>
      <c r="AE191" s="657"/>
      <c r="AF191" s="657"/>
      <c r="AG191" s="657"/>
      <c r="AH191" s="658">
        <f t="shared" ref="AH191:AH200" si="127">MF91+NE91</f>
        <v>5</v>
      </c>
      <c r="AI191" s="645"/>
      <c r="AJ191" s="673">
        <f t="shared" si="106"/>
        <v>3</v>
      </c>
      <c r="AK191" s="674"/>
      <c r="AL191" s="675">
        <f t="shared" si="107"/>
        <v>15</v>
      </c>
      <c r="AM191" s="676"/>
      <c r="AN191" s="659">
        <f t="shared" si="108"/>
        <v>4</v>
      </c>
      <c r="AO191" s="660"/>
      <c r="AP191" s="661">
        <f t="shared" si="109"/>
        <v>20</v>
      </c>
      <c r="AQ191" s="661"/>
      <c r="AR191" s="24"/>
      <c r="AS191" s="33"/>
      <c r="AT191" s="24"/>
      <c r="AU191" s="33"/>
      <c r="AV191" s="24"/>
      <c r="AW191" s="33"/>
      <c r="AX191" s="33"/>
      <c r="AY191" s="33"/>
      <c r="AZ191" s="24"/>
      <c r="BA191" s="33"/>
      <c r="BB191" s="25"/>
      <c r="BC191" s="8"/>
      <c r="BD191" s="8"/>
      <c r="BE191" s="8"/>
    </row>
    <row r="192" spans="1:57" ht="14.45" customHeight="1" x14ac:dyDescent="0.25">
      <c r="A192" s="44"/>
      <c r="C192" s="644" t="s">
        <v>275</v>
      </c>
      <c r="D192" s="644"/>
      <c r="E192" s="644"/>
      <c r="F192" s="644"/>
      <c r="G192" s="644"/>
      <c r="H192" s="644"/>
      <c r="I192" s="655">
        <f t="shared" si="116"/>
        <v>0</v>
      </c>
      <c r="J192" s="647"/>
      <c r="K192" s="645">
        <f t="shared" si="117"/>
        <v>0</v>
      </c>
      <c r="L192" s="646"/>
      <c r="M192" s="647">
        <f t="shared" si="118"/>
        <v>0</v>
      </c>
      <c r="N192" s="647"/>
      <c r="O192" s="645">
        <f t="shared" si="119"/>
        <v>0</v>
      </c>
      <c r="P192" s="648"/>
      <c r="Q192" s="647">
        <f t="shared" si="120"/>
        <v>0</v>
      </c>
      <c r="R192" s="647"/>
      <c r="S192" s="645">
        <f t="shared" si="121"/>
        <v>0</v>
      </c>
      <c r="T192" s="648"/>
      <c r="U192" s="647">
        <f t="shared" si="122"/>
        <v>0</v>
      </c>
      <c r="V192" s="647"/>
      <c r="W192" s="658">
        <f t="shared" si="123"/>
        <v>0</v>
      </c>
      <c r="X192" s="658"/>
      <c r="Y192" s="654">
        <f t="shared" si="124"/>
        <v>0</v>
      </c>
      <c r="Z192" s="655"/>
      <c r="AA192" s="645">
        <f t="shared" si="125"/>
        <v>0</v>
      </c>
      <c r="AB192" s="656"/>
      <c r="AC192" s="657">
        <f>ME92+ND92</f>
        <v>4</v>
      </c>
      <c r="AD192" s="657"/>
      <c r="AE192" s="657"/>
      <c r="AF192" s="657"/>
      <c r="AG192" s="657"/>
      <c r="AH192" s="658">
        <f t="shared" si="127"/>
        <v>24</v>
      </c>
      <c r="AI192" s="645"/>
      <c r="AJ192" s="673">
        <f t="shared" si="106"/>
        <v>2</v>
      </c>
      <c r="AK192" s="674"/>
      <c r="AL192" s="675">
        <f t="shared" si="107"/>
        <v>12</v>
      </c>
      <c r="AM192" s="676"/>
      <c r="AN192" s="659">
        <f t="shared" si="108"/>
        <v>6</v>
      </c>
      <c r="AO192" s="660"/>
      <c r="AP192" s="661">
        <f t="shared" si="109"/>
        <v>36</v>
      </c>
      <c r="AQ192" s="661"/>
      <c r="AR192" s="24"/>
      <c r="AS192" s="33"/>
      <c r="AT192" s="24"/>
      <c r="AU192" s="33"/>
      <c r="AV192" s="24"/>
      <c r="AW192" s="33"/>
      <c r="AX192" s="33"/>
      <c r="AY192" s="33"/>
      <c r="AZ192" s="24"/>
      <c r="BA192" s="33"/>
      <c r="BB192" s="25"/>
      <c r="BC192" s="8"/>
      <c r="BD192" s="8"/>
      <c r="BE192" s="8"/>
    </row>
    <row r="193" spans="1:57" ht="14.45" customHeight="1" x14ac:dyDescent="0.25">
      <c r="A193" s="44"/>
      <c r="C193" s="644" t="s">
        <v>276</v>
      </c>
      <c r="D193" s="644"/>
      <c r="E193" s="644"/>
      <c r="F193" s="644"/>
      <c r="G193" s="644"/>
      <c r="H193" s="644"/>
      <c r="I193" s="655">
        <f t="shared" si="116"/>
        <v>0</v>
      </c>
      <c r="J193" s="647"/>
      <c r="K193" s="645">
        <f t="shared" si="117"/>
        <v>0</v>
      </c>
      <c r="L193" s="646"/>
      <c r="M193" s="647">
        <f t="shared" si="118"/>
        <v>0</v>
      </c>
      <c r="N193" s="647"/>
      <c r="O193" s="645">
        <f t="shared" si="119"/>
        <v>0</v>
      </c>
      <c r="P193" s="648"/>
      <c r="Q193" s="647">
        <f t="shared" si="120"/>
        <v>0</v>
      </c>
      <c r="R193" s="647"/>
      <c r="S193" s="645">
        <f t="shared" si="121"/>
        <v>0</v>
      </c>
      <c r="T193" s="648"/>
      <c r="U193" s="647">
        <f t="shared" si="122"/>
        <v>0</v>
      </c>
      <c r="V193" s="647"/>
      <c r="W193" s="658">
        <f t="shared" si="123"/>
        <v>0</v>
      </c>
      <c r="X193" s="658"/>
      <c r="Y193" s="654">
        <f t="shared" si="124"/>
        <v>0</v>
      </c>
      <c r="Z193" s="655"/>
      <c r="AA193" s="645">
        <f t="shared" si="125"/>
        <v>0</v>
      </c>
      <c r="AB193" s="656"/>
      <c r="AC193" s="657">
        <f t="shared" si="126"/>
        <v>1</v>
      </c>
      <c r="AD193" s="657"/>
      <c r="AE193" s="657"/>
      <c r="AF193" s="657"/>
      <c r="AG193" s="657"/>
      <c r="AH193" s="658">
        <f t="shared" si="127"/>
        <v>9</v>
      </c>
      <c r="AI193" s="645"/>
      <c r="AJ193" s="673">
        <f t="shared" si="106"/>
        <v>9</v>
      </c>
      <c r="AK193" s="674"/>
      <c r="AL193" s="675">
        <f t="shared" si="107"/>
        <v>81</v>
      </c>
      <c r="AM193" s="676"/>
      <c r="AN193" s="659">
        <f t="shared" si="108"/>
        <v>10</v>
      </c>
      <c r="AO193" s="660"/>
      <c r="AP193" s="661">
        <f t="shared" si="109"/>
        <v>90</v>
      </c>
      <c r="AQ193" s="661"/>
      <c r="AR193" s="24"/>
      <c r="AS193" s="33"/>
      <c r="AT193" s="24"/>
      <c r="AU193" s="33"/>
      <c r="AV193" s="24"/>
      <c r="AW193" s="33"/>
      <c r="AX193" s="33"/>
      <c r="AY193" s="33"/>
      <c r="AZ193" s="24"/>
      <c r="BA193" s="33"/>
      <c r="BB193" s="25"/>
      <c r="BC193" s="8"/>
      <c r="BD193" s="8"/>
      <c r="BE193" s="8"/>
    </row>
    <row r="194" spans="1:57" ht="14.45" customHeight="1" x14ac:dyDescent="0.25">
      <c r="A194" s="44"/>
      <c r="C194" s="665"/>
      <c r="D194" s="666"/>
      <c r="E194" s="666"/>
      <c r="F194" s="666"/>
      <c r="G194" s="666"/>
      <c r="H194" s="667"/>
      <c r="I194" s="655">
        <f t="shared" si="116"/>
        <v>0</v>
      </c>
      <c r="J194" s="647"/>
      <c r="K194" s="645">
        <f t="shared" si="117"/>
        <v>0</v>
      </c>
      <c r="L194" s="646"/>
      <c r="M194" s="647">
        <f t="shared" si="118"/>
        <v>0</v>
      </c>
      <c r="N194" s="647"/>
      <c r="O194" s="645">
        <f t="shared" si="119"/>
        <v>0</v>
      </c>
      <c r="P194" s="648"/>
      <c r="Q194" s="647">
        <f t="shared" si="120"/>
        <v>0</v>
      </c>
      <c r="R194" s="647"/>
      <c r="S194" s="645">
        <f t="shared" si="121"/>
        <v>0</v>
      </c>
      <c r="T194" s="648"/>
      <c r="U194" s="647">
        <f t="shared" si="122"/>
        <v>0</v>
      </c>
      <c r="V194" s="647"/>
      <c r="W194" s="658">
        <f t="shared" si="123"/>
        <v>0</v>
      </c>
      <c r="X194" s="658"/>
      <c r="Y194" s="654">
        <f t="shared" si="124"/>
        <v>0</v>
      </c>
      <c r="Z194" s="655"/>
      <c r="AA194" s="645">
        <f t="shared" si="125"/>
        <v>0</v>
      </c>
      <c r="AB194" s="656"/>
      <c r="AC194" s="657">
        <f t="shared" si="126"/>
        <v>0</v>
      </c>
      <c r="AD194" s="657"/>
      <c r="AE194" s="657"/>
      <c r="AF194" s="657"/>
      <c r="AG194" s="657"/>
      <c r="AH194" s="658">
        <f t="shared" si="127"/>
        <v>0</v>
      </c>
      <c r="AI194" s="645"/>
      <c r="AJ194" s="673">
        <f t="shared" si="106"/>
        <v>0</v>
      </c>
      <c r="AK194" s="674"/>
      <c r="AL194" s="675">
        <f t="shared" si="107"/>
        <v>0</v>
      </c>
      <c r="AM194" s="676"/>
      <c r="AN194" s="659">
        <f t="shared" si="108"/>
        <v>0</v>
      </c>
      <c r="AO194" s="660"/>
      <c r="AP194" s="661">
        <f t="shared" si="109"/>
        <v>0</v>
      </c>
      <c r="AQ194" s="661"/>
      <c r="AR194" s="24"/>
      <c r="AS194" s="33"/>
      <c r="AT194" s="24"/>
      <c r="AU194" s="33"/>
      <c r="AV194" s="24"/>
      <c r="AW194" s="33"/>
      <c r="AX194" s="33"/>
      <c r="AY194" s="33"/>
      <c r="AZ194" s="24"/>
      <c r="BA194" s="33"/>
      <c r="BB194" s="25"/>
      <c r="BC194" s="8"/>
      <c r="BD194" s="8"/>
      <c r="BE194" s="8"/>
    </row>
    <row r="195" spans="1:57" ht="14.45" customHeight="1" x14ac:dyDescent="0.25">
      <c r="A195" s="44"/>
      <c r="C195" s="665"/>
      <c r="D195" s="666"/>
      <c r="E195" s="666"/>
      <c r="F195" s="666"/>
      <c r="G195" s="666"/>
      <c r="H195" s="667"/>
      <c r="I195" s="655">
        <f t="shared" si="116"/>
        <v>0</v>
      </c>
      <c r="J195" s="647"/>
      <c r="K195" s="645">
        <f t="shared" si="117"/>
        <v>0</v>
      </c>
      <c r="L195" s="646"/>
      <c r="M195" s="647">
        <f t="shared" si="118"/>
        <v>0</v>
      </c>
      <c r="N195" s="647"/>
      <c r="O195" s="645">
        <f t="shared" si="119"/>
        <v>0</v>
      </c>
      <c r="P195" s="648"/>
      <c r="Q195" s="647">
        <f t="shared" si="120"/>
        <v>0</v>
      </c>
      <c r="R195" s="647"/>
      <c r="S195" s="645">
        <f t="shared" si="121"/>
        <v>0</v>
      </c>
      <c r="T195" s="648"/>
      <c r="U195" s="647">
        <f t="shared" si="122"/>
        <v>0</v>
      </c>
      <c r="V195" s="647"/>
      <c r="W195" s="658">
        <f t="shared" si="123"/>
        <v>0</v>
      </c>
      <c r="X195" s="658"/>
      <c r="Y195" s="654">
        <f t="shared" si="124"/>
        <v>0</v>
      </c>
      <c r="Z195" s="655"/>
      <c r="AA195" s="645">
        <f t="shared" si="125"/>
        <v>0</v>
      </c>
      <c r="AB195" s="656"/>
      <c r="AC195" s="657">
        <f t="shared" si="126"/>
        <v>0</v>
      </c>
      <c r="AD195" s="657"/>
      <c r="AE195" s="657"/>
      <c r="AF195" s="657"/>
      <c r="AG195" s="657"/>
      <c r="AH195" s="658">
        <f t="shared" si="127"/>
        <v>0</v>
      </c>
      <c r="AI195" s="645"/>
      <c r="AJ195" s="673">
        <f t="shared" si="106"/>
        <v>0</v>
      </c>
      <c r="AK195" s="674"/>
      <c r="AL195" s="675">
        <f t="shared" si="107"/>
        <v>0</v>
      </c>
      <c r="AM195" s="676"/>
      <c r="AN195" s="659">
        <f t="shared" si="108"/>
        <v>0</v>
      </c>
      <c r="AO195" s="660"/>
      <c r="AP195" s="661">
        <f t="shared" si="109"/>
        <v>0</v>
      </c>
      <c r="AQ195" s="661"/>
      <c r="AR195" s="24"/>
      <c r="AS195" s="33"/>
      <c r="AT195" s="24"/>
      <c r="AU195" s="33"/>
      <c r="AV195" s="24"/>
      <c r="AW195" s="33"/>
      <c r="AX195" s="33"/>
      <c r="AY195" s="33"/>
      <c r="AZ195" s="24"/>
      <c r="BA195" s="33"/>
      <c r="BB195" s="25"/>
      <c r="BC195" s="8"/>
      <c r="BD195" s="8"/>
      <c r="BE195" s="8"/>
    </row>
    <row r="196" spans="1:57" ht="14.45" customHeight="1" x14ac:dyDescent="0.25">
      <c r="A196" s="44"/>
      <c r="C196" s="665"/>
      <c r="D196" s="666"/>
      <c r="E196" s="666"/>
      <c r="F196" s="666"/>
      <c r="G196" s="666"/>
      <c r="H196" s="667"/>
      <c r="I196" s="655">
        <f t="shared" si="116"/>
        <v>0</v>
      </c>
      <c r="J196" s="647"/>
      <c r="K196" s="645">
        <f t="shared" si="117"/>
        <v>0</v>
      </c>
      <c r="L196" s="646"/>
      <c r="M196" s="647">
        <f t="shared" si="118"/>
        <v>0</v>
      </c>
      <c r="N196" s="647"/>
      <c r="O196" s="645">
        <f t="shared" si="119"/>
        <v>0</v>
      </c>
      <c r="P196" s="648"/>
      <c r="Q196" s="647">
        <f t="shared" si="120"/>
        <v>0</v>
      </c>
      <c r="R196" s="647"/>
      <c r="S196" s="645">
        <f t="shared" si="121"/>
        <v>0</v>
      </c>
      <c r="T196" s="648"/>
      <c r="U196" s="647">
        <f t="shared" si="122"/>
        <v>0</v>
      </c>
      <c r="V196" s="647"/>
      <c r="W196" s="658">
        <f t="shared" si="123"/>
        <v>0</v>
      </c>
      <c r="X196" s="658"/>
      <c r="Y196" s="654">
        <f t="shared" si="124"/>
        <v>0</v>
      </c>
      <c r="Z196" s="655"/>
      <c r="AA196" s="645">
        <f t="shared" si="125"/>
        <v>0</v>
      </c>
      <c r="AB196" s="656"/>
      <c r="AC196" s="657">
        <f t="shared" si="126"/>
        <v>0</v>
      </c>
      <c r="AD196" s="657"/>
      <c r="AE196" s="657"/>
      <c r="AF196" s="657"/>
      <c r="AG196" s="657"/>
      <c r="AH196" s="658">
        <f t="shared" si="127"/>
        <v>0</v>
      </c>
      <c r="AI196" s="645"/>
      <c r="AJ196" s="673">
        <f t="shared" si="106"/>
        <v>0</v>
      </c>
      <c r="AK196" s="674"/>
      <c r="AL196" s="675">
        <f t="shared" si="107"/>
        <v>0</v>
      </c>
      <c r="AM196" s="676"/>
      <c r="AN196" s="659">
        <f t="shared" si="108"/>
        <v>0</v>
      </c>
      <c r="AO196" s="660"/>
      <c r="AP196" s="661">
        <f t="shared" si="109"/>
        <v>0</v>
      </c>
      <c r="AQ196" s="661"/>
      <c r="AR196" s="24"/>
      <c r="AS196" s="33"/>
      <c r="AT196" s="24"/>
      <c r="AU196" s="33"/>
      <c r="AV196" s="24"/>
      <c r="AW196" s="33"/>
      <c r="AX196" s="33"/>
      <c r="AY196" s="33"/>
      <c r="AZ196" s="24"/>
      <c r="BA196" s="33"/>
      <c r="BB196" s="25"/>
      <c r="BC196" s="8"/>
      <c r="BD196" s="8"/>
      <c r="BE196" s="8"/>
    </row>
    <row r="197" spans="1:57" ht="14.45" customHeight="1" x14ac:dyDescent="0.25">
      <c r="A197" s="44"/>
      <c r="C197" s="665"/>
      <c r="D197" s="666"/>
      <c r="E197" s="666"/>
      <c r="F197" s="666"/>
      <c r="G197" s="666"/>
      <c r="H197" s="667"/>
      <c r="I197" s="655">
        <f t="shared" si="116"/>
        <v>0</v>
      </c>
      <c r="J197" s="647"/>
      <c r="K197" s="645">
        <f t="shared" si="117"/>
        <v>0</v>
      </c>
      <c r="L197" s="646"/>
      <c r="M197" s="647">
        <f t="shared" si="118"/>
        <v>0</v>
      </c>
      <c r="N197" s="647"/>
      <c r="O197" s="645">
        <f t="shared" si="119"/>
        <v>0</v>
      </c>
      <c r="P197" s="648"/>
      <c r="Q197" s="647">
        <f t="shared" si="120"/>
        <v>0</v>
      </c>
      <c r="R197" s="647"/>
      <c r="S197" s="645">
        <f t="shared" si="121"/>
        <v>0</v>
      </c>
      <c r="T197" s="648"/>
      <c r="U197" s="647">
        <f t="shared" si="122"/>
        <v>0</v>
      </c>
      <c r="V197" s="647"/>
      <c r="W197" s="658">
        <f t="shared" si="123"/>
        <v>0</v>
      </c>
      <c r="X197" s="658"/>
      <c r="Y197" s="654">
        <f t="shared" si="124"/>
        <v>0</v>
      </c>
      <c r="Z197" s="655"/>
      <c r="AA197" s="645">
        <f t="shared" si="125"/>
        <v>0</v>
      </c>
      <c r="AB197" s="656"/>
      <c r="AC197" s="657">
        <f t="shared" si="126"/>
        <v>0</v>
      </c>
      <c r="AD197" s="657"/>
      <c r="AE197" s="657"/>
      <c r="AF197" s="657"/>
      <c r="AG197" s="657"/>
      <c r="AH197" s="658">
        <f t="shared" si="127"/>
        <v>0</v>
      </c>
      <c r="AI197" s="645"/>
      <c r="AJ197" s="673">
        <f t="shared" si="106"/>
        <v>0</v>
      </c>
      <c r="AK197" s="674"/>
      <c r="AL197" s="675">
        <f t="shared" si="107"/>
        <v>0</v>
      </c>
      <c r="AM197" s="676"/>
      <c r="AN197" s="659">
        <f t="shared" si="108"/>
        <v>0</v>
      </c>
      <c r="AO197" s="660"/>
      <c r="AP197" s="661">
        <f t="shared" si="109"/>
        <v>0</v>
      </c>
      <c r="AQ197" s="661"/>
      <c r="AR197" s="24"/>
      <c r="AS197" s="33"/>
      <c r="AT197" s="24"/>
      <c r="AU197" s="33"/>
      <c r="AV197" s="24"/>
      <c r="AW197" s="33"/>
      <c r="AX197" s="33"/>
      <c r="AY197" s="33"/>
      <c r="AZ197" s="24"/>
      <c r="BA197" s="33"/>
      <c r="BB197" s="25"/>
      <c r="BC197" s="8"/>
      <c r="BD197" s="8"/>
      <c r="BE197" s="8"/>
    </row>
    <row r="198" spans="1:57" ht="14.45" customHeight="1" x14ac:dyDescent="0.25">
      <c r="A198" s="44"/>
      <c r="C198" s="665"/>
      <c r="D198" s="666"/>
      <c r="E198" s="666"/>
      <c r="F198" s="666"/>
      <c r="G198" s="666"/>
      <c r="H198" s="667"/>
      <c r="I198" s="655">
        <f t="shared" si="116"/>
        <v>0</v>
      </c>
      <c r="J198" s="647"/>
      <c r="K198" s="645">
        <f t="shared" si="117"/>
        <v>0</v>
      </c>
      <c r="L198" s="646"/>
      <c r="M198" s="647">
        <f t="shared" si="118"/>
        <v>0</v>
      </c>
      <c r="N198" s="647"/>
      <c r="O198" s="645">
        <f t="shared" si="119"/>
        <v>0</v>
      </c>
      <c r="P198" s="648"/>
      <c r="Q198" s="647">
        <f t="shared" si="120"/>
        <v>0</v>
      </c>
      <c r="R198" s="647"/>
      <c r="S198" s="645">
        <f t="shared" si="121"/>
        <v>0</v>
      </c>
      <c r="T198" s="648"/>
      <c r="U198" s="647">
        <f t="shared" si="122"/>
        <v>0</v>
      </c>
      <c r="V198" s="647"/>
      <c r="W198" s="658">
        <f t="shared" si="123"/>
        <v>0</v>
      </c>
      <c r="X198" s="658"/>
      <c r="Y198" s="654">
        <f t="shared" si="124"/>
        <v>0</v>
      </c>
      <c r="Z198" s="655"/>
      <c r="AA198" s="645">
        <f t="shared" si="125"/>
        <v>0</v>
      </c>
      <c r="AB198" s="656"/>
      <c r="AC198" s="657">
        <f t="shared" si="126"/>
        <v>0</v>
      </c>
      <c r="AD198" s="657"/>
      <c r="AE198" s="657"/>
      <c r="AF198" s="657"/>
      <c r="AG198" s="657"/>
      <c r="AH198" s="658">
        <f t="shared" si="127"/>
        <v>0</v>
      </c>
      <c r="AI198" s="645"/>
      <c r="AJ198" s="673">
        <f t="shared" si="106"/>
        <v>0</v>
      </c>
      <c r="AK198" s="674"/>
      <c r="AL198" s="675">
        <f t="shared" si="107"/>
        <v>0</v>
      </c>
      <c r="AM198" s="676"/>
      <c r="AN198" s="659">
        <f t="shared" si="108"/>
        <v>0</v>
      </c>
      <c r="AO198" s="660"/>
      <c r="AP198" s="661">
        <f t="shared" si="109"/>
        <v>0</v>
      </c>
      <c r="AQ198" s="661"/>
      <c r="AR198" s="24"/>
      <c r="AS198" s="33"/>
      <c r="AT198" s="24"/>
      <c r="AU198" s="33"/>
      <c r="AV198" s="24"/>
      <c r="AW198" s="33"/>
      <c r="AX198" s="33"/>
      <c r="AY198" s="33"/>
      <c r="AZ198" s="24"/>
      <c r="BA198" s="33"/>
      <c r="BB198" s="25"/>
      <c r="BC198" s="8"/>
      <c r="BD198" s="8"/>
      <c r="BE198" s="8"/>
    </row>
    <row r="199" spans="1:57" ht="14.45" customHeight="1" x14ac:dyDescent="0.25">
      <c r="A199" s="44"/>
      <c r="C199" s="665"/>
      <c r="D199" s="666"/>
      <c r="E199" s="666"/>
      <c r="F199" s="666"/>
      <c r="G199" s="666"/>
      <c r="H199" s="667"/>
      <c r="I199" s="655">
        <f t="shared" si="116"/>
        <v>0</v>
      </c>
      <c r="J199" s="647"/>
      <c r="K199" s="645">
        <f t="shared" si="117"/>
        <v>0</v>
      </c>
      <c r="L199" s="646"/>
      <c r="M199" s="647">
        <f t="shared" si="118"/>
        <v>0</v>
      </c>
      <c r="N199" s="647"/>
      <c r="O199" s="645">
        <f t="shared" si="119"/>
        <v>0</v>
      </c>
      <c r="P199" s="648"/>
      <c r="Q199" s="647">
        <f t="shared" si="120"/>
        <v>0</v>
      </c>
      <c r="R199" s="647"/>
      <c r="S199" s="645">
        <f t="shared" si="121"/>
        <v>0</v>
      </c>
      <c r="T199" s="648"/>
      <c r="U199" s="647">
        <f t="shared" si="122"/>
        <v>0</v>
      </c>
      <c r="V199" s="647"/>
      <c r="W199" s="658">
        <f t="shared" si="123"/>
        <v>0</v>
      </c>
      <c r="X199" s="658"/>
      <c r="Y199" s="654">
        <f t="shared" si="124"/>
        <v>0</v>
      </c>
      <c r="Z199" s="655"/>
      <c r="AA199" s="645">
        <f t="shared" si="125"/>
        <v>0</v>
      </c>
      <c r="AB199" s="656"/>
      <c r="AC199" s="657">
        <f t="shared" si="126"/>
        <v>0</v>
      </c>
      <c r="AD199" s="657"/>
      <c r="AE199" s="657"/>
      <c r="AF199" s="657"/>
      <c r="AG199" s="657"/>
      <c r="AH199" s="658">
        <f t="shared" si="127"/>
        <v>0</v>
      </c>
      <c r="AI199" s="645"/>
      <c r="AJ199" s="673">
        <f t="shared" si="106"/>
        <v>0</v>
      </c>
      <c r="AK199" s="674"/>
      <c r="AL199" s="675">
        <f t="shared" si="107"/>
        <v>0</v>
      </c>
      <c r="AM199" s="676"/>
      <c r="AN199" s="659">
        <f t="shared" si="108"/>
        <v>0</v>
      </c>
      <c r="AO199" s="660"/>
      <c r="AP199" s="661">
        <f t="shared" si="109"/>
        <v>0</v>
      </c>
      <c r="AQ199" s="661"/>
      <c r="AR199" s="24"/>
      <c r="AS199" s="33"/>
      <c r="AT199" s="24"/>
      <c r="AU199" s="33"/>
      <c r="AV199" s="24"/>
      <c r="AW199" s="33"/>
      <c r="AX199" s="33"/>
      <c r="AY199" s="33"/>
      <c r="AZ199" s="24"/>
      <c r="BA199" s="33"/>
      <c r="BB199" s="25"/>
      <c r="BC199" s="8"/>
      <c r="BD199" s="8"/>
      <c r="BE199" s="8"/>
    </row>
    <row r="200" spans="1:57" ht="14.45" customHeight="1" thickBot="1" x14ac:dyDescent="0.3">
      <c r="A200" s="44"/>
      <c r="C200" s="665"/>
      <c r="D200" s="666"/>
      <c r="E200" s="666"/>
      <c r="F200" s="666"/>
      <c r="G200" s="666"/>
      <c r="H200" s="667"/>
      <c r="I200" s="655">
        <f t="shared" si="116"/>
        <v>0</v>
      </c>
      <c r="J200" s="647"/>
      <c r="K200" s="645">
        <f t="shared" si="117"/>
        <v>0</v>
      </c>
      <c r="L200" s="646"/>
      <c r="M200" s="647">
        <f t="shared" si="118"/>
        <v>0</v>
      </c>
      <c r="N200" s="647"/>
      <c r="O200" s="645">
        <f t="shared" si="119"/>
        <v>0</v>
      </c>
      <c r="P200" s="648"/>
      <c r="Q200" s="647">
        <f t="shared" si="120"/>
        <v>0</v>
      </c>
      <c r="R200" s="647"/>
      <c r="S200" s="645">
        <f t="shared" si="121"/>
        <v>0</v>
      </c>
      <c r="T200" s="648"/>
      <c r="U200" s="647">
        <f t="shared" si="122"/>
        <v>0</v>
      </c>
      <c r="V200" s="647"/>
      <c r="W200" s="658">
        <f t="shared" si="123"/>
        <v>0</v>
      </c>
      <c r="X200" s="658"/>
      <c r="Y200" s="654">
        <f t="shared" si="124"/>
        <v>0</v>
      </c>
      <c r="Z200" s="655"/>
      <c r="AA200" s="645">
        <f t="shared" si="125"/>
        <v>0</v>
      </c>
      <c r="AB200" s="656"/>
      <c r="AC200" s="657">
        <f t="shared" si="126"/>
        <v>0</v>
      </c>
      <c r="AD200" s="657"/>
      <c r="AE200" s="657"/>
      <c r="AF200" s="657"/>
      <c r="AG200" s="657"/>
      <c r="AH200" s="658">
        <f t="shared" si="127"/>
        <v>0</v>
      </c>
      <c r="AI200" s="645"/>
      <c r="AJ200" s="673">
        <f t="shared" si="106"/>
        <v>0</v>
      </c>
      <c r="AK200" s="674"/>
      <c r="AL200" s="675">
        <f t="shared" si="107"/>
        <v>0</v>
      </c>
      <c r="AM200" s="676"/>
      <c r="AN200" s="659">
        <f t="shared" si="108"/>
        <v>0</v>
      </c>
      <c r="AO200" s="660"/>
      <c r="AP200" s="661">
        <f t="shared" si="109"/>
        <v>0</v>
      </c>
      <c r="AQ200" s="661"/>
      <c r="AR200" s="24"/>
      <c r="AS200" s="33"/>
      <c r="AT200" s="24"/>
      <c r="AU200" s="33"/>
      <c r="AV200" s="24"/>
      <c r="AW200" s="33"/>
      <c r="AX200" s="33"/>
      <c r="AY200" s="33"/>
      <c r="AZ200" s="24"/>
      <c r="BA200" s="33"/>
      <c r="BB200" s="25"/>
      <c r="BC200" s="8"/>
      <c r="BD200" s="8"/>
      <c r="BE200" s="8"/>
    </row>
    <row r="201" spans="1:57" ht="32.25" thickBot="1" x14ac:dyDescent="0.3">
      <c r="A201" s="44"/>
      <c r="C201" s="682" t="s">
        <v>72</v>
      </c>
      <c r="D201" s="683"/>
      <c r="E201" s="683"/>
      <c r="F201" s="683"/>
      <c r="G201" s="683"/>
      <c r="H201" s="684"/>
      <c r="I201" s="744">
        <f>SUM(K108:L173)</f>
        <v>6977</v>
      </c>
      <c r="J201" s="730"/>
      <c r="K201" s="730"/>
      <c r="L201" s="745"/>
      <c r="M201" s="729">
        <f>SUM(O108:P173)</f>
        <v>15103.5</v>
      </c>
      <c r="N201" s="730"/>
      <c r="O201" s="730"/>
      <c r="P201" s="731"/>
      <c r="Q201" s="744">
        <f>SUM(S108:T173)</f>
        <v>12957.5</v>
      </c>
      <c r="R201" s="730"/>
      <c r="S201" s="730"/>
      <c r="T201" s="745"/>
      <c r="U201" s="729">
        <f>SUM(W108:X173)</f>
        <v>16319.5</v>
      </c>
      <c r="V201" s="730"/>
      <c r="W201" s="730"/>
      <c r="X201" s="731"/>
      <c r="Y201" s="744">
        <f>SUM(AA108:AB190)</f>
        <v>26064.5</v>
      </c>
      <c r="Z201" s="730"/>
      <c r="AA201" s="730"/>
      <c r="AB201" s="745"/>
      <c r="AC201" s="757">
        <f>SUM(AH108:AI200)</f>
        <v>59703</v>
      </c>
      <c r="AD201" s="757"/>
      <c r="AE201" s="757"/>
      <c r="AF201" s="757"/>
      <c r="AG201" s="758"/>
      <c r="AH201" s="758"/>
      <c r="AI201" s="759"/>
      <c r="AJ201" s="769">
        <f>SUM(AL108:AM200)</f>
        <v>17914</v>
      </c>
      <c r="AK201" s="770"/>
      <c r="AL201" s="770"/>
      <c r="AM201" s="771"/>
      <c r="AN201" s="763">
        <f>SUM(AP108:AQ200)</f>
        <v>155039</v>
      </c>
      <c r="AO201" s="764"/>
      <c r="AP201" s="764"/>
      <c r="AQ201" s="765"/>
      <c r="AR201" s="219"/>
      <c r="AS201" s="219"/>
      <c r="AT201" s="219"/>
      <c r="AU201" s="25"/>
      <c r="AV201" s="14"/>
      <c r="AW201" s="14"/>
      <c r="AX201" s="14"/>
      <c r="AY201" s="25"/>
      <c r="AZ201" s="14"/>
      <c r="BA201" s="25"/>
      <c r="BB201" s="8"/>
      <c r="BC201" s="8"/>
      <c r="BD201" s="8"/>
    </row>
    <row r="202" spans="1:57" ht="32.25" thickBot="1" x14ac:dyDescent="0.3">
      <c r="A202" s="44"/>
      <c r="C202" s="685" t="s">
        <v>262</v>
      </c>
      <c r="D202" s="686"/>
      <c r="E202" s="686"/>
      <c r="F202" s="686"/>
      <c r="G202" s="686"/>
      <c r="H202" s="687"/>
      <c r="I202" s="669">
        <v>0</v>
      </c>
      <c r="J202" s="670"/>
      <c r="K202" s="670"/>
      <c r="L202" s="671"/>
      <c r="M202" s="649">
        <v>0</v>
      </c>
      <c r="N202" s="650"/>
      <c r="O202" s="650"/>
      <c r="P202" s="651"/>
      <c r="Q202" s="680">
        <v>0</v>
      </c>
      <c r="R202" s="650"/>
      <c r="S202" s="650"/>
      <c r="T202" s="681"/>
      <c r="U202" s="649">
        <v>0</v>
      </c>
      <c r="V202" s="650"/>
      <c r="W202" s="650"/>
      <c r="X202" s="651"/>
      <c r="Y202" s="680">
        <f>KF102+KT102+LG102</f>
        <v>91.09</v>
      </c>
      <c r="Z202" s="650"/>
      <c r="AA202" s="650"/>
      <c r="AB202" s="681"/>
      <c r="AC202" s="760">
        <f>MF102</f>
        <v>79.5</v>
      </c>
      <c r="AD202" s="760"/>
      <c r="AE202" s="760"/>
      <c r="AF202" s="760"/>
      <c r="AG202" s="761"/>
      <c r="AH202" s="761"/>
      <c r="AI202" s="762"/>
      <c r="AJ202" s="772">
        <f>OD102</f>
        <v>-17.5</v>
      </c>
      <c r="AK202" s="773"/>
      <c r="AL202" s="773"/>
      <c r="AM202" s="774"/>
      <c r="AN202" s="766">
        <f ca="1">SUM(I202:AP202)</f>
        <v>170.59</v>
      </c>
      <c r="AO202" s="767"/>
      <c r="AP202" s="767"/>
      <c r="AQ202" s="768"/>
      <c r="AR202" s="220"/>
      <c r="AS202" s="220"/>
      <c r="AT202" s="220"/>
    </row>
    <row r="203" spans="1:57" ht="26.25" x14ac:dyDescent="0.25">
      <c r="A203" s="44"/>
      <c r="B203" s="44"/>
      <c r="C203" s="45"/>
      <c r="D203" s="45"/>
      <c r="E203" s="45"/>
      <c r="F203" s="45"/>
      <c r="G203" s="45"/>
      <c r="H203" s="43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3"/>
      <c r="Y203" s="43"/>
      <c r="Z203" s="14"/>
      <c r="AA203" s="14"/>
      <c r="AB203" s="14"/>
      <c r="AC203" s="14"/>
      <c r="AD203" s="14"/>
      <c r="AE203" s="14"/>
      <c r="AF203" s="14"/>
      <c r="AG203" s="25"/>
      <c r="AH203" s="14"/>
      <c r="AI203" s="25"/>
      <c r="AJ203" s="8"/>
      <c r="AK203" s="8"/>
      <c r="AL203" s="8"/>
    </row>
    <row r="204" spans="1:57" ht="26.25" x14ac:dyDescent="0.25">
      <c r="A204" s="44"/>
      <c r="B204" s="44"/>
      <c r="C204" s="45"/>
      <c r="D204" s="45"/>
      <c r="E204" s="45"/>
      <c r="F204" s="45"/>
      <c r="G204" s="45"/>
      <c r="H204" s="43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3"/>
      <c r="Y204" s="43"/>
      <c r="Z204" s="14"/>
      <c r="AA204" s="14"/>
      <c r="AB204" s="14"/>
      <c r="AC204" s="14"/>
      <c r="AD204" s="14"/>
      <c r="AE204" s="14"/>
      <c r="AF204" s="14"/>
      <c r="AG204" s="25"/>
      <c r="AH204" s="14"/>
      <c r="AI204" s="25"/>
      <c r="AJ204" s="8"/>
      <c r="AK204" s="8"/>
      <c r="AL204" s="8"/>
    </row>
    <row r="205" spans="1:57" ht="26.25" x14ac:dyDescent="0.25">
      <c r="A205" s="8"/>
      <c r="B205" s="8"/>
      <c r="C205" s="26"/>
      <c r="D205" s="26"/>
      <c r="E205" s="26"/>
      <c r="F205" s="26"/>
      <c r="G205" s="26"/>
      <c r="H205" s="14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14"/>
      <c r="Y205" s="14"/>
      <c r="Z205" s="14"/>
      <c r="AA205" s="14"/>
      <c r="AB205" s="14"/>
      <c r="AC205" s="14"/>
      <c r="AD205" s="14"/>
      <c r="AE205" s="14"/>
      <c r="AF205" s="14"/>
      <c r="AG205" s="25"/>
      <c r="AH205" s="14"/>
      <c r="AI205" s="25"/>
      <c r="AJ205" s="8"/>
      <c r="AK205" s="8"/>
      <c r="AL205" s="8"/>
    </row>
    <row r="206" spans="1:57" ht="26.25" x14ac:dyDescent="0.25">
      <c r="A206" s="42"/>
      <c r="B206" s="736" t="s">
        <v>89</v>
      </c>
      <c r="C206" s="736"/>
      <c r="D206" s="736"/>
      <c r="E206" s="736"/>
      <c r="F206" s="736"/>
      <c r="G206" s="736"/>
      <c r="H206" s="736"/>
      <c r="I206" s="736"/>
      <c r="J206" s="736"/>
      <c r="K206" s="736"/>
      <c r="L206" s="736"/>
      <c r="M206" s="736"/>
      <c r="N206" s="736"/>
      <c r="O206" s="736"/>
      <c r="P206" s="736"/>
      <c r="Q206" s="736"/>
      <c r="R206" s="736"/>
      <c r="S206" s="736"/>
      <c r="T206" s="736"/>
      <c r="U206" s="736"/>
      <c r="V206" s="736"/>
      <c r="W206" s="736"/>
      <c r="X206" s="14"/>
      <c r="Y206" s="14"/>
      <c r="Z206" s="14"/>
      <c r="AA206" s="14"/>
      <c r="AB206" s="14"/>
      <c r="AC206" s="14"/>
      <c r="AD206" s="14"/>
      <c r="AE206" s="14"/>
      <c r="AF206" s="14"/>
      <c r="AG206" s="25"/>
      <c r="AH206" s="14"/>
      <c r="AI206" s="25"/>
      <c r="AJ206" s="8"/>
      <c r="AK206" s="8"/>
      <c r="AL206" s="8"/>
    </row>
    <row r="207" spans="1:57" ht="26.25" x14ac:dyDescent="0.25">
      <c r="A207" s="42"/>
      <c r="B207" s="736"/>
      <c r="C207" s="736"/>
      <c r="D207" s="736"/>
      <c r="E207" s="736"/>
      <c r="F207" s="736"/>
      <c r="G207" s="736"/>
      <c r="H207" s="736"/>
      <c r="I207" s="736"/>
      <c r="J207" s="736"/>
      <c r="K207" s="736"/>
      <c r="L207" s="736"/>
      <c r="M207" s="736"/>
      <c r="N207" s="736"/>
      <c r="O207" s="736"/>
      <c r="P207" s="736"/>
      <c r="Q207" s="736"/>
      <c r="R207" s="736"/>
      <c r="S207" s="736"/>
      <c r="T207" s="736"/>
      <c r="U207" s="736"/>
      <c r="V207" s="736"/>
      <c r="W207" s="736"/>
      <c r="X207" s="14"/>
      <c r="Y207" s="14"/>
      <c r="Z207" s="14"/>
      <c r="AA207" s="14"/>
      <c r="AB207" s="14"/>
      <c r="AC207" s="14"/>
      <c r="AD207" s="14"/>
      <c r="AE207" s="14"/>
      <c r="AF207" s="14"/>
      <c r="AG207" s="25"/>
      <c r="AH207" s="14"/>
      <c r="AI207" s="25"/>
      <c r="AJ207" s="8"/>
      <c r="AK207" s="8"/>
      <c r="AL207" s="8"/>
    </row>
    <row r="208" spans="1:57" ht="26.25" x14ac:dyDescent="0.25">
      <c r="A208" s="42"/>
      <c r="B208" s="736"/>
      <c r="C208" s="736"/>
      <c r="D208" s="736"/>
      <c r="E208" s="736"/>
      <c r="F208" s="736"/>
      <c r="G208" s="736"/>
      <c r="H208" s="736"/>
      <c r="I208" s="736"/>
      <c r="J208" s="736"/>
      <c r="K208" s="736"/>
      <c r="L208" s="736"/>
      <c r="M208" s="736"/>
      <c r="N208" s="736"/>
      <c r="O208" s="736"/>
      <c r="P208" s="736"/>
      <c r="Q208" s="736"/>
      <c r="R208" s="736"/>
      <c r="S208" s="736"/>
      <c r="T208" s="736"/>
      <c r="U208" s="736"/>
      <c r="V208" s="736"/>
      <c r="W208" s="736"/>
      <c r="X208" s="14"/>
      <c r="Y208" s="14"/>
      <c r="Z208" s="14"/>
      <c r="AA208" s="14"/>
      <c r="AB208" s="14"/>
      <c r="AC208" s="14"/>
      <c r="AD208" s="14"/>
      <c r="AE208" s="14"/>
      <c r="AF208" s="14"/>
      <c r="AG208" s="25"/>
      <c r="AH208" s="14"/>
      <c r="AI208" s="25"/>
      <c r="AJ208" s="8"/>
      <c r="AK208" s="8"/>
      <c r="AL208" s="8"/>
    </row>
    <row r="209" spans="1:51" ht="28.9" customHeight="1" thickBot="1" x14ac:dyDescent="0.3">
      <c r="A209" s="42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64"/>
      <c r="X209" s="12"/>
      <c r="Y209" s="12"/>
      <c r="Z209" s="12"/>
      <c r="AA209" s="12"/>
      <c r="AB209" s="12"/>
      <c r="AC209" s="12"/>
      <c r="AD209" s="12"/>
      <c r="AE209" s="12"/>
      <c r="AF209" s="12"/>
      <c r="AG209" s="5"/>
      <c r="AH209" s="14"/>
      <c r="AI209" s="25"/>
      <c r="AJ209" s="8"/>
      <c r="AK209" s="8"/>
    </row>
    <row r="210" spans="1:51" ht="24" thickBot="1" x14ac:dyDescent="0.4">
      <c r="A210" s="42"/>
      <c r="C210" s="723" t="s">
        <v>80</v>
      </c>
      <c r="D210" s="724"/>
      <c r="E210" s="724"/>
      <c r="F210" s="724"/>
      <c r="G210" s="724"/>
      <c r="H210" s="724"/>
      <c r="I210" s="724"/>
      <c r="J210" s="724"/>
      <c r="K210" s="724"/>
      <c r="L210" s="724"/>
      <c r="M210" s="724"/>
      <c r="N210" s="724"/>
      <c r="O210" s="724"/>
      <c r="P210" s="724"/>
      <c r="Q210" s="724"/>
      <c r="R210" s="724"/>
      <c r="S210" s="724"/>
      <c r="T210" s="724"/>
      <c r="U210" s="724"/>
      <c r="V210" s="724"/>
      <c r="W210" s="725"/>
      <c r="X210" s="724"/>
      <c r="Y210" s="724"/>
      <c r="Z210" s="724"/>
      <c r="AA210" s="726"/>
      <c r="AB210" s="726"/>
      <c r="AC210" s="726"/>
      <c r="AD210" s="727"/>
      <c r="AE210" s="727"/>
      <c r="AF210" s="727"/>
      <c r="AG210" s="728"/>
      <c r="AH210" s="83"/>
      <c r="AI210" s="8"/>
      <c r="AJ210" s="8"/>
      <c r="AK210" s="8"/>
    </row>
    <row r="211" spans="1:51" ht="27" thickBot="1" x14ac:dyDescent="0.3">
      <c r="A211" s="42"/>
      <c r="C211" s="720" t="s">
        <v>2</v>
      </c>
      <c r="D211" s="721"/>
      <c r="E211" s="721"/>
      <c r="F211" s="721"/>
      <c r="G211" s="721"/>
      <c r="H211" s="722"/>
      <c r="I211" s="294"/>
      <c r="J211" s="294"/>
      <c r="K211" s="174">
        <v>1</v>
      </c>
      <c r="L211" s="175" t="s">
        <v>87</v>
      </c>
      <c r="M211" s="176" t="s">
        <v>86</v>
      </c>
      <c r="N211" s="153">
        <v>2</v>
      </c>
      <c r="O211" s="173" t="s">
        <v>87</v>
      </c>
      <c r="P211" s="177" t="s">
        <v>86</v>
      </c>
      <c r="Q211" s="174">
        <v>3</v>
      </c>
      <c r="R211" s="175" t="s">
        <v>87</v>
      </c>
      <c r="S211" s="176" t="s">
        <v>86</v>
      </c>
      <c r="T211" s="178">
        <v>4</v>
      </c>
      <c r="U211" s="175" t="s">
        <v>87</v>
      </c>
      <c r="V211" s="179" t="s">
        <v>86</v>
      </c>
      <c r="W211" s="180">
        <v>5</v>
      </c>
      <c r="X211" s="181" t="s">
        <v>87</v>
      </c>
      <c r="Y211" s="146" t="s">
        <v>203</v>
      </c>
      <c r="Z211" s="180">
        <v>6</v>
      </c>
      <c r="AA211" s="181" t="s">
        <v>87</v>
      </c>
      <c r="AB211" s="176" t="s">
        <v>203</v>
      </c>
      <c r="AC211" s="218">
        <v>7</v>
      </c>
      <c r="AD211" s="181" t="s">
        <v>87</v>
      </c>
      <c r="AE211" s="176" t="s">
        <v>203</v>
      </c>
      <c r="AF211" s="253">
        <v>8</v>
      </c>
      <c r="AG211" s="254" t="s">
        <v>87</v>
      </c>
      <c r="AH211" s="273" t="s">
        <v>203</v>
      </c>
      <c r="AI211" s="274">
        <v>9</v>
      </c>
      <c r="AJ211" s="275" t="s">
        <v>87</v>
      </c>
      <c r="AK211" s="198" t="s">
        <v>203</v>
      </c>
      <c r="AL211" s="251" t="s">
        <v>77</v>
      </c>
      <c r="AM211" s="182" t="s">
        <v>78</v>
      </c>
      <c r="AN211" s="182" t="s">
        <v>79</v>
      </c>
      <c r="AO211" s="183" t="s">
        <v>94</v>
      </c>
      <c r="AP211" s="9"/>
      <c r="AQ211" s="9"/>
      <c r="AR211" s="9"/>
    </row>
    <row r="212" spans="1:51" ht="19.899999999999999" customHeight="1" x14ac:dyDescent="0.25">
      <c r="A212" s="42"/>
      <c r="C212" s="741" t="s">
        <v>55</v>
      </c>
      <c r="D212" s="742"/>
      <c r="E212" s="742"/>
      <c r="F212" s="742"/>
      <c r="G212" s="742"/>
      <c r="H212" s="743"/>
      <c r="I212" s="296">
        <v>6</v>
      </c>
      <c r="J212" s="296">
        <v>6</v>
      </c>
      <c r="K212" s="158"/>
      <c r="L212" s="159"/>
      <c r="M212" s="160"/>
      <c r="N212" s="161"/>
      <c r="O212" s="162"/>
      <c r="P212" s="163"/>
      <c r="Q212" s="164">
        <v>72</v>
      </c>
      <c r="R212" s="165">
        <v>6.39</v>
      </c>
      <c r="S212" s="255">
        <v>72</v>
      </c>
      <c r="T212" s="167"/>
      <c r="U212" s="168">
        <v>5.9493103448275866</v>
      </c>
      <c r="V212" s="169"/>
      <c r="W212" s="256"/>
      <c r="X212" s="170">
        <v>6.1624800000000004</v>
      </c>
      <c r="Y212" s="148"/>
      <c r="Z212" s="256">
        <v>48</v>
      </c>
      <c r="AA212" s="168">
        <v>5.9493103448275866</v>
      </c>
      <c r="AB212" s="166">
        <v>21</v>
      </c>
      <c r="AC212" s="259"/>
      <c r="AD212" s="168">
        <v>5.5086206896551726</v>
      </c>
      <c r="AE212" s="166"/>
      <c r="AF212" s="261"/>
      <c r="AG212" s="261">
        <v>6.39</v>
      </c>
      <c r="AH212" s="68"/>
      <c r="AI212" s="279"/>
      <c r="AJ212" s="168">
        <v>5.5086206896551726</v>
      </c>
      <c r="AK212" s="276"/>
      <c r="AL212" s="252">
        <f>K212+N212+T212+Q212+Z212+W212+AC212+AF212+AI212</f>
        <v>120</v>
      </c>
      <c r="AM212" s="41">
        <f t="shared" ref="AM212:AM227" si="128">AN108</f>
        <v>119</v>
      </c>
      <c r="AN212" s="171">
        <f>AL212-AM212</f>
        <v>1</v>
      </c>
      <c r="AO212" s="172">
        <f t="shared" ref="AO212:AO234" si="129">AN212*(AD212)</f>
        <v>5.5086206896551726</v>
      </c>
      <c r="AP212" s="9"/>
      <c r="AQ212" s="9"/>
      <c r="AR212" s="9"/>
    </row>
    <row r="213" spans="1:51" ht="15.75" x14ac:dyDescent="0.25">
      <c r="A213" s="42"/>
      <c r="C213" s="652" t="s">
        <v>4</v>
      </c>
      <c r="D213" s="644"/>
      <c r="E213" s="644"/>
      <c r="F213" s="644"/>
      <c r="G213" s="644"/>
      <c r="H213" s="653"/>
      <c r="I213" s="296">
        <v>12</v>
      </c>
      <c r="J213" s="296">
        <v>12</v>
      </c>
      <c r="K213" s="60">
        <v>80</v>
      </c>
      <c r="L213" s="51">
        <v>10.32</v>
      </c>
      <c r="M213" s="67">
        <v>80</v>
      </c>
      <c r="N213" s="81"/>
      <c r="O213" s="37"/>
      <c r="P213" s="53"/>
      <c r="Q213" s="60">
        <v>60</v>
      </c>
      <c r="R213" s="51">
        <v>12.69</v>
      </c>
      <c r="S213" s="67">
        <v>60</v>
      </c>
      <c r="T213" s="54">
        <v>40</v>
      </c>
      <c r="U213" s="113">
        <v>11.814827586206897</v>
      </c>
      <c r="V213" s="194">
        <v>40</v>
      </c>
      <c r="W213" s="257">
        <v>40</v>
      </c>
      <c r="X213" s="127">
        <v>12.227760000000002</v>
      </c>
      <c r="Y213" s="147">
        <v>40</v>
      </c>
      <c r="Z213" s="257">
        <v>100</v>
      </c>
      <c r="AA213" s="113">
        <v>11.814827586206897</v>
      </c>
      <c r="AB213" s="67">
        <v>100</v>
      </c>
      <c r="AC213" s="259">
        <v>80</v>
      </c>
      <c r="AD213" s="113">
        <v>10.939655172413794</v>
      </c>
      <c r="AE213" s="67">
        <v>80</v>
      </c>
      <c r="AF213" s="261"/>
      <c r="AG213" s="261">
        <v>12.69</v>
      </c>
      <c r="AH213" s="68"/>
      <c r="AI213" s="279"/>
      <c r="AJ213" s="113">
        <v>10.939655172413794</v>
      </c>
      <c r="AK213" s="276"/>
      <c r="AL213" s="252">
        <f t="shared" ref="AL213:AL234" si="130">K213+N213+T213+Q213+Z213+W213+AC213+AF213+AI213</f>
        <v>400</v>
      </c>
      <c r="AM213" s="15">
        <f t="shared" si="128"/>
        <v>402</v>
      </c>
      <c r="AN213" s="39">
        <f>AL213-AM213</f>
        <v>-2</v>
      </c>
      <c r="AO213" s="172">
        <f t="shared" si="129"/>
        <v>-21.879310344827587</v>
      </c>
      <c r="AP213" s="9"/>
      <c r="AQ213" s="17"/>
      <c r="AR213" s="17"/>
      <c r="AS213" s="17"/>
      <c r="AT213" s="17"/>
      <c r="AU213" s="17"/>
      <c r="AV213" s="17"/>
      <c r="AW213" s="17"/>
      <c r="AX213" s="17"/>
      <c r="AY213" s="17"/>
    </row>
    <row r="214" spans="1:51" ht="15.75" x14ac:dyDescent="0.25">
      <c r="A214" s="42"/>
      <c r="C214" s="652" t="s">
        <v>5</v>
      </c>
      <c r="D214" s="644"/>
      <c r="E214" s="644"/>
      <c r="F214" s="644"/>
      <c r="G214" s="644"/>
      <c r="H214" s="653"/>
      <c r="I214" s="296">
        <v>32</v>
      </c>
      <c r="J214" s="296">
        <v>32</v>
      </c>
      <c r="K214" s="60">
        <v>20</v>
      </c>
      <c r="L214" s="51">
        <v>28.5</v>
      </c>
      <c r="M214" s="67">
        <v>20</v>
      </c>
      <c r="N214" s="81"/>
      <c r="O214" s="37"/>
      <c r="P214" s="53"/>
      <c r="Q214" s="60">
        <v>40</v>
      </c>
      <c r="R214" s="51">
        <v>35.04</v>
      </c>
      <c r="S214" s="67">
        <v>40</v>
      </c>
      <c r="T214" s="54">
        <v>20</v>
      </c>
      <c r="U214" s="113">
        <v>32.623448275862074</v>
      </c>
      <c r="V214" s="194">
        <v>20</v>
      </c>
      <c r="W214" s="257">
        <v>20</v>
      </c>
      <c r="X214" s="127">
        <v>33.767280000000007</v>
      </c>
      <c r="Y214" s="147">
        <v>20</v>
      </c>
      <c r="Z214" s="257">
        <v>60</v>
      </c>
      <c r="AA214" s="113">
        <v>32.623448275862074</v>
      </c>
      <c r="AB214" s="67">
        <v>60</v>
      </c>
      <c r="AC214" s="259">
        <v>30</v>
      </c>
      <c r="AD214" s="113">
        <v>30.206896551724142</v>
      </c>
      <c r="AE214" s="67">
        <v>30</v>
      </c>
      <c r="AF214" s="261">
        <v>40</v>
      </c>
      <c r="AG214" s="261">
        <v>35.040000000000006</v>
      </c>
      <c r="AH214" s="68">
        <v>25</v>
      </c>
      <c r="AI214" s="279">
        <v>36</v>
      </c>
      <c r="AJ214" s="113">
        <v>30.206896551724142</v>
      </c>
      <c r="AK214" s="276"/>
      <c r="AL214" s="252">
        <f t="shared" si="130"/>
        <v>266</v>
      </c>
      <c r="AM214" s="15">
        <f t="shared" si="128"/>
        <v>252</v>
      </c>
      <c r="AN214" s="39">
        <f t="shared" ref="AN214:AN233" si="131">AL214-AM214</f>
        <v>14</v>
      </c>
      <c r="AO214" s="172">
        <f t="shared" si="129"/>
        <v>422.89655172413802</v>
      </c>
      <c r="AP214" s="9"/>
      <c r="AQ214" s="12"/>
      <c r="AR214" s="12"/>
      <c r="AS214" s="12"/>
      <c r="AT214" s="12"/>
      <c r="AU214" s="12"/>
      <c r="AV214" s="12"/>
      <c r="AW214" s="12"/>
      <c r="AX214" s="12"/>
      <c r="AY214" s="12"/>
    </row>
    <row r="215" spans="1:51" ht="15.75" x14ac:dyDescent="0.25">
      <c r="A215" s="42"/>
      <c r="C215" s="652" t="s">
        <v>56</v>
      </c>
      <c r="D215" s="644"/>
      <c r="E215" s="644"/>
      <c r="F215" s="644"/>
      <c r="G215" s="644"/>
      <c r="H215" s="653"/>
      <c r="I215" s="296">
        <v>10</v>
      </c>
      <c r="J215" s="296">
        <v>10</v>
      </c>
      <c r="K215" s="60"/>
      <c r="L215" s="51"/>
      <c r="M215" s="58"/>
      <c r="N215" s="81"/>
      <c r="O215" s="37"/>
      <c r="P215" s="53"/>
      <c r="Q215" s="60">
        <v>32</v>
      </c>
      <c r="R215" s="51">
        <v>10.7</v>
      </c>
      <c r="S215" s="67">
        <v>32</v>
      </c>
      <c r="T215" s="54"/>
      <c r="U215" s="113">
        <v>9.9620689655172416</v>
      </c>
      <c r="V215" s="112"/>
      <c r="W215" s="257"/>
      <c r="X215" s="127">
        <v>10.31292</v>
      </c>
      <c r="Y215" s="148"/>
      <c r="Z215" s="257">
        <v>20</v>
      </c>
      <c r="AA215" s="113">
        <v>9.9620689655172416</v>
      </c>
      <c r="AB215" s="67">
        <v>20</v>
      </c>
      <c r="AC215" s="259">
        <v>20</v>
      </c>
      <c r="AD215" s="113">
        <v>9.2241379310344822</v>
      </c>
      <c r="AE215" s="68">
        <v>7</v>
      </c>
      <c r="AF215" s="261"/>
      <c r="AG215" s="261">
        <v>10.7</v>
      </c>
      <c r="AH215" s="68"/>
      <c r="AI215" s="279">
        <v>40</v>
      </c>
      <c r="AJ215" s="113">
        <v>9.2241379310344822</v>
      </c>
      <c r="AK215" s="276"/>
      <c r="AL215" s="252">
        <f t="shared" si="130"/>
        <v>112</v>
      </c>
      <c r="AM215" s="15">
        <f t="shared" si="128"/>
        <v>66</v>
      </c>
      <c r="AN215" s="39">
        <f t="shared" si="131"/>
        <v>46</v>
      </c>
      <c r="AO215" s="172">
        <f t="shared" si="129"/>
        <v>424.31034482758616</v>
      </c>
      <c r="AP215" s="9"/>
      <c r="AQ215" s="12"/>
      <c r="AR215" s="12"/>
      <c r="AS215" s="12"/>
      <c r="AT215" s="12"/>
      <c r="AU215" s="12"/>
      <c r="AV215" s="12"/>
      <c r="AW215" s="12"/>
      <c r="AX215" s="12"/>
      <c r="AY215" s="12"/>
    </row>
    <row r="216" spans="1:51" ht="15.75" x14ac:dyDescent="0.25">
      <c r="A216" s="42"/>
      <c r="C216" s="652" t="s">
        <v>49</v>
      </c>
      <c r="D216" s="644"/>
      <c r="E216" s="644"/>
      <c r="F216" s="644"/>
      <c r="G216" s="644"/>
      <c r="H216" s="653"/>
      <c r="I216" s="296">
        <v>21</v>
      </c>
      <c r="J216" s="296">
        <v>21</v>
      </c>
      <c r="K216" s="60"/>
      <c r="L216" s="51"/>
      <c r="M216" s="58"/>
      <c r="N216" s="81">
        <v>10</v>
      </c>
      <c r="O216" s="37">
        <v>22.1</v>
      </c>
      <c r="P216" s="109">
        <v>10</v>
      </c>
      <c r="Q216" s="60">
        <v>40</v>
      </c>
      <c r="R216" s="51">
        <v>22.81</v>
      </c>
      <c r="S216" s="67">
        <v>40</v>
      </c>
      <c r="T216" s="54">
        <v>30</v>
      </c>
      <c r="U216" s="113">
        <v>21.23689655172414</v>
      </c>
      <c r="V216" s="194">
        <v>30</v>
      </c>
      <c r="W216" s="257">
        <v>20</v>
      </c>
      <c r="X216" s="127">
        <v>22.569840000000003</v>
      </c>
      <c r="Y216" s="147">
        <v>20</v>
      </c>
      <c r="Z216" s="257">
        <v>40</v>
      </c>
      <c r="AA216" s="113">
        <v>21.23689655172414</v>
      </c>
      <c r="AB216" s="67">
        <v>40</v>
      </c>
      <c r="AC216" s="259">
        <v>40</v>
      </c>
      <c r="AD216" s="113">
        <v>19.663793103448278</v>
      </c>
      <c r="AE216" s="67">
        <v>40</v>
      </c>
      <c r="AF216" s="261">
        <v>36</v>
      </c>
      <c r="AG216" s="261">
        <v>22.81</v>
      </c>
      <c r="AH216" s="68">
        <v>27</v>
      </c>
      <c r="AI216" s="279"/>
      <c r="AJ216" s="113">
        <v>19.663793103448278</v>
      </c>
      <c r="AK216" s="276"/>
      <c r="AL216" s="252">
        <f t="shared" si="130"/>
        <v>216</v>
      </c>
      <c r="AM216" s="15">
        <f t="shared" si="128"/>
        <v>219</v>
      </c>
      <c r="AN216" s="39">
        <f t="shared" si="131"/>
        <v>-3</v>
      </c>
      <c r="AO216" s="172">
        <f t="shared" si="129"/>
        <v>-58.991379310344833</v>
      </c>
      <c r="AP216" s="9"/>
      <c r="AQ216" s="12"/>
      <c r="AR216" s="12"/>
      <c r="AS216" s="12"/>
      <c r="AT216" s="12"/>
      <c r="AU216" s="12"/>
      <c r="AV216" s="12"/>
      <c r="AW216" s="12"/>
      <c r="AX216" s="12"/>
      <c r="AY216" s="12"/>
    </row>
    <row r="217" spans="1:51" ht="15.75" x14ac:dyDescent="0.25">
      <c r="A217" s="42"/>
      <c r="C217" s="652" t="s">
        <v>50</v>
      </c>
      <c r="D217" s="644"/>
      <c r="E217" s="644"/>
      <c r="F217" s="644"/>
      <c r="G217" s="644"/>
      <c r="H217" s="653"/>
      <c r="I217" s="296">
        <v>6</v>
      </c>
      <c r="J217" s="296">
        <v>6</v>
      </c>
      <c r="K217" s="60"/>
      <c r="L217" s="51"/>
      <c r="M217" s="58"/>
      <c r="N217" s="81">
        <v>24</v>
      </c>
      <c r="O217" s="37">
        <v>5.67</v>
      </c>
      <c r="P217" s="110">
        <v>20</v>
      </c>
      <c r="Q217" s="60"/>
      <c r="R217" s="51">
        <v>6</v>
      </c>
      <c r="S217" s="68"/>
      <c r="T217" s="54"/>
      <c r="U217" s="113">
        <v>5.5862068965517242</v>
      </c>
      <c r="V217" s="112"/>
      <c r="W217" s="257"/>
      <c r="X217" s="127">
        <v>5.79312</v>
      </c>
      <c r="Y217" s="148"/>
      <c r="Z217" s="257">
        <v>24</v>
      </c>
      <c r="AA217" s="113">
        <v>5.5862068965517242</v>
      </c>
      <c r="AB217" s="68"/>
      <c r="AC217" s="259"/>
      <c r="AD217" s="113">
        <v>5.1724137931034484</v>
      </c>
      <c r="AE217" s="68"/>
      <c r="AF217" s="261"/>
      <c r="AG217" s="261">
        <v>6</v>
      </c>
      <c r="AH217" s="68"/>
      <c r="AI217" s="279"/>
      <c r="AJ217" s="113">
        <v>5.1724137931034484</v>
      </c>
      <c r="AK217" s="276"/>
      <c r="AL217" s="252">
        <f t="shared" si="130"/>
        <v>48</v>
      </c>
      <c r="AM217" s="15">
        <f t="shared" si="128"/>
        <v>21</v>
      </c>
      <c r="AN217" s="39">
        <f t="shared" si="131"/>
        <v>27</v>
      </c>
      <c r="AO217" s="172">
        <f t="shared" si="129"/>
        <v>139.65517241379311</v>
      </c>
      <c r="AP217" s="9"/>
      <c r="AQ217" s="12"/>
      <c r="AR217" s="12"/>
      <c r="AS217" s="12"/>
      <c r="AT217" s="12"/>
      <c r="AU217" s="12"/>
      <c r="AV217" s="12"/>
      <c r="AW217" s="12"/>
      <c r="AX217" s="12"/>
      <c r="AY217" s="12"/>
    </row>
    <row r="218" spans="1:51" ht="15.75" x14ac:dyDescent="0.25">
      <c r="A218" s="42"/>
      <c r="C218" s="652" t="s">
        <v>6</v>
      </c>
      <c r="D218" s="644"/>
      <c r="E218" s="644"/>
      <c r="F218" s="644"/>
      <c r="G218" s="644"/>
      <c r="H218" s="653"/>
      <c r="I218" s="296">
        <v>9</v>
      </c>
      <c r="J218" s="296">
        <v>9</v>
      </c>
      <c r="K218" s="60">
        <v>20</v>
      </c>
      <c r="L218" s="51">
        <v>7.51</v>
      </c>
      <c r="M218" s="67">
        <v>20</v>
      </c>
      <c r="N218" s="81"/>
      <c r="O218" s="37"/>
      <c r="P218" s="53"/>
      <c r="Q218" s="60">
        <v>40</v>
      </c>
      <c r="R218" s="51">
        <v>9.23</v>
      </c>
      <c r="S218" s="67">
        <v>40</v>
      </c>
      <c r="T218" s="54"/>
      <c r="U218" s="113">
        <v>8.5934482758620696</v>
      </c>
      <c r="V218" s="112"/>
      <c r="W218" s="257"/>
      <c r="X218" s="127">
        <v>8.8938000000000024</v>
      </c>
      <c r="Y218" s="148"/>
      <c r="Z218" s="257">
        <v>40</v>
      </c>
      <c r="AA218" s="113">
        <v>8.5934482758620696</v>
      </c>
      <c r="AB218" s="67">
        <v>40</v>
      </c>
      <c r="AC218" s="259">
        <v>20</v>
      </c>
      <c r="AD218" s="113">
        <v>7.9568965517241379</v>
      </c>
      <c r="AE218" s="68">
        <v>7</v>
      </c>
      <c r="AF218" s="261"/>
      <c r="AG218" s="261">
        <v>9.2299999999999986</v>
      </c>
      <c r="AH218" s="68"/>
      <c r="AI218" s="279">
        <v>20</v>
      </c>
      <c r="AJ218" s="113">
        <v>7.9568965517241379</v>
      </c>
      <c r="AK218" s="276"/>
      <c r="AL218" s="252">
        <f t="shared" si="130"/>
        <v>140</v>
      </c>
      <c r="AM218" s="15">
        <f t="shared" si="128"/>
        <v>121</v>
      </c>
      <c r="AN218" s="39">
        <f t="shared" si="131"/>
        <v>19</v>
      </c>
      <c r="AO218" s="172">
        <f t="shared" si="129"/>
        <v>151.18103448275863</v>
      </c>
      <c r="AP218" s="9"/>
      <c r="AQ218" s="12"/>
      <c r="AR218" s="12"/>
      <c r="AS218" s="12"/>
      <c r="AT218" s="12"/>
      <c r="AU218" s="12"/>
      <c r="AV218" s="12"/>
      <c r="AW218" s="12"/>
      <c r="AX218" s="12"/>
      <c r="AY218" s="12"/>
    </row>
    <row r="219" spans="1:51" ht="15.75" x14ac:dyDescent="0.25">
      <c r="A219" s="42"/>
      <c r="C219" s="652" t="s">
        <v>7</v>
      </c>
      <c r="D219" s="644"/>
      <c r="E219" s="644"/>
      <c r="F219" s="644"/>
      <c r="G219" s="644"/>
      <c r="H219" s="653"/>
      <c r="I219" s="296">
        <v>25</v>
      </c>
      <c r="J219" s="296">
        <v>25</v>
      </c>
      <c r="K219" s="60">
        <v>5</v>
      </c>
      <c r="L219" s="51">
        <v>21.99</v>
      </c>
      <c r="M219" s="67">
        <v>5</v>
      </c>
      <c r="N219" s="81"/>
      <c r="O219" s="37"/>
      <c r="P219" s="53"/>
      <c r="Q219" s="60">
        <v>30</v>
      </c>
      <c r="R219" s="51">
        <v>27.04</v>
      </c>
      <c r="S219" s="67">
        <v>30</v>
      </c>
      <c r="T219" s="54">
        <v>5</v>
      </c>
      <c r="U219" s="113">
        <v>25.175172413793106</v>
      </c>
      <c r="V219" s="194">
        <v>5</v>
      </c>
      <c r="W219" s="257">
        <v>20</v>
      </c>
      <c r="X219" s="127">
        <v>26.05932</v>
      </c>
      <c r="Y219" s="147">
        <v>20</v>
      </c>
      <c r="Z219" s="257"/>
      <c r="AA219" s="113">
        <v>25.175172413793106</v>
      </c>
      <c r="AB219" s="68"/>
      <c r="AC219" s="259">
        <v>10</v>
      </c>
      <c r="AD219" s="113">
        <v>23.310344827586206</v>
      </c>
      <c r="AE219" s="67">
        <v>10</v>
      </c>
      <c r="AF219" s="261">
        <v>10</v>
      </c>
      <c r="AG219" s="261">
        <v>27.04</v>
      </c>
      <c r="AH219" s="67">
        <v>8</v>
      </c>
      <c r="AI219" s="279">
        <v>20</v>
      </c>
      <c r="AJ219" s="113">
        <v>23.310344827586206</v>
      </c>
      <c r="AK219" s="277"/>
      <c r="AL219" s="252">
        <f t="shared" si="130"/>
        <v>100</v>
      </c>
      <c r="AM219" s="15">
        <f t="shared" si="128"/>
        <v>89</v>
      </c>
      <c r="AN219" s="39">
        <f t="shared" si="131"/>
        <v>11</v>
      </c>
      <c r="AO219" s="172">
        <f t="shared" si="129"/>
        <v>256.41379310344826</v>
      </c>
      <c r="AP219" s="9"/>
      <c r="AQ219" s="12"/>
      <c r="AR219" s="12"/>
      <c r="AS219" s="12"/>
      <c r="AT219" s="12"/>
      <c r="AU219" s="12"/>
      <c r="AV219" s="12"/>
      <c r="AW219" s="12"/>
      <c r="AX219" s="12"/>
      <c r="AY219" s="12"/>
    </row>
    <row r="220" spans="1:51" ht="15.75" x14ac:dyDescent="0.25">
      <c r="A220" s="42"/>
      <c r="C220" s="652" t="s">
        <v>8</v>
      </c>
      <c r="D220" s="644"/>
      <c r="E220" s="644"/>
      <c r="F220" s="644"/>
      <c r="G220" s="644"/>
      <c r="H220" s="653"/>
      <c r="I220" s="296">
        <v>11</v>
      </c>
      <c r="J220" s="296">
        <v>11</v>
      </c>
      <c r="K220" s="60">
        <v>40</v>
      </c>
      <c r="L220" s="51">
        <v>9.5500000000000007</v>
      </c>
      <c r="M220" s="67">
        <v>40</v>
      </c>
      <c r="N220" s="81"/>
      <c r="O220" s="37"/>
      <c r="P220" s="53"/>
      <c r="Q220" s="60">
        <v>12</v>
      </c>
      <c r="R220" s="51">
        <v>11.74</v>
      </c>
      <c r="S220" s="67">
        <v>12</v>
      </c>
      <c r="T220" s="54"/>
      <c r="U220" s="113">
        <v>10.930344827586209</v>
      </c>
      <c r="V220" s="112"/>
      <c r="W220" s="257">
        <v>40</v>
      </c>
      <c r="X220" s="127">
        <v>11.314080000000002</v>
      </c>
      <c r="Y220" s="147">
        <v>40</v>
      </c>
      <c r="Z220" s="257">
        <v>20</v>
      </c>
      <c r="AA220" s="113">
        <v>10.930344827586209</v>
      </c>
      <c r="AB220" s="67">
        <v>20</v>
      </c>
      <c r="AC220" s="259">
        <v>40</v>
      </c>
      <c r="AD220" s="113">
        <v>10.120689655172415</v>
      </c>
      <c r="AE220" s="68">
        <v>17</v>
      </c>
      <c r="AF220" s="261"/>
      <c r="AG220" s="261">
        <v>11.74</v>
      </c>
      <c r="AH220" s="68"/>
      <c r="AI220" s="279">
        <v>40</v>
      </c>
      <c r="AJ220" s="113">
        <v>10.120689655172415</v>
      </c>
      <c r="AK220" s="276"/>
      <c r="AL220" s="252">
        <f t="shared" si="130"/>
        <v>192</v>
      </c>
      <c r="AM220" s="15">
        <f t="shared" si="128"/>
        <v>154</v>
      </c>
      <c r="AN220" s="39">
        <f t="shared" si="131"/>
        <v>38</v>
      </c>
      <c r="AO220" s="172">
        <f t="shared" si="129"/>
        <v>384.58620689655174</v>
      </c>
      <c r="AP220" s="9"/>
      <c r="AQ220" s="12"/>
      <c r="AR220" s="12"/>
      <c r="AS220" s="12"/>
      <c r="AT220" s="12"/>
      <c r="AU220" s="12"/>
      <c r="AV220" s="12"/>
      <c r="AW220" s="12"/>
      <c r="AX220" s="12"/>
      <c r="AY220" s="12"/>
    </row>
    <row r="221" spans="1:51" ht="15.75" x14ac:dyDescent="0.25">
      <c r="A221" s="42"/>
      <c r="C221" s="652" t="s">
        <v>9</v>
      </c>
      <c r="D221" s="644"/>
      <c r="E221" s="644"/>
      <c r="F221" s="644"/>
      <c r="G221" s="644"/>
      <c r="H221" s="653"/>
      <c r="I221" s="296">
        <v>24</v>
      </c>
      <c r="J221" s="296">
        <v>24</v>
      </c>
      <c r="K221" s="60">
        <v>20</v>
      </c>
      <c r="L221" s="51">
        <v>21.82</v>
      </c>
      <c r="M221" s="67">
        <v>20</v>
      </c>
      <c r="N221" s="81">
        <v>36</v>
      </c>
      <c r="O221" s="37">
        <v>25.31</v>
      </c>
      <c r="P221" s="109">
        <v>36</v>
      </c>
      <c r="Q221" s="60">
        <v>60</v>
      </c>
      <c r="R221" s="51">
        <v>26.83</v>
      </c>
      <c r="S221" s="67">
        <v>60</v>
      </c>
      <c r="T221" s="54">
        <v>30</v>
      </c>
      <c r="U221" s="113">
        <v>24.979655172413796</v>
      </c>
      <c r="V221" s="194">
        <v>30</v>
      </c>
      <c r="W221" s="257">
        <v>40</v>
      </c>
      <c r="X221" s="127">
        <v>25.855200000000004</v>
      </c>
      <c r="Y221" s="147">
        <v>40</v>
      </c>
      <c r="Z221" s="257">
        <v>60</v>
      </c>
      <c r="AA221" s="113">
        <v>24.979655172413796</v>
      </c>
      <c r="AB221" s="67">
        <v>60</v>
      </c>
      <c r="AC221" s="259">
        <v>60</v>
      </c>
      <c r="AD221" s="113">
        <v>23.129310344827587</v>
      </c>
      <c r="AE221" s="67">
        <v>61</v>
      </c>
      <c r="AF221" s="261"/>
      <c r="AG221" s="261">
        <v>26.83</v>
      </c>
      <c r="AH221" s="68"/>
      <c r="AI221" s="279">
        <v>108</v>
      </c>
      <c r="AJ221" s="113">
        <v>23.129310344827587</v>
      </c>
      <c r="AK221" s="276"/>
      <c r="AL221" s="252">
        <f t="shared" si="130"/>
        <v>414</v>
      </c>
      <c r="AM221" s="15">
        <f t="shared" si="128"/>
        <v>344</v>
      </c>
      <c r="AN221" s="39">
        <f t="shared" si="131"/>
        <v>70</v>
      </c>
      <c r="AO221" s="172">
        <f t="shared" si="129"/>
        <v>1619.0517241379312</v>
      </c>
      <c r="AP221" s="9"/>
      <c r="AQ221" s="12"/>
      <c r="AR221" s="12"/>
      <c r="AS221" s="12"/>
      <c r="AT221" s="12"/>
      <c r="AU221" s="12"/>
      <c r="AV221" s="12"/>
      <c r="AW221" s="12"/>
      <c r="AX221" s="12"/>
      <c r="AY221" s="12"/>
    </row>
    <row r="222" spans="1:51" ht="15.75" x14ac:dyDescent="0.25">
      <c r="A222" s="42"/>
      <c r="C222" s="652" t="s">
        <v>10</v>
      </c>
      <c r="D222" s="644"/>
      <c r="E222" s="644"/>
      <c r="F222" s="644"/>
      <c r="G222" s="644"/>
      <c r="H222" s="653"/>
      <c r="I222" s="296">
        <v>26</v>
      </c>
      <c r="J222" s="296">
        <v>26</v>
      </c>
      <c r="K222" s="60">
        <v>20</v>
      </c>
      <c r="L222" s="51">
        <v>22.74</v>
      </c>
      <c r="M222" s="67">
        <v>20</v>
      </c>
      <c r="N222" s="81"/>
      <c r="O222" s="37"/>
      <c r="P222" s="53"/>
      <c r="Q222" s="60">
        <v>40</v>
      </c>
      <c r="R222" s="51">
        <v>27.96</v>
      </c>
      <c r="S222" s="67">
        <v>40</v>
      </c>
      <c r="T222" s="54"/>
      <c r="U222" s="113">
        <v>26.03172413793104</v>
      </c>
      <c r="V222" s="112"/>
      <c r="W222" s="257">
        <v>20</v>
      </c>
      <c r="X222" s="127">
        <v>26.943840000000002</v>
      </c>
      <c r="Y222" s="147">
        <v>20</v>
      </c>
      <c r="Z222" s="257">
        <v>12</v>
      </c>
      <c r="AA222" s="113">
        <v>26.03172413793104</v>
      </c>
      <c r="AB222" s="67">
        <v>12</v>
      </c>
      <c r="AC222" s="259">
        <v>20</v>
      </c>
      <c r="AD222" s="113">
        <v>24.103448275862071</v>
      </c>
      <c r="AE222" s="68">
        <v>16</v>
      </c>
      <c r="AF222" s="261"/>
      <c r="AG222" s="261">
        <v>27.96</v>
      </c>
      <c r="AH222" s="68"/>
      <c r="AI222" s="279"/>
      <c r="AJ222" s="113">
        <v>24.103448275862071</v>
      </c>
      <c r="AK222" s="276"/>
      <c r="AL222" s="252">
        <f t="shared" si="130"/>
        <v>112</v>
      </c>
      <c r="AM222" s="15">
        <f t="shared" si="128"/>
        <v>115</v>
      </c>
      <c r="AN222" s="39">
        <f t="shared" si="131"/>
        <v>-3</v>
      </c>
      <c r="AO222" s="172">
        <f t="shared" si="129"/>
        <v>-72.310344827586221</v>
      </c>
      <c r="AP222" s="9"/>
      <c r="AQ222" s="12"/>
      <c r="AR222" s="12"/>
      <c r="AS222" s="12"/>
      <c r="AT222" s="12"/>
      <c r="AU222" s="12"/>
      <c r="AV222" s="12"/>
      <c r="AW222" s="12"/>
      <c r="AX222" s="12"/>
      <c r="AY222" s="12"/>
    </row>
    <row r="223" spans="1:51" ht="15.75" x14ac:dyDescent="0.25">
      <c r="A223" s="42"/>
      <c r="C223" s="652" t="s">
        <v>11</v>
      </c>
      <c r="D223" s="644"/>
      <c r="E223" s="644"/>
      <c r="F223" s="644"/>
      <c r="G223" s="644"/>
      <c r="H223" s="653"/>
      <c r="I223" s="296">
        <v>86</v>
      </c>
      <c r="J223" s="296">
        <v>86</v>
      </c>
      <c r="K223" s="60">
        <v>20</v>
      </c>
      <c r="L223" s="51">
        <v>77.28</v>
      </c>
      <c r="M223" s="67">
        <v>20</v>
      </c>
      <c r="N223" s="81"/>
      <c r="O223" s="37"/>
      <c r="P223" s="53"/>
      <c r="Q223" s="60">
        <v>40</v>
      </c>
      <c r="R223" s="51">
        <v>95.03</v>
      </c>
      <c r="S223" s="67">
        <v>40</v>
      </c>
      <c r="T223" s="54">
        <v>15</v>
      </c>
      <c r="U223" s="113">
        <v>88.476206896551744</v>
      </c>
      <c r="V223" s="194">
        <v>15</v>
      </c>
      <c r="W223" s="257">
        <v>20</v>
      </c>
      <c r="X223" s="127">
        <v>91.562400000000011</v>
      </c>
      <c r="Y223" s="147">
        <v>20</v>
      </c>
      <c r="Z223" s="257">
        <v>34</v>
      </c>
      <c r="AA223" s="113">
        <v>88.476206896551744</v>
      </c>
      <c r="AB223" s="67">
        <v>34</v>
      </c>
      <c r="AC223" s="259">
        <v>40</v>
      </c>
      <c r="AD223" s="113">
        <v>81.922413793103459</v>
      </c>
      <c r="AE223" s="68">
        <v>19</v>
      </c>
      <c r="AF223" s="261"/>
      <c r="AG223" s="261">
        <v>95.03</v>
      </c>
      <c r="AH223" s="68"/>
      <c r="AI223" s="279">
        <v>8</v>
      </c>
      <c r="AJ223" s="113">
        <v>81.922413793103459</v>
      </c>
      <c r="AK223" s="276"/>
      <c r="AL223" s="252">
        <f t="shared" si="130"/>
        <v>177</v>
      </c>
      <c r="AM223" s="15">
        <f t="shared" si="128"/>
        <v>177</v>
      </c>
      <c r="AN223" s="39">
        <f t="shared" si="131"/>
        <v>0</v>
      </c>
      <c r="AO223" s="172">
        <f t="shared" si="129"/>
        <v>0</v>
      </c>
      <c r="AP223" s="9"/>
      <c r="AQ223" s="12"/>
      <c r="AR223" s="12"/>
      <c r="AS223" s="12"/>
      <c r="AT223" s="12"/>
      <c r="AU223" s="12"/>
      <c r="AV223" s="12"/>
      <c r="AW223" s="12"/>
      <c r="AX223" s="12"/>
      <c r="AY223" s="12"/>
    </row>
    <row r="224" spans="1:51" ht="15.75" x14ac:dyDescent="0.25">
      <c r="A224" s="42"/>
      <c r="C224" s="652" t="s">
        <v>57</v>
      </c>
      <c r="D224" s="644"/>
      <c r="E224" s="644"/>
      <c r="F224" s="644"/>
      <c r="G224" s="644"/>
      <c r="H224" s="653"/>
      <c r="I224" s="296">
        <v>40</v>
      </c>
      <c r="J224" s="296">
        <v>40</v>
      </c>
      <c r="K224" s="60"/>
      <c r="L224" s="51"/>
      <c r="M224" s="58"/>
      <c r="N224" s="81"/>
      <c r="O224" s="37"/>
      <c r="P224" s="53"/>
      <c r="Q224" s="60">
        <v>30</v>
      </c>
      <c r="R224" s="51">
        <v>44.03</v>
      </c>
      <c r="S224" s="67">
        <v>30</v>
      </c>
      <c r="T224" s="54">
        <v>10</v>
      </c>
      <c r="U224" s="113">
        <v>40.993448275862079</v>
      </c>
      <c r="V224" s="194">
        <v>10</v>
      </c>
      <c r="W224" s="257">
        <v>20</v>
      </c>
      <c r="X224" s="127">
        <v>42.427799999999998</v>
      </c>
      <c r="Y224" s="147">
        <v>20</v>
      </c>
      <c r="Z224" s="257">
        <v>50</v>
      </c>
      <c r="AA224" s="113">
        <v>40.993448275862079</v>
      </c>
      <c r="AB224" s="67">
        <v>50</v>
      </c>
      <c r="AC224" s="259">
        <v>18</v>
      </c>
      <c r="AD224" s="113">
        <v>37.956896551724142</v>
      </c>
      <c r="AE224" s="67">
        <v>18</v>
      </c>
      <c r="AF224" s="261">
        <v>36</v>
      </c>
      <c r="AG224" s="261">
        <v>44.03</v>
      </c>
      <c r="AH224" s="68">
        <v>20</v>
      </c>
      <c r="AI224" s="279"/>
      <c r="AJ224" s="113">
        <v>37.956896551724142</v>
      </c>
      <c r="AK224" s="276"/>
      <c r="AL224" s="252">
        <f t="shared" si="130"/>
        <v>164</v>
      </c>
      <c r="AM224" s="15">
        <f t="shared" si="128"/>
        <v>164</v>
      </c>
      <c r="AN224" s="39">
        <f t="shared" si="131"/>
        <v>0</v>
      </c>
      <c r="AO224" s="172">
        <f t="shared" si="129"/>
        <v>0</v>
      </c>
      <c r="AP224" s="9"/>
      <c r="AQ224" s="12"/>
      <c r="AR224" s="12"/>
      <c r="AS224" s="12"/>
      <c r="AT224" s="12"/>
      <c r="AU224" s="12"/>
      <c r="AV224" s="12"/>
      <c r="AW224" s="12"/>
      <c r="AX224" s="12"/>
      <c r="AY224" s="12"/>
    </row>
    <row r="225" spans="1:54" ht="15.75" x14ac:dyDescent="0.25">
      <c r="A225" s="42"/>
      <c r="C225" s="652" t="s">
        <v>51</v>
      </c>
      <c r="D225" s="644"/>
      <c r="E225" s="644"/>
      <c r="F225" s="644"/>
      <c r="G225" s="644"/>
      <c r="H225" s="653"/>
      <c r="I225" s="296">
        <v>38</v>
      </c>
      <c r="J225" s="296">
        <v>38</v>
      </c>
      <c r="K225" s="60"/>
      <c r="L225" s="51"/>
      <c r="M225" s="58"/>
      <c r="N225" s="81">
        <v>5</v>
      </c>
      <c r="O225" s="37">
        <v>39.15</v>
      </c>
      <c r="P225" s="109">
        <v>5</v>
      </c>
      <c r="Q225" s="60"/>
      <c r="R225" s="51">
        <v>41.5</v>
      </c>
      <c r="S225" s="68"/>
      <c r="T225" s="54"/>
      <c r="U225" s="113">
        <v>38.637931034482769</v>
      </c>
      <c r="V225" s="112"/>
      <c r="W225" s="257">
        <v>10</v>
      </c>
      <c r="X225" s="127">
        <v>39.988080000000004</v>
      </c>
      <c r="Y225" s="147">
        <v>10</v>
      </c>
      <c r="Z225" s="257">
        <v>10</v>
      </c>
      <c r="AA225" s="113">
        <v>38.637931034482769</v>
      </c>
      <c r="AB225" s="67">
        <v>10</v>
      </c>
      <c r="AC225" s="259"/>
      <c r="AD225" s="113">
        <v>35.775862068965523</v>
      </c>
      <c r="AE225" s="68"/>
      <c r="AF225" s="261">
        <v>5</v>
      </c>
      <c r="AG225" s="261">
        <v>41.500000000000007</v>
      </c>
      <c r="AH225" s="68">
        <v>2</v>
      </c>
      <c r="AI225" s="279">
        <v>10</v>
      </c>
      <c r="AJ225" s="113">
        <v>35.775862068965523</v>
      </c>
      <c r="AK225" s="276"/>
      <c r="AL225" s="252">
        <f t="shared" si="130"/>
        <v>40</v>
      </c>
      <c r="AM225" s="15">
        <f t="shared" si="128"/>
        <v>29</v>
      </c>
      <c r="AN225" s="39">
        <f t="shared" si="131"/>
        <v>11</v>
      </c>
      <c r="AO225" s="172">
        <f t="shared" si="129"/>
        <v>393.53448275862075</v>
      </c>
      <c r="AP225" s="9"/>
      <c r="AQ225" s="12"/>
      <c r="AR225" s="12"/>
      <c r="AS225" s="12"/>
      <c r="AT225" s="12"/>
      <c r="AU225" s="12"/>
      <c r="AV225" s="12"/>
      <c r="AW225" s="12"/>
      <c r="AX225" s="12"/>
      <c r="AY225" s="12"/>
    </row>
    <row r="226" spans="1:54" ht="15.75" x14ac:dyDescent="0.25">
      <c r="A226" s="42"/>
      <c r="C226" s="652" t="s">
        <v>52</v>
      </c>
      <c r="D226" s="644"/>
      <c r="E226" s="644"/>
      <c r="F226" s="644"/>
      <c r="G226" s="644"/>
      <c r="H226" s="653"/>
      <c r="I226" s="296">
        <v>49</v>
      </c>
      <c r="J226" s="296">
        <v>49</v>
      </c>
      <c r="K226" s="60"/>
      <c r="L226" s="51"/>
      <c r="M226" s="58"/>
      <c r="N226" s="81">
        <v>10</v>
      </c>
      <c r="O226" s="37">
        <v>48.29</v>
      </c>
      <c r="P226" s="110">
        <v>9</v>
      </c>
      <c r="Q226" s="60"/>
      <c r="R226" s="51">
        <v>54.09</v>
      </c>
      <c r="S226" s="68"/>
      <c r="T226" s="54"/>
      <c r="U226" s="113">
        <v>50.359655172413802</v>
      </c>
      <c r="V226" s="112"/>
      <c r="W226" s="257"/>
      <c r="X226" s="127">
        <v>52.118639999999999</v>
      </c>
      <c r="Y226" s="148"/>
      <c r="Z226" s="257"/>
      <c r="AA226" s="113">
        <v>50.359655172413802</v>
      </c>
      <c r="AB226" s="68"/>
      <c r="AC226" s="259"/>
      <c r="AD226" s="113">
        <v>46.629310344827594</v>
      </c>
      <c r="AE226" s="68"/>
      <c r="AF226" s="261"/>
      <c r="AG226" s="261">
        <v>54.09</v>
      </c>
      <c r="AH226" s="68"/>
      <c r="AI226" s="279">
        <v>15</v>
      </c>
      <c r="AJ226" s="113">
        <v>46.629310344827594</v>
      </c>
      <c r="AK226" s="276"/>
      <c r="AL226" s="252">
        <f t="shared" si="130"/>
        <v>25</v>
      </c>
      <c r="AM226" s="15">
        <f t="shared" si="128"/>
        <v>10</v>
      </c>
      <c r="AN226" s="39">
        <f t="shared" si="131"/>
        <v>15</v>
      </c>
      <c r="AO226" s="172">
        <f t="shared" si="129"/>
        <v>699.43965517241395</v>
      </c>
      <c r="AP226" s="9"/>
      <c r="AQ226" s="12"/>
      <c r="AR226" s="12"/>
      <c r="AS226" s="12"/>
      <c r="AT226" s="12"/>
      <c r="AU226" s="12"/>
      <c r="AV226" s="12"/>
      <c r="AW226" s="12"/>
      <c r="AX226" s="12"/>
      <c r="AY226" s="12"/>
    </row>
    <row r="227" spans="1:54" ht="15.75" x14ac:dyDescent="0.25">
      <c r="A227" s="42"/>
      <c r="C227" s="652" t="s">
        <v>12</v>
      </c>
      <c r="D227" s="644"/>
      <c r="E227" s="644"/>
      <c r="F227" s="644"/>
      <c r="G227" s="644"/>
      <c r="H227" s="653"/>
      <c r="I227" s="296">
        <v>27</v>
      </c>
      <c r="J227" s="296">
        <v>27</v>
      </c>
      <c r="K227" s="60">
        <v>20</v>
      </c>
      <c r="L227" s="51">
        <v>22.4</v>
      </c>
      <c r="M227" s="67">
        <v>20</v>
      </c>
      <c r="N227" s="81"/>
      <c r="O227" s="37"/>
      <c r="P227" s="53"/>
      <c r="Q227" s="60">
        <v>90</v>
      </c>
      <c r="R227" s="51">
        <v>29.1</v>
      </c>
      <c r="S227" s="67">
        <v>90</v>
      </c>
      <c r="T227" s="54"/>
      <c r="U227" s="113">
        <v>27.093103448275865</v>
      </c>
      <c r="V227" s="112"/>
      <c r="W227" s="257">
        <v>40</v>
      </c>
      <c r="X227" s="127">
        <v>28.042200000000005</v>
      </c>
      <c r="Y227" s="147">
        <v>40</v>
      </c>
      <c r="Z227" s="257"/>
      <c r="AA227" s="113">
        <v>27.093103448275865</v>
      </c>
      <c r="AB227" s="68"/>
      <c r="AC227" s="259">
        <v>60</v>
      </c>
      <c r="AD227" s="113">
        <v>25.086206896551726</v>
      </c>
      <c r="AE227" s="67">
        <v>60</v>
      </c>
      <c r="AF227" s="261"/>
      <c r="AG227" s="261">
        <v>29.1</v>
      </c>
      <c r="AH227" s="68"/>
      <c r="AI227" s="279"/>
      <c r="AJ227" s="113">
        <v>25.086206896551726</v>
      </c>
      <c r="AK227" s="276"/>
      <c r="AL227" s="252">
        <f t="shared" si="130"/>
        <v>210</v>
      </c>
      <c r="AM227" s="15">
        <f t="shared" si="128"/>
        <v>210</v>
      </c>
      <c r="AN227" s="39">
        <f t="shared" si="131"/>
        <v>0</v>
      </c>
      <c r="AO227" s="172">
        <f t="shared" si="129"/>
        <v>0</v>
      </c>
      <c r="AP227" s="9"/>
      <c r="AQ227" s="12"/>
      <c r="AR227" s="12"/>
      <c r="AS227" s="12"/>
      <c r="AT227" s="12"/>
      <c r="AU227" s="12"/>
      <c r="AV227" s="12"/>
      <c r="AW227" s="12"/>
      <c r="AX227" s="12"/>
      <c r="AY227" s="12"/>
    </row>
    <row r="228" spans="1:54" ht="15.75" x14ac:dyDescent="0.25">
      <c r="A228" s="42"/>
      <c r="C228" s="652" t="s">
        <v>13</v>
      </c>
      <c r="D228" s="644"/>
      <c r="E228" s="644"/>
      <c r="F228" s="644"/>
      <c r="G228" s="644"/>
      <c r="H228" s="653"/>
      <c r="I228" s="296">
        <v>28</v>
      </c>
      <c r="J228" s="296">
        <v>28</v>
      </c>
      <c r="K228" s="60">
        <v>80</v>
      </c>
      <c r="L228" s="51">
        <v>23.95</v>
      </c>
      <c r="M228" s="67">
        <v>80</v>
      </c>
      <c r="N228" s="81">
        <v>127</v>
      </c>
      <c r="O228" s="37">
        <v>27.78</v>
      </c>
      <c r="P228" s="109">
        <v>127</v>
      </c>
      <c r="Q228" s="60">
        <v>220</v>
      </c>
      <c r="R228" s="51">
        <v>31.11</v>
      </c>
      <c r="S228" s="67">
        <v>220</v>
      </c>
      <c r="T228" s="54">
        <v>120</v>
      </c>
      <c r="U228" s="113">
        <v>28.964482758620694</v>
      </c>
      <c r="V228" s="194">
        <v>120</v>
      </c>
      <c r="W228" s="257">
        <v>120</v>
      </c>
      <c r="X228" s="127">
        <v>29.986200000000004</v>
      </c>
      <c r="Y228" s="147">
        <v>120</v>
      </c>
      <c r="Z228" s="257">
        <f>300</f>
        <v>300</v>
      </c>
      <c r="AA228" s="113">
        <v>28.964482758620694</v>
      </c>
      <c r="AB228" s="67">
        <v>300</v>
      </c>
      <c r="AC228" s="259">
        <v>203</v>
      </c>
      <c r="AD228" s="113">
        <v>26.818965517241381</v>
      </c>
      <c r="AE228" s="67">
        <v>203</v>
      </c>
      <c r="AF228" s="261">
        <v>150</v>
      </c>
      <c r="AG228" s="261">
        <v>31.11</v>
      </c>
      <c r="AH228" s="68">
        <v>116</v>
      </c>
      <c r="AI228" s="279">
        <v>100</v>
      </c>
      <c r="AJ228" s="113">
        <v>26.818965517241381</v>
      </c>
      <c r="AK228" s="276"/>
      <c r="AL228" s="252">
        <f t="shared" si="130"/>
        <v>1420</v>
      </c>
      <c r="AM228" s="15">
        <f>AN124+AN125</f>
        <v>1427</v>
      </c>
      <c r="AN228" s="39">
        <f t="shared" si="131"/>
        <v>-7</v>
      </c>
      <c r="AO228" s="172">
        <f t="shared" si="129"/>
        <v>-187.73275862068965</v>
      </c>
      <c r="AP228" s="9"/>
      <c r="AQ228" s="143"/>
      <c r="AR228" s="143"/>
      <c r="AS228" s="143"/>
      <c r="AT228" s="143"/>
      <c r="AU228" s="143"/>
      <c r="AV228" s="143"/>
      <c r="AW228" s="143"/>
      <c r="AX228" s="143"/>
      <c r="AY228" s="143"/>
      <c r="AZ228" s="143"/>
      <c r="BA228" s="143"/>
      <c r="BB228" s="143"/>
    </row>
    <row r="229" spans="1:54" ht="15.75" x14ac:dyDescent="0.25">
      <c r="A229" s="42"/>
      <c r="C229" s="652" t="s">
        <v>98</v>
      </c>
      <c r="D229" s="644"/>
      <c r="E229" s="644"/>
      <c r="F229" s="644"/>
      <c r="G229" s="644"/>
      <c r="H229" s="653"/>
      <c r="I229" s="295"/>
      <c r="J229" s="296">
        <f t="shared" ref="J229:J234" si="132">I229*0.9*1.16/0.9</f>
        <v>0</v>
      </c>
      <c r="K229" s="60"/>
      <c r="L229" s="51"/>
      <c r="M229" s="67"/>
      <c r="N229" s="81"/>
      <c r="O229" s="37"/>
      <c r="P229" s="109"/>
      <c r="Q229" s="60">
        <v>5</v>
      </c>
      <c r="R229" s="51">
        <v>96.22</v>
      </c>
      <c r="S229" s="58"/>
      <c r="T229" s="54"/>
      <c r="U229" s="113">
        <v>89.584137931034491</v>
      </c>
      <c r="V229" s="112"/>
      <c r="W229" s="257"/>
      <c r="X229" s="127">
        <v>99.585000000000008</v>
      </c>
      <c r="Y229" s="148"/>
      <c r="Z229" s="257"/>
      <c r="AA229" s="113">
        <v>89.584137931034491</v>
      </c>
      <c r="AB229" s="68"/>
      <c r="AC229" s="259"/>
      <c r="AD229" s="113">
        <v>82.948275862068968</v>
      </c>
      <c r="AE229" s="68"/>
      <c r="AF229" s="261"/>
      <c r="AG229" s="261">
        <v>96.22</v>
      </c>
      <c r="AH229" s="68"/>
      <c r="AI229" s="279"/>
      <c r="AJ229" s="113">
        <v>82.948275862068968</v>
      </c>
      <c r="AK229" s="276"/>
      <c r="AL229" s="252">
        <f t="shared" si="130"/>
        <v>5</v>
      </c>
      <c r="AM229" s="15">
        <f>AN126</f>
        <v>0</v>
      </c>
      <c r="AN229" s="39">
        <f t="shared" si="131"/>
        <v>5</v>
      </c>
      <c r="AO229" s="172">
        <f t="shared" si="129"/>
        <v>414.74137931034483</v>
      </c>
      <c r="AP229" s="9"/>
      <c r="AQ229" s="143"/>
      <c r="AR229" s="143"/>
      <c r="AS229" s="143"/>
      <c r="AT229" s="143"/>
      <c r="AU229" s="143"/>
      <c r="AV229" s="143"/>
      <c r="AW229" s="143"/>
      <c r="AX229" s="143"/>
      <c r="AY229" s="143"/>
      <c r="AZ229" s="143"/>
      <c r="BA229" s="143"/>
      <c r="BB229" s="143"/>
    </row>
    <row r="230" spans="1:54" ht="15.75" x14ac:dyDescent="0.25">
      <c r="A230" s="42"/>
      <c r="C230" s="652" t="s">
        <v>99</v>
      </c>
      <c r="D230" s="644"/>
      <c r="E230" s="644"/>
      <c r="F230" s="644"/>
      <c r="G230" s="644"/>
      <c r="H230" s="653"/>
      <c r="I230" s="295"/>
      <c r="J230" s="296">
        <f t="shared" si="132"/>
        <v>0</v>
      </c>
      <c r="K230" s="60"/>
      <c r="L230" s="51"/>
      <c r="M230" s="67"/>
      <c r="N230" s="81"/>
      <c r="O230" s="37"/>
      <c r="P230" s="109"/>
      <c r="Q230" s="60">
        <v>5</v>
      </c>
      <c r="R230" s="51">
        <v>106.71</v>
      </c>
      <c r="S230" s="68">
        <v>1</v>
      </c>
      <c r="T230" s="54"/>
      <c r="U230" s="113">
        <v>99.350689655172417</v>
      </c>
      <c r="V230" s="112"/>
      <c r="W230" s="257"/>
      <c r="X230" s="127">
        <v>110.44800000000001</v>
      </c>
      <c r="Y230" s="148"/>
      <c r="Z230" s="257"/>
      <c r="AA230" s="113">
        <v>99.350689655172417</v>
      </c>
      <c r="AB230" s="68"/>
      <c r="AC230" s="259"/>
      <c r="AD230" s="113">
        <v>91.991379310344826</v>
      </c>
      <c r="AE230" s="68"/>
      <c r="AF230" s="261"/>
      <c r="AG230" s="261">
        <v>106.71</v>
      </c>
      <c r="AH230" s="68"/>
      <c r="AI230" s="279"/>
      <c r="AJ230" s="113">
        <v>91.991379310344826</v>
      </c>
      <c r="AK230" s="276"/>
      <c r="AL230" s="252">
        <f t="shared" si="130"/>
        <v>5</v>
      </c>
      <c r="AM230" s="15">
        <f>AN127</f>
        <v>2</v>
      </c>
      <c r="AN230" s="39">
        <f t="shared" si="131"/>
        <v>3</v>
      </c>
      <c r="AO230" s="172">
        <f t="shared" si="129"/>
        <v>275.97413793103448</v>
      </c>
      <c r="AP230" s="9"/>
      <c r="AQ230" s="143"/>
      <c r="AR230" s="143"/>
      <c r="AS230" s="143"/>
      <c r="AT230" s="143"/>
      <c r="AU230" s="143"/>
      <c r="AV230" s="143"/>
      <c r="AW230" s="143"/>
      <c r="AX230" s="143"/>
      <c r="AY230" s="143"/>
      <c r="AZ230" s="143"/>
      <c r="BA230" s="143"/>
      <c r="BB230" s="143"/>
    </row>
    <row r="231" spans="1:54" ht="15.75" x14ac:dyDescent="0.25">
      <c r="A231" s="42"/>
      <c r="C231" s="652" t="s">
        <v>100</v>
      </c>
      <c r="D231" s="644"/>
      <c r="E231" s="644"/>
      <c r="F231" s="644"/>
      <c r="G231" s="644"/>
      <c r="H231" s="653"/>
      <c r="I231" s="295"/>
      <c r="J231" s="296">
        <f t="shared" si="132"/>
        <v>0</v>
      </c>
      <c r="K231" s="60"/>
      <c r="L231" s="51"/>
      <c r="M231" s="67"/>
      <c r="N231" s="81"/>
      <c r="O231" s="37"/>
      <c r="P231" s="109"/>
      <c r="Q231" s="60">
        <v>5</v>
      </c>
      <c r="R231" s="51">
        <v>101.44</v>
      </c>
      <c r="S231" s="68">
        <v>4</v>
      </c>
      <c r="T231" s="54"/>
      <c r="U231" s="113">
        <v>94.44413793103449</v>
      </c>
      <c r="V231" s="112"/>
      <c r="W231" s="257"/>
      <c r="X231" s="127">
        <v>104.994</v>
      </c>
      <c r="Y231" s="148"/>
      <c r="Z231" s="257"/>
      <c r="AA231" s="113">
        <v>94.44413793103449</v>
      </c>
      <c r="AB231" s="68"/>
      <c r="AC231" s="259"/>
      <c r="AD231" s="113">
        <v>87.448275862068968</v>
      </c>
      <c r="AE231" s="68"/>
      <c r="AF231" s="261"/>
      <c r="AG231" s="261">
        <v>101.44</v>
      </c>
      <c r="AH231" s="68"/>
      <c r="AI231" s="279"/>
      <c r="AJ231" s="113">
        <v>87.448275862068968</v>
      </c>
      <c r="AK231" s="276"/>
      <c r="AL231" s="252">
        <f t="shared" si="130"/>
        <v>5</v>
      </c>
      <c r="AM231" s="15">
        <f>AN128</f>
        <v>5</v>
      </c>
      <c r="AN231" s="39">
        <f t="shared" si="131"/>
        <v>0</v>
      </c>
      <c r="AO231" s="172">
        <f t="shared" si="129"/>
        <v>0</v>
      </c>
      <c r="AP231" s="9"/>
      <c r="AQ231" s="143"/>
      <c r="AR231" s="143"/>
      <c r="AS231" s="143"/>
      <c r="AT231" s="143"/>
      <c r="AU231" s="143"/>
      <c r="AV231" s="143"/>
      <c r="AW231" s="143"/>
      <c r="AX231" s="143"/>
      <c r="AY231" s="143"/>
      <c r="AZ231" s="143"/>
      <c r="BA231" s="143"/>
      <c r="BB231" s="143"/>
    </row>
    <row r="232" spans="1:54" ht="15.75" x14ac:dyDescent="0.25">
      <c r="A232" s="42"/>
      <c r="C232" s="652" t="s">
        <v>101</v>
      </c>
      <c r="D232" s="644"/>
      <c r="E232" s="644"/>
      <c r="F232" s="644"/>
      <c r="G232" s="644"/>
      <c r="H232" s="653"/>
      <c r="I232" s="295"/>
      <c r="J232" s="296">
        <f t="shared" si="132"/>
        <v>0</v>
      </c>
      <c r="K232" s="60"/>
      <c r="L232" s="51"/>
      <c r="M232" s="67"/>
      <c r="N232" s="81"/>
      <c r="O232" s="37"/>
      <c r="P232" s="109"/>
      <c r="Q232" s="60">
        <v>5</v>
      </c>
      <c r="R232" s="51">
        <v>98.59</v>
      </c>
      <c r="S232" s="68">
        <v>1</v>
      </c>
      <c r="T232" s="54"/>
      <c r="U232" s="113">
        <v>91.790689655172429</v>
      </c>
      <c r="V232" s="112"/>
      <c r="W232" s="257"/>
      <c r="X232" s="127">
        <v>102.04199999999999</v>
      </c>
      <c r="Y232" s="148"/>
      <c r="Z232" s="257"/>
      <c r="AA232" s="113">
        <v>91.790689655172429</v>
      </c>
      <c r="AB232" s="68"/>
      <c r="AC232" s="259"/>
      <c r="AD232" s="113">
        <v>84.99137931034484</v>
      </c>
      <c r="AE232" s="68"/>
      <c r="AF232" s="261"/>
      <c r="AG232" s="261">
        <v>98.59</v>
      </c>
      <c r="AH232" s="68"/>
      <c r="AI232" s="279"/>
      <c r="AJ232" s="113">
        <v>84.99137931034484</v>
      </c>
      <c r="AK232" s="276"/>
      <c r="AL232" s="252">
        <f t="shared" si="130"/>
        <v>5</v>
      </c>
      <c r="AM232" s="15">
        <f>AN129</f>
        <v>2</v>
      </c>
      <c r="AN232" s="39">
        <f t="shared" si="131"/>
        <v>3</v>
      </c>
      <c r="AO232" s="172">
        <f t="shared" si="129"/>
        <v>254.97413793103453</v>
      </c>
      <c r="AP232" s="9"/>
      <c r="AQ232" s="143"/>
      <c r="AR232" s="143"/>
      <c r="AS232" s="143"/>
      <c r="AT232" s="143"/>
      <c r="AU232" s="143"/>
      <c r="AV232" s="143"/>
      <c r="AW232" s="143"/>
      <c r="AX232" s="143"/>
      <c r="AY232" s="143"/>
      <c r="AZ232" s="143"/>
      <c r="BA232" s="143"/>
      <c r="BB232" s="143"/>
    </row>
    <row r="233" spans="1:54" ht="15.75" x14ac:dyDescent="0.25">
      <c r="A233" s="42"/>
      <c r="C233" s="652" t="s">
        <v>53</v>
      </c>
      <c r="D233" s="644"/>
      <c r="E233" s="644"/>
      <c r="F233" s="644"/>
      <c r="G233" s="644"/>
      <c r="H233" s="653"/>
      <c r="I233" s="295"/>
      <c r="J233" s="296">
        <f t="shared" si="132"/>
        <v>0</v>
      </c>
      <c r="K233" s="60"/>
      <c r="L233" s="51"/>
      <c r="M233" s="58"/>
      <c r="N233" s="81">
        <v>5</v>
      </c>
      <c r="O233" s="37">
        <v>20.67</v>
      </c>
      <c r="P233" s="110">
        <v>4</v>
      </c>
      <c r="Q233" s="60"/>
      <c r="R233" s="51">
        <v>21.91</v>
      </c>
      <c r="S233" s="58"/>
      <c r="T233" s="54"/>
      <c r="U233" s="113">
        <v>20.398965517241383</v>
      </c>
      <c r="V233" s="112"/>
      <c r="W233" s="257"/>
      <c r="X233" s="127">
        <v>21.111840000000001</v>
      </c>
      <c r="Y233" s="148"/>
      <c r="Z233" s="257"/>
      <c r="AA233" s="113">
        <v>20.398965517241383</v>
      </c>
      <c r="AB233" s="68"/>
      <c r="AC233" s="259"/>
      <c r="AD233" s="113">
        <v>18.887931034482762</v>
      </c>
      <c r="AE233" s="68"/>
      <c r="AF233" s="261"/>
      <c r="AG233" s="261">
        <v>21.91</v>
      </c>
      <c r="AH233" s="68"/>
      <c r="AI233" s="279"/>
      <c r="AJ233" s="113">
        <v>18.887931034482762</v>
      </c>
      <c r="AK233" s="276"/>
      <c r="AL233" s="252">
        <f t="shared" si="130"/>
        <v>5</v>
      </c>
      <c r="AM233" s="15">
        <f>AN130</f>
        <v>4</v>
      </c>
      <c r="AN233" s="39">
        <f t="shared" si="131"/>
        <v>1</v>
      </c>
      <c r="AO233" s="172">
        <f t="shared" si="129"/>
        <v>18.887931034482762</v>
      </c>
      <c r="AP233" s="9"/>
      <c r="AQ233" s="12"/>
      <c r="AR233" s="12"/>
      <c r="AS233" s="12"/>
      <c r="AT233" s="12"/>
      <c r="AU233" s="12"/>
      <c r="AV233" s="12"/>
      <c r="AW233" s="12"/>
      <c r="AX233" s="12"/>
      <c r="AY233" s="12"/>
    </row>
    <row r="234" spans="1:54" ht="16.5" thickBot="1" x14ac:dyDescent="0.3">
      <c r="A234" s="42"/>
      <c r="C234" s="717" t="s">
        <v>232</v>
      </c>
      <c r="D234" s="718"/>
      <c r="E234" s="718"/>
      <c r="F234" s="718"/>
      <c r="G234" s="718"/>
      <c r="H234" s="719"/>
      <c r="I234" s="297"/>
      <c r="J234" s="296">
        <f t="shared" si="132"/>
        <v>0</v>
      </c>
      <c r="K234" s="61"/>
      <c r="L234" s="57"/>
      <c r="M234" s="59"/>
      <c r="N234" s="62"/>
      <c r="O234" s="56"/>
      <c r="P234" s="111"/>
      <c r="Q234" s="61"/>
      <c r="R234" s="57"/>
      <c r="S234" s="59"/>
      <c r="T234" s="55"/>
      <c r="U234" s="154"/>
      <c r="V234" s="155"/>
      <c r="W234" s="258">
        <v>5</v>
      </c>
      <c r="X234" s="128">
        <v>32.348160000000007</v>
      </c>
      <c r="Y234" s="147">
        <v>5</v>
      </c>
      <c r="Z234" s="258"/>
      <c r="AA234" s="154"/>
      <c r="AB234" s="157"/>
      <c r="AC234" s="260">
        <v>10</v>
      </c>
      <c r="AD234" s="154">
        <v>28.94</v>
      </c>
      <c r="AE234" s="157"/>
      <c r="AF234" s="261"/>
      <c r="AG234" s="261">
        <v>33.570399999999999</v>
      </c>
      <c r="AH234" s="68"/>
      <c r="AI234" s="280"/>
      <c r="AJ234" s="154">
        <v>28.94</v>
      </c>
      <c r="AK234" s="278"/>
      <c r="AL234" s="252">
        <f t="shared" si="130"/>
        <v>15</v>
      </c>
      <c r="AM234" s="63">
        <f>AN174</f>
        <v>16</v>
      </c>
      <c r="AN234" s="156">
        <f>AL234-AM234</f>
        <v>-1</v>
      </c>
      <c r="AO234" s="172">
        <f t="shared" si="129"/>
        <v>-28.94</v>
      </c>
      <c r="AP234" s="9"/>
      <c r="AQ234" s="12"/>
      <c r="AR234" s="12"/>
      <c r="AS234" s="12"/>
      <c r="AT234" s="12"/>
      <c r="AU234" s="12"/>
      <c r="AV234" s="12"/>
      <c r="AW234" s="12"/>
      <c r="AX234" s="12"/>
      <c r="AY234" s="12"/>
    </row>
    <row r="235" spans="1:54" x14ac:dyDescent="0.25">
      <c r="A235" s="42"/>
      <c r="C235" s="70"/>
      <c r="D235" s="26"/>
      <c r="E235" s="26"/>
      <c r="F235" s="26"/>
      <c r="G235" s="26"/>
      <c r="H235" s="26"/>
      <c r="I235" s="14"/>
      <c r="J235" s="14"/>
      <c r="K235" s="14"/>
      <c r="L235" s="14"/>
      <c r="M235" s="14"/>
      <c r="N235" s="14"/>
      <c r="O235" s="14"/>
      <c r="P235" s="14"/>
      <c r="Q235" s="14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272"/>
      <c r="AH235" s="272"/>
      <c r="AI235" s="272"/>
      <c r="AM235" s="86">
        <f>SUM(AO212:AO234)</f>
        <v>5091.3013793103464</v>
      </c>
    </row>
    <row r="236" spans="1:54" x14ac:dyDescent="0.25">
      <c r="A236" s="42"/>
      <c r="C236" s="26"/>
      <c r="D236" s="26"/>
      <c r="E236" s="26"/>
      <c r="F236" s="26"/>
      <c r="G236" s="26"/>
      <c r="H236" s="26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AH236" s="14"/>
      <c r="AI236" s="14"/>
      <c r="AJ236" s="14"/>
      <c r="AK236" s="14"/>
    </row>
    <row r="237" spans="1:54" ht="18.75" x14ac:dyDescent="0.25">
      <c r="A237" s="42"/>
      <c r="C237" s="750" t="s">
        <v>81</v>
      </c>
      <c r="D237" s="750"/>
      <c r="E237" s="750"/>
      <c r="F237" s="750"/>
      <c r="G237" s="750"/>
      <c r="H237" s="750"/>
      <c r="I237" s="750"/>
      <c r="J237" s="750"/>
      <c r="K237" s="750"/>
      <c r="L237" s="750"/>
      <c r="M237" s="750"/>
      <c r="N237" s="750"/>
      <c r="O237" s="750"/>
      <c r="P237" s="750"/>
      <c r="Q237" s="124"/>
      <c r="R237" s="124"/>
      <c r="S237" s="124"/>
      <c r="T237" s="124"/>
      <c r="U237" s="124"/>
      <c r="V237" s="12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</row>
    <row r="238" spans="1:54" ht="24" x14ac:dyDescent="0.25">
      <c r="A238" s="42"/>
      <c r="C238" s="735" t="s">
        <v>2</v>
      </c>
      <c r="D238" s="735"/>
      <c r="E238" s="735"/>
      <c r="F238" s="735"/>
      <c r="G238" s="735"/>
      <c r="H238" s="121"/>
      <c r="I238" s="71">
        <v>1</v>
      </c>
      <c r="J238" s="120" t="s">
        <v>87</v>
      </c>
      <c r="K238" s="66" t="s">
        <v>86</v>
      </c>
      <c r="L238" s="122" t="s">
        <v>77</v>
      </c>
      <c r="M238" s="41" t="s">
        <v>78</v>
      </c>
      <c r="N238" s="41" t="s">
        <v>79</v>
      </c>
      <c r="O238" s="123" t="s">
        <v>94</v>
      </c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8"/>
      <c r="AI238" s="8"/>
      <c r="AJ238" s="8"/>
    </row>
    <row r="239" spans="1:54" x14ac:dyDescent="0.25">
      <c r="A239" s="42"/>
      <c r="C239" s="644" t="s">
        <v>14</v>
      </c>
      <c r="D239" s="644"/>
      <c r="E239" s="644"/>
      <c r="F239" s="644"/>
      <c r="G239" s="644"/>
      <c r="H239" s="644"/>
      <c r="I239" s="28">
        <v>9</v>
      </c>
      <c r="J239" s="28">
        <v>75</v>
      </c>
      <c r="K239" s="76">
        <v>7</v>
      </c>
      <c r="L239" s="52">
        <f t="shared" ref="L239:L244" si="133">I239</f>
        <v>9</v>
      </c>
      <c r="M239" s="15">
        <f>AN131</f>
        <v>8</v>
      </c>
      <c r="N239" s="69">
        <f t="shared" ref="N239:N244" si="134">L239-M239</f>
        <v>1</v>
      </c>
      <c r="O239" s="13">
        <f t="shared" ref="O239:O244" si="135">N239*J239</f>
        <v>75</v>
      </c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8"/>
      <c r="AI239" s="8"/>
      <c r="AJ239" s="8"/>
    </row>
    <row r="240" spans="1:54" x14ac:dyDescent="0.25">
      <c r="A240" s="42"/>
      <c r="C240" s="644" t="s">
        <v>15</v>
      </c>
      <c r="D240" s="644"/>
      <c r="E240" s="644"/>
      <c r="F240" s="644"/>
      <c r="G240" s="644"/>
      <c r="H240" s="644"/>
      <c r="I240" s="28">
        <v>10</v>
      </c>
      <c r="J240" s="28">
        <v>80</v>
      </c>
      <c r="K240" s="76">
        <v>8</v>
      </c>
      <c r="L240" s="52">
        <f t="shared" si="133"/>
        <v>10</v>
      </c>
      <c r="M240" s="15">
        <f>AN132</f>
        <v>8</v>
      </c>
      <c r="N240" s="69">
        <f t="shared" si="134"/>
        <v>2</v>
      </c>
      <c r="O240" s="13">
        <f t="shared" si="135"/>
        <v>160</v>
      </c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8"/>
      <c r="AI240" s="8"/>
      <c r="AJ240" s="8"/>
    </row>
    <row r="241" spans="1:38" x14ac:dyDescent="0.25">
      <c r="A241" s="42"/>
      <c r="C241" s="644" t="s">
        <v>16</v>
      </c>
      <c r="D241" s="644"/>
      <c r="E241" s="644"/>
      <c r="F241" s="644"/>
      <c r="G241" s="644"/>
      <c r="H241" s="644"/>
      <c r="I241" s="28">
        <v>6</v>
      </c>
      <c r="J241" s="28">
        <v>120</v>
      </c>
      <c r="K241" s="76">
        <v>4</v>
      </c>
      <c r="L241" s="52">
        <f t="shared" si="133"/>
        <v>6</v>
      </c>
      <c r="M241" s="15">
        <f>AN133</f>
        <v>4</v>
      </c>
      <c r="N241" s="69">
        <f t="shared" si="134"/>
        <v>2</v>
      </c>
      <c r="O241" s="13">
        <f t="shared" si="135"/>
        <v>240</v>
      </c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8"/>
      <c r="AI241" s="8"/>
      <c r="AJ241" s="8"/>
    </row>
    <row r="242" spans="1:38" x14ac:dyDescent="0.25">
      <c r="A242" s="42"/>
      <c r="C242" s="644" t="s">
        <v>17</v>
      </c>
      <c r="D242" s="644"/>
      <c r="E242" s="644"/>
      <c r="F242" s="644"/>
      <c r="G242" s="644"/>
      <c r="H242" s="642"/>
      <c r="I242" s="28">
        <v>3</v>
      </c>
      <c r="J242" s="28">
        <v>120</v>
      </c>
      <c r="K242" s="76">
        <v>0</v>
      </c>
      <c r="L242" s="52">
        <f t="shared" si="133"/>
        <v>3</v>
      </c>
      <c r="M242" s="15">
        <f>AN135</f>
        <v>0</v>
      </c>
      <c r="N242" s="69">
        <f t="shared" si="134"/>
        <v>3</v>
      </c>
      <c r="O242" s="13">
        <f t="shared" si="135"/>
        <v>360</v>
      </c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8"/>
      <c r="AI242" s="8"/>
      <c r="AJ242" s="8"/>
    </row>
    <row r="243" spans="1:38" x14ac:dyDescent="0.25">
      <c r="A243" s="42"/>
      <c r="C243" s="644" t="s">
        <v>18</v>
      </c>
      <c r="D243" s="644"/>
      <c r="E243" s="644"/>
      <c r="F243" s="644"/>
      <c r="G243" s="644"/>
      <c r="H243" s="642"/>
      <c r="I243" s="28">
        <v>2</v>
      </c>
      <c r="J243" s="28">
        <v>210</v>
      </c>
      <c r="K243" s="76">
        <v>1</v>
      </c>
      <c r="L243" s="52">
        <f t="shared" si="133"/>
        <v>2</v>
      </c>
      <c r="M243" s="15">
        <f>AN137</f>
        <v>1</v>
      </c>
      <c r="N243" s="69">
        <f t="shared" si="134"/>
        <v>1</v>
      </c>
      <c r="O243" s="13">
        <f t="shared" si="135"/>
        <v>210</v>
      </c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8"/>
      <c r="AI243" s="8"/>
      <c r="AJ243" s="8"/>
    </row>
    <row r="244" spans="1:38" x14ac:dyDescent="0.25">
      <c r="A244" s="42"/>
      <c r="C244" s="644" t="s">
        <v>19</v>
      </c>
      <c r="D244" s="644"/>
      <c r="E244" s="644"/>
      <c r="F244" s="644"/>
      <c r="G244" s="644"/>
      <c r="H244" s="642"/>
      <c r="I244" s="28">
        <v>1</v>
      </c>
      <c r="J244" s="28">
        <v>250</v>
      </c>
      <c r="K244" s="76">
        <v>0</v>
      </c>
      <c r="L244" s="52">
        <f t="shared" si="133"/>
        <v>1</v>
      </c>
      <c r="M244" s="15">
        <f>AN138</f>
        <v>0</v>
      </c>
      <c r="N244" s="69">
        <f t="shared" si="134"/>
        <v>1</v>
      </c>
      <c r="O244" s="13">
        <f t="shared" si="135"/>
        <v>250</v>
      </c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8"/>
      <c r="AI244" s="8"/>
      <c r="AJ244" s="8"/>
    </row>
    <row r="245" spans="1:38" x14ac:dyDescent="0.25">
      <c r="A245" s="42"/>
      <c r="C245" s="70"/>
      <c r="D245" s="26"/>
      <c r="E245" s="26"/>
      <c r="F245" s="26"/>
      <c r="G245" s="26"/>
      <c r="H245" s="26"/>
      <c r="I245" s="14"/>
      <c r="J245" s="14"/>
      <c r="K245" s="14"/>
      <c r="L245" s="14"/>
      <c r="M245" s="14"/>
      <c r="N245" s="14"/>
      <c r="O245" s="11">
        <f>SUM(O239:O244)</f>
        <v>1295</v>
      </c>
      <c r="P245" s="14"/>
      <c r="Q245" s="14"/>
      <c r="R245" s="14"/>
      <c r="S245" s="14"/>
      <c r="T245" s="14"/>
      <c r="U245" s="14"/>
      <c r="V245" s="8"/>
      <c r="W245" s="8"/>
      <c r="X245" s="8"/>
    </row>
    <row r="246" spans="1:38" x14ac:dyDescent="0.25">
      <c r="A246" s="42"/>
      <c r="C246" s="70"/>
      <c r="D246" s="26"/>
      <c r="E246" s="26"/>
      <c r="F246" s="26"/>
      <c r="G246" s="26"/>
      <c r="H246" s="26"/>
      <c r="I246" s="14"/>
      <c r="J246" s="14"/>
      <c r="K246" s="14"/>
      <c r="L246" s="14"/>
      <c r="M246" s="14"/>
      <c r="N246" s="14"/>
      <c r="O246" s="14"/>
      <c r="P246" s="79"/>
      <c r="Q246" s="14"/>
      <c r="R246" s="14"/>
      <c r="S246" s="14"/>
      <c r="T246" s="14"/>
      <c r="U246" s="14"/>
      <c r="V246" s="14"/>
      <c r="W246" s="8"/>
      <c r="X246" s="8"/>
      <c r="Y246" s="8"/>
    </row>
    <row r="247" spans="1:38" x14ac:dyDescent="0.25">
      <c r="A247" s="42"/>
      <c r="C247" s="70"/>
      <c r="D247" s="26"/>
      <c r="E247" s="26"/>
      <c r="F247" s="26"/>
      <c r="G247" s="26"/>
      <c r="H247" s="26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79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8"/>
      <c r="AK247" s="8"/>
      <c r="AL247" s="8"/>
    </row>
    <row r="248" spans="1:38" x14ac:dyDescent="0.25">
      <c r="A248" s="42"/>
      <c r="C248" s="70"/>
      <c r="D248" s="26"/>
      <c r="E248" s="26"/>
      <c r="F248" s="26"/>
      <c r="G248" s="26"/>
      <c r="H248" s="26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79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8"/>
      <c r="AK248" s="8"/>
      <c r="AL248" s="8"/>
    </row>
    <row r="249" spans="1:38" ht="18.75" x14ac:dyDescent="0.25">
      <c r="A249" s="42"/>
      <c r="C249" s="750" t="s">
        <v>179</v>
      </c>
      <c r="D249" s="750"/>
      <c r="E249" s="750"/>
      <c r="F249" s="750"/>
      <c r="G249" s="750"/>
      <c r="H249" s="750"/>
      <c r="I249" s="750"/>
      <c r="J249" s="750"/>
      <c r="K249" s="750"/>
      <c r="L249" s="750"/>
      <c r="M249" s="750"/>
      <c r="N249" s="750"/>
      <c r="O249" s="750"/>
      <c r="P249" s="750"/>
      <c r="Q249" s="124"/>
      <c r="R249" s="124"/>
      <c r="S249" s="124"/>
      <c r="T249" s="124"/>
      <c r="U249" s="124"/>
      <c r="V249" s="124"/>
      <c r="W249" s="79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8"/>
      <c r="AK249" s="8"/>
      <c r="AL249" s="8"/>
    </row>
    <row r="250" spans="1:38" ht="24" x14ac:dyDescent="0.25">
      <c r="A250" s="42"/>
      <c r="C250" s="735" t="s">
        <v>2</v>
      </c>
      <c r="D250" s="735"/>
      <c r="E250" s="735"/>
      <c r="F250" s="735"/>
      <c r="G250" s="735"/>
      <c r="H250" s="121"/>
      <c r="I250" s="71">
        <v>1</v>
      </c>
      <c r="J250" s="120" t="s">
        <v>87</v>
      </c>
      <c r="K250" s="66" t="s">
        <v>86</v>
      </c>
      <c r="L250" s="71">
        <v>2</v>
      </c>
      <c r="M250" s="120" t="s">
        <v>87</v>
      </c>
      <c r="N250" s="66" t="s">
        <v>86</v>
      </c>
      <c r="O250" s="122" t="s">
        <v>77</v>
      </c>
      <c r="P250" s="41" t="s">
        <v>78</v>
      </c>
      <c r="Q250" s="41" t="s">
        <v>79</v>
      </c>
      <c r="R250" s="123" t="s">
        <v>94</v>
      </c>
      <c r="S250" s="14"/>
      <c r="T250" s="14"/>
      <c r="U250" s="14"/>
      <c r="V250" s="14"/>
      <c r="W250" s="14"/>
      <c r="X250" s="14"/>
      <c r="Y250" s="8"/>
      <c r="Z250" s="8"/>
      <c r="AA250" s="8"/>
      <c r="AB250" s="8"/>
      <c r="AC250" s="8"/>
      <c r="AD250" s="8"/>
      <c r="AE250" s="8"/>
      <c r="AF250" s="8"/>
      <c r="AG250" s="8"/>
    </row>
    <row r="251" spans="1:38" x14ac:dyDescent="0.25">
      <c r="A251" s="42"/>
      <c r="C251" s="644" t="s">
        <v>16</v>
      </c>
      <c r="D251" s="644"/>
      <c r="E251" s="644"/>
      <c r="F251" s="644"/>
      <c r="G251" s="644"/>
      <c r="H251" s="644"/>
      <c r="I251" s="28">
        <v>31</v>
      </c>
      <c r="J251" s="28">
        <v>80</v>
      </c>
      <c r="K251" s="76">
        <v>25</v>
      </c>
      <c r="L251" s="28"/>
      <c r="M251" s="28">
        <v>70</v>
      </c>
      <c r="N251" s="76"/>
      <c r="O251" s="52">
        <f>I251+L251</f>
        <v>31</v>
      </c>
      <c r="P251" s="15">
        <f>AN134</f>
        <v>28</v>
      </c>
      <c r="Q251" s="69">
        <f>O251-P251</f>
        <v>3</v>
      </c>
      <c r="R251" s="13">
        <f>Q251*J251</f>
        <v>240</v>
      </c>
      <c r="S251" s="14"/>
      <c r="T251" s="14"/>
      <c r="U251" s="14"/>
      <c r="V251" s="14"/>
      <c r="W251" s="14"/>
      <c r="X251" s="14"/>
      <c r="Y251" s="8"/>
      <c r="Z251" s="8"/>
      <c r="AA251" s="8"/>
      <c r="AB251" s="8"/>
      <c r="AC251" s="8"/>
      <c r="AD251" s="8"/>
      <c r="AE251" s="8"/>
      <c r="AF251" s="8"/>
      <c r="AG251" s="8"/>
    </row>
    <row r="252" spans="1:38" x14ac:dyDescent="0.25">
      <c r="A252" s="42"/>
      <c r="C252" s="644" t="s">
        <v>93</v>
      </c>
      <c r="D252" s="644"/>
      <c r="E252" s="644"/>
      <c r="F252" s="644"/>
      <c r="G252" s="644"/>
      <c r="H252" s="644"/>
      <c r="I252" s="28">
        <v>25</v>
      </c>
      <c r="J252" s="28">
        <v>80</v>
      </c>
      <c r="K252" s="76">
        <v>22</v>
      </c>
      <c r="L252" s="28">
        <v>13</v>
      </c>
      <c r="M252" s="28">
        <v>70</v>
      </c>
      <c r="N252" s="76"/>
      <c r="O252" s="52">
        <f>I252+L252</f>
        <v>38</v>
      </c>
      <c r="P252" s="15">
        <f>AN136</f>
        <v>25</v>
      </c>
      <c r="Q252" s="69">
        <f>O252-P252</f>
        <v>13</v>
      </c>
      <c r="R252" s="13">
        <f>Q252*J252</f>
        <v>1040</v>
      </c>
      <c r="S252" s="14"/>
      <c r="T252" s="14"/>
      <c r="U252" s="14"/>
      <c r="V252" s="14"/>
      <c r="W252" s="14"/>
      <c r="X252" s="14"/>
      <c r="Y252" s="8"/>
      <c r="Z252" s="8"/>
      <c r="AA252" s="8"/>
      <c r="AB252" s="8"/>
      <c r="AC252" s="8"/>
      <c r="AD252" s="8"/>
      <c r="AE252" s="8"/>
      <c r="AF252" s="8"/>
      <c r="AG252" s="8"/>
    </row>
    <row r="253" spans="1:38" x14ac:dyDescent="0.25">
      <c r="A253" s="42"/>
      <c r="C253" s="70"/>
      <c r="D253" s="26"/>
      <c r="E253" s="26"/>
      <c r="F253" s="26"/>
      <c r="G253" s="26"/>
      <c r="H253" s="26"/>
      <c r="I253" s="26"/>
      <c r="J253" s="26"/>
      <c r="K253" s="26"/>
      <c r="L253" s="14"/>
      <c r="M253" s="14"/>
      <c r="N253" s="14"/>
      <c r="O253" s="14"/>
      <c r="P253" s="14"/>
      <c r="Q253" s="14"/>
      <c r="R253" s="11">
        <f>SUM(R251:R252)</f>
        <v>1280</v>
      </c>
      <c r="S253" s="14"/>
      <c r="T253" s="14"/>
      <c r="U253" s="14"/>
      <c r="V253" s="14"/>
      <c r="W253" s="14"/>
      <c r="X253" s="14"/>
      <c r="Y253" s="8"/>
      <c r="Z253" s="8"/>
      <c r="AA253" s="8"/>
      <c r="AB253" s="8"/>
      <c r="AC253" s="8"/>
      <c r="AD253" s="8"/>
      <c r="AE253" s="8"/>
      <c r="AF253" s="8"/>
      <c r="AG253" s="8"/>
    </row>
    <row r="254" spans="1:38" x14ac:dyDescent="0.25">
      <c r="A254" s="42"/>
      <c r="C254" s="70"/>
      <c r="D254" s="26"/>
      <c r="E254" s="26"/>
      <c r="F254" s="26"/>
      <c r="G254" s="26"/>
      <c r="H254" s="26"/>
      <c r="I254" s="14"/>
      <c r="J254" s="14"/>
      <c r="K254" s="14"/>
      <c r="L254" s="14"/>
      <c r="M254" s="14"/>
      <c r="N254" s="14"/>
      <c r="O254" s="14"/>
      <c r="P254" s="79"/>
      <c r="Q254" s="14"/>
      <c r="R254" s="14"/>
      <c r="S254" s="14"/>
      <c r="T254" s="14"/>
      <c r="U254" s="14"/>
      <c r="V254" s="14"/>
      <c r="W254" s="8"/>
      <c r="X254" s="8"/>
      <c r="Y254" s="8"/>
    </row>
    <row r="255" spans="1:38" x14ac:dyDescent="0.25">
      <c r="A255" s="42"/>
      <c r="C255" s="70"/>
      <c r="D255" s="26"/>
      <c r="E255" s="26"/>
      <c r="F255" s="26"/>
      <c r="G255" s="26"/>
      <c r="H255" s="26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79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8"/>
      <c r="AK255" s="8"/>
      <c r="AL255" s="8"/>
    </row>
    <row r="256" spans="1:38" x14ac:dyDescent="0.25">
      <c r="A256" s="42"/>
      <c r="C256" s="26"/>
      <c r="D256" s="26"/>
      <c r="E256" s="26"/>
      <c r="F256" s="26"/>
      <c r="G256" s="26"/>
      <c r="H256" s="26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8"/>
      <c r="AK256" s="8"/>
      <c r="AL256" s="8"/>
    </row>
    <row r="257" spans="1:49" ht="18.75" x14ac:dyDescent="0.25">
      <c r="A257" s="42"/>
      <c r="C257" s="750" t="s">
        <v>82</v>
      </c>
      <c r="D257" s="750"/>
      <c r="E257" s="750"/>
      <c r="F257" s="750"/>
      <c r="G257" s="750"/>
      <c r="H257" s="750"/>
      <c r="I257" s="750"/>
      <c r="J257" s="750"/>
      <c r="K257" s="750"/>
      <c r="L257" s="750"/>
      <c r="M257" s="750"/>
      <c r="N257" s="750"/>
      <c r="O257" s="750"/>
      <c r="P257" s="750"/>
      <c r="Q257" s="750"/>
      <c r="R257" s="750"/>
      <c r="S257" s="750"/>
      <c r="T257" s="750"/>
      <c r="U257" s="750"/>
      <c r="V257" s="750"/>
      <c r="W257" s="750"/>
      <c r="X257" s="750"/>
      <c r="Y257" s="750"/>
      <c r="Z257" s="750"/>
      <c r="AA257" s="750"/>
      <c r="AB257" s="750"/>
      <c r="AC257" s="750"/>
      <c r="AD257" s="750"/>
      <c r="AE257" s="750"/>
      <c r="AF257" s="750"/>
      <c r="AG257" s="750"/>
      <c r="AH257" s="14"/>
      <c r="AI257" s="14"/>
      <c r="AJ257" s="8"/>
      <c r="AK257" s="8"/>
      <c r="AL257" s="8"/>
    </row>
    <row r="258" spans="1:49" ht="24" x14ac:dyDescent="0.25">
      <c r="A258" s="42"/>
      <c r="C258" s="735" t="s">
        <v>2</v>
      </c>
      <c r="D258" s="735"/>
      <c r="E258" s="735"/>
      <c r="F258" s="735"/>
      <c r="G258" s="735"/>
      <c r="H258" s="26"/>
      <c r="I258" s="213">
        <v>1</v>
      </c>
      <c r="J258" s="120" t="s">
        <v>87</v>
      </c>
      <c r="K258" s="214" t="s">
        <v>86</v>
      </c>
      <c r="L258" s="215">
        <v>2</v>
      </c>
      <c r="M258" s="65" t="s">
        <v>87</v>
      </c>
      <c r="N258" s="216" t="s">
        <v>203</v>
      </c>
      <c r="O258" s="213">
        <v>3</v>
      </c>
      <c r="P258" s="120" t="s">
        <v>87</v>
      </c>
      <c r="Q258" s="214" t="s">
        <v>86</v>
      </c>
      <c r="R258" s="213">
        <v>4</v>
      </c>
      <c r="S258" s="120" t="s">
        <v>87</v>
      </c>
      <c r="T258" s="214" t="s">
        <v>86</v>
      </c>
      <c r="U258" s="213">
        <v>5</v>
      </c>
      <c r="V258" s="120" t="s">
        <v>87</v>
      </c>
      <c r="W258" s="214" t="s">
        <v>86</v>
      </c>
      <c r="X258" s="213">
        <v>6</v>
      </c>
      <c r="Y258" s="120" t="s">
        <v>87</v>
      </c>
      <c r="Z258" s="214" t="s">
        <v>86</v>
      </c>
      <c r="AA258" s="122" t="s">
        <v>77</v>
      </c>
      <c r="AB258" s="41" t="s">
        <v>78</v>
      </c>
      <c r="AC258" s="41" t="s">
        <v>79</v>
      </c>
      <c r="AD258" s="41" t="s">
        <v>87</v>
      </c>
      <c r="AE258" s="123" t="s">
        <v>94</v>
      </c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8"/>
      <c r="AV258" s="8"/>
      <c r="AW258" s="8"/>
    </row>
    <row r="259" spans="1:49" ht="15.75" x14ac:dyDescent="0.25">
      <c r="A259" s="42"/>
      <c r="C259" s="644" t="s">
        <v>20</v>
      </c>
      <c r="D259" s="644"/>
      <c r="E259" s="644"/>
      <c r="F259" s="644"/>
      <c r="G259" s="644"/>
      <c r="H259" s="642"/>
      <c r="I259" s="199">
        <v>28</v>
      </c>
      <c r="J259" s="28">
        <v>3.45</v>
      </c>
      <c r="K259" s="201">
        <v>28</v>
      </c>
      <c r="L259" s="199"/>
      <c r="M259" s="28"/>
      <c r="N259" s="206"/>
      <c r="O259" s="199"/>
      <c r="P259" s="195">
        <v>4.29</v>
      </c>
      <c r="Q259" s="206"/>
      <c r="R259" s="199"/>
      <c r="S259" s="195">
        <v>4.9400000000000004</v>
      </c>
      <c r="T259" s="112"/>
      <c r="U259" s="199">
        <v>20</v>
      </c>
      <c r="V259" s="195">
        <v>2.83</v>
      </c>
      <c r="W259" s="67">
        <v>21</v>
      </c>
      <c r="X259" s="265">
        <v>40</v>
      </c>
      <c r="Y259" s="265">
        <v>3.23</v>
      </c>
      <c r="Z259" s="147">
        <f>X259*Y259</f>
        <v>129.19999999999999</v>
      </c>
      <c r="AA259" s="52">
        <f>I259+U259+L259+O259+R259+X259</f>
        <v>88</v>
      </c>
      <c r="AB259" s="15">
        <f t="shared" ref="AB259:AB290" si="136">AN139</f>
        <v>49</v>
      </c>
      <c r="AC259" s="39">
        <f>AA259-AB259</f>
        <v>39</v>
      </c>
      <c r="AD259" s="39">
        <v>3.23</v>
      </c>
      <c r="AE259" s="13">
        <f t="shared" ref="AE259:AE292" si="137">AC259*AD259</f>
        <v>125.97</v>
      </c>
      <c r="AF259" s="14">
        <f>AD259/0.7</f>
        <v>4.6142857142857148</v>
      </c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8"/>
      <c r="AV259" s="8"/>
      <c r="AW259" s="8"/>
    </row>
    <row r="260" spans="1:49" ht="15.75" x14ac:dyDescent="0.25">
      <c r="A260" s="42"/>
      <c r="C260" s="644" t="s">
        <v>21</v>
      </c>
      <c r="D260" s="644"/>
      <c r="E260" s="644"/>
      <c r="F260" s="644"/>
      <c r="G260" s="644"/>
      <c r="H260" s="642"/>
      <c r="I260" s="199">
        <v>8</v>
      </c>
      <c r="J260" s="28">
        <v>7.66</v>
      </c>
      <c r="K260" s="201">
        <v>8</v>
      </c>
      <c r="L260" s="199">
        <v>2</v>
      </c>
      <c r="M260" s="28">
        <v>13</v>
      </c>
      <c r="N260" s="201">
        <v>2</v>
      </c>
      <c r="O260" s="199"/>
      <c r="P260" s="195">
        <v>10.130000000000001</v>
      </c>
      <c r="Q260" s="206"/>
      <c r="R260" s="199">
        <v>6</v>
      </c>
      <c r="S260" s="195">
        <v>8.42</v>
      </c>
      <c r="T260" s="194">
        <v>6</v>
      </c>
      <c r="U260" s="199"/>
      <c r="V260" s="195"/>
      <c r="W260" s="68"/>
      <c r="X260" s="265">
        <v>10</v>
      </c>
      <c r="Y260" s="265">
        <v>7.31</v>
      </c>
      <c r="Z260" s="147">
        <f t="shared" ref="Z260:Z292" si="138">X260*Y260</f>
        <v>73.099999999999994</v>
      </c>
      <c r="AA260" s="52">
        <f t="shared" ref="AA260:AA292" si="139">I260+U260+L260+O260+R260+X260</f>
        <v>26</v>
      </c>
      <c r="AB260" s="15">
        <f t="shared" si="136"/>
        <v>18</v>
      </c>
      <c r="AC260" s="39">
        <f>AA260-AB260</f>
        <v>8</v>
      </c>
      <c r="AD260" s="39">
        <v>7.32</v>
      </c>
      <c r="AE260" s="13">
        <f t="shared" si="137"/>
        <v>58.56</v>
      </c>
      <c r="AF260" s="14">
        <f t="shared" ref="AF260:AF290" si="140">AD260/0.7</f>
        <v>10.457142857142859</v>
      </c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8"/>
      <c r="AV260" s="8"/>
      <c r="AW260" s="8"/>
    </row>
    <row r="261" spans="1:49" ht="15.75" x14ac:dyDescent="0.25">
      <c r="A261" s="42"/>
      <c r="C261" s="644" t="s">
        <v>22</v>
      </c>
      <c r="D261" s="644"/>
      <c r="E261" s="644"/>
      <c r="F261" s="644"/>
      <c r="G261" s="644"/>
      <c r="H261" s="642"/>
      <c r="I261" s="199">
        <v>12</v>
      </c>
      <c r="J261" s="28">
        <v>7.81</v>
      </c>
      <c r="K261" s="201">
        <v>12</v>
      </c>
      <c r="L261" s="199"/>
      <c r="M261" s="28"/>
      <c r="N261" s="206"/>
      <c r="O261" s="199"/>
      <c r="P261" s="195">
        <v>9.1</v>
      </c>
      <c r="Q261" s="206"/>
      <c r="R261" s="199"/>
      <c r="S261" s="195">
        <v>8.57</v>
      </c>
      <c r="T261" s="112"/>
      <c r="U261" s="199">
        <v>6</v>
      </c>
      <c r="V261" s="195">
        <v>6.56</v>
      </c>
      <c r="W261" s="68">
        <v>5</v>
      </c>
      <c r="X261" s="265">
        <v>10</v>
      </c>
      <c r="Y261" s="265">
        <v>7.45</v>
      </c>
      <c r="Z261" s="147">
        <f t="shared" si="138"/>
        <v>74.5</v>
      </c>
      <c r="AA261" s="52">
        <f t="shared" si="139"/>
        <v>28</v>
      </c>
      <c r="AB261" s="15">
        <f t="shared" si="136"/>
        <v>18</v>
      </c>
      <c r="AC261" s="39">
        <f t="shared" ref="AC261:AC284" si="141">AA261-AB261</f>
        <v>10</v>
      </c>
      <c r="AD261" s="39">
        <v>7.45</v>
      </c>
      <c r="AE261" s="13">
        <f t="shared" si="137"/>
        <v>74.5</v>
      </c>
      <c r="AF261" s="14">
        <f t="shared" si="140"/>
        <v>10.642857142857144</v>
      </c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8"/>
      <c r="AV261" s="8"/>
      <c r="AW261" s="8"/>
    </row>
    <row r="262" spans="1:49" ht="15.75" x14ac:dyDescent="0.25">
      <c r="A262" s="42"/>
      <c r="C262" s="644" t="s">
        <v>23</v>
      </c>
      <c r="D262" s="644"/>
      <c r="E262" s="644"/>
      <c r="F262" s="644"/>
      <c r="G262" s="644"/>
      <c r="H262" s="642"/>
      <c r="I262" s="199">
        <v>18</v>
      </c>
      <c r="J262" s="28">
        <v>1.9</v>
      </c>
      <c r="K262" s="200">
        <v>11</v>
      </c>
      <c r="L262" s="199"/>
      <c r="M262" s="28"/>
      <c r="N262" s="206"/>
      <c r="O262" s="199"/>
      <c r="P262" s="195">
        <v>2.83</v>
      </c>
      <c r="Q262" s="206"/>
      <c r="R262" s="199"/>
      <c r="S262" s="195">
        <v>2.08</v>
      </c>
      <c r="T262" s="112"/>
      <c r="U262" s="199"/>
      <c r="V262" s="195"/>
      <c r="W262" s="68"/>
      <c r="X262" s="265"/>
      <c r="Y262" s="265"/>
      <c r="Z262" s="147">
        <f t="shared" si="138"/>
        <v>0</v>
      </c>
      <c r="AA262" s="52">
        <f t="shared" si="139"/>
        <v>18</v>
      </c>
      <c r="AB262" s="15">
        <f t="shared" si="136"/>
        <v>11</v>
      </c>
      <c r="AC262" s="39">
        <f t="shared" si="141"/>
        <v>7</v>
      </c>
      <c r="AD262" s="39">
        <v>1.81</v>
      </c>
      <c r="AE262" s="13">
        <f t="shared" si="137"/>
        <v>12.67</v>
      </c>
      <c r="AF262" s="14">
        <f t="shared" si="140"/>
        <v>2.5857142857142859</v>
      </c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8"/>
      <c r="AV262" s="8"/>
      <c r="AW262" s="8"/>
    </row>
    <row r="263" spans="1:49" ht="15.75" x14ac:dyDescent="0.25">
      <c r="A263" s="42"/>
      <c r="C263" s="644" t="s">
        <v>24</v>
      </c>
      <c r="D263" s="644"/>
      <c r="E263" s="644"/>
      <c r="F263" s="644"/>
      <c r="G263" s="644"/>
      <c r="H263" s="642"/>
      <c r="I263" s="199">
        <v>8</v>
      </c>
      <c r="J263" s="28">
        <v>4.29</v>
      </c>
      <c r="K263" s="201">
        <v>8</v>
      </c>
      <c r="L263" s="199"/>
      <c r="M263" s="28"/>
      <c r="N263" s="206"/>
      <c r="O263" s="199"/>
      <c r="P263" s="195">
        <v>6.5</v>
      </c>
      <c r="Q263" s="206"/>
      <c r="R263" s="199"/>
      <c r="S263" s="195">
        <v>4.72</v>
      </c>
      <c r="T263" s="112"/>
      <c r="U263" s="199">
        <v>6</v>
      </c>
      <c r="V263" s="195">
        <v>3.61</v>
      </c>
      <c r="W263" s="67">
        <v>16</v>
      </c>
      <c r="X263" s="265">
        <v>20</v>
      </c>
      <c r="Y263" s="265">
        <v>4.0999999999999996</v>
      </c>
      <c r="Z263" s="147">
        <f t="shared" si="138"/>
        <v>82</v>
      </c>
      <c r="AA263" s="52">
        <f t="shared" si="139"/>
        <v>34</v>
      </c>
      <c r="AB263" s="15">
        <f t="shared" si="136"/>
        <v>24</v>
      </c>
      <c r="AC263" s="39">
        <f t="shared" si="141"/>
        <v>10</v>
      </c>
      <c r="AD263" s="39">
        <v>4.0999999999999996</v>
      </c>
      <c r="AE263" s="13">
        <f t="shared" si="137"/>
        <v>41</v>
      </c>
      <c r="AF263" s="14">
        <f t="shared" si="140"/>
        <v>5.8571428571428568</v>
      </c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8"/>
      <c r="AV263" s="8"/>
      <c r="AW263" s="8"/>
    </row>
    <row r="264" spans="1:49" ht="15.75" x14ac:dyDescent="0.25">
      <c r="A264" s="42"/>
      <c r="C264" s="644" t="s">
        <v>25</v>
      </c>
      <c r="D264" s="644"/>
      <c r="E264" s="644"/>
      <c r="F264" s="644"/>
      <c r="G264" s="644"/>
      <c r="H264" s="642"/>
      <c r="I264" s="199">
        <v>2</v>
      </c>
      <c r="J264" s="28">
        <v>18.059999999999999</v>
      </c>
      <c r="K264" s="201">
        <v>2</v>
      </c>
      <c r="L264" s="199"/>
      <c r="M264" s="28"/>
      <c r="N264" s="206"/>
      <c r="O264" s="199"/>
      <c r="P264" s="195">
        <v>19.940000000000001</v>
      </c>
      <c r="Q264" s="206"/>
      <c r="R264" s="199"/>
      <c r="S264" s="195">
        <v>14.26</v>
      </c>
      <c r="T264" s="112"/>
      <c r="U264" s="199"/>
      <c r="V264" s="195"/>
      <c r="W264" s="68"/>
      <c r="X264" s="265"/>
      <c r="Y264" s="265"/>
      <c r="Z264" s="147">
        <f t="shared" si="138"/>
        <v>0</v>
      </c>
      <c r="AA264" s="52">
        <f t="shared" si="139"/>
        <v>2</v>
      </c>
      <c r="AB264" s="15">
        <f t="shared" si="136"/>
        <v>2</v>
      </c>
      <c r="AC264" s="39">
        <f t="shared" si="141"/>
        <v>0</v>
      </c>
      <c r="AD264" s="39">
        <v>12.4</v>
      </c>
      <c r="AE264" s="13">
        <f t="shared" si="137"/>
        <v>0</v>
      </c>
      <c r="AF264" s="14">
        <f t="shared" si="140"/>
        <v>17.714285714285715</v>
      </c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8"/>
      <c r="AV264" s="8"/>
      <c r="AW264" s="8"/>
    </row>
    <row r="265" spans="1:49" ht="15.75" x14ac:dyDescent="0.25">
      <c r="A265" s="42"/>
      <c r="C265" s="644" t="s">
        <v>26</v>
      </c>
      <c r="D265" s="644"/>
      <c r="E265" s="644"/>
      <c r="F265" s="644"/>
      <c r="G265" s="644"/>
      <c r="H265" s="642"/>
      <c r="I265" s="199">
        <v>2</v>
      </c>
      <c r="J265" s="28">
        <v>22.95</v>
      </c>
      <c r="K265" s="201">
        <v>2</v>
      </c>
      <c r="L265" s="199"/>
      <c r="M265" s="28"/>
      <c r="N265" s="206"/>
      <c r="O265" s="199"/>
      <c r="P265" s="195">
        <v>31.74</v>
      </c>
      <c r="Q265" s="206"/>
      <c r="R265" s="199"/>
      <c r="S265" s="195">
        <v>36.5</v>
      </c>
      <c r="T265" s="112"/>
      <c r="U265" s="199"/>
      <c r="V265" s="195"/>
      <c r="W265" s="68"/>
      <c r="X265" s="265"/>
      <c r="Y265" s="265"/>
      <c r="Z265" s="147">
        <f t="shared" si="138"/>
        <v>0</v>
      </c>
      <c r="AA265" s="52">
        <f t="shared" si="139"/>
        <v>2</v>
      </c>
      <c r="AB265" s="15">
        <f t="shared" si="136"/>
        <v>2</v>
      </c>
      <c r="AC265" s="39">
        <f t="shared" si="141"/>
        <v>0</v>
      </c>
      <c r="AD265" s="39">
        <v>31.74</v>
      </c>
      <c r="AE265" s="13">
        <f t="shared" si="137"/>
        <v>0</v>
      </c>
      <c r="AF265" s="14">
        <f t="shared" si="140"/>
        <v>45.342857142857142</v>
      </c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8"/>
      <c r="AV265" s="8"/>
      <c r="AW265" s="8"/>
    </row>
    <row r="266" spans="1:49" ht="15.75" x14ac:dyDescent="0.25">
      <c r="A266" s="42"/>
      <c r="C266" s="644" t="s">
        <v>27</v>
      </c>
      <c r="D266" s="644"/>
      <c r="E266" s="644"/>
      <c r="F266" s="644"/>
      <c r="G266" s="644"/>
      <c r="H266" s="642"/>
      <c r="I266" s="199">
        <v>6</v>
      </c>
      <c r="J266" s="28">
        <v>95.86</v>
      </c>
      <c r="K266" s="201">
        <v>6</v>
      </c>
      <c r="L266" s="199"/>
      <c r="M266" s="28"/>
      <c r="N266" s="206"/>
      <c r="O266" s="199">
        <v>5</v>
      </c>
      <c r="P266" s="195">
        <v>121.42</v>
      </c>
      <c r="Q266" s="201">
        <v>5</v>
      </c>
      <c r="R266" s="199">
        <v>6</v>
      </c>
      <c r="S266" s="195">
        <v>119.6</v>
      </c>
      <c r="T266" s="194">
        <v>6</v>
      </c>
      <c r="U266" s="199">
        <v>12</v>
      </c>
      <c r="V266" s="195">
        <v>103.99</v>
      </c>
      <c r="W266" s="68">
        <v>9</v>
      </c>
      <c r="X266" s="265">
        <v>5</v>
      </c>
      <c r="Y266" s="265">
        <v>104</v>
      </c>
      <c r="Z266" s="147">
        <f t="shared" si="138"/>
        <v>520</v>
      </c>
      <c r="AA266" s="52">
        <f t="shared" si="139"/>
        <v>34</v>
      </c>
      <c r="AB266" s="15">
        <f t="shared" si="136"/>
        <v>34</v>
      </c>
      <c r="AC266" s="39">
        <f t="shared" si="141"/>
        <v>0</v>
      </c>
      <c r="AD266" s="39">
        <v>104</v>
      </c>
      <c r="AE266" s="13">
        <f t="shared" si="137"/>
        <v>0</v>
      </c>
      <c r="AF266" s="14">
        <f t="shared" si="140"/>
        <v>148.57142857142858</v>
      </c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8"/>
      <c r="AV266" s="8"/>
      <c r="AW266" s="8"/>
    </row>
    <row r="267" spans="1:49" ht="15.75" x14ac:dyDescent="0.25">
      <c r="A267" s="42"/>
      <c r="C267" s="644" t="s">
        <v>28</v>
      </c>
      <c r="D267" s="644"/>
      <c r="E267" s="644"/>
      <c r="F267" s="644"/>
      <c r="G267" s="644"/>
      <c r="H267" s="642"/>
      <c r="I267" s="199">
        <v>8</v>
      </c>
      <c r="J267" s="28">
        <v>21.99</v>
      </c>
      <c r="K267" s="201">
        <v>8</v>
      </c>
      <c r="L267" s="199"/>
      <c r="M267" s="28"/>
      <c r="N267" s="206"/>
      <c r="O267" s="199">
        <v>12</v>
      </c>
      <c r="P267" s="195">
        <v>27.34</v>
      </c>
      <c r="Q267" s="194">
        <v>12</v>
      </c>
      <c r="R267" s="199"/>
      <c r="S267" s="195">
        <v>25.65</v>
      </c>
      <c r="T267" s="112">
        <v>2</v>
      </c>
      <c r="U267" s="199"/>
      <c r="V267" s="195"/>
      <c r="W267" s="68"/>
      <c r="X267" s="265">
        <v>12</v>
      </c>
      <c r="Y267" s="265">
        <v>22.3</v>
      </c>
      <c r="Z267" s="147">
        <f t="shared" si="138"/>
        <v>267.60000000000002</v>
      </c>
      <c r="AA267" s="52">
        <f t="shared" si="139"/>
        <v>32</v>
      </c>
      <c r="AB267" s="15">
        <f t="shared" si="136"/>
        <v>24</v>
      </c>
      <c r="AC267" s="39">
        <f>AA267-AB267</f>
        <v>8</v>
      </c>
      <c r="AD267" s="39">
        <v>22.3</v>
      </c>
      <c r="AE267" s="13">
        <f t="shared" si="137"/>
        <v>178.4</v>
      </c>
      <c r="AF267" s="14">
        <f t="shared" si="140"/>
        <v>31.857142857142861</v>
      </c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8"/>
      <c r="AV267" s="8"/>
      <c r="AW267" s="8"/>
    </row>
    <row r="268" spans="1:49" ht="15.75" x14ac:dyDescent="0.25">
      <c r="A268" s="42"/>
      <c r="C268" s="644" t="s">
        <v>29</v>
      </c>
      <c r="D268" s="644"/>
      <c r="E268" s="644"/>
      <c r="F268" s="644"/>
      <c r="G268" s="644"/>
      <c r="H268" s="642"/>
      <c r="I268" s="199">
        <v>6</v>
      </c>
      <c r="J268" s="28">
        <v>95.86</v>
      </c>
      <c r="K268" s="201">
        <v>6</v>
      </c>
      <c r="L268" s="199"/>
      <c r="M268" s="28"/>
      <c r="N268" s="206"/>
      <c r="O268" s="199"/>
      <c r="P268" s="195">
        <v>121.42</v>
      </c>
      <c r="Q268" s="112"/>
      <c r="R268" s="199">
        <v>8</v>
      </c>
      <c r="S268" s="195">
        <v>119.6</v>
      </c>
      <c r="T268" s="194">
        <v>8</v>
      </c>
      <c r="U268" s="199">
        <v>12</v>
      </c>
      <c r="V268" s="195">
        <v>103.99</v>
      </c>
      <c r="W268" s="68">
        <v>7</v>
      </c>
      <c r="X268" s="265">
        <v>5</v>
      </c>
      <c r="Y268" s="265">
        <v>104</v>
      </c>
      <c r="Z268" s="147">
        <f t="shared" si="138"/>
        <v>520</v>
      </c>
      <c r="AA268" s="52">
        <f t="shared" si="139"/>
        <v>31</v>
      </c>
      <c r="AB268" s="15">
        <f t="shared" si="136"/>
        <v>26</v>
      </c>
      <c r="AC268" s="39">
        <f t="shared" si="141"/>
        <v>5</v>
      </c>
      <c r="AD268" s="39">
        <v>104</v>
      </c>
      <c r="AE268" s="13">
        <f t="shared" si="137"/>
        <v>520</v>
      </c>
      <c r="AF268" s="14">
        <f t="shared" si="140"/>
        <v>148.57142857142858</v>
      </c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8"/>
      <c r="AV268" s="8"/>
      <c r="AW268" s="8"/>
    </row>
    <row r="269" spans="1:49" ht="15.75" x14ac:dyDescent="0.25">
      <c r="A269" s="42"/>
      <c r="C269" s="644" t="s">
        <v>113</v>
      </c>
      <c r="D269" s="644"/>
      <c r="E269" s="644"/>
      <c r="F269" s="644"/>
      <c r="G269" s="644"/>
      <c r="H269" s="642"/>
      <c r="I269" s="199"/>
      <c r="J269" s="28"/>
      <c r="K269" s="200"/>
      <c r="L269" s="199"/>
      <c r="M269" s="28"/>
      <c r="N269" s="206"/>
      <c r="O269" s="199">
        <v>8</v>
      </c>
      <c r="P269" s="195">
        <v>27.34</v>
      </c>
      <c r="Q269" s="194">
        <v>8</v>
      </c>
      <c r="R269" s="199"/>
      <c r="S269" s="195">
        <v>25.65</v>
      </c>
      <c r="T269" s="112"/>
      <c r="U269" s="199"/>
      <c r="V269" s="195"/>
      <c r="W269" s="68"/>
      <c r="X269" s="265">
        <v>12</v>
      </c>
      <c r="Y269" s="265">
        <v>22.3</v>
      </c>
      <c r="Z269" s="147">
        <f t="shared" si="138"/>
        <v>267.60000000000002</v>
      </c>
      <c r="AA269" s="52">
        <f t="shared" si="139"/>
        <v>20</v>
      </c>
      <c r="AB269" s="15">
        <f t="shared" si="136"/>
        <v>11</v>
      </c>
      <c r="AC269" s="39">
        <f>AA269-AB269</f>
        <v>9</v>
      </c>
      <c r="AD269" s="39">
        <v>22.3</v>
      </c>
      <c r="AE269" s="13">
        <f t="shared" si="137"/>
        <v>200.70000000000002</v>
      </c>
      <c r="AF269" s="14">
        <f t="shared" si="140"/>
        <v>31.857142857142861</v>
      </c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8"/>
      <c r="AV269" s="8"/>
      <c r="AW269" s="8"/>
    </row>
    <row r="270" spans="1:49" ht="15.75" x14ac:dyDescent="0.25">
      <c r="A270" s="42"/>
      <c r="C270" s="644" t="s">
        <v>30</v>
      </c>
      <c r="D270" s="644"/>
      <c r="E270" s="644"/>
      <c r="F270" s="644"/>
      <c r="G270" s="644"/>
      <c r="H270" s="642"/>
      <c r="I270" s="199">
        <v>6</v>
      </c>
      <c r="J270" s="28">
        <v>95.86</v>
      </c>
      <c r="K270" s="201">
        <v>6</v>
      </c>
      <c r="L270" s="199"/>
      <c r="M270" s="28"/>
      <c r="N270" s="206"/>
      <c r="O270" s="199">
        <v>8</v>
      </c>
      <c r="P270" s="195">
        <v>121.42</v>
      </c>
      <c r="Q270" s="194">
        <v>8</v>
      </c>
      <c r="R270" s="199"/>
      <c r="S270" s="195">
        <v>119.6</v>
      </c>
      <c r="T270" s="112"/>
      <c r="U270" s="199">
        <v>8</v>
      </c>
      <c r="V270" s="195">
        <v>103.99</v>
      </c>
      <c r="W270" s="68"/>
      <c r="X270" s="148"/>
      <c r="Y270" s="148"/>
      <c r="Z270" s="147">
        <f t="shared" si="138"/>
        <v>0</v>
      </c>
      <c r="AA270" s="52">
        <f t="shared" si="139"/>
        <v>22</v>
      </c>
      <c r="AB270" s="15">
        <f t="shared" si="136"/>
        <v>16</v>
      </c>
      <c r="AC270" s="39">
        <f t="shared" si="141"/>
        <v>6</v>
      </c>
      <c r="AD270" s="39">
        <v>104</v>
      </c>
      <c r="AE270" s="13">
        <f t="shared" si="137"/>
        <v>624</v>
      </c>
      <c r="AF270" s="14">
        <f t="shared" si="140"/>
        <v>148.57142857142858</v>
      </c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8"/>
      <c r="AV270" s="8"/>
      <c r="AW270" s="8"/>
    </row>
    <row r="271" spans="1:49" ht="15.75" x14ac:dyDescent="0.25">
      <c r="A271" s="42"/>
      <c r="C271" s="644" t="s">
        <v>31</v>
      </c>
      <c r="D271" s="644"/>
      <c r="E271" s="644"/>
      <c r="F271" s="644"/>
      <c r="G271" s="644"/>
      <c r="H271" s="642"/>
      <c r="I271" s="199">
        <v>8</v>
      </c>
      <c r="J271" s="28">
        <v>21.99</v>
      </c>
      <c r="K271" s="201">
        <v>8</v>
      </c>
      <c r="L271" s="199"/>
      <c r="M271" s="28"/>
      <c r="N271" s="206"/>
      <c r="O271" s="199"/>
      <c r="P271" s="195">
        <v>27.34</v>
      </c>
      <c r="Q271" s="112"/>
      <c r="R271" s="199"/>
      <c r="S271" s="195">
        <v>25.65</v>
      </c>
      <c r="T271" s="112"/>
      <c r="U271" s="199"/>
      <c r="V271" s="195"/>
      <c r="W271" s="68"/>
      <c r="X271" s="148"/>
      <c r="Y271" s="148"/>
      <c r="Z271" s="147">
        <f t="shared" si="138"/>
        <v>0</v>
      </c>
      <c r="AA271" s="52">
        <f t="shared" si="139"/>
        <v>8</v>
      </c>
      <c r="AB271" s="15">
        <f t="shared" si="136"/>
        <v>8</v>
      </c>
      <c r="AC271" s="39">
        <f t="shared" si="141"/>
        <v>0</v>
      </c>
      <c r="AD271" s="39">
        <v>22.3</v>
      </c>
      <c r="AE271" s="13">
        <f t="shared" si="137"/>
        <v>0</v>
      </c>
      <c r="AF271" s="14">
        <f t="shared" si="140"/>
        <v>31.857142857142861</v>
      </c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8"/>
      <c r="AV271" s="8"/>
      <c r="AW271" s="8"/>
    </row>
    <row r="272" spans="1:49" ht="15.75" x14ac:dyDescent="0.25">
      <c r="A272" s="42"/>
      <c r="C272" s="644" t="s">
        <v>32</v>
      </c>
      <c r="D272" s="644"/>
      <c r="E272" s="644"/>
      <c r="F272" s="644"/>
      <c r="G272" s="644"/>
      <c r="H272" s="642"/>
      <c r="I272" s="199">
        <v>12</v>
      </c>
      <c r="J272" s="28">
        <v>11.4</v>
      </c>
      <c r="K272" s="201">
        <v>12</v>
      </c>
      <c r="L272" s="199"/>
      <c r="M272" s="28"/>
      <c r="N272" s="206"/>
      <c r="O272" s="199"/>
      <c r="P272" s="195">
        <v>14.07</v>
      </c>
      <c r="Q272" s="112"/>
      <c r="R272" s="199"/>
      <c r="S272" s="195">
        <v>13.23</v>
      </c>
      <c r="T272" s="112"/>
      <c r="U272" s="199">
        <v>12</v>
      </c>
      <c r="V272" s="195">
        <v>10.5</v>
      </c>
      <c r="W272" s="68">
        <v>7</v>
      </c>
      <c r="X272" s="148"/>
      <c r="Y272" s="148"/>
      <c r="Z272" s="147">
        <f t="shared" si="138"/>
        <v>0</v>
      </c>
      <c r="AA272" s="52">
        <f t="shared" si="139"/>
        <v>24</v>
      </c>
      <c r="AB272" s="15">
        <f t="shared" si="136"/>
        <v>20</v>
      </c>
      <c r="AC272" s="39">
        <f t="shared" si="141"/>
        <v>4</v>
      </c>
      <c r="AD272" s="39">
        <v>10.5</v>
      </c>
      <c r="AE272" s="13">
        <f t="shared" si="137"/>
        <v>42</v>
      </c>
      <c r="AF272" s="14">
        <f t="shared" si="140"/>
        <v>15.000000000000002</v>
      </c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8"/>
      <c r="AV272" s="8"/>
      <c r="AW272" s="8"/>
    </row>
    <row r="273" spans="1:49" ht="15.75" x14ac:dyDescent="0.25">
      <c r="A273" s="42"/>
      <c r="C273" s="644" t="s">
        <v>33</v>
      </c>
      <c r="D273" s="644"/>
      <c r="E273" s="644"/>
      <c r="F273" s="644"/>
      <c r="G273" s="644"/>
      <c r="H273" s="642"/>
      <c r="I273" s="199">
        <v>12</v>
      </c>
      <c r="J273" s="28">
        <v>11.4</v>
      </c>
      <c r="K273" s="200">
        <v>10</v>
      </c>
      <c r="L273" s="199"/>
      <c r="M273" s="28"/>
      <c r="N273" s="206"/>
      <c r="O273" s="199"/>
      <c r="P273" s="195">
        <v>13.59</v>
      </c>
      <c r="Q273" s="112"/>
      <c r="R273" s="199"/>
      <c r="S273" s="195">
        <v>13.23</v>
      </c>
      <c r="T273" s="112"/>
      <c r="U273" s="199"/>
      <c r="V273" s="195"/>
      <c r="W273" s="68"/>
      <c r="X273" s="148"/>
      <c r="Y273" s="148"/>
      <c r="Z273" s="147">
        <f t="shared" si="138"/>
        <v>0</v>
      </c>
      <c r="AA273" s="52">
        <f t="shared" si="139"/>
        <v>12</v>
      </c>
      <c r="AB273" s="15">
        <f t="shared" si="136"/>
        <v>10</v>
      </c>
      <c r="AC273" s="39">
        <f t="shared" si="141"/>
        <v>2</v>
      </c>
      <c r="AD273" s="39">
        <v>10.5</v>
      </c>
      <c r="AE273" s="13">
        <f t="shared" si="137"/>
        <v>21</v>
      </c>
      <c r="AF273" s="14">
        <f t="shared" si="140"/>
        <v>15.000000000000002</v>
      </c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8"/>
      <c r="AV273" s="8"/>
      <c r="AW273" s="8"/>
    </row>
    <row r="274" spans="1:49" ht="15.75" x14ac:dyDescent="0.25">
      <c r="A274" s="42"/>
      <c r="C274" s="644" t="s">
        <v>34</v>
      </c>
      <c r="D274" s="644"/>
      <c r="E274" s="644"/>
      <c r="F274" s="644"/>
      <c r="G274" s="644"/>
      <c r="H274" s="642"/>
      <c r="I274" s="199">
        <v>12</v>
      </c>
      <c r="J274" s="28">
        <v>11.4</v>
      </c>
      <c r="K274" s="200">
        <v>10</v>
      </c>
      <c r="L274" s="199"/>
      <c r="M274" s="28"/>
      <c r="N274" s="206"/>
      <c r="O274" s="199"/>
      <c r="P274" s="195">
        <v>13.59</v>
      </c>
      <c r="Q274" s="112"/>
      <c r="R274" s="199"/>
      <c r="S274" s="195">
        <v>13.23</v>
      </c>
      <c r="T274" s="112"/>
      <c r="U274" s="199"/>
      <c r="V274" s="195"/>
      <c r="W274" s="68"/>
      <c r="X274" s="148"/>
      <c r="Y274" s="148"/>
      <c r="Z274" s="147">
        <f t="shared" si="138"/>
        <v>0</v>
      </c>
      <c r="AA274" s="52">
        <f t="shared" si="139"/>
        <v>12</v>
      </c>
      <c r="AB274" s="15">
        <f t="shared" si="136"/>
        <v>10</v>
      </c>
      <c r="AC274" s="39">
        <f t="shared" si="141"/>
        <v>2</v>
      </c>
      <c r="AD274" s="39">
        <v>10.5</v>
      </c>
      <c r="AE274" s="13">
        <f t="shared" si="137"/>
        <v>21</v>
      </c>
      <c r="AF274" s="14">
        <f t="shared" si="140"/>
        <v>15.000000000000002</v>
      </c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8"/>
      <c r="AV274" s="8"/>
      <c r="AW274" s="8"/>
    </row>
    <row r="275" spans="1:49" ht="15.75" x14ac:dyDescent="0.25">
      <c r="A275" s="42"/>
      <c r="C275" s="644" t="s">
        <v>35</v>
      </c>
      <c r="D275" s="644"/>
      <c r="E275" s="644"/>
      <c r="F275" s="644"/>
      <c r="G275" s="644"/>
      <c r="H275" s="642"/>
      <c r="I275" s="199">
        <v>12</v>
      </c>
      <c r="J275" s="28">
        <v>4.0599999999999996</v>
      </c>
      <c r="K275" s="201">
        <v>12</v>
      </c>
      <c r="L275" s="199"/>
      <c r="M275" s="28"/>
      <c r="N275" s="206"/>
      <c r="O275" s="199"/>
      <c r="P275" s="195">
        <v>5.44</v>
      </c>
      <c r="Q275" s="112"/>
      <c r="R275" s="199"/>
      <c r="S275" s="195">
        <v>4.83</v>
      </c>
      <c r="T275" s="112"/>
      <c r="U275" s="199">
        <v>12</v>
      </c>
      <c r="V275" s="195">
        <v>3.87</v>
      </c>
      <c r="W275" s="68">
        <v>3</v>
      </c>
      <c r="X275" s="148"/>
      <c r="Y275" s="148"/>
      <c r="Z275" s="147">
        <f t="shared" si="138"/>
        <v>0</v>
      </c>
      <c r="AA275" s="52">
        <f t="shared" si="139"/>
        <v>24</v>
      </c>
      <c r="AB275" s="15">
        <f t="shared" si="136"/>
        <v>15</v>
      </c>
      <c r="AC275" s="39">
        <f t="shared" si="141"/>
        <v>9</v>
      </c>
      <c r="AD275" s="39">
        <v>3.88</v>
      </c>
      <c r="AE275" s="13">
        <f t="shared" si="137"/>
        <v>34.92</v>
      </c>
      <c r="AF275" s="14">
        <f t="shared" si="140"/>
        <v>5.5428571428571427</v>
      </c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8"/>
      <c r="AV275" s="8"/>
      <c r="AW275" s="8"/>
    </row>
    <row r="276" spans="1:49" ht="15.75" x14ac:dyDescent="0.25">
      <c r="A276" s="42"/>
      <c r="C276" s="644" t="s">
        <v>36</v>
      </c>
      <c r="D276" s="644"/>
      <c r="E276" s="644"/>
      <c r="F276" s="644"/>
      <c r="G276" s="644"/>
      <c r="H276" s="642"/>
      <c r="I276" s="199">
        <v>24</v>
      </c>
      <c r="J276" s="28">
        <v>3.68</v>
      </c>
      <c r="K276" s="201">
        <v>27</v>
      </c>
      <c r="L276" s="199"/>
      <c r="M276" s="28"/>
      <c r="N276" s="206"/>
      <c r="O276" s="199"/>
      <c r="P276" s="195">
        <v>5.31</v>
      </c>
      <c r="Q276" s="112"/>
      <c r="R276" s="199"/>
      <c r="S276" s="195">
        <v>5.18</v>
      </c>
      <c r="T276" s="112"/>
      <c r="U276" s="199"/>
      <c r="V276" s="195"/>
      <c r="W276" s="68"/>
      <c r="X276" s="148"/>
      <c r="Y276" s="148"/>
      <c r="Z276" s="147">
        <f t="shared" si="138"/>
        <v>0</v>
      </c>
      <c r="AA276" s="52">
        <f t="shared" si="139"/>
        <v>24</v>
      </c>
      <c r="AB276" s="15">
        <f t="shared" si="136"/>
        <v>28</v>
      </c>
      <c r="AC276" s="39">
        <f t="shared" si="141"/>
        <v>-4</v>
      </c>
      <c r="AD276" s="39">
        <v>4.5</v>
      </c>
      <c r="AE276" s="13">
        <f t="shared" si="137"/>
        <v>-18</v>
      </c>
      <c r="AF276" s="14">
        <f t="shared" si="140"/>
        <v>6.4285714285714288</v>
      </c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8"/>
      <c r="AV276" s="8"/>
      <c r="AW276" s="8"/>
    </row>
    <row r="277" spans="1:49" ht="15.75" x14ac:dyDescent="0.25">
      <c r="A277" s="42"/>
      <c r="C277" s="644" t="s">
        <v>37</v>
      </c>
      <c r="D277" s="644"/>
      <c r="E277" s="644"/>
      <c r="F277" s="644"/>
      <c r="G277" s="644"/>
      <c r="H277" s="642"/>
      <c r="I277" s="199">
        <v>12</v>
      </c>
      <c r="J277" s="28">
        <v>5.31</v>
      </c>
      <c r="K277" s="200">
        <v>10</v>
      </c>
      <c r="L277" s="199"/>
      <c r="M277" s="28"/>
      <c r="N277" s="206"/>
      <c r="O277" s="199"/>
      <c r="P277" s="195">
        <v>7.09</v>
      </c>
      <c r="Q277" s="112"/>
      <c r="R277" s="199"/>
      <c r="S277" s="195">
        <v>7.2</v>
      </c>
      <c r="T277" s="112"/>
      <c r="U277" s="199"/>
      <c r="V277" s="195"/>
      <c r="W277" s="68"/>
      <c r="X277" s="148"/>
      <c r="Y277" s="148"/>
      <c r="Z277" s="147">
        <f t="shared" si="138"/>
        <v>0</v>
      </c>
      <c r="AA277" s="52">
        <f t="shared" si="139"/>
        <v>12</v>
      </c>
      <c r="AB277" s="15">
        <f t="shared" si="136"/>
        <v>10</v>
      </c>
      <c r="AC277" s="39">
        <f t="shared" si="141"/>
        <v>2</v>
      </c>
      <c r="AD277" s="39">
        <v>5.63</v>
      </c>
      <c r="AE277" s="13">
        <f t="shared" si="137"/>
        <v>11.26</v>
      </c>
      <c r="AF277" s="14">
        <f t="shared" si="140"/>
        <v>8.0428571428571427</v>
      </c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8"/>
      <c r="AV277" s="8"/>
      <c r="AW277" s="8"/>
    </row>
    <row r="278" spans="1:49" ht="15.75" x14ac:dyDescent="0.25">
      <c r="A278" s="42"/>
      <c r="C278" s="644" t="s">
        <v>38</v>
      </c>
      <c r="D278" s="644"/>
      <c r="E278" s="644"/>
      <c r="F278" s="644"/>
      <c r="G278" s="644"/>
      <c r="H278" s="642"/>
      <c r="I278" s="199">
        <v>12</v>
      </c>
      <c r="J278" s="28">
        <v>7.49</v>
      </c>
      <c r="K278" s="200">
        <v>9</v>
      </c>
      <c r="L278" s="199"/>
      <c r="M278" s="28"/>
      <c r="N278" s="206"/>
      <c r="O278" s="199"/>
      <c r="P278" s="195">
        <v>10.130000000000001</v>
      </c>
      <c r="Q278" s="112"/>
      <c r="R278" s="199"/>
      <c r="S278" s="195">
        <v>9.3699999999999992</v>
      </c>
      <c r="T278" s="112"/>
      <c r="U278" s="199"/>
      <c r="V278" s="195"/>
      <c r="W278" s="68"/>
      <c r="X278" s="148"/>
      <c r="Y278" s="148"/>
      <c r="Z278" s="147">
        <f t="shared" si="138"/>
        <v>0</v>
      </c>
      <c r="AA278" s="52">
        <f t="shared" si="139"/>
        <v>12</v>
      </c>
      <c r="AB278" s="15">
        <f t="shared" si="136"/>
        <v>10</v>
      </c>
      <c r="AC278" s="39">
        <f t="shared" si="141"/>
        <v>2</v>
      </c>
      <c r="AD278" s="39">
        <v>8.15</v>
      </c>
      <c r="AE278" s="13">
        <f t="shared" si="137"/>
        <v>16.3</v>
      </c>
      <c r="AF278" s="14">
        <f t="shared" si="140"/>
        <v>11.642857142857144</v>
      </c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8"/>
      <c r="AV278" s="8"/>
      <c r="AW278" s="8"/>
    </row>
    <row r="279" spans="1:49" ht="15.75" x14ac:dyDescent="0.25">
      <c r="A279" s="42"/>
      <c r="C279" s="644" t="s">
        <v>39</v>
      </c>
      <c r="D279" s="644"/>
      <c r="E279" s="644"/>
      <c r="F279" s="644"/>
      <c r="G279" s="644"/>
      <c r="H279" s="642"/>
      <c r="I279" s="199">
        <v>12</v>
      </c>
      <c r="J279" s="28">
        <v>10.220000000000001</v>
      </c>
      <c r="K279" s="200">
        <v>10</v>
      </c>
      <c r="L279" s="199"/>
      <c r="M279" s="28"/>
      <c r="N279" s="206"/>
      <c r="O279" s="199"/>
      <c r="P279" s="195">
        <v>13.96</v>
      </c>
      <c r="Q279" s="112"/>
      <c r="R279" s="199"/>
      <c r="S279" s="195">
        <v>12.91</v>
      </c>
      <c r="T279" s="112"/>
      <c r="U279" s="199"/>
      <c r="V279" s="195"/>
      <c r="W279" s="68"/>
      <c r="X279" s="148"/>
      <c r="Y279" s="148"/>
      <c r="Z279" s="147">
        <f t="shared" si="138"/>
        <v>0</v>
      </c>
      <c r="AA279" s="52">
        <f t="shared" si="139"/>
        <v>12</v>
      </c>
      <c r="AB279" s="15">
        <f t="shared" si="136"/>
        <v>10</v>
      </c>
      <c r="AC279" s="39">
        <f t="shared" si="141"/>
        <v>2</v>
      </c>
      <c r="AD279" s="39">
        <v>10</v>
      </c>
      <c r="AE279" s="13">
        <f t="shared" si="137"/>
        <v>20</v>
      </c>
      <c r="AF279" s="14">
        <f t="shared" si="140"/>
        <v>14.285714285714286</v>
      </c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8"/>
      <c r="AV279" s="8"/>
      <c r="AW279" s="8"/>
    </row>
    <row r="280" spans="1:49" ht="15.75" x14ac:dyDescent="0.25">
      <c r="A280" s="42"/>
      <c r="C280" s="644" t="s">
        <v>48</v>
      </c>
      <c r="D280" s="644"/>
      <c r="E280" s="644"/>
      <c r="F280" s="644"/>
      <c r="G280" s="644"/>
      <c r="H280" s="642"/>
      <c r="I280" s="199">
        <v>2</v>
      </c>
      <c r="J280" s="28">
        <v>56.52</v>
      </c>
      <c r="K280" s="200">
        <v>1</v>
      </c>
      <c r="L280" s="199"/>
      <c r="M280" s="28"/>
      <c r="N280" s="206"/>
      <c r="O280" s="199"/>
      <c r="P280" s="195">
        <v>80</v>
      </c>
      <c r="Q280" s="112"/>
      <c r="R280" s="199"/>
      <c r="S280" s="195">
        <v>92</v>
      </c>
      <c r="T280" s="112"/>
      <c r="U280" s="199"/>
      <c r="V280" s="195"/>
      <c r="W280" s="68"/>
      <c r="X280" s="148"/>
      <c r="Y280" s="148"/>
      <c r="Z280" s="147">
        <f t="shared" si="138"/>
        <v>0</v>
      </c>
      <c r="AA280" s="52">
        <f t="shared" si="139"/>
        <v>2</v>
      </c>
      <c r="AB280" s="15">
        <f t="shared" si="136"/>
        <v>1</v>
      </c>
      <c r="AC280" s="39">
        <f t="shared" si="141"/>
        <v>1</v>
      </c>
      <c r="AD280" s="39">
        <v>62.65</v>
      </c>
      <c r="AE280" s="13">
        <f t="shared" si="137"/>
        <v>62.65</v>
      </c>
      <c r="AF280" s="14">
        <f t="shared" si="140"/>
        <v>89.5</v>
      </c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8"/>
      <c r="AV280" s="8"/>
      <c r="AW280" s="8"/>
    </row>
    <row r="281" spans="1:49" ht="15.75" x14ac:dyDescent="0.25">
      <c r="A281" s="42"/>
      <c r="C281" s="644" t="s">
        <v>40</v>
      </c>
      <c r="D281" s="644"/>
      <c r="E281" s="644"/>
      <c r="F281" s="644"/>
      <c r="G281" s="644"/>
      <c r="H281" s="642"/>
      <c r="I281" s="199">
        <v>2</v>
      </c>
      <c r="J281" s="28">
        <v>39.340000000000003</v>
      </c>
      <c r="K281" s="200">
        <v>1</v>
      </c>
      <c r="L281" s="199"/>
      <c r="M281" s="28"/>
      <c r="N281" s="206"/>
      <c r="O281" s="199"/>
      <c r="P281" s="195">
        <v>71.45</v>
      </c>
      <c r="Q281" s="112"/>
      <c r="R281" s="199"/>
      <c r="S281" s="195">
        <v>82.17</v>
      </c>
      <c r="T281" s="112"/>
      <c r="U281" s="199"/>
      <c r="V281" s="195"/>
      <c r="W281" s="68"/>
      <c r="X281" s="148"/>
      <c r="Y281" s="148"/>
      <c r="Z281" s="147">
        <f t="shared" si="138"/>
        <v>0</v>
      </c>
      <c r="AA281" s="52">
        <f t="shared" si="139"/>
        <v>2</v>
      </c>
      <c r="AB281" s="15">
        <f t="shared" si="136"/>
        <v>1</v>
      </c>
      <c r="AC281" s="39">
        <f t="shared" si="141"/>
        <v>1</v>
      </c>
      <c r="AD281" s="39">
        <v>55.24</v>
      </c>
      <c r="AE281" s="13">
        <f t="shared" si="137"/>
        <v>55.24</v>
      </c>
      <c r="AF281" s="14">
        <f t="shared" si="140"/>
        <v>78.914285714285725</v>
      </c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8"/>
      <c r="AV281" s="8"/>
      <c r="AW281" s="8"/>
    </row>
    <row r="282" spans="1:49" ht="15.75" x14ac:dyDescent="0.25">
      <c r="A282" s="42"/>
      <c r="C282" s="644" t="s">
        <v>41</v>
      </c>
      <c r="D282" s="644"/>
      <c r="E282" s="644"/>
      <c r="F282" s="644"/>
      <c r="G282" s="644"/>
      <c r="H282" s="642"/>
      <c r="I282" s="199">
        <v>16</v>
      </c>
      <c r="J282" s="28">
        <v>3.4</v>
      </c>
      <c r="K282" s="201">
        <v>16</v>
      </c>
      <c r="L282" s="199"/>
      <c r="M282" s="28"/>
      <c r="N282" s="206"/>
      <c r="O282" s="199">
        <v>8</v>
      </c>
      <c r="P282" s="195">
        <v>4.84</v>
      </c>
      <c r="Q282" s="194">
        <v>8</v>
      </c>
      <c r="R282" s="199">
        <v>24</v>
      </c>
      <c r="S282" s="195">
        <v>6.1</v>
      </c>
      <c r="T282" s="194">
        <v>24</v>
      </c>
      <c r="U282" s="199">
        <v>32</v>
      </c>
      <c r="V282" s="195">
        <v>6.1</v>
      </c>
      <c r="W282" s="68">
        <v>3</v>
      </c>
      <c r="X282" s="148"/>
      <c r="Y282" s="148"/>
      <c r="Z282" s="147">
        <f t="shared" si="138"/>
        <v>0</v>
      </c>
      <c r="AA282" s="52">
        <f t="shared" si="139"/>
        <v>80</v>
      </c>
      <c r="AB282" s="15">
        <f t="shared" si="136"/>
        <v>51</v>
      </c>
      <c r="AC282" s="39">
        <f t="shared" si="141"/>
        <v>29</v>
      </c>
      <c r="AD282" s="39">
        <v>6.1</v>
      </c>
      <c r="AE282" s="13">
        <f t="shared" si="137"/>
        <v>176.89999999999998</v>
      </c>
      <c r="AF282" s="14">
        <f t="shared" si="140"/>
        <v>8.7142857142857135</v>
      </c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8"/>
      <c r="AV282" s="8"/>
      <c r="AW282" s="8"/>
    </row>
    <row r="283" spans="1:49" ht="15.75" x14ac:dyDescent="0.25">
      <c r="A283" s="42"/>
      <c r="C283" s="644" t="s">
        <v>42</v>
      </c>
      <c r="D283" s="644"/>
      <c r="E283" s="644"/>
      <c r="F283" s="644"/>
      <c r="G283" s="644"/>
      <c r="H283" s="642"/>
      <c r="I283" s="199">
        <v>4</v>
      </c>
      <c r="J283" s="28">
        <v>3.4</v>
      </c>
      <c r="K283" s="201">
        <v>4</v>
      </c>
      <c r="L283" s="199"/>
      <c r="M283" s="28"/>
      <c r="N283" s="206"/>
      <c r="O283" s="199">
        <v>8</v>
      </c>
      <c r="P283" s="195">
        <v>4.84</v>
      </c>
      <c r="Q283" s="194">
        <v>8</v>
      </c>
      <c r="R283" s="199">
        <v>16</v>
      </c>
      <c r="S283" s="195">
        <v>6.1</v>
      </c>
      <c r="T283" s="112">
        <v>12</v>
      </c>
      <c r="U283" s="199"/>
      <c r="V283" s="195"/>
      <c r="W283" s="68"/>
      <c r="X283" s="148"/>
      <c r="Y283" s="148"/>
      <c r="Z283" s="147">
        <f t="shared" si="138"/>
        <v>0</v>
      </c>
      <c r="AA283" s="52">
        <f t="shared" si="139"/>
        <v>28</v>
      </c>
      <c r="AB283" s="15">
        <f t="shared" si="136"/>
        <v>24</v>
      </c>
      <c r="AC283" s="39">
        <f t="shared" si="141"/>
        <v>4</v>
      </c>
      <c r="AD283" s="39">
        <v>6.1</v>
      </c>
      <c r="AE283" s="13">
        <f t="shared" si="137"/>
        <v>24.4</v>
      </c>
      <c r="AF283" s="14">
        <f t="shared" si="140"/>
        <v>8.7142857142857135</v>
      </c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8"/>
      <c r="AV283" s="8"/>
      <c r="AW283" s="8"/>
    </row>
    <row r="284" spans="1:49" ht="26.25" x14ac:dyDescent="0.25">
      <c r="A284" s="42"/>
      <c r="C284" s="644" t="s">
        <v>45</v>
      </c>
      <c r="D284" s="644"/>
      <c r="E284" s="644"/>
      <c r="F284" s="644"/>
      <c r="G284" s="644"/>
      <c r="H284" s="642"/>
      <c r="I284" s="199">
        <v>4</v>
      </c>
      <c r="J284" s="28">
        <v>7.27</v>
      </c>
      <c r="K284" s="200">
        <v>3</v>
      </c>
      <c r="L284" s="199"/>
      <c r="M284" s="28"/>
      <c r="N284" s="206"/>
      <c r="O284" s="199"/>
      <c r="P284" s="195">
        <v>9.17</v>
      </c>
      <c r="Q284" s="112"/>
      <c r="R284" s="199"/>
      <c r="S284" s="195">
        <v>11.59</v>
      </c>
      <c r="T284" s="112"/>
      <c r="U284" s="199"/>
      <c r="V284" s="195"/>
      <c r="W284" s="68"/>
      <c r="X284" s="148"/>
      <c r="Y284" s="148"/>
      <c r="Z284" s="147">
        <f t="shared" si="138"/>
        <v>0</v>
      </c>
      <c r="AA284" s="52">
        <f t="shared" si="139"/>
        <v>4</v>
      </c>
      <c r="AB284" s="15">
        <f t="shared" si="136"/>
        <v>3</v>
      </c>
      <c r="AC284" s="39">
        <f t="shared" si="141"/>
        <v>1</v>
      </c>
      <c r="AD284" s="39">
        <v>11.55</v>
      </c>
      <c r="AE284" s="13">
        <f t="shared" si="137"/>
        <v>11.55</v>
      </c>
      <c r="AF284" s="14">
        <f t="shared" si="140"/>
        <v>16.500000000000004</v>
      </c>
      <c r="AG284" s="14"/>
      <c r="AH284" s="14"/>
      <c r="AI284" s="14"/>
      <c r="AJ284" s="25"/>
      <c r="AK284" s="14"/>
      <c r="AL284" s="25"/>
      <c r="AM284" s="14"/>
      <c r="AN284" s="25"/>
      <c r="AO284" s="14"/>
      <c r="AP284" s="14"/>
      <c r="AQ284" s="14"/>
      <c r="AR284" s="25"/>
      <c r="AS284" s="14"/>
      <c r="AT284" s="25"/>
      <c r="AU284" s="8"/>
      <c r="AV284" s="8"/>
      <c r="AW284" s="8"/>
    </row>
    <row r="285" spans="1:49" ht="26.25" x14ac:dyDescent="0.25">
      <c r="A285" s="42"/>
      <c r="C285" s="644" t="s">
        <v>115</v>
      </c>
      <c r="D285" s="644"/>
      <c r="E285" s="644"/>
      <c r="F285" s="644"/>
      <c r="G285" s="644"/>
      <c r="H285" s="642"/>
      <c r="I285" s="199"/>
      <c r="J285" s="28"/>
      <c r="K285" s="200"/>
      <c r="L285" s="199"/>
      <c r="M285" s="28"/>
      <c r="N285" s="206"/>
      <c r="O285" s="199">
        <v>8</v>
      </c>
      <c r="P285" s="195">
        <v>4.84</v>
      </c>
      <c r="Q285" s="112">
        <v>6</v>
      </c>
      <c r="R285" s="199"/>
      <c r="S285" s="195">
        <v>6.1</v>
      </c>
      <c r="T285" s="112">
        <v>6</v>
      </c>
      <c r="U285" s="199">
        <v>8</v>
      </c>
      <c r="V285" s="195">
        <v>6.1</v>
      </c>
      <c r="W285" s="68"/>
      <c r="X285" s="148"/>
      <c r="Y285" s="148"/>
      <c r="Z285" s="147">
        <f t="shared" si="138"/>
        <v>0</v>
      </c>
      <c r="AA285" s="52">
        <f t="shared" si="139"/>
        <v>16</v>
      </c>
      <c r="AB285" s="15">
        <f t="shared" si="136"/>
        <v>6</v>
      </c>
      <c r="AC285" s="39">
        <f t="shared" ref="AC285:AC290" si="142">AA285-AB285</f>
        <v>10</v>
      </c>
      <c r="AD285" s="39">
        <v>6.1</v>
      </c>
      <c r="AE285" s="13">
        <f t="shared" si="137"/>
        <v>61</v>
      </c>
      <c r="AF285" s="14">
        <f t="shared" si="140"/>
        <v>8.7142857142857135</v>
      </c>
      <c r="AG285" s="14"/>
      <c r="AH285" s="14"/>
      <c r="AI285" s="14"/>
      <c r="AJ285" s="25"/>
      <c r="AK285" s="14"/>
      <c r="AL285" s="25"/>
      <c r="AM285" s="14"/>
      <c r="AN285" s="25"/>
      <c r="AO285" s="14"/>
      <c r="AP285" s="14"/>
      <c r="AQ285" s="14"/>
      <c r="AR285" s="25"/>
      <c r="AS285" s="14"/>
      <c r="AT285" s="25"/>
      <c r="AU285" s="8"/>
      <c r="AV285" s="8"/>
      <c r="AW285" s="8"/>
    </row>
    <row r="286" spans="1:49" ht="26.25" x14ac:dyDescent="0.25">
      <c r="A286" s="42"/>
      <c r="C286" s="644" t="s">
        <v>43</v>
      </c>
      <c r="D286" s="644"/>
      <c r="E286" s="644"/>
      <c r="F286" s="644"/>
      <c r="G286" s="644"/>
      <c r="H286" s="642"/>
      <c r="I286" s="202">
        <v>8</v>
      </c>
      <c r="J286" s="72">
        <v>3.4</v>
      </c>
      <c r="K286" s="200">
        <v>5</v>
      </c>
      <c r="L286" s="199"/>
      <c r="M286" s="28"/>
      <c r="N286" s="206"/>
      <c r="O286" s="202"/>
      <c r="P286" s="195">
        <v>4.84</v>
      </c>
      <c r="Q286" s="210"/>
      <c r="R286" s="202"/>
      <c r="S286" s="195">
        <v>6.1</v>
      </c>
      <c r="T286" s="210"/>
      <c r="U286" s="202"/>
      <c r="V286" s="195"/>
      <c r="W286" s="262"/>
      <c r="X286" s="264"/>
      <c r="Y286" s="264"/>
      <c r="Z286" s="147">
        <f t="shared" si="138"/>
        <v>0</v>
      </c>
      <c r="AA286" s="52">
        <f t="shared" si="139"/>
        <v>8</v>
      </c>
      <c r="AB286" s="15">
        <f t="shared" si="136"/>
        <v>5</v>
      </c>
      <c r="AC286" s="39">
        <f t="shared" si="142"/>
        <v>3</v>
      </c>
      <c r="AD286" s="39">
        <v>6.1</v>
      </c>
      <c r="AE286" s="13">
        <f t="shared" si="137"/>
        <v>18.299999999999997</v>
      </c>
      <c r="AF286" s="14">
        <f t="shared" si="140"/>
        <v>8.7142857142857135</v>
      </c>
      <c r="AG286" s="14"/>
      <c r="AH286" s="14"/>
      <c r="AI286" s="14"/>
      <c r="AJ286" s="25"/>
      <c r="AK286" s="14"/>
      <c r="AL286" s="25"/>
      <c r="AM286" s="14"/>
      <c r="AN286" s="25"/>
      <c r="AO286" s="14"/>
      <c r="AP286" s="14"/>
      <c r="AQ286" s="14"/>
      <c r="AR286" s="25"/>
      <c r="AS286" s="14"/>
      <c r="AT286" s="25"/>
      <c r="AU286" s="8"/>
      <c r="AV286" s="8"/>
      <c r="AW286" s="8"/>
    </row>
    <row r="287" spans="1:49" ht="15.75" x14ac:dyDescent="0.25">
      <c r="A287" s="42"/>
      <c r="C287" s="644" t="s">
        <v>46</v>
      </c>
      <c r="D287" s="644"/>
      <c r="E287" s="644"/>
      <c r="F287" s="644"/>
      <c r="G287" s="644"/>
      <c r="H287" s="642"/>
      <c r="I287" s="199">
        <v>4</v>
      </c>
      <c r="J287" s="28">
        <v>7.27</v>
      </c>
      <c r="K287" s="200">
        <v>3</v>
      </c>
      <c r="L287" s="199"/>
      <c r="M287" s="28"/>
      <c r="N287" s="206"/>
      <c r="O287" s="202"/>
      <c r="P287" s="195">
        <v>9.17</v>
      </c>
      <c r="Q287" s="210"/>
      <c r="R287" s="202"/>
      <c r="S287" s="195">
        <v>11.59</v>
      </c>
      <c r="T287" s="210"/>
      <c r="U287" s="202"/>
      <c r="V287" s="195"/>
      <c r="W287" s="262"/>
      <c r="X287" s="264"/>
      <c r="Y287" s="264"/>
      <c r="Z287" s="147">
        <f t="shared" si="138"/>
        <v>0</v>
      </c>
      <c r="AA287" s="52">
        <f t="shared" si="139"/>
        <v>4</v>
      </c>
      <c r="AB287" s="15">
        <f t="shared" si="136"/>
        <v>3</v>
      </c>
      <c r="AC287" s="39">
        <f t="shared" si="142"/>
        <v>1</v>
      </c>
      <c r="AD287" s="39">
        <v>11.55</v>
      </c>
      <c r="AE287" s="13">
        <f t="shared" si="137"/>
        <v>11.55</v>
      </c>
      <c r="AF287" s="14">
        <f t="shared" si="140"/>
        <v>16.500000000000004</v>
      </c>
      <c r="AG287" s="14"/>
      <c r="AH287" s="14"/>
      <c r="AI287" s="14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</row>
    <row r="288" spans="1:49" ht="15.75" x14ac:dyDescent="0.25">
      <c r="A288" s="42"/>
      <c r="C288" s="642" t="s">
        <v>44</v>
      </c>
      <c r="D288" s="643"/>
      <c r="E288" s="643"/>
      <c r="F288" s="643"/>
      <c r="G288" s="643"/>
      <c r="H288" s="643"/>
      <c r="I288" s="199">
        <v>8</v>
      </c>
      <c r="J288" s="28">
        <v>3.4</v>
      </c>
      <c r="K288" s="200">
        <v>6</v>
      </c>
      <c r="L288" s="199"/>
      <c r="M288" s="28"/>
      <c r="N288" s="206"/>
      <c r="O288" s="202"/>
      <c r="P288" s="195">
        <v>4.84</v>
      </c>
      <c r="Q288" s="210"/>
      <c r="R288" s="202"/>
      <c r="S288" s="195">
        <v>6.1</v>
      </c>
      <c r="T288" s="210"/>
      <c r="U288" s="202"/>
      <c r="V288" s="195"/>
      <c r="W288" s="262"/>
      <c r="X288" s="264"/>
      <c r="Y288" s="264"/>
      <c r="Z288" s="147">
        <f t="shared" si="138"/>
        <v>0</v>
      </c>
      <c r="AA288" s="52">
        <f t="shared" si="139"/>
        <v>8</v>
      </c>
      <c r="AB288" s="15">
        <f t="shared" si="136"/>
        <v>6</v>
      </c>
      <c r="AC288" s="39">
        <f t="shared" si="142"/>
        <v>2</v>
      </c>
      <c r="AD288" s="39">
        <v>6.1</v>
      </c>
      <c r="AE288" s="13">
        <f t="shared" si="137"/>
        <v>12.2</v>
      </c>
      <c r="AF288" s="14">
        <f t="shared" si="140"/>
        <v>8.7142857142857135</v>
      </c>
      <c r="AG288" s="14"/>
      <c r="AH288" s="14"/>
      <c r="AI288" s="14"/>
      <c r="AN288" s="8"/>
    </row>
    <row r="289" spans="1:40" ht="15.75" x14ac:dyDescent="0.25">
      <c r="A289" s="42"/>
      <c r="C289" s="642" t="s">
        <v>114</v>
      </c>
      <c r="D289" s="643"/>
      <c r="E289" s="643"/>
      <c r="F289" s="643"/>
      <c r="G289" s="643"/>
      <c r="H289" s="643"/>
      <c r="I289" s="199"/>
      <c r="J289" s="28"/>
      <c r="K289" s="200"/>
      <c r="L289" s="199"/>
      <c r="M289" s="28"/>
      <c r="N289" s="206"/>
      <c r="O289" s="202">
        <v>8</v>
      </c>
      <c r="P289" s="195">
        <v>4.84</v>
      </c>
      <c r="Q289" s="210">
        <v>6</v>
      </c>
      <c r="R289" s="202"/>
      <c r="S289" s="195">
        <v>6.1</v>
      </c>
      <c r="T289" s="210">
        <v>6</v>
      </c>
      <c r="U289" s="202"/>
      <c r="V289" s="195"/>
      <c r="W289" s="262"/>
      <c r="X289" s="264"/>
      <c r="Y289" s="264"/>
      <c r="Z289" s="147">
        <f t="shared" si="138"/>
        <v>0</v>
      </c>
      <c r="AA289" s="52">
        <f t="shared" si="139"/>
        <v>8</v>
      </c>
      <c r="AB289" s="15">
        <f t="shared" si="136"/>
        <v>6</v>
      </c>
      <c r="AC289" s="39">
        <f t="shared" si="142"/>
        <v>2</v>
      </c>
      <c r="AD289" s="39">
        <v>6.1</v>
      </c>
      <c r="AE289" s="13">
        <f t="shared" si="137"/>
        <v>12.2</v>
      </c>
      <c r="AF289" s="14">
        <f t="shared" si="140"/>
        <v>8.7142857142857135</v>
      </c>
      <c r="AG289" s="14"/>
      <c r="AH289" s="14"/>
      <c r="AI289" s="14"/>
      <c r="AN289" s="8"/>
    </row>
    <row r="290" spans="1:40" ht="15" customHeight="1" x14ac:dyDescent="0.25">
      <c r="A290" s="42"/>
      <c r="C290" s="644" t="s">
        <v>47</v>
      </c>
      <c r="D290" s="644"/>
      <c r="E290" s="644"/>
      <c r="F290" s="644"/>
      <c r="G290" s="644"/>
      <c r="H290" s="642"/>
      <c r="I290" s="199">
        <v>4</v>
      </c>
      <c r="J290" s="28">
        <v>7.27</v>
      </c>
      <c r="K290" s="200">
        <v>3</v>
      </c>
      <c r="L290" s="199"/>
      <c r="M290" s="28"/>
      <c r="N290" s="206"/>
      <c r="O290" s="202"/>
      <c r="P290" s="195">
        <v>9.17</v>
      </c>
      <c r="Q290" s="210"/>
      <c r="R290" s="202"/>
      <c r="S290" s="195">
        <v>11.59</v>
      </c>
      <c r="T290" s="210"/>
      <c r="U290" s="202"/>
      <c r="V290" s="195"/>
      <c r="W290" s="262"/>
      <c r="X290" s="264"/>
      <c r="Y290" s="264"/>
      <c r="Z290" s="147">
        <f t="shared" si="138"/>
        <v>0</v>
      </c>
      <c r="AA290" s="52">
        <f t="shared" si="139"/>
        <v>4</v>
      </c>
      <c r="AB290" s="15">
        <f t="shared" si="136"/>
        <v>3</v>
      </c>
      <c r="AC290" s="39">
        <f t="shared" si="142"/>
        <v>1</v>
      </c>
      <c r="AD290" s="39">
        <v>11.55</v>
      </c>
      <c r="AE290" s="13">
        <f t="shared" si="137"/>
        <v>11.55</v>
      </c>
      <c r="AF290" s="14">
        <f t="shared" si="140"/>
        <v>16.500000000000004</v>
      </c>
      <c r="AG290" s="14"/>
      <c r="AH290" s="14"/>
      <c r="AI290" s="14"/>
      <c r="AN290" s="8"/>
    </row>
    <row r="291" spans="1:40" ht="15" customHeight="1" thickBot="1" x14ac:dyDescent="0.3">
      <c r="A291" s="42"/>
      <c r="C291" s="642" t="s">
        <v>245</v>
      </c>
      <c r="D291" s="643"/>
      <c r="E291" s="643"/>
      <c r="F291" s="643"/>
      <c r="G291" s="643"/>
      <c r="H291" s="643"/>
      <c r="I291" s="203"/>
      <c r="J291" s="204"/>
      <c r="K291" s="205"/>
      <c r="L291" s="203"/>
      <c r="M291" s="204"/>
      <c r="N291" s="207"/>
      <c r="O291" s="208"/>
      <c r="P291" s="209"/>
      <c r="Q291" s="211"/>
      <c r="R291" s="208">
        <v>16</v>
      </c>
      <c r="S291" s="209">
        <v>6.1</v>
      </c>
      <c r="T291" s="211">
        <v>1</v>
      </c>
      <c r="U291" s="208"/>
      <c r="V291" s="209"/>
      <c r="W291" s="263"/>
      <c r="X291" s="264"/>
      <c r="Y291" s="264"/>
      <c r="Z291" s="147">
        <f t="shared" si="138"/>
        <v>0</v>
      </c>
      <c r="AA291" s="52">
        <f t="shared" si="139"/>
        <v>16</v>
      </c>
      <c r="AB291" s="15">
        <f>AN176</f>
        <v>1</v>
      </c>
      <c r="AC291" s="39">
        <f>AA291-AB291</f>
        <v>15</v>
      </c>
      <c r="AD291" s="39">
        <v>6.1</v>
      </c>
      <c r="AE291" s="13">
        <f t="shared" si="137"/>
        <v>91.5</v>
      </c>
      <c r="AF291" s="14">
        <f>AD291/0.7</f>
        <v>8.7142857142857135</v>
      </c>
      <c r="AG291" s="14"/>
      <c r="AH291" s="14"/>
      <c r="AI291" s="14"/>
      <c r="AN291" s="8"/>
    </row>
    <row r="292" spans="1:40" ht="15" customHeight="1" thickBot="1" x14ac:dyDescent="0.3">
      <c r="A292" s="42"/>
      <c r="C292" s="644" t="s">
        <v>276</v>
      </c>
      <c r="D292" s="644"/>
      <c r="E292" s="644"/>
      <c r="F292" s="644"/>
      <c r="G292" s="644"/>
      <c r="H292" s="644"/>
      <c r="I292" s="203">
        <v>1</v>
      </c>
      <c r="J292" s="204">
        <v>0</v>
      </c>
      <c r="K292" s="205"/>
      <c r="L292" s="203"/>
      <c r="M292" s="204"/>
      <c r="N292" s="207"/>
      <c r="O292" s="208"/>
      <c r="P292" s="209"/>
      <c r="Q292" s="211"/>
      <c r="R292" s="208"/>
      <c r="S292" s="209"/>
      <c r="T292" s="211"/>
      <c r="U292" s="208"/>
      <c r="V292" s="209"/>
      <c r="W292" s="263"/>
      <c r="X292" s="266">
        <v>40</v>
      </c>
      <c r="Y292" s="266">
        <v>6.56</v>
      </c>
      <c r="Z292" s="147">
        <f t="shared" si="138"/>
        <v>262.39999999999998</v>
      </c>
      <c r="AA292" s="52">
        <f t="shared" si="139"/>
        <v>41</v>
      </c>
      <c r="AB292" s="15">
        <f>AN193</f>
        <v>10</v>
      </c>
      <c r="AC292" s="39">
        <f>AA292-AB292</f>
        <v>31</v>
      </c>
      <c r="AD292" s="39">
        <v>6.56</v>
      </c>
      <c r="AE292" s="13">
        <f t="shared" si="137"/>
        <v>203.35999999999999</v>
      </c>
      <c r="AF292" s="14">
        <f>AD292/0.7</f>
        <v>9.3714285714285719</v>
      </c>
      <c r="AG292" s="14"/>
      <c r="AH292" s="14"/>
      <c r="AI292" s="14"/>
      <c r="AN292" s="8"/>
    </row>
    <row r="293" spans="1:40" ht="15.75" x14ac:dyDescent="0.25">
      <c r="A293" s="42"/>
      <c r="C293" s="70"/>
      <c r="D293" s="14"/>
      <c r="E293" s="14"/>
      <c r="F293" s="14"/>
      <c r="G293" s="14"/>
      <c r="H293" s="14"/>
      <c r="I293" s="14"/>
      <c r="J293" s="6"/>
      <c r="K293" s="14"/>
      <c r="L293" s="14"/>
      <c r="M293" s="14"/>
      <c r="N293" s="14"/>
      <c r="O293" s="14"/>
      <c r="U293" s="14"/>
      <c r="Z293" s="293">
        <f>SUM(Z259:Z292)</f>
        <v>2196.4</v>
      </c>
      <c r="AE293" s="86">
        <f>SUM(AE259:AE291)</f>
        <v>2533.3200000000006</v>
      </c>
    </row>
    <row r="294" spans="1:40" x14ac:dyDescent="0.25">
      <c r="A294" s="42"/>
      <c r="C294" s="14"/>
      <c r="D294" s="14"/>
      <c r="E294" s="14"/>
      <c r="F294" s="14"/>
      <c r="G294" s="14"/>
      <c r="H294" s="14"/>
      <c r="I294" s="14"/>
      <c r="J294" s="6"/>
      <c r="K294" s="14"/>
      <c r="L294" s="14"/>
      <c r="M294" s="14"/>
      <c r="T294" s="8"/>
    </row>
    <row r="295" spans="1:40" ht="21.75" thickBot="1" x14ac:dyDescent="0.4">
      <c r="A295" s="42"/>
      <c r="C295" s="672" t="s">
        <v>269</v>
      </c>
      <c r="D295" s="672"/>
      <c r="E295" s="672"/>
      <c r="F295" s="672"/>
      <c r="G295" s="672"/>
      <c r="H295" s="672"/>
      <c r="I295" s="751"/>
      <c r="J295" s="751"/>
      <c r="K295" s="751"/>
      <c r="L295" s="751"/>
      <c r="M295" s="751"/>
      <c r="N295" s="751"/>
      <c r="O295" s="672"/>
      <c r="P295" s="672"/>
      <c r="Q295" s="672"/>
      <c r="R295" s="672"/>
      <c r="S295" s="672"/>
      <c r="T295" s="672"/>
      <c r="U295" s="672"/>
      <c r="W295" s="8"/>
    </row>
    <row r="296" spans="1:40" ht="24" x14ac:dyDescent="0.25">
      <c r="A296" s="42"/>
      <c r="C296" s="662" t="s">
        <v>2</v>
      </c>
      <c r="D296" s="663"/>
      <c r="E296" s="663"/>
      <c r="F296" s="663"/>
      <c r="G296" s="663"/>
      <c r="H296" s="668"/>
      <c r="I296" s="196">
        <v>1</v>
      </c>
      <c r="J296" s="197" t="s">
        <v>87</v>
      </c>
      <c r="K296" s="198" t="s">
        <v>86</v>
      </c>
      <c r="L296" s="196">
        <v>2</v>
      </c>
      <c r="M296" s="197" t="s">
        <v>87</v>
      </c>
      <c r="N296" s="198" t="s">
        <v>86</v>
      </c>
      <c r="O296" s="122" t="s">
        <v>77</v>
      </c>
      <c r="P296" s="15" t="s">
        <v>78</v>
      </c>
      <c r="Q296" s="15" t="s">
        <v>79</v>
      </c>
      <c r="R296" s="13" t="s">
        <v>94</v>
      </c>
    </row>
    <row r="297" spans="1:40" ht="15.75" x14ac:dyDescent="0.25">
      <c r="A297" s="42"/>
      <c r="C297" s="644" t="s">
        <v>83</v>
      </c>
      <c r="D297" s="644"/>
      <c r="E297" s="644"/>
      <c r="F297" s="644"/>
      <c r="G297" s="644"/>
      <c r="H297" s="642"/>
      <c r="I297" s="199">
        <v>46</v>
      </c>
      <c r="J297" s="28">
        <v>11.5</v>
      </c>
      <c r="K297" s="201">
        <v>46</v>
      </c>
      <c r="L297" s="199">
        <v>98</v>
      </c>
      <c r="M297" s="28">
        <v>13</v>
      </c>
      <c r="N297" s="112">
        <v>36</v>
      </c>
      <c r="O297" s="52">
        <f t="shared" ref="O297:O313" si="143">L297+I297</f>
        <v>144</v>
      </c>
      <c r="P297" s="15">
        <f>AN171</f>
        <v>92</v>
      </c>
      <c r="Q297" s="39">
        <f>O297-P297</f>
        <v>52</v>
      </c>
      <c r="R297" s="13">
        <f>Q297*M297</f>
        <v>676</v>
      </c>
      <c r="S297" t="s">
        <v>90</v>
      </c>
      <c r="T297" s="143"/>
      <c r="U297" s="143"/>
      <c r="V297" s="143"/>
      <c r="W297" s="143"/>
      <c r="X297" s="143"/>
      <c r="Y297" s="143"/>
    </row>
    <row r="298" spans="1:40" ht="15.75" x14ac:dyDescent="0.25">
      <c r="A298" s="42"/>
      <c r="C298" s="644" t="s">
        <v>177</v>
      </c>
      <c r="D298" s="644"/>
      <c r="E298" s="644"/>
      <c r="F298" s="644"/>
      <c r="G298" s="644"/>
      <c r="H298" s="642"/>
      <c r="I298" s="199">
        <v>25</v>
      </c>
      <c r="J298" s="28">
        <v>14.51</v>
      </c>
      <c r="K298" s="200">
        <v>4</v>
      </c>
      <c r="L298" s="199"/>
      <c r="M298" s="28">
        <v>14.51</v>
      </c>
      <c r="N298" s="112"/>
      <c r="O298" s="52">
        <f t="shared" si="143"/>
        <v>25</v>
      </c>
      <c r="P298" s="15">
        <f>AN172</f>
        <v>9</v>
      </c>
      <c r="Q298" s="39">
        <f>O298-P298</f>
        <v>16</v>
      </c>
      <c r="R298" s="13">
        <f t="shared" ref="R298:R313" si="144">Q298*M298</f>
        <v>232.16</v>
      </c>
      <c r="T298" s="143"/>
      <c r="U298" s="143"/>
      <c r="V298" s="143"/>
      <c r="W298" s="143"/>
      <c r="X298" s="143"/>
      <c r="Y298" s="143"/>
    </row>
    <row r="299" spans="1:40" ht="15.75" x14ac:dyDescent="0.25">
      <c r="A299" s="42"/>
      <c r="C299" s="642" t="s">
        <v>234</v>
      </c>
      <c r="D299" s="643"/>
      <c r="E299" s="643"/>
      <c r="F299" s="643"/>
      <c r="G299" s="643"/>
      <c r="H299" s="643"/>
      <c r="I299" s="199">
        <v>50</v>
      </c>
      <c r="J299" s="28">
        <v>12</v>
      </c>
      <c r="K299" s="201">
        <v>50</v>
      </c>
      <c r="L299" s="199">
        <v>20</v>
      </c>
      <c r="M299" s="28">
        <v>12</v>
      </c>
      <c r="N299" s="112">
        <v>4</v>
      </c>
      <c r="O299" s="52">
        <f t="shared" si="143"/>
        <v>70</v>
      </c>
      <c r="P299" s="15">
        <f>AN175</f>
        <v>54</v>
      </c>
      <c r="Q299" s="39">
        <f>O299-P299</f>
        <v>16</v>
      </c>
      <c r="R299" s="13">
        <f t="shared" si="144"/>
        <v>192</v>
      </c>
      <c r="T299" s="143"/>
      <c r="U299" s="143"/>
      <c r="V299" s="143"/>
      <c r="W299" s="143"/>
      <c r="X299" s="143"/>
      <c r="Y299" s="143"/>
    </row>
    <row r="300" spans="1:40" ht="15.75" x14ac:dyDescent="0.25">
      <c r="A300" s="42"/>
      <c r="C300" s="642" t="s">
        <v>246</v>
      </c>
      <c r="D300" s="643"/>
      <c r="E300" s="643"/>
      <c r="F300" s="643"/>
      <c r="G300" s="643"/>
      <c r="H300" s="643"/>
      <c r="I300" s="199">
        <v>20</v>
      </c>
      <c r="J300" s="28">
        <v>10</v>
      </c>
      <c r="K300" s="200"/>
      <c r="L300" s="199"/>
      <c r="M300" s="28">
        <v>10</v>
      </c>
      <c r="N300" s="112"/>
      <c r="O300" s="52">
        <f t="shared" si="143"/>
        <v>20</v>
      </c>
      <c r="P300" s="15">
        <f t="shared" ref="P300:P313" si="145">AN177</f>
        <v>5</v>
      </c>
      <c r="Q300" s="39">
        <f t="shared" ref="Q300:Q313" si="146">O300-P300</f>
        <v>15</v>
      </c>
      <c r="R300" s="13">
        <f t="shared" si="144"/>
        <v>150</v>
      </c>
      <c r="T300" s="143"/>
      <c r="U300" s="143"/>
      <c r="V300" s="143"/>
      <c r="W300" s="143"/>
      <c r="X300" s="143"/>
      <c r="Y300" s="143"/>
    </row>
    <row r="301" spans="1:40" ht="15.75" x14ac:dyDescent="0.25">
      <c r="A301" s="42"/>
      <c r="C301" s="642" t="s">
        <v>247</v>
      </c>
      <c r="D301" s="643"/>
      <c r="E301" s="643"/>
      <c r="F301" s="643"/>
      <c r="G301" s="643"/>
      <c r="H301" s="643"/>
      <c r="I301" s="199">
        <v>20</v>
      </c>
      <c r="J301" s="28">
        <v>8</v>
      </c>
      <c r="K301" s="200"/>
      <c r="L301" s="199"/>
      <c r="M301" s="28">
        <v>8</v>
      </c>
      <c r="N301" s="112"/>
      <c r="O301" s="52">
        <f t="shared" si="143"/>
        <v>20</v>
      </c>
      <c r="P301" s="15">
        <f t="shared" si="145"/>
        <v>8</v>
      </c>
      <c r="Q301" s="39">
        <f t="shared" si="146"/>
        <v>12</v>
      </c>
      <c r="R301" s="13">
        <f t="shared" si="144"/>
        <v>96</v>
      </c>
      <c r="T301" s="143"/>
      <c r="U301" s="143"/>
      <c r="V301" s="143"/>
      <c r="W301" s="143"/>
      <c r="X301" s="143"/>
      <c r="Y301" s="143"/>
    </row>
    <row r="302" spans="1:40" ht="15.75" x14ac:dyDescent="0.25">
      <c r="A302" s="42"/>
      <c r="C302" s="642" t="s">
        <v>249</v>
      </c>
      <c r="D302" s="643"/>
      <c r="E302" s="643"/>
      <c r="F302" s="643"/>
      <c r="G302" s="643"/>
      <c r="H302" s="643"/>
      <c r="I302" s="199">
        <v>10</v>
      </c>
      <c r="J302" s="28">
        <v>26.33</v>
      </c>
      <c r="K302" s="200"/>
      <c r="L302" s="199"/>
      <c r="M302" s="28">
        <v>26.33</v>
      </c>
      <c r="N302" s="112"/>
      <c r="O302" s="52">
        <f t="shared" si="143"/>
        <v>10</v>
      </c>
      <c r="P302" s="15">
        <f t="shared" si="145"/>
        <v>0</v>
      </c>
      <c r="Q302" s="39">
        <f t="shared" si="146"/>
        <v>10</v>
      </c>
      <c r="R302" s="13">
        <f t="shared" si="144"/>
        <v>263.29999999999995</v>
      </c>
      <c r="T302" s="143"/>
      <c r="U302" s="143"/>
      <c r="V302" s="143"/>
      <c r="W302" s="143"/>
      <c r="X302" s="143"/>
      <c r="Y302" s="143"/>
    </row>
    <row r="303" spans="1:40" ht="15.75" x14ac:dyDescent="0.25">
      <c r="A303" s="42"/>
      <c r="C303" s="642" t="s">
        <v>250</v>
      </c>
      <c r="D303" s="643"/>
      <c r="E303" s="643"/>
      <c r="F303" s="643"/>
      <c r="G303" s="643"/>
      <c r="H303" s="643"/>
      <c r="I303" s="199">
        <v>10</v>
      </c>
      <c r="J303" s="28">
        <v>9.92</v>
      </c>
      <c r="K303" s="200"/>
      <c r="L303" s="199"/>
      <c r="M303" s="28">
        <v>9.92</v>
      </c>
      <c r="N303" s="112"/>
      <c r="O303" s="52">
        <f t="shared" si="143"/>
        <v>10</v>
      </c>
      <c r="P303" s="15">
        <f t="shared" si="145"/>
        <v>0</v>
      </c>
      <c r="Q303" s="39">
        <f t="shared" si="146"/>
        <v>10</v>
      </c>
      <c r="R303" s="13">
        <f t="shared" si="144"/>
        <v>99.2</v>
      </c>
      <c r="T303" s="143"/>
      <c r="U303" s="143"/>
      <c r="V303" s="143"/>
      <c r="W303" s="143"/>
      <c r="X303" s="143"/>
      <c r="Y303" s="143"/>
    </row>
    <row r="304" spans="1:40" ht="15.75" x14ac:dyDescent="0.25">
      <c r="A304" s="42"/>
      <c r="C304" s="642" t="s">
        <v>251</v>
      </c>
      <c r="D304" s="643"/>
      <c r="E304" s="643"/>
      <c r="F304" s="643"/>
      <c r="G304" s="643"/>
      <c r="H304" s="643"/>
      <c r="I304" s="199">
        <v>10</v>
      </c>
      <c r="J304" s="28">
        <v>7.26</v>
      </c>
      <c r="K304" s="200">
        <v>4</v>
      </c>
      <c r="L304" s="199"/>
      <c r="M304" s="28">
        <v>7.26</v>
      </c>
      <c r="N304" s="112"/>
      <c r="O304" s="52">
        <f t="shared" si="143"/>
        <v>10</v>
      </c>
      <c r="P304" s="15">
        <f t="shared" si="145"/>
        <v>7</v>
      </c>
      <c r="Q304" s="39">
        <f t="shared" si="146"/>
        <v>3</v>
      </c>
      <c r="R304" s="13">
        <f t="shared" si="144"/>
        <v>21.78</v>
      </c>
      <c r="T304" s="143"/>
      <c r="U304" s="143"/>
      <c r="V304" s="143"/>
      <c r="W304" s="143"/>
      <c r="X304" s="143"/>
      <c r="Y304" s="143"/>
    </row>
    <row r="305" spans="1:25" ht="15.75" x14ac:dyDescent="0.25">
      <c r="A305" s="42"/>
      <c r="C305" s="642" t="s">
        <v>252</v>
      </c>
      <c r="D305" s="643"/>
      <c r="E305" s="643"/>
      <c r="F305" s="643"/>
      <c r="G305" s="643"/>
      <c r="H305" s="643"/>
      <c r="I305" s="199">
        <v>5</v>
      </c>
      <c r="J305" s="28">
        <v>26.33</v>
      </c>
      <c r="K305" s="200"/>
      <c r="L305" s="199"/>
      <c r="M305" s="28">
        <v>26.33</v>
      </c>
      <c r="N305" s="112"/>
      <c r="O305" s="52">
        <f t="shared" si="143"/>
        <v>5</v>
      </c>
      <c r="P305" s="15">
        <f t="shared" si="145"/>
        <v>0</v>
      </c>
      <c r="Q305" s="39">
        <f t="shared" si="146"/>
        <v>5</v>
      </c>
      <c r="R305" s="13">
        <f t="shared" si="144"/>
        <v>131.64999999999998</v>
      </c>
      <c r="T305" s="143"/>
      <c r="U305" s="143"/>
      <c r="V305" s="143"/>
      <c r="W305" s="143"/>
      <c r="X305" s="143"/>
      <c r="Y305" s="143"/>
    </row>
    <row r="306" spans="1:25" ht="15.75" x14ac:dyDescent="0.25">
      <c r="A306" s="42"/>
      <c r="C306" s="642" t="s">
        <v>253</v>
      </c>
      <c r="D306" s="643"/>
      <c r="E306" s="643"/>
      <c r="F306" s="643"/>
      <c r="G306" s="643"/>
      <c r="H306" s="643"/>
      <c r="I306" s="199">
        <v>10</v>
      </c>
      <c r="J306" s="28">
        <v>12.67</v>
      </c>
      <c r="K306" s="200"/>
      <c r="L306" s="199"/>
      <c r="M306" s="28">
        <v>12.67</v>
      </c>
      <c r="N306" s="112"/>
      <c r="O306" s="52">
        <f t="shared" si="143"/>
        <v>10</v>
      </c>
      <c r="P306" s="15">
        <f t="shared" si="145"/>
        <v>4</v>
      </c>
      <c r="Q306" s="39">
        <f t="shared" si="146"/>
        <v>6</v>
      </c>
      <c r="R306" s="13">
        <f t="shared" si="144"/>
        <v>76.02</v>
      </c>
      <c r="T306" s="143"/>
      <c r="U306" s="143"/>
      <c r="V306" s="143"/>
      <c r="W306" s="143"/>
      <c r="X306" s="143"/>
      <c r="Y306" s="143"/>
    </row>
    <row r="307" spans="1:25" ht="15.75" x14ac:dyDescent="0.25">
      <c r="A307" s="42"/>
      <c r="C307" s="642" t="s">
        <v>248</v>
      </c>
      <c r="D307" s="643"/>
      <c r="E307" s="643"/>
      <c r="F307" s="643"/>
      <c r="G307" s="643"/>
      <c r="H307" s="643"/>
      <c r="I307" s="199">
        <v>10</v>
      </c>
      <c r="J307" s="28">
        <v>15.18</v>
      </c>
      <c r="K307" s="200"/>
      <c r="L307" s="199"/>
      <c r="M307" s="28">
        <v>15.18</v>
      </c>
      <c r="N307" s="112"/>
      <c r="O307" s="52">
        <f t="shared" si="143"/>
        <v>10</v>
      </c>
      <c r="P307" s="15">
        <f t="shared" si="145"/>
        <v>2</v>
      </c>
      <c r="Q307" s="39">
        <f t="shared" si="146"/>
        <v>8</v>
      </c>
      <c r="R307" s="13">
        <f t="shared" si="144"/>
        <v>121.44</v>
      </c>
      <c r="T307" s="143"/>
      <c r="U307" s="143"/>
      <c r="V307" s="143"/>
      <c r="W307" s="143"/>
      <c r="X307" s="143"/>
      <c r="Y307" s="143"/>
    </row>
    <row r="308" spans="1:25" ht="15.75" x14ac:dyDescent="0.25">
      <c r="A308" s="42"/>
      <c r="C308" s="642" t="s">
        <v>254</v>
      </c>
      <c r="D308" s="643"/>
      <c r="E308" s="643"/>
      <c r="F308" s="643"/>
      <c r="G308" s="643"/>
      <c r="H308" s="643"/>
      <c r="I308" s="199">
        <v>10</v>
      </c>
      <c r="J308" s="28">
        <v>26.69</v>
      </c>
      <c r="K308" s="200"/>
      <c r="L308" s="199"/>
      <c r="M308" s="28">
        <v>26.69</v>
      </c>
      <c r="N308" s="112"/>
      <c r="O308" s="52">
        <f t="shared" si="143"/>
        <v>10</v>
      </c>
      <c r="P308" s="15">
        <f t="shared" si="145"/>
        <v>4</v>
      </c>
      <c r="Q308" s="39">
        <f t="shared" si="146"/>
        <v>6</v>
      </c>
      <c r="R308" s="13">
        <f t="shared" si="144"/>
        <v>160.14000000000001</v>
      </c>
      <c r="T308" s="143"/>
      <c r="U308" s="143"/>
      <c r="V308" s="143"/>
      <c r="W308" s="143"/>
      <c r="X308" s="143"/>
      <c r="Y308" s="143"/>
    </row>
    <row r="309" spans="1:25" ht="15.75" x14ac:dyDescent="0.25">
      <c r="A309" s="42"/>
      <c r="C309" s="642" t="s">
        <v>255</v>
      </c>
      <c r="D309" s="643"/>
      <c r="E309" s="643"/>
      <c r="F309" s="643"/>
      <c r="G309" s="643"/>
      <c r="H309" s="643"/>
      <c r="I309" s="199">
        <v>10</v>
      </c>
      <c r="J309" s="28">
        <v>8.33</v>
      </c>
      <c r="K309" s="200"/>
      <c r="L309" s="199"/>
      <c r="M309" s="28">
        <v>8.33</v>
      </c>
      <c r="N309" s="112"/>
      <c r="O309" s="52">
        <f t="shared" si="143"/>
        <v>10</v>
      </c>
      <c r="P309" s="15">
        <f t="shared" si="145"/>
        <v>0</v>
      </c>
      <c r="Q309" s="39">
        <f t="shared" si="146"/>
        <v>10</v>
      </c>
      <c r="R309" s="13">
        <f t="shared" si="144"/>
        <v>83.3</v>
      </c>
      <c r="T309" s="143"/>
      <c r="U309" s="143"/>
      <c r="V309" s="143"/>
      <c r="W309" s="143"/>
      <c r="X309" s="143"/>
      <c r="Y309" s="143"/>
    </row>
    <row r="310" spans="1:25" ht="15.75" x14ac:dyDescent="0.25">
      <c r="A310" s="42"/>
      <c r="C310" s="642" t="s">
        <v>256</v>
      </c>
      <c r="D310" s="643"/>
      <c r="E310" s="643"/>
      <c r="F310" s="643"/>
      <c r="G310" s="643"/>
      <c r="H310" s="643"/>
      <c r="I310" s="199">
        <v>10</v>
      </c>
      <c r="J310" s="28">
        <v>10.59</v>
      </c>
      <c r="K310" s="200"/>
      <c r="L310" s="199"/>
      <c r="M310" s="28">
        <v>10.59</v>
      </c>
      <c r="N310" s="112"/>
      <c r="O310" s="52">
        <f t="shared" si="143"/>
        <v>10</v>
      </c>
      <c r="P310" s="15">
        <f t="shared" si="145"/>
        <v>0</v>
      </c>
      <c r="Q310" s="39">
        <f t="shared" si="146"/>
        <v>10</v>
      </c>
      <c r="R310" s="13">
        <f t="shared" si="144"/>
        <v>105.9</v>
      </c>
      <c r="T310" s="143"/>
      <c r="U310" s="143"/>
      <c r="V310" s="143"/>
      <c r="W310" s="143"/>
      <c r="X310" s="143"/>
      <c r="Y310" s="143"/>
    </row>
    <row r="311" spans="1:25" ht="15.75" x14ac:dyDescent="0.25">
      <c r="A311" s="42"/>
      <c r="C311" s="642" t="s">
        <v>257</v>
      </c>
      <c r="D311" s="643"/>
      <c r="E311" s="643"/>
      <c r="F311" s="643"/>
      <c r="G311" s="643"/>
      <c r="H311" s="643"/>
      <c r="I311" s="199">
        <v>10</v>
      </c>
      <c r="J311" s="28">
        <v>12.05</v>
      </c>
      <c r="K311" s="200"/>
      <c r="L311" s="199"/>
      <c r="M311" s="28">
        <v>12.05</v>
      </c>
      <c r="N311" s="112"/>
      <c r="O311" s="52">
        <f t="shared" si="143"/>
        <v>10</v>
      </c>
      <c r="P311" s="15">
        <f t="shared" si="145"/>
        <v>0</v>
      </c>
      <c r="Q311" s="39">
        <f t="shared" si="146"/>
        <v>10</v>
      </c>
      <c r="R311" s="13">
        <f t="shared" si="144"/>
        <v>120.5</v>
      </c>
      <c r="T311" s="143"/>
      <c r="U311" s="143"/>
      <c r="V311" s="143"/>
      <c r="W311" s="143"/>
      <c r="X311" s="143"/>
      <c r="Y311" s="143"/>
    </row>
    <row r="312" spans="1:25" ht="15.75" x14ac:dyDescent="0.25">
      <c r="A312" s="42"/>
      <c r="C312" s="642" t="s">
        <v>258</v>
      </c>
      <c r="D312" s="643"/>
      <c r="E312" s="643"/>
      <c r="F312" s="643"/>
      <c r="G312" s="643"/>
      <c r="H312" s="643"/>
      <c r="I312" s="199">
        <v>10</v>
      </c>
      <c r="J312" s="28">
        <v>15.83</v>
      </c>
      <c r="K312" s="200"/>
      <c r="L312" s="199"/>
      <c r="M312" s="28">
        <v>15.83</v>
      </c>
      <c r="N312" s="112"/>
      <c r="O312" s="52">
        <f t="shared" si="143"/>
        <v>10</v>
      </c>
      <c r="P312" s="15">
        <f t="shared" si="145"/>
        <v>1</v>
      </c>
      <c r="Q312" s="39">
        <f t="shared" si="146"/>
        <v>9</v>
      </c>
      <c r="R312" s="13">
        <f t="shared" si="144"/>
        <v>142.47</v>
      </c>
      <c r="T312" s="143"/>
      <c r="U312" s="143"/>
      <c r="V312" s="143"/>
      <c r="W312" s="143"/>
      <c r="X312" s="143"/>
      <c r="Y312" s="143"/>
    </row>
    <row r="313" spans="1:25" ht="16.5" thickBot="1" x14ac:dyDescent="0.3">
      <c r="A313" s="42"/>
      <c r="C313" s="642" t="s">
        <v>259</v>
      </c>
      <c r="D313" s="643"/>
      <c r="E313" s="643"/>
      <c r="F313" s="643"/>
      <c r="G313" s="643"/>
      <c r="H313" s="643"/>
      <c r="I313" s="203">
        <v>10</v>
      </c>
      <c r="J313" s="204">
        <v>13.2</v>
      </c>
      <c r="K313" s="205"/>
      <c r="L313" s="203"/>
      <c r="M313" s="204">
        <v>13.2</v>
      </c>
      <c r="N313" s="155"/>
      <c r="O313" s="52">
        <f t="shared" si="143"/>
        <v>10</v>
      </c>
      <c r="P313" s="15">
        <f t="shared" si="145"/>
        <v>0</v>
      </c>
      <c r="Q313" s="39">
        <f t="shared" si="146"/>
        <v>10</v>
      </c>
      <c r="R313" s="13">
        <f t="shared" si="144"/>
        <v>132</v>
      </c>
      <c r="T313" s="143"/>
      <c r="U313" s="143"/>
      <c r="V313" s="143"/>
      <c r="W313" s="143"/>
      <c r="X313" s="143"/>
      <c r="Y313" s="143"/>
    </row>
    <row r="314" spans="1:25" x14ac:dyDescent="0.25">
      <c r="A314" s="42"/>
      <c r="C314" s="70"/>
      <c r="R314" s="123">
        <f>SUM(R297:R313)</f>
        <v>2803.8599999999997</v>
      </c>
    </row>
    <row r="315" spans="1:25" x14ac:dyDescent="0.25">
      <c r="A315" s="42"/>
    </row>
    <row r="316" spans="1:25" ht="21" x14ac:dyDescent="0.35">
      <c r="A316" s="42"/>
      <c r="C316" s="672" t="s">
        <v>195</v>
      </c>
      <c r="D316" s="672"/>
      <c r="E316" s="672"/>
      <c r="F316" s="672"/>
      <c r="G316" s="672"/>
      <c r="H316" s="672"/>
      <c r="I316" s="672"/>
      <c r="J316" s="672"/>
      <c r="K316" s="672"/>
      <c r="L316" s="672"/>
      <c r="M316" s="672"/>
      <c r="N316" s="672"/>
      <c r="O316" s="672"/>
      <c r="P316" s="672"/>
      <c r="Q316" s="125"/>
      <c r="R316" s="125"/>
      <c r="W316" s="8"/>
    </row>
    <row r="317" spans="1:25" ht="24" x14ac:dyDescent="0.25">
      <c r="A317" s="42"/>
      <c r="C317" s="662" t="s">
        <v>2</v>
      </c>
      <c r="D317" s="663"/>
      <c r="E317" s="663"/>
      <c r="F317" s="663"/>
      <c r="G317" s="663"/>
      <c r="H317" s="664"/>
      <c r="I317" s="40">
        <v>1</v>
      </c>
      <c r="J317" s="80" t="s">
        <v>87</v>
      </c>
      <c r="K317" s="82" t="s">
        <v>86</v>
      </c>
      <c r="L317" s="41" t="s">
        <v>77</v>
      </c>
      <c r="M317" s="41" t="s">
        <v>78</v>
      </c>
      <c r="N317" s="41" t="s">
        <v>79</v>
      </c>
      <c r="O317" s="123" t="s">
        <v>94</v>
      </c>
    </row>
    <row r="318" spans="1:25" x14ac:dyDescent="0.25">
      <c r="A318" s="42"/>
      <c r="C318" s="644" t="s">
        <v>194</v>
      </c>
      <c r="D318" s="644"/>
      <c r="E318" s="644"/>
      <c r="F318" s="644"/>
      <c r="G318" s="644"/>
      <c r="H318" s="642"/>
      <c r="I318" s="15">
        <v>3</v>
      </c>
      <c r="J318" s="15">
        <v>59.23</v>
      </c>
      <c r="K318" s="107"/>
      <c r="L318" s="15">
        <f>I318</f>
        <v>3</v>
      </c>
      <c r="M318" s="15">
        <f>AN173</f>
        <v>3</v>
      </c>
      <c r="N318" s="39">
        <f>L318-M318</f>
        <v>0</v>
      </c>
      <c r="O318" s="13">
        <f>N318*J318</f>
        <v>0</v>
      </c>
    </row>
    <row r="319" spans="1:25" x14ac:dyDescent="0.25">
      <c r="A319" s="42"/>
      <c r="C319" s="70"/>
      <c r="O319" s="13">
        <f>SUM(O318:O318)</f>
        <v>0</v>
      </c>
    </row>
    <row r="320" spans="1:25" x14ac:dyDescent="0.25">
      <c r="A320" s="42"/>
      <c r="W320" s="8"/>
    </row>
    <row r="321" spans="1:23" x14ac:dyDescent="0.25">
      <c r="A321" s="42"/>
      <c r="W321" s="8"/>
    </row>
    <row r="322" spans="1:23" ht="21" x14ac:dyDescent="0.35">
      <c r="A322" s="42"/>
      <c r="C322" s="672" t="s">
        <v>277</v>
      </c>
      <c r="D322" s="672"/>
      <c r="E322" s="672"/>
      <c r="F322" s="672"/>
      <c r="G322" s="672"/>
      <c r="H322" s="672"/>
      <c r="I322" s="672"/>
      <c r="J322" s="672"/>
      <c r="K322" s="672"/>
      <c r="L322" s="672"/>
      <c r="M322" s="672"/>
      <c r="N322" s="672"/>
      <c r="O322" s="672"/>
      <c r="P322" s="672"/>
      <c r="W322" s="8"/>
    </row>
    <row r="323" spans="1:23" ht="24" x14ac:dyDescent="0.25">
      <c r="A323" s="42"/>
      <c r="B323" s="8"/>
      <c r="C323" s="662" t="s">
        <v>2</v>
      </c>
      <c r="D323" s="663"/>
      <c r="E323" s="663"/>
      <c r="F323" s="663"/>
      <c r="G323" s="663"/>
      <c r="H323" s="664"/>
      <c r="I323" s="40">
        <v>1</v>
      </c>
      <c r="J323" s="80" t="s">
        <v>87</v>
      </c>
      <c r="K323" s="82" t="s">
        <v>86</v>
      </c>
      <c r="L323" s="41" t="s">
        <v>77</v>
      </c>
      <c r="M323" s="41" t="s">
        <v>78</v>
      </c>
      <c r="N323" s="41" t="s">
        <v>79</v>
      </c>
      <c r="O323" s="123" t="s">
        <v>94</v>
      </c>
      <c r="Q323" s="8"/>
      <c r="R323" s="8"/>
      <c r="S323" s="8"/>
      <c r="T323" s="8"/>
      <c r="U323" s="8"/>
      <c r="V323" s="8"/>
      <c r="W323" s="8"/>
    </row>
    <row r="324" spans="1:23" ht="18.600000000000001" customHeight="1" x14ac:dyDescent="0.25">
      <c r="A324" s="42"/>
      <c r="B324" s="8"/>
      <c r="C324" s="644" t="s">
        <v>274</v>
      </c>
      <c r="D324" s="644"/>
      <c r="E324" s="644"/>
      <c r="F324" s="644"/>
      <c r="G324" s="644"/>
      <c r="H324" s="644"/>
      <c r="I324" s="41">
        <v>5</v>
      </c>
      <c r="J324" s="80">
        <v>5</v>
      </c>
      <c r="K324" s="82"/>
      <c r="L324" s="15">
        <f>I324</f>
        <v>5</v>
      </c>
      <c r="M324" s="15">
        <f>AN191</f>
        <v>4</v>
      </c>
      <c r="N324" s="39">
        <f>L324-M324</f>
        <v>1</v>
      </c>
      <c r="O324" s="13">
        <f>N324*J324</f>
        <v>5</v>
      </c>
      <c r="Q324" s="8"/>
      <c r="R324" s="8"/>
      <c r="S324" s="8"/>
      <c r="T324" s="8"/>
      <c r="U324" s="8"/>
      <c r="V324" s="8"/>
      <c r="W324" s="8"/>
    </row>
    <row r="325" spans="1:23" x14ac:dyDescent="0.25">
      <c r="A325" s="42"/>
      <c r="B325" s="8"/>
      <c r="C325" s="644" t="s">
        <v>275</v>
      </c>
      <c r="D325" s="644"/>
      <c r="E325" s="644"/>
      <c r="F325" s="644"/>
      <c r="G325" s="644"/>
      <c r="H325" s="644"/>
      <c r="I325" s="15">
        <v>6</v>
      </c>
      <c r="J325" s="15">
        <v>6</v>
      </c>
      <c r="K325" s="107"/>
      <c r="L325" s="15">
        <f>I325</f>
        <v>6</v>
      </c>
      <c r="M325" s="15">
        <f>AN192</f>
        <v>6</v>
      </c>
      <c r="N325" s="39">
        <f>L325-M325</f>
        <v>0</v>
      </c>
      <c r="O325" s="13">
        <f>N325*J325</f>
        <v>0</v>
      </c>
      <c r="Q325" s="8"/>
      <c r="R325" s="8"/>
      <c r="S325" s="8"/>
      <c r="T325" s="8"/>
      <c r="U325" s="8"/>
      <c r="V325" s="8"/>
      <c r="W325" s="8"/>
    </row>
    <row r="326" spans="1:23" x14ac:dyDescent="0.25">
      <c r="A326" s="42"/>
      <c r="B326" s="8"/>
      <c r="C326" s="70"/>
      <c r="O326" s="13">
        <f>SUM(O325:O325)</f>
        <v>0</v>
      </c>
      <c r="Q326" s="8"/>
      <c r="R326" s="8"/>
      <c r="S326" s="8"/>
      <c r="T326" s="8"/>
      <c r="U326" s="8"/>
      <c r="V326" s="8"/>
      <c r="W326" s="8"/>
    </row>
    <row r="327" spans="1:23" x14ac:dyDescent="0.25">
      <c r="A327" s="8"/>
      <c r="C327" s="6"/>
      <c r="D327" s="6"/>
      <c r="E327" s="6"/>
      <c r="F327" s="6"/>
      <c r="G327" s="115"/>
      <c r="I327" s="6"/>
      <c r="W327" s="8"/>
    </row>
    <row r="328" spans="1:23" x14ac:dyDescent="0.25">
      <c r="A328" s="8"/>
      <c r="C328" s="6"/>
      <c r="D328" s="6"/>
      <c r="E328" s="6"/>
      <c r="F328" s="6"/>
      <c r="G328" s="115"/>
      <c r="I328" s="6"/>
      <c r="W328" s="8"/>
    </row>
    <row r="329" spans="1:23" x14ac:dyDescent="0.25">
      <c r="A329" s="8"/>
      <c r="C329" s="3"/>
      <c r="D329" s="6"/>
      <c r="E329" s="6"/>
      <c r="F329" s="6"/>
      <c r="G329" s="115"/>
      <c r="I329" s="6"/>
      <c r="W329" s="8"/>
    </row>
    <row r="330" spans="1:23" x14ac:dyDescent="0.25">
      <c r="A330" s="8"/>
      <c r="C330" s="6"/>
      <c r="D330" s="6"/>
      <c r="E330" s="6"/>
      <c r="F330" s="6"/>
      <c r="G330" s="115"/>
      <c r="I330" s="6"/>
      <c r="W330" s="8"/>
    </row>
    <row r="331" spans="1:23" ht="15.75" x14ac:dyDescent="0.25">
      <c r="A331" s="8"/>
      <c r="C331" s="116"/>
      <c r="D331" s="103"/>
      <c r="E331" s="103"/>
      <c r="F331" s="117"/>
      <c r="G331" s="118"/>
      <c r="I331" s="119"/>
      <c r="W331" s="8"/>
    </row>
    <row r="332" spans="1:23" x14ac:dyDescent="0.25">
      <c r="A332" s="8"/>
      <c r="C332" s="70"/>
      <c r="W332" s="8"/>
    </row>
    <row r="333" spans="1:23" x14ac:dyDescent="0.25">
      <c r="A333" s="8"/>
      <c r="W333" s="8"/>
    </row>
    <row r="334" spans="1:23" x14ac:dyDescent="0.25">
      <c r="A334" s="8"/>
      <c r="W334" s="8"/>
    </row>
    <row r="335" spans="1:23" x14ac:dyDescent="0.25">
      <c r="A335" s="8"/>
      <c r="W335" s="8"/>
    </row>
    <row r="336" spans="1:23" x14ac:dyDescent="0.25">
      <c r="W336" s="8"/>
    </row>
    <row r="337" spans="23:23" x14ac:dyDescent="0.25">
      <c r="W337" s="8"/>
    </row>
    <row r="338" spans="23:23" x14ac:dyDescent="0.25">
      <c r="W338" s="8"/>
    </row>
    <row r="339" spans="23:23" x14ac:dyDescent="0.25">
      <c r="W339" s="8"/>
    </row>
    <row r="340" spans="23:23" x14ac:dyDescent="0.25">
      <c r="W340" s="8"/>
    </row>
    <row r="341" spans="23:23" x14ac:dyDescent="0.25">
      <c r="W341" s="8"/>
    </row>
    <row r="342" spans="23:23" x14ac:dyDescent="0.25">
      <c r="W342" s="8"/>
    </row>
    <row r="343" spans="23:23" x14ac:dyDescent="0.25">
      <c r="W343" s="8"/>
    </row>
    <row r="344" spans="23:23" x14ac:dyDescent="0.25">
      <c r="W344" s="8"/>
    </row>
    <row r="345" spans="23:23" x14ac:dyDescent="0.25">
      <c r="W345" s="8"/>
    </row>
    <row r="346" spans="23:23" x14ac:dyDescent="0.25">
      <c r="W346" s="8"/>
    </row>
    <row r="347" spans="23:23" x14ac:dyDescent="0.25">
      <c r="W347" s="8"/>
    </row>
    <row r="348" spans="23:23" x14ac:dyDescent="0.25">
      <c r="W348" s="8"/>
    </row>
    <row r="349" spans="23:23" x14ac:dyDescent="0.25">
      <c r="W349" s="8"/>
    </row>
    <row r="350" spans="23:23" x14ac:dyDescent="0.25">
      <c r="W350" s="8"/>
    </row>
    <row r="351" spans="23:23" x14ac:dyDescent="0.25">
      <c r="W351" s="8"/>
    </row>
    <row r="352" spans="23:23" x14ac:dyDescent="0.25">
      <c r="W352" s="8"/>
    </row>
    <row r="353" spans="23:23" x14ac:dyDescent="0.25">
      <c r="W353" s="8"/>
    </row>
    <row r="354" spans="23:23" x14ac:dyDescent="0.25">
      <c r="W354" s="8"/>
    </row>
    <row r="355" spans="23:23" x14ac:dyDescent="0.25">
      <c r="W355" s="8"/>
    </row>
    <row r="356" spans="23:23" x14ac:dyDescent="0.25">
      <c r="W356" s="8"/>
    </row>
    <row r="357" spans="23:23" x14ac:dyDescent="0.25">
      <c r="W357" s="8"/>
    </row>
    <row r="358" spans="23:23" x14ac:dyDescent="0.25">
      <c r="W358" s="8"/>
    </row>
    <row r="359" spans="23:23" x14ac:dyDescent="0.25">
      <c r="W359" s="8"/>
    </row>
    <row r="360" spans="23:23" x14ac:dyDescent="0.25">
      <c r="W360" s="8"/>
    </row>
    <row r="361" spans="23:23" x14ac:dyDescent="0.25">
      <c r="W361" s="8"/>
    </row>
    <row r="362" spans="23:23" x14ac:dyDescent="0.25">
      <c r="W362" s="8"/>
    </row>
    <row r="363" spans="23:23" x14ac:dyDescent="0.25">
      <c r="W363" s="8"/>
    </row>
    <row r="364" spans="23:23" x14ac:dyDescent="0.25">
      <c r="W364" s="8"/>
    </row>
    <row r="365" spans="23:23" x14ac:dyDescent="0.25">
      <c r="W365" s="8"/>
    </row>
    <row r="366" spans="23:23" x14ac:dyDescent="0.25">
      <c r="W366" s="8"/>
    </row>
    <row r="367" spans="23:23" x14ac:dyDescent="0.25">
      <c r="W367" s="8"/>
    </row>
    <row r="368" spans="23:23" x14ac:dyDescent="0.25">
      <c r="W368" s="8"/>
    </row>
    <row r="369" spans="23:23" x14ac:dyDescent="0.25">
      <c r="W369" s="8"/>
    </row>
    <row r="370" spans="23:23" x14ac:dyDescent="0.25">
      <c r="W370" s="8"/>
    </row>
    <row r="371" spans="23:23" x14ac:dyDescent="0.25">
      <c r="W371" s="8"/>
    </row>
    <row r="372" spans="23:23" x14ac:dyDescent="0.25">
      <c r="W372" s="8"/>
    </row>
    <row r="373" spans="23:23" x14ac:dyDescent="0.25">
      <c r="W373" s="8"/>
    </row>
    <row r="374" spans="23:23" x14ac:dyDescent="0.25">
      <c r="W374" s="8"/>
    </row>
    <row r="375" spans="23:23" x14ac:dyDescent="0.25">
      <c r="W375" s="8"/>
    </row>
    <row r="376" spans="23:23" x14ac:dyDescent="0.25">
      <c r="W376" s="8"/>
    </row>
    <row r="377" spans="23:23" x14ac:dyDescent="0.25">
      <c r="W377" s="8"/>
    </row>
    <row r="378" spans="23:23" x14ac:dyDescent="0.25">
      <c r="W378" s="8"/>
    </row>
    <row r="379" spans="23:23" x14ac:dyDescent="0.25">
      <c r="W379" s="8"/>
    </row>
    <row r="380" spans="23:23" x14ac:dyDescent="0.25">
      <c r="W380" s="8"/>
    </row>
    <row r="381" spans="23:23" x14ac:dyDescent="0.25">
      <c r="W381" s="8"/>
    </row>
    <row r="382" spans="23:23" x14ac:dyDescent="0.25">
      <c r="W382" s="8"/>
    </row>
    <row r="383" spans="23:23" x14ac:dyDescent="0.25">
      <c r="W383" s="8"/>
    </row>
    <row r="384" spans="23:23" x14ac:dyDescent="0.25">
      <c r="W384" s="8"/>
    </row>
    <row r="385" spans="23:23" x14ac:dyDescent="0.25">
      <c r="W385" s="8"/>
    </row>
    <row r="386" spans="23:23" x14ac:dyDescent="0.25">
      <c r="W386" s="8"/>
    </row>
    <row r="387" spans="23:23" x14ac:dyDescent="0.25">
      <c r="W387" s="8"/>
    </row>
    <row r="388" spans="23:23" x14ac:dyDescent="0.25">
      <c r="W388" s="8"/>
    </row>
    <row r="389" spans="23:23" x14ac:dyDescent="0.25">
      <c r="W389" s="8"/>
    </row>
    <row r="390" spans="23:23" x14ac:dyDescent="0.25">
      <c r="W390" s="8"/>
    </row>
    <row r="391" spans="23:23" x14ac:dyDescent="0.25">
      <c r="W391" s="8"/>
    </row>
    <row r="392" spans="23:23" x14ac:dyDescent="0.25">
      <c r="W392" s="8"/>
    </row>
    <row r="393" spans="23:23" x14ac:dyDescent="0.25">
      <c r="W393" s="8"/>
    </row>
    <row r="394" spans="23:23" x14ac:dyDescent="0.25">
      <c r="W394" s="8"/>
    </row>
    <row r="395" spans="23:23" x14ac:dyDescent="0.25">
      <c r="W395" s="8"/>
    </row>
    <row r="396" spans="23:23" x14ac:dyDescent="0.25">
      <c r="W396" s="8"/>
    </row>
    <row r="397" spans="23:23" x14ac:dyDescent="0.25">
      <c r="W397" s="8"/>
    </row>
    <row r="398" spans="23:23" x14ac:dyDescent="0.25">
      <c r="W398" s="8"/>
    </row>
    <row r="399" spans="23:23" x14ac:dyDescent="0.25">
      <c r="W399" s="8"/>
    </row>
    <row r="400" spans="23:23" x14ac:dyDescent="0.25">
      <c r="W400" s="8"/>
    </row>
    <row r="401" spans="23:23" x14ac:dyDescent="0.25">
      <c r="W401" s="8"/>
    </row>
    <row r="402" spans="23:23" x14ac:dyDescent="0.25">
      <c r="W402" s="8"/>
    </row>
    <row r="403" spans="23:23" x14ac:dyDescent="0.25">
      <c r="W403" s="8"/>
    </row>
    <row r="404" spans="23:23" x14ac:dyDescent="0.25">
      <c r="W404" s="8"/>
    </row>
    <row r="405" spans="23:23" x14ac:dyDescent="0.25">
      <c r="W405" s="8"/>
    </row>
    <row r="406" spans="23:23" x14ac:dyDescent="0.25">
      <c r="W406" s="8"/>
    </row>
  </sheetData>
  <mergeCells count="3203">
    <mergeCell ref="AJ197:AK197"/>
    <mergeCell ref="AL197:AM197"/>
    <mergeCell ref="AJ198:AK198"/>
    <mergeCell ref="AL198:AM198"/>
    <mergeCell ref="AJ199:AK199"/>
    <mergeCell ref="AL199:AM199"/>
    <mergeCell ref="AJ200:AK200"/>
    <mergeCell ref="AL200:AM200"/>
    <mergeCell ref="AJ201:AM201"/>
    <mergeCell ref="AJ202:AM202"/>
    <mergeCell ref="AJ107:AM107"/>
    <mergeCell ref="AJ187:AK187"/>
    <mergeCell ref="AL187:AM187"/>
    <mergeCell ref="AJ188:AK188"/>
    <mergeCell ref="AL188:AM188"/>
    <mergeCell ref="AJ189:AK189"/>
    <mergeCell ref="AL189:AM189"/>
    <mergeCell ref="AJ190:AK190"/>
    <mergeCell ref="AL190:AM190"/>
    <mergeCell ref="AJ191:AK191"/>
    <mergeCell ref="AL191:AM191"/>
    <mergeCell ref="AJ192:AK192"/>
    <mergeCell ref="AL192:AM192"/>
    <mergeCell ref="AJ193:AK193"/>
    <mergeCell ref="AL193:AM193"/>
    <mergeCell ref="AJ194:AK194"/>
    <mergeCell ref="AL194:AM194"/>
    <mergeCell ref="AJ195:AK195"/>
    <mergeCell ref="AL195:AM195"/>
    <mergeCell ref="AJ172:AK172"/>
    <mergeCell ref="AL172:AM172"/>
    <mergeCell ref="AJ173:AK173"/>
    <mergeCell ref="AL173:AM173"/>
    <mergeCell ref="AJ174:AK174"/>
    <mergeCell ref="AL174:AM174"/>
    <mergeCell ref="AJ175:AK175"/>
    <mergeCell ref="AL175:AM175"/>
    <mergeCell ref="AJ176:AK176"/>
    <mergeCell ref="AL176:AM176"/>
    <mergeCell ref="AJ177:AK177"/>
    <mergeCell ref="AL177:AM177"/>
    <mergeCell ref="AJ178:AK178"/>
    <mergeCell ref="AL178:AM178"/>
    <mergeCell ref="AJ179:AK179"/>
    <mergeCell ref="AL179:AM179"/>
    <mergeCell ref="AJ180:AK180"/>
    <mergeCell ref="AL180:AM180"/>
    <mergeCell ref="AJ163:AK163"/>
    <mergeCell ref="AL163:AM163"/>
    <mergeCell ref="AJ164:AK164"/>
    <mergeCell ref="AL164:AM164"/>
    <mergeCell ref="AJ165:AK165"/>
    <mergeCell ref="AL165:AM165"/>
    <mergeCell ref="AJ166:AK166"/>
    <mergeCell ref="AL166:AM166"/>
    <mergeCell ref="AJ167:AK167"/>
    <mergeCell ref="AL167:AM167"/>
    <mergeCell ref="AJ168:AK168"/>
    <mergeCell ref="AL168:AM168"/>
    <mergeCell ref="AJ169:AK169"/>
    <mergeCell ref="AL169:AM169"/>
    <mergeCell ref="AJ170:AK170"/>
    <mergeCell ref="AL170:AM170"/>
    <mergeCell ref="AJ171:AK171"/>
    <mergeCell ref="AL171:AM171"/>
    <mergeCell ref="AJ154:AK154"/>
    <mergeCell ref="AL154:AM154"/>
    <mergeCell ref="AJ155:AK155"/>
    <mergeCell ref="AL155:AM155"/>
    <mergeCell ref="AJ156:AK156"/>
    <mergeCell ref="AL156:AM156"/>
    <mergeCell ref="AJ157:AK157"/>
    <mergeCell ref="AL157:AM157"/>
    <mergeCell ref="AJ158:AK158"/>
    <mergeCell ref="AL158:AM158"/>
    <mergeCell ref="AJ159:AK159"/>
    <mergeCell ref="AL159:AM159"/>
    <mergeCell ref="AJ160:AK160"/>
    <mergeCell ref="AL160:AM160"/>
    <mergeCell ref="AJ161:AK161"/>
    <mergeCell ref="AL161:AM161"/>
    <mergeCell ref="AJ162:AK162"/>
    <mergeCell ref="AL162:AM162"/>
    <mergeCell ref="AJ145:AK145"/>
    <mergeCell ref="AL145:AM145"/>
    <mergeCell ref="AJ146:AK146"/>
    <mergeCell ref="AL146:AM146"/>
    <mergeCell ref="AJ147:AK147"/>
    <mergeCell ref="AL147:AM147"/>
    <mergeCell ref="AJ148:AK148"/>
    <mergeCell ref="AL148:AM148"/>
    <mergeCell ref="AJ149:AK149"/>
    <mergeCell ref="AL149:AM149"/>
    <mergeCell ref="AJ150:AK150"/>
    <mergeCell ref="AL150:AM150"/>
    <mergeCell ref="AJ151:AK151"/>
    <mergeCell ref="AL151:AM151"/>
    <mergeCell ref="AJ152:AK152"/>
    <mergeCell ref="AL152:AM152"/>
    <mergeCell ref="AJ153:AK153"/>
    <mergeCell ref="AL153:AM153"/>
    <mergeCell ref="AJ136:AK136"/>
    <mergeCell ref="AL136:AM136"/>
    <mergeCell ref="AJ137:AK137"/>
    <mergeCell ref="AL137:AM137"/>
    <mergeCell ref="AJ138:AK138"/>
    <mergeCell ref="AL138:AM138"/>
    <mergeCell ref="AJ139:AK139"/>
    <mergeCell ref="AL139:AM139"/>
    <mergeCell ref="AJ140:AK140"/>
    <mergeCell ref="AL140:AM140"/>
    <mergeCell ref="AJ141:AK141"/>
    <mergeCell ref="AL141:AM141"/>
    <mergeCell ref="AJ142:AK142"/>
    <mergeCell ref="AL142:AM142"/>
    <mergeCell ref="AJ143:AK143"/>
    <mergeCell ref="AL143:AM143"/>
    <mergeCell ref="AJ144:AK144"/>
    <mergeCell ref="AL144:AM144"/>
    <mergeCell ref="AJ127:AK127"/>
    <mergeCell ref="AL127:AM127"/>
    <mergeCell ref="AJ128:AK128"/>
    <mergeCell ref="AL128:AM128"/>
    <mergeCell ref="AJ129:AK129"/>
    <mergeCell ref="AL129:AM129"/>
    <mergeCell ref="AJ130:AK130"/>
    <mergeCell ref="AL130:AM130"/>
    <mergeCell ref="AJ131:AK131"/>
    <mergeCell ref="AL131:AM131"/>
    <mergeCell ref="AJ132:AK132"/>
    <mergeCell ref="AL132:AM132"/>
    <mergeCell ref="AJ133:AK133"/>
    <mergeCell ref="AL133:AM133"/>
    <mergeCell ref="AJ134:AK134"/>
    <mergeCell ref="AL134:AM134"/>
    <mergeCell ref="AJ135:AK135"/>
    <mergeCell ref="AL135:AM135"/>
    <mergeCell ref="AJ118:AK118"/>
    <mergeCell ref="AL118:AM118"/>
    <mergeCell ref="AJ119:AK119"/>
    <mergeCell ref="AL119:AM119"/>
    <mergeCell ref="AJ120:AK120"/>
    <mergeCell ref="AL120:AM120"/>
    <mergeCell ref="AJ121:AK121"/>
    <mergeCell ref="AL121:AM121"/>
    <mergeCell ref="AJ122:AK122"/>
    <mergeCell ref="AL122:AM122"/>
    <mergeCell ref="AJ123:AK123"/>
    <mergeCell ref="AL123:AM123"/>
    <mergeCell ref="AJ124:AK124"/>
    <mergeCell ref="AL124:AM124"/>
    <mergeCell ref="AJ125:AK125"/>
    <mergeCell ref="AL125:AM125"/>
    <mergeCell ref="AJ126:AK126"/>
    <mergeCell ref="AL126:AM126"/>
    <mergeCell ref="AL109:AM109"/>
    <mergeCell ref="AJ110:AK110"/>
    <mergeCell ref="AL110:AM110"/>
    <mergeCell ref="AJ111:AK111"/>
    <mergeCell ref="AL111:AM111"/>
    <mergeCell ref="AJ112:AK112"/>
    <mergeCell ref="AL112:AM112"/>
    <mergeCell ref="AJ113:AK113"/>
    <mergeCell ref="AL113:AM113"/>
    <mergeCell ref="AJ114:AK114"/>
    <mergeCell ref="AL114:AM114"/>
    <mergeCell ref="AJ115:AK115"/>
    <mergeCell ref="AL115:AM115"/>
    <mergeCell ref="AJ116:AK116"/>
    <mergeCell ref="AL116:AM116"/>
    <mergeCell ref="AJ117:AK117"/>
    <mergeCell ref="AL117:AM117"/>
    <mergeCell ref="NG87:NL87"/>
    <mergeCell ref="NG88:NL88"/>
    <mergeCell ref="NG89:NL89"/>
    <mergeCell ref="NG90:NL90"/>
    <mergeCell ref="NG91:NL91"/>
    <mergeCell ref="NG92:NL92"/>
    <mergeCell ref="NG93:NL93"/>
    <mergeCell ref="NG94:NL94"/>
    <mergeCell ref="NG95:NL95"/>
    <mergeCell ref="NG96:NL96"/>
    <mergeCell ref="NG97:NL97"/>
    <mergeCell ref="NG98:NL98"/>
    <mergeCell ref="NG5:NM6"/>
    <mergeCell ref="NG99:NL99"/>
    <mergeCell ref="NG100:NL100"/>
    <mergeCell ref="NG101:NL101"/>
    <mergeCell ref="NG102:NL102"/>
    <mergeCell ref="NG70:NL70"/>
    <mergeCell ref="NG71:NL71"/>
    <mergeCell ref="NG72:NL72"/>
    <mergeCell ref="NG73:NL73"/>
    <mergeCell ref="NG74:NL74"/>
    <mergeCell ref="NG75:NL75"/>
    <mergeCell ref="NG76:NL76"/>
    <mergeCell ref="NG77:NL77"/>
    <mergeCell ref="NG78:NL78"/>
    <mergeCell ref="NG79:NL79"/>
    <mergeCell ref="NG80:NL80"/>
    <mergeCell ref="NG81:NL81"/>
    <mergeCell ref="NG82:NL82"/>
    <mergeCell ref="NG83:NL83"/>
    <mergeCell ref="NG84:NL84"/>
    <mergeCell ref="NG85:NL85"/>
    <mergeCell ref="NG86:NL86"/>
    <mergeCell ref="NG53:NL53"/>
    <mergeCell ref="NG54:NL54"/>
    <mergeCell ref="NG55:NL55"/>
    <mergeCell ref="NG56:NL56"/>
    <mergeCell ref="NG57:NL57"/>
    <mergeCell ref="NG58:NL58"/>
    <mergeCell ref="NG59:NL59"/>
    <mergeCell ref="NG60:NL60"/>
    <mergeCell ref="NG61:NL61"/>
    <mergeCell ref="NG62:NL62"/>
    <mergeCell ref="NG63:NL63"/>
    <mergeCell ref="NG64:NL64"/>
    <mergeCell ref="NG65:NL65"/>
    <mergeCell ref="NG66:NL66"/>
    <mergeCell ref="NG67:NL67"/>
    <mergeCell ref="NG68:NL68"/>
    <mergeCell ref="NG69:NL69"/>
    <mergeCell ref="NG36:NL36"/>
    <mergeCell ref="NG37:NL37"/>
    <mergeCell ref="NG38:NL38"/>
    <mergeCell ref="NG39:NL39"/>
    <mergeCell ref="NG40:NL40"/>
    <mergeCell ref="NG41:NL41"/>
    <mergeCell ref="NG42:NL42"/>
    <mergeCell ref="NG43:NL43"/>
    <mergeCell ref="NG44:NL44"/>
    <mergeCell ref="NG45:NL45"/>
    <mergeCell ref="NG46:NL46"/>
    <mergeCell ref="NG47:NL47"/>
    <mergeCell ref="NG48:NL48"/>
    <mergeCell ref="NG49:NL49"/>
    <mergeCell ref="NG50:NL50"/>
    <mergeCell ref="NG51:NL51"/>
    <mergeCell ref="NG52:NL52"/>
    <mergeCell ref="NG19:NL19"/>
    <mergeCell ref="NG20:NL20"/>
    <mergeCell ref="NG21:NL21"/>
    <mergeCell ref="NG22:NL22"/>
    <mergeCell ref="NG23:NL23"/>
    <mergeCell ref="NG24:NL24"/>
    <mergeCell ref="NG25:NL25"/>
    <mergeCell ref="NG26:NL26"/>
    <mergeCell ref="NG27:NL27"/>
    <mergeCell ref="NG28:NL28"/>
    <mergeCell ref="NG29:NL29"/>
    <mergeCell ref="NG30:NL30"/>
    <mergeCell ref="NG31:NL31"/>
    <mergeCell ref="NG32:NL32"/>
    <mergeCell ref="NG33:NL33"/>
    <mergeCell ref="NG34:NL34"/>
    <mergeCell ref="NG35:NL35"/>
    <mergeCell ref="NG7:NL7"/>
    <mergeCell ref="NG8:NL8"/>
    <mergeCell ref="NG9:NL9"/>
    <mergeCell ref="NG10:NL10"/>
    <mergeCell ref="NG11:NL11"/>
    <mergeCell ref="NG12:NL12"/>
    <mergeCell ref="NG13:NL13"/>
    <mergeCell ref="NG14:NL14"/>
    <mergeCell ref="NG15:NL15"/>
    <mergeCell ref="NG16:NL16"/>
    <mergeCell ref="NG17:NL17"/>
    <mergeCell ref="NG18:NL18"/>
    <mergeCell ref="GT73:GY73"/>
    <mergeCell ref="Y201:AB201"/>
    <mergeCell ref="Y202:AB202"/>
    <mergeCell ref="AC201:AI201"/>
    <mergeCell ref="AC202:AI202"/>
    <mergeCell ref="AN201:AQ201"/>
    <mergeCell ref="AN202:AQ202"/>
    <mergeCell ref="MH73:MM73"/>
    <mergeCell ref="MH74:MM74"/>
    <mergeCell ref="MH75:MM75"/>
    <mergeCell ref="MH76:MM76"/>
    <mergeCell ref="MH77:MM77"/>
    <mergeCell ref="MH78:MM78"/>
    <mergeCell ref="MH79:MM79"/>
    <mergeCell ref="MH80:MM80"/>
    <mergeCell ref="MH81:MM81"/>
    <mergeCell ref="MH82:MM82"/>
    <mergeCell ref="MH83:MM83"/>
    <mergeCell ref="MH84:MM84"/>
    <mergeCell ref="MH85:MM85"/>
    <mergeCell ref="MH86:MM86"/>
    <mergeCell ref="MH87:MM87"/>
    <mergeCell ref="MH88:MM88"/>
    <mergeCell ref="AN169:AO169"/>
    <mergeCell ref="MH90:MM90"/>
    <mergeCell ref="MH101:MM101"/>
    <mergeCell ref="MH102:MM102"/>
    <mergeCell ref="MH91:MM91"/>
    <mergeCell ref="MH92:MM92"/>
    <mergeCell ref="MH93:MM93"/>
    <mergeCell ref="MH94:MM94"/>
    <mergeCell ref="MH95:MM95"/>
    <mergeCell ref="MH96:MM96"/>
    <mergeCell ref="MH97:MM97"/>
    <mergeCell ref="MH98:MM98"/>
    <mergeCell ref="MH99:MM99"/>
    <mergeCell ref="MH100:MM100"/>
    <mergeCell ref="AN123:AO123"/>
    <mergeCell ref="AN115:AO115"/>
    <mergeCell ref="AN116:AO116"/>
    <mergeCell ref="AN117:AO117"/>
    <mergeCell ref="AN118:AO118"/>
    <mergeCell ref="AN124:AO124"/>
    <mergeCell ref="AN150:AO150"/>
    <mergeCell ref="AN151:AO151"/>
    <mergeCell ref="AN152:AO152"/>
    <mergeCell ref="AN153:AO153"/>
    <mergeCell ref="AN141:AO141"/>
    <mergeCell ref="AN142:AO142"/>
    <mergeCell ref="AN143:AO143"/>
    <mergeCell ref="AN144:AO144"/>
    <mergeCell ref="AN145:AO145"/>
    <mergeCell ref="IP63:IU63"/>
    <mergeCell ref="IP64:IU64"/>
    <mergeCell ref="IP65:IU65"/>
    <mergeCell ref="HZ73:IE73"/>
    <mergeCell ref="LI64:LN64"/>
    <mergeCell ref="LI65:LN65"/>
    <mergeCell ref="JB69:JG69"/>
    <mergeCell ref="JB70:JG70"/>
    <mergeCell ref="LI88:LN88"/>
    <mergeCell ref="LI89:LN89"/>
    <mergeCell ref="MH44:MM44"/>
    <mergeCell ref="MH45:MM45"/>
    <mergeCell ref="MH46:MM46"/>
    <mergeCell ref="MH47:MM47"/>
    <mergeCell ref="MH48:MM48"/>
    <mergeCell ref="MH59:MM59"/>
    <mergeCell ref="MH60:MM60"/>
    <mergeCell ref="MH61:MM61"/>
    <mergeCell ref="MH62:MM62"/>
    <mergeCell ref="MH63:MM63"/>
    <mergeCell ref="MH64:MM64"/>
    <mergeCell ref="MH65:MM65"/>
    <mergeCell ref="MH66:MM66"/>
    <mergeCell ref="MH67:MM67"/>
    <mergeCell ref="MH68:MM68"/>
    <mergeCell ref="MH69:MM69"/>
    <mergeCell ref="MH70:MM70"/>
    <mergeCell ref="MH71:MM71"/>
    <mergeCell ref="MH72:MM72"/>
    <mergeCell ref="IP57:IU57"/>
    <mergeCell ref="IP58:IU58"/>
    <mergeCell ref="IP59:IU59"/>
    <mergeCell ref="MH27:MM27"/>
    <mergeCell ref="MH28:MM28"/>
    <mergeCell ref="MH29:MM29"/>
    <mergeCell ref="MH22:MM22"/>
    <mergeCell ref="MH23:MM23"/>
    <mergeCell ref="MH24:MM24"/>
    <mergeCell ref="MH25:MM25"/>
    <mergeCell ref="JB71:JG71"/>
    <mergeCell ref="JB72:JG72"/>
    <mergeCell ref="JB73:JG73"/>
    <mergeCell ref="JB62:JG62"/>
    <mergeCell ref="JB63:JG63"/>
    <mergeCell ref="FW106:GB106"/>
    <mergeCell ref="AP169:AQ169"/>
    <mergeCell ref="AN108:AO108"/>
    <mergeCell ref="AN109:AO109"/>
    <mergeCell ref="AN110:AO110"/>
    <mergeCell ref="MH30:MM30"/>
    <mergeCell ref="MH31:MM31"/>
    <mergeCell ref="MH32:MM32"/>
    <mergeCell ref="MH33:MM33"/>
    <mergeCell ref="MH34:MM34"/>
    <mergeCell ref="MH35:MM35"/>
    <mergeCell ref="MH36:MM36"/>
    <mergeCell ref="MH37:MM37"/>
    <mergeCell ref="MH38:MM38"/>
    <mergeCell ref="MH39:MM39"/>
    <mergeCell ref="MH40:MM40"/>
    <mergeCell ref="MH41:MM41"/>
    <mergeCell ref="MH42:MM42"/>
    <mergeCell ref="MH89:MM89"/>
    <mergeCell ref="LI87:LN87"/>
    <mergeCell ref="IP60:IU60"/>
    <mergeCell ref="IP61:IU61"/>
    <mergeCell ref="IP62:IU62"/>
    <mergeCell ref="HZ57:IE57"/>
    <mergeCell ref="HZ58:IE58"/>
    <mergeCell ref="MH49:MM49"/>
    <mergeCell ref="MH50:MM50"/>
    <mergeCell ref="MH51:MM51"/>
    <mergeCell ref="MH52:MM52"/>
    <mergeCell ref="MH53:MM53"/>
    <mergeCell ref="MH54:MM54"/>
    <mergeCell ref="MH55:MM55"/>
    <mergeCell ref="MH58:MM58"/>
    <mergeCell ref="IP66:IU66"/>
    <mergeCell ref="IP67:IU67"/>
    <mergeCell ref="IP68:IU68"/>
    <mergeCell ref="IP69:IU69"/>
    <mergeCell ref="MH56:MM56"/>
    <mergeCell ref="MH57:MM57"/>
    <mergeCell ref="LI50:LN50"/>
    <mergeCell ref="LI51:LN51"/>
    <mergeCell ref="LI52:LN52"/>
    <mergeCell ref="LI53:LN53"/>
    <mergeCell ref="LI54:LN54"/>
    <mergeCell ref="LI55:LN55"/>
    <mergeCell ref="LI56:LN56"/>
    <mergeCell ref="LI57:LN57"/>
    <mergeCell ref="LI61:LN61"/>
    <mergeCell ref="LI62:LN62"/>
    <mergeCell ref="LI63:LN63"/>
    <mergeCell ref="LI59:LN59"/>
    <mergeCell ref="LI60:LN60"/>
    <mergeCell ref="IP70:IU70"/>
    <mergeCell ref="IP71:IU71"/>
    <mergeCell ref="IP72:IU72"/>
    <mergeCell ref="IP73:IU73"/>
    <mergeCell ref="HZ71:IE71"/>
    <mergeCell ref="HZ72:IE72"/>
    <mergeCell ref="JB66:JG66"/>
    <mergeCell ref="JB67:JG67"/>
    <mergeCell ref="JB68:JG68"/>
    <mergeCell ref="LI66:LN66"/>
    <mergeCell ref="MH5:MN6"/>
    <mergeCell ref="MH7:MM7"/>
    <mergeCell ref="MH8:MM8"/>
    <mergeCell ref="MH9:MM9"/>
    <mergeCell ref="MH10:MM10"/>
    <mergeCell ref="MH11:MM11"/>
    <mergeCell ref="MH12:MM12"/>
    <mergeCell ref="MH13:MM13"/>
    <mergeCell ref="MH14:MM14"/>
    <mergeCell ref="MH15:MM15"/>
    <mergeCell ref="MH16:MM16"/>
    <mergeCell ref="MH17:MM17"/>
    <mergeCell ref="MH18:MM18"/>
    <mergeCell ref="MH19:MM19"/>
    <mergeCell ref="MH20:MM20"/>
    <mergeCell ref="MH21:MM21"/>
    <mergeCell ref="MH26:MM26"/>
    <mergeCell ref="LI67:LN67"/>
    <mergeCell ref="LI68:LN68"/>
    <mergeCell ref="LI69:LN69"/>
    <mergeCell ref="LI70:LN70"/>
    <mergeCell ref="LI71:LN71"/>
    <mergeCell ref="LI72:LN72"/>
    <mergeCell ref="LI73:LN73"/>
    <mergeCell ref="LI46:LN46"/>
    <mergeCell ref="MH43:MM43"/>
    <mergeCell ref="O164:P164"/>
    <mergeCell ref="Y107:AB107"/>
    <mergeCell ref="AC107:AI107"/>
    <mergeCell ref="AN107:AQ107"/>
    <mergeCell ref="LI101:LN101"/>
    <mergeCell ref="LI102:LN102"/>
    <mergeCell ref="LI74:LN74"/>
    <mergeCell ref="LI75:LN75"/>
    <mergeCell ref="LI76:LN76"/>
    <mergeCell ref="LI77:LN77"/>
    <mergeCell ref="LI78:LN78"/>
    <mergeCell ref="LI79:LN79"/>
    <mergeCell ref="LI80:LN80"/>
    <mergeCell ref="LI81:LN81"/>
    <mergeCell ref="LI82:LN82"/>
    <mergeCell ref="LI83:LN83"/>
    <mergeCell ref="LI84:LN84"/>
    <mergeCell ref="LI85:LN85"/>
    <mergeCell ref="LI86:LN86"/>
    <mergeCell ref="LI90:LN90"/>
    <mergeCell ref="KH102:KM102"/>
    <mergeCell ref="KH101:KM101"/>
    <mergeCell ref="JB74:JG74"/>
    <mergeCell ref="JB75:JG75"/>
    <mergeCell ref="FW104:GB104"/>
    <mergeCell ref="FW105:GB105"/>
    <mergeCell ref="AN111:AO111"/>
    <mergeCell ref="LI49:LN49"/>
    <mergeCell ref="IP49:IU49"/>
    <mergeCell ref="IP50:IU50"/>
    <mergeCell ref="IP51:IU51"/>
    <mergeCell ref="IP52:IU52"/>
    <mergeCell ref="IP53:IU53"/>
    <mergeCell ref="IP54:IU54"/>
    <mergeCell ref="IP55:IU55"/>
    <mergeCell ref="IP56:IU56"/>
    <mergeCell ref="HZ49:IE49"/>
    <mergeCell ref="HZ50:IE50"/>
    <mergeCell ref="CL50:CQ50"/>
    <mergeCell ref="CL51:CQ51"/>
    <mergeCell ref="LI27:LN27"/>
    <mergeCell ref="LI28:LN28"/>
    <mergeCell ref="LI29:LN29"/>
    <mergeCell ref="LI30:LN30"/>
    <mergeCell ref="LI31:LN31"/>
    <mergeCell ref="LI32:LN32"/>
    <mergeCell ref="LI33:LN33"/>
    <mergeCell ref="LI34:LN34"/>
    <mergeCell ref="LI35:LN35"/>
    <mergeCell ref="LI36:LN36"/>
    <mergeCell ref="LI37:LN37"/>
    <mergeCell ref="LI38:LN38"/>
    <mergeCell ref="LI39:LN39"/>
    <mergeCell ref="LI40:LN40"/>
    <mergeCell ref="LI41:LN41"/>
    <mergeCell ref="LI42:LN42"/>
    <mergeCell ref="IP42:IU42"/>
    <mergeCell ref="IP43:IU43"/>
    <mergeCell ref="IP44:IU44"/>
    <mergeCell ref="IP45:IU45"/>
    <mergeCell ref="LI58:LN58"/>
    <mergeCell ref="LI44:LN44"/>
    <mergeCell ref="LI45:LN45"/>
    <mergeCell ref="LI43:LN43"/>
    <mergeCell ref="LI5:LO6"/>
    <mergeCell ref="LI7:LN7"/>
    <mergeCell ref="LI8:LN8"/>
    <mergeCell ref="LI9:LN9"/>
    <mergeCell ref="LI10:LN10"/>
    <mergeCell ref="LI11:LN11"/>
    <mergeCell ref="LI12:LN12"/>
    <mergeCell ref="LI13:LN13"/>
    <mergeCell ref="LI14:LN14"/>
    <mergeCell ref="LI15:LN15"/>
    <mergeCell ref="LI16:LN16"/>
    <mergeCell ref="LI17:LN17"/>
    <mergeCell ref="LI18:LN18"/>
    <mergeCell ref="LI19:LN19"/>
    <mergeCell ref="LI20:LN20"/>
    <mergeCell ref="LI21:LN21"/>
    <mergeCell ref="LI22:LN22"/>
    <mergeCell ref="LI23:LN23"/>
    <mergeCell ref="LI24:LN24"/>
    <mergeCell ref="LI25:LN25"/>
    <mergeCell ref="LI26:LN26"/>
    <mergeCell ref="LI47:LN47"/>
    <mergeCell ref="LI48:LN48"/>
    <mergeCell ref="IP46:IU46"/>
    <mergeCell ref="IP47:IU47"/>
    <mergeCell ref="IP48:IU48"/>
    <mergeCell ref="HZ43:IE43"/>
    <mergeCell ref="HZ44:IE44"/>
    <mergeCell ref="HZ45:IE45"/>
    <mergeCell ref="HZ46:IE46"/>
    <mergeCell ref="HZ47:IE47"/>
    <mergeCell ref="HZ48:IE48"/>
    <mergeCell ref="IP23:IU23"/>
    <mergeCell ref="IP24:IU24"/>
    <mergeCell ref="IP25:IU25"/>
    <mergeCell ref="IP26:IU26"/>
    <mergeCell ref="IP27:IU27"/>
    <mergeCell ref="IP28:IU28"/>
    <mergeCell ref="IP29:IU29"/>
    <mergeCell ref="IP30:IU30"/>
    <mergeCell ref="IP31:IU31"/>
    <mergeCell ref="IP32:IU32"/>
    <mergeCell ref="IP33:IU33"/>
    <mergeCell ref="IP34:IU34"/>
    <mergeCell ref="IP35:IU35"/>
    <mergeCell ref="IP36:IU36"/>
    <mergeCell ref="IP37:IU37"/>
    <mergeCell ref="IP38:IU38"/>
    <mergeCell ref="IP39:IU39"/>
    <mergeCell ref="HZ53:IE53"/>
    <mergeCell ref="HZ54:IE54"/>
    <mergeCell ref="HZ55:IE55"/>
    <mergeCell ref="HZ56:IE56"/>
    <mergeCell ref="IP5:IV6"/>
    <mergeCell ref="IP7:IU7"/>
    <mergeCell ref="IP8:IU8"/>
    <mergeCell ref="IP9:IU9"/>
    <mergeCell ref="IP10:IU10"/>
    <mergeCell ref="IP11:IU11"/>
    <mergeCell ref="IP12:IU12"/>
    <mergeCell ref="IP13:IU13"/>
    <mergeCell ref="IP14:IU14"/>
    <mergeCell ref="IP15:IU15"/>
    <mergeCell ref="IP16:IU16"/>
    <mergeCell ref="IP17:IU17"/>
    <mergeCell ref="IP18:IU18"/>
    <mergeCell ref="IP19:IU19"/>
    <mergeCell ref="IP20:IU20"/>
    <mergeCell ref="IP21:IU21"/>
    <mergeCell ref="IP22:IU22"/>
    <mergeCell ref="HZ5:IF6"/>
    <mergeCell ref="HZ7:IE7"/>
    <mergeCell ref="HZ8:IE8"/>
    <mergeCell ref="HZ9:IE9"/>
    <mergeCell ref="HZ10:IE10"/>
    <mergeCell ref="HZ11:IE11"/>
    <mergeCell ref="HZ12:IE12"/>
    <mergeCell ref="HZ13:IE13"/>
    <mergeCell ref="HZ14:IE14"/>
    <mergeCell ref="IP40:IU40"/>
    <mergeCell ref="IP41:IU41"/>
    <mergeCell ref="HZ59:IE59"/>
    <mergeCell ref="HZ60:IE60"/>
    <mergeCell ref="HZ61:IE61"/>
    <mergeCell ref="HZ62:IE62"/>
    <mergeCell ref="HZ63:IE63"/>
    <mergeCell ref="HZ64:IE64"/>
    <mergeCell ref="HZ65:IE65"/>
    <mergeCell ref="HZ66:IE66"/>
    <mergeCell ref="HZ67:IE67"/>
    <mergeCell ref="HZ68:IE68"/>
    <mergeCell ref="HZ23:IE23"/>
    <mergeCell ref="HZ24:IE24"/>
    <mergeCell ref="HZ25:IE25"/>
    <mergeCell ref="HZ26:IE26"/>
    <mergeCell ref="HZ27:IE27"/>
    <mergeCell ref="HZ28:IE28"/>
    <mergeCell ref="HZ29:IE29"/>
    <mergeCell ref="HZ30:IE30"/>
    <mergeCell ref="HZ31:IE31"/>
    <mergeCell ref="HZ32:IE32"/>
    <mergeCell ref="HZ33:IE33"/>
    <mergeCell ref="HZ34:IE34"/>
    <mergeCell ref="HZ35:IE35"/>
    <mergeCell ref="HZ36:IE36"/>
    <mergeCell ref="HZ37:IE37"/>
    <mergeCell ref="HZ38:IE38"/>
    <mergeCell ref="HZ39:IE39"/>
    <mergeCell ref="HZ40:IE40"/>
    <mergeCell ref="HZ41:IE41"/>
    <mergeCell ref="HZ42:IE42"/>
    <mergeCell ref="HZ51:IE51"/>
    <mergeCell ref="HZ52:IE52"/>
    <mergeCell ref="HZ15:IE15"/>
    <mergeCell ref="HZ16:IE16"/>
    <mergeCell ref="HZ17:IE17"/>
    <mergeCell ref="HZ18:IE18"/>
    <mergeCell ref="HZ19:IE19"/>
    <mergeCell ref="HZ20:IE20"/>
    <mergeCell ref="HZ21:IE21"/>
    <mergeCell ref="HZ22:IE22"/>
    <mergeCell ref="C318:H318"/>
    <mergeCell ref="I173:J173"/>
    <mergeCell ref="K173:L173"/>
    <mergeCell ref="M173:N173"/>
    <mergeCell ref="O173:P173"/>
    <mergeCell ref="Q173:R173"/>
    <mergeCell ref="S173:T173"/>
    <mergeCell ref="U173:V173"/>
    <mergeCell ref="W173:X173"/>
    <mergeCell ref="AN173:AO173"/>
    <mergeCell ref="AP173:AQ173"/>
    <mergeCell ref="C237:P237"/>
    <mergeCell ref="C249:P249"/>
    <mergeCell ref="C295:U295"/>
    <mergeCell ref="C316:P316"/>
    <mergeCell ref="FW103:GB103"/>
    <mergeCell ref="M163:N163"/>
    <mergeCell ref="M164:N164"/>
    <mergeCell ref="O166:P166"/>
    <mergeCell ref="O167:P167"/>
    <mergeCell ref="O168:P168"/>
    <mergeCell ref="AP159:AQ159"/>
    <mergeCell ref="AP160:AQ160"/>
    <mergeCell ref="AA161:AB161"/>
    <mergeCell ref="C289:H289"/>
    <mergeCell ref="C257:AG257"/>
    <mergeCell ref="C269:H269"/>
    <mergeCell ref="ER65:EW65"/>
    <mergeCell ref="C165:H165"/>
    <mergeCell ref="I165:J165"/>
    <mergeCell ref="K165:L165"/>
    <mergeCell ref="M165:N165"/>
    <mergeCell ref="O165:P165"/>
    <mergeCell ref="Q165:R165"/>
    <mergeCell ref="S165:T165"/>
    <mergeCell ref="AN165:AO165"/>
    <mergeCell ref="AP165:AQ165"/>
    <mergeCell ref="C285:H285"/>
    <mergeCell ref="S164:T164"/>
    <mergeCell ref="Q166:R166"/>
    <mergeCell ref="S166:T166"/>
    <mergeCell ref="Q156:R156"/>
    <mergeCell ref="S156:T156"/>
    <mergeCell ref="Q167:R167"/>
    <mergeCell ref="S167:T167"/>
    <mergeCell ref="I149:J149"/>
    <mergeCell ref="K149:L149"/>
    <mergeCell ref="M155:N155"/>
    <mergeCell ref="M169:N169"/>
    <mergeCell ref="O169:P169"/>
    <mergeCell ref="Q169:R169"/>
    <mergeCell ref="Q149:R149"/>
    <mergeCell ref="S149:T149"/>
    <mergeCell ref="AN149:AO149"/>
    <mergeCell ref="AP149:AQ149"/>
    <mergeCell ref="S159:T159"/>
    <mergeCell ref="Q160:R160"/>
    <mergeCell ref="Q130:R130"/>
    <mergeCell ref="S130:T130"/>
    <mergeCell ref="Q131:R131"/>
    <mergeCell ref="S131:T131"/>
    <mergeCell ref="Q138:R138"/>
    <mergeCell ref="S138:T138"/>
    <mergeCell ref="Q139:R139"/>
    <mergeCell ref="Q141:R141"/>
    <mergeCell ref="S141:T141"/>
    <mergeCell ref="Q142:R142"/>
    <mergeCell ref="S153:T153"/>
    <mergeCell ref="Q154:R154"/>
    <mergeCell ref="S139:T139"/>
    <mergeCell ref="Q140:R140"/>
    <mergeCell ref="S140:T140"/>
    <mergeCell ref="S154:T154"/>
    <mergeCell ref="Q155:R155"/>
    <mergeCell ref="S155:T155"/>
    <mergeCell ref="Q143:R143"/>
    <mergeCell ref="S143:T143"/>
    <mergeCell ref="Q144:R144"/>
    <mergeCell ref="S144:T144"/>
    <mergeCell ref="Q145:R145"/>
    <mergeCell ref="S145:T145"/>
    <mergeCell ref="Q146:R146"/>
    <mergeCell ref="S146:T146"/>
    <mergeCell ref="Q147:R147"/>
    <mergeCell ref="S147:T147"/>
    <mergeCell ref="Q148:R148"/>
    <mergeCell ref="S148:T148"/>
    <mergeCell ref="Q150:R150"/>
    <mergeCell ref="M160:N160"/>
    <mergeCell ref="M161:N161"/>
    <mergeCell ref="M162:N162"/>
    <mergeCell ref="Q201:T201"/>
    <mergeCell ref="Q157:R157"/>
    <mergeCell ref="S157:T157"/>
    <mergeCell ref="Q158:R158"/>
    <mergeCell ref="S158:T158"/>
    <mergeCell ref="Q159:R159"/>
    <mergeCell ref="S170:T170"/>
    <mergeCell ref="Q171:R171"/>
    <mergeCell ref="S171:T171"/>
    <mergeCell ref="S160:T160"/>
    <mergeCell ref="Q161:R161"/>
    <mergeCell ref="S161:T161"/>
    <mergeCell ref="Q162:R162"/>
    <mergeCell ref="S162:T162"/>
    <mergeCell ref="Q163:R163"/>
    <mergeCell ref="S163:T163"/>
    <mergeCell ref="Q164:R164"/>
    <mergeCell ref="S188:T188"/>
    <mergeCell ref="S169:T169"/>
    <mergeCell ref="Q168:R168"/>
    <mergeCell ref="S168:T168"/>
    <mergeCell ref="Q170:R170"/>
    <mergeCell ref="O176:P176"/>
    <mergeCell ref="Q176:R176"/>
    <mergeCell ref="S176:T176"/>
    <mergeCell ref="M181:N181"/>
    <mergeCell ref="O181:P181"/>
    <mergeCell ref="Q181:R181"/>
    <mergeCell ref="S181:T181"/>
    <mergeCell ref="Q122:R122"/>
    <mergeCell ref="AH48:AM48"/>
    <mergeCell ref="AH50:AM50"/>
    <mergeCell ref="P44:U44"/>
    <mergeCell ref="P45:U45"/>
    <mergeCell ref="P42:U42"/>
    <mergeCell ref="P43:U43"/>
    <mergeCell ref="ER53:EW53"/>
    <mergeCell ref="ER54:EW54"/>
    <mergeCell ref="ER55:EW55"/>
    <mergeCell ref="ER56:EW56"/>
    <mergeCell ref="ER40:EW40"/>
    <mergeCell ref="ER41:EW41"/>
    <mergeCell ref="ER42:EW42"/>
    <mergeCell ref="ER43:EW43"/>
    <mergeCell ref="ER44:EW44"/>
    <mergeCell ref="ER45:EW45"/>
    <mergeCell ref="ER46:EW46"/>
    <mergeCell ref="ER47:EW47"/>
    <mergeCell ref="ER48:EW48"/>
    <mergeCell ref="ER50:EW50"/>
    <mergeCell ref="ER51:EW51"/>
    <mergeCell ref="ER52:EW52"/>
    <mergeCell ref="ER49:EW49"/>
    <mergeCell ref="CL47:CQ47"/>
    <mergeCell ref="CL48:CQ48"/>
    <mergeCell ref="P46:U46"/>
    <mergeCell ref="CL53:CQ53"/>
    <mergeCell ref="CL54:CQ54"/>
    <mergeCell ref="BG44:BL44"/>
    <mergeCell ref="BG45:BL45"/>
    <mergeCell ref="AH44:AM44"/>
    <mergeCell ref="ER15:EW15"/>
    <mergeCell ref="ER16:EW16"/>
    <mergeCell ref="ER17:EW17"/>
    <mergeCell ref="ER18:EW18"/>
    <mergeCell ref="ER19:EW19"/>
    <mergeCell ref="ER20:EW20"/>
    <mergeCell ref="ER21:EW21"/>
    <mergeCell ref="ER22:EW22"/>
    <mergeCell ref="Q125:R125"/>
    <mergeCell ref="S125:T125"/>
    <mergeCell ref="ER57:EW57"/>
    <mergeCell ref="ER58:EW58"/>
    <mergeCell ref="ER59:EW59"/>
    <mergeCell ref="ER60:EW60"/>
    <mergeCell ref="ER61:EW61"/>
    <mergeCell ref="ER62:EW62"/>
    <mergeCell ref="ER63:EW63"/>
    <mergeCell ref="ER64:EW64"/>
    <mergeCell ref="ER66:EW66"/>
    <mergeCell ref="ER67:EW67"/>
    <mergeCell ref="ER68:EW68"/>
    <mergeCell ref="ER70:EW70"/>
    <mergeCell ref="ER71:EW71"/>
    <mergeCell ref="ER69:EW69"/>
    <mergeCell ref="Q118:R118"/>
    <mergeCell ref="S118:T118"/>
    <mergeCell ref="Q119:R119"/>
    <mergeCell ref="S119:T119"/>
    <mergeCell ref="Q123:R123"/>
    <mergeCell ref="S123:T123"/>
    <mergeCell ref="Q124:R124"/>
    <mergeCell ref="S124:T124"/>
    <mergeCell ref="AH5:AN6"/>
    <mergeCell ref="AH7:AM7"/>
    <mergeCell ref="AH8:AL8"/>
    <mergeCell ref="AH9:AM9"/>
    <mergeCell ref="AH46:AM46"/>
    <mergeCell ref="S120:T120"/>
    <mergeCell ref="Q121:R121"/>
    <mergeCell ref="S121:T121"/>
    <mergeCell ref="ER39:EW39"/>
    <mergeCell ref="ER23:EW23"/>
    <mergeCell ref="ER24:EW24"/>
    <mergeCell ref="AH11:AM11"/>
    <mergeCell ref="AH12:AM12"/>
    <mergeCell ref="AH13:AM13"/>
    <mergeCell ref="AH14:AM14"/>
    <mergeCell ref="P67:U67"/>
    <mergeCell ref="P68:U68"/>
    <mergeCell ref="P70:U70"/>
    <mergeCell ref="P57:U57"/>
    <mergeCell ref="P58:U58"/>
    <mergeCell ref="P59:U59"/>
    <mergeCell ref="AH21:AM21"/>
    <mergeCell ref="AH22:AM22"/>
    <mergeCell ref="ER5:EX6"/>
    <mergeCell ref="ER7:EW7"/>
    <mergeCell ref="ER8:EW8"/>
    <mergeCell ref="ER9:EW9"/>
    <mergeCell ref="ER10:EW10"/>
    <mergeCell ref="ER11:EW11"/>
    <mergeCell ref="ER12:EW12"/>
    <mergeCell ref="ER13:EW13"/>
    <mergeCell ref="ER14:EW14"/>
    <mergeCell ref="AH45:AM45"/>
    <mergeCell ref="P51:U51"/>
    <mergeCell ref="P52:U52"/>
    <mergeCell ref="AS33:AX33"/>
    <mergeCell ref="AS34:AX34"/>
    <mergeCell ref="AS35:AX35"/>
    <mergeCell ref="AS36:AX36"/>
    <mergeCell ref="AS37:AX37"/>
    <mergeCell ref="AC108:AG108"/>
    <mergeCell ref="AC109:AG109"/>
    <mergeCell ref="AA112:AB112"/>
    <mergeCell ref="Y109:Z109"/>
    <mergeCell ref="P63:U63"/>
    <mergeCell ref="P64:U64"/>
    <mergeCell ref="P66:U66"/>
    <mergeCell ref="ER25:EW25"/>
    <mergeCell ref="ER26:EW26"/>
    <mergeCell ref="ER27:EW27"/>
    <mergeCell ref="ER28:EW28"/>
    <mergeCell ref="ER29:EW29"/>
    <mergeCell ref="ER30:EW30"/>
    <mergeCell ref="ER31:EW31"/>
    <mergeCell ref="ER32:EW32"/>
    <mergeCell ref="ER33:EW33"/>
    <mergeCell ref="W108:X108"/>
    <mergeCell ref="W109:X109"/>
    <mergeCell ref="AA110:AB110"/>
    <mergeCell ref="Y111:Z111"/>
    <mergeCell ref="AA111:AB111"/>
    <mergeCell ref="Y112:Z112"/>
    <mergeCell ref="BG46:BL46"/>
    <mergeCell ref="S110:T110"/>
    <mergeCell ref="C53:H53"/>
    <mergeCell ref="C54:H54"/>
    <mergeCell ref="C36:H36"/>
    <mergeCell ref="Q151:R151"/>
    <mergeCell ref="Q153:R153"/>
    <mergeCell ref="C35:H35"/>
    <mergeCell ref="ER34:EW34"/>
    <mergeCell ref="ER35:EW35"/>
    <mergeCell ref="ER36:EW36"/>
    <mergeCell ref="ER37:EW37"/>
    <mergeCell ref="ER38:EW38"/>
    <mergeCell ref="P38:U38"/>
    <mergeCell ref="CL23:CQ23"/>
    <mergeCell ref="CL26:CQ26"/>
    <mergeCell ref="P15:U15"/>
    <mergeCell ref="C5:I6"/>
    <mergeCell ref="C38:H38"/>
    <mergeCell ref="C39:H39"/>
    <mergeCell ref="C40:H40"/>
    <mergeCell ref="C41:H41"/>
    <mergeCell ref="Q111:R111"/>
    <mergeCell ref="S111:T111"/>
    <mergeCell ref="S109:T109"/>
    <mergeCell ref="K108:L108"/>
    <mergeCell ref="K110:L110"/>
    <mergeCell ref="C55:H55"/>
    <mergeCell ref="C56:H56"/>
    <mergeCell ref="P61:U61"/>
    <mergeCell ref="P62:U62"/>
    <mergeCell ref="K109:L109"/>
    <mergeCell ref="U108:V108"/>
    <mergeCell ref="S122:T122"/>
    <mergeCell ref="AH31:AM31"/>
    <mergeCell ref="AS5:AY6"/>
    <mergeCell ref="AS7:AX7"/>
    <mergeCell ref="P12:U12"/>
    <mergeCell ref="P53:U53"/>
    <mergeCell ref="P54:U54"/>
    <mergeCell ref="P55:U55"/>
    <mergeCell ref="P56:U56"/>
    <mergeCell ref="C44:H44"/>
    <mergeCell ref="C45:H45"/>
    <mergeCell ref="C46:H46"/>
    <mergeCell ref="C47:H47"/>
    <mergeCell ref="C48:H48"/>
    <mergeCell ref="C50:H50"/>
    <mergeCell ref="C71:G71"/>
    <mergeCell ref="C14:H14"/>
    <mergeCell ref="C15:H15"/>
    <mergeCell ref="C16:H16"/>
    <mergeCell ref="P13:U13"/>
    <mergeCell ref="P14:U14"/>
    <mergeCell ref="P27:U27"/>
    <mergeCell ref="P28:U28"/>
    <mergeCell ref="P29:U29"/>
    <mergeCell ref="P50:U50"/>
    <mergeCell ref="P60:U60"/>
    <mergeCell ref="C32:H32"/>
    <mergeCell ref="C33:H33"/>
    <mergeCell ref="C34:H34"/>
    <mergeCell ref="C42:H42"/>
    <mergeCell ref="C43:H43"/>
    <mergeCell ref="C51:H51"/>
    <mergeCell ref="C52:H52"/>
    <mergeCell ref="S152:T152"/>
    <mergeCell ref="O113:P113"/>
    <mergeCell ref="O115:P115"/>
    <mergeCell ref="C7:H7"/>
    <mergeCell ref="C8:G8"/>
    <mergeCell ref="C9:H9"/>
    <mergeCell ref="A1:DV3"/>
    <mergeCell ref="C23:H23"/>
    <mergeCell ref="C24:H24"/>
    <mergeCell ref="C30:H30"/>
    <mergeCell ref="C31:H31"/>
    <mergeCell ref="P23:U23"/>
    <mergeCell ref="P24:U24"/>
    <mergeCell ref="P30:U30"/>
    <mergeCell ref="P31:U31"/>
    <mergeCell ref="C20:G20"/>
    <mergeCell ref="C21:H21"/>
    <mergeCell ref="C22:H22"/>
    <mergeCell ref="P22:U22"/>
    <mergeCell ref="C17:H17"/>
    <mergeCell ref="C18:H18"/>
    <mergeCell ref="C19:H19"/>
    <mergeCell ref="C13:H13"/>
    <mergeCell ref="P11:U11"/>
    <mergeCell ref="AH25:AM25"/>
    <mergeCell ref="AH16:AM16"/>
    <mergeCell ref="AH17:AM17"/>
    <mergeCell ref="AH18:AM18"/>
    <mergeCell ref="AH19:AM19"/>
    <mergeCell ref="AH20:AL20"/>
    <mergeCell ref="AH10:AM10"/>
    <mergeCell ref="AH30:AM30"/>
    <mergeCell ref="P26:U26"/>
    <mergeCell ref="U109:V109"/>
    <mergeCell ref="Y110:Z110"/>
    <mergeCell ref="C151:H151"/>
    <mergeCell ref="C152:H152"/>
    <mergeCell ref="C153:H153"/>
    <mergeCell ref="C154:H154"/>
    <mergeCell ref="K111:L111"/>
    <mergeCell ref="K112:L112"/>
    <mergeCell ref="K113:L113"/>
    <mergeCell ref="K114:L114"/>
    <mergeCell ref="Q113:R113"/>
    <mergeCell ref="S113:T113"/>
    <mergeCell ref="K115:L115"/>
    <mergeCell ref="K116:L116"/>
    <mergeCell ref="K117:L117"/>
    <mergeCell ref="K118:L118"/>
    <mergeCell ref="O114:P114"/>
    <mergeCell ref="Q127:R127"/>
    <mergeCell ref="Q126:R126"/>
    <mergeCell ref="S129:T129"/>
    <mergeCell ref="S128:T128"/>
    <mergeCell ref="C134:H134"/>
    <mergeCell ref="I115:J115"/>
    <mergeCell ref="C115:H115"/>
    <mergeCell ref="O112:P112"/>
    <mergeCell ref="O118:P118"/>
    <mergeCell ref="M113:N113"/>
    <mergeCell ref="Q120:R120"/>
    <mergeCell ref="S150:T150"/>
    <mergeCell ref="S151:T151"/>
    <mergeCell ref="Q152:R152"/>
    <mergeCell ref="I160:J160"/>
    <mergeCell ref="I161:J161"/>
    <mergeCell ref="I169:J169"/>
    <mergeCell ref="I156:J156"/>
    <mergeCell ref="I162:J162"/>
    <mergeCell ref="I159:J159"/>
    <mergeCell ref="I155:J155"/>
    <mergeCell ref="C37:H37"/>
    <mergeCell ref="C10:H10"/>
    <mergeCell ref="C11:H11"/>
    <mergeCell ref="C12:H12"/>
    <mergeCell ref="I110:J110"/>
    <mergeCell ref="P32:U32"/>
    <mergeCell ref="P33:U33"/>
    <mergeCell ref="P34:U34"/>
    <mergeCell ref="P35:U35"/>
    <mergeCell ref="P36:U36"/>
    <mergeCell ref="P37:U37"/>
    <mergeCell ref="P16:U16"/>
    <mergeCell ref="P17:U17"/>
    <mergeCell ref="P18:U18"/>
    <mergeCell ref="P19:U19"/>
    <mergeCell ref="P21:U21"/>
    <mergeCell ref="M107:P107"/>
    <mergeCell ref="M110:N110"/>
    <mergeCell ref="C29:G29"/>
    <mergeCell ref="C28:G28"/>
    <mergeCell ref="C27:G27"/>
    <mergeCell ref="C26:G26"/>
    <mergeCell ref="C25:H25"/>
    <mergeCell ref="P25:U25"/>
    <mergeCell ref="A103:Y105"/>
    <mergeCell ref="C212:H212"/>
    <mergeCell ref="C213:H213"/>
    <mergeCell ref="C171:H171"/>
    <mergeCell ref="I201:L201"/>
    <mergeCell ref="C173:H173"/>
    <mergeCell ref="C172:H172"/>
    <mergeCell ref="C187:H187"/>
    <mergeCell ref="C188:H188"/>
    <mergeCell ref="C189:H189"/>
    <mergeCell ref="C190:H190"/>
    <mergeCell ref="I176:J176"/>
    <mergeCell ref="K176:L176"/>
    <mergeCell ref="M115:N115"/>
    <mergeCell ref="M116:N116"/>
    <mergeCell ref="M117:N117"/>
    <mergeCell ref="K119:L119"/>
    <mergeCell ref="K120:L120"/>
    <mergeCell ref="K121:L121"/>
    <mergeCell ref="K122:L122"/>
    <mergeCell ref="K123:L123"/>
    <mergeCell ref="K124:L124"/>
    <mergeCell ref="K144:L144"/>
    <mergeCell ref="K145:L145"/>
    <mergeCell ref="C125:H125"/>
    <mergeCell ref="I125:J125"/>
    <mergeCell ref="I119:J119"/>
    <mergeCell ref="I120:J120"/>
    <mergeCell ref="C163:H163"/>
    <mergeCell ref="C164:H164"/>
    <mergeCell ref="C166:H166"/>
    <mergeCell ref="C167:H167"/>
    <mergeCell ref="C168:H168"/>
    <mergeCell ref="K164:L164"/>
    <mergeCell ref="K166:L166"/>
    <mergeCell ref="K163:L163"/>
    <mergeCell ref="K183:L183"/>
    <mergeCell ref="I185:J185"/>
    <mergeCell ref="K185:L185"/>
    <mergeCell ref="I193:J193"/>
    <mergeCell ref="K193:L193"/>
    <mergeCell ref="I195:J195"/>
    <mergeCell ref="K195:L195"/>
    <mergeCell ref="I197:J197"/>
    <mergeCell ref="K197:L197"/>
    <mergeCell ref="K169:L169"/>
    <mergeCell ref="M114:N114"/>
    <mergeCell ref="C135:H135"/>
    <mergeCell ref="I163:J163"/>
    <mergeCell ref="I164:J164"/>
    <mergeCell ref="C170:H170"/>
    <mergeCell ref="I167:J167"/>
    <mergeCell ref="I168:J168"/>
    <mergeCell ref="I170:J170"/>
    <mergeCell ref="I171:J171"/>
    <mergeCell ref="C155:H155"/>
    <mergeCell ref="C156:H156"/>
    <mergeCell ref="C157:H157"/>
    <mergeCell ref="C158:H158"/>
    <mergeCell ref="C159:H159"/>
    <mergeCell ref="C161:H161"/>
    <mergeCell ref="C162:H162"/>
    <mergeCell ref="I157:J157"/>
    <mergeCell ref="I158:J158"/>
    <mergeCell ref="C160:H160"/>
    <mergeCell ref="P5:V6"/>
    <mergeCell ref="P7:U7"/>
    <mergeCell ref="P9:U9"/>
    <mergeCell ref="P10:U10"/>
    <mergeCell ref="C271:H271"/>
    <mergeCell ref="C272:H272"/>
    <mergeCell ref="C273:H273"/>
    <mergeCell ref="C274:H274"/>
    <mergeCell ref="C275:H275"/>
    <mergeCell ref="C276:H276"/>
    <mergeCell ref="C264:H264"/>
    <mergeCell ref="C265:H265"/>
    <mergeCell ref="C266:H266"/>
    <mergeCell ref="C267:H267"/>
    <mergeCell ref="C268:H268"/>
    <mergeCell ref="C270:H270"/>
    <mergeCell ref="C259:H259"/>
    <mergeCell ref="I138:J138"/>
    <mergeCell ref="I139:J139"/>
    <mergeCell ref="I131:J131"/>
    <mergeCell ref="I135:J135"/>
    <mergeCell ref="P71:T71"/>
    <mergeCell ref="M111:N111"/>
    <mergeCell ref="M108:N108"/>
    <mergeCell ref="M109:N109"/>
    <mergeCell ref="O109:P109"/>
    <mergeCell ref="O110:P110"/>
    <mergeCell ref="O111:P111"/>
    <mergeCell ref="I166:J166"/>
    <mergeCell ref="C223:H223"/>
    <mergeCell ref="I179:J179"/>
    <mergeCell ref="K179:L179"/>
    <mergeCell ref="AH38:AM38"/>
    <mergeCell ref="AH39:AM39"/>
    <mergeCell ref="AH40:AM40"/>
    <mergeCell ref="AH41:AM41"/>
    <mergeCell ref="AH42:AM42"/>
    <mergeCell ref="AH43:AM43"/>
    <mergeCell ref="P39:U39"/>
    <mergeCell ref="P40:U40"/>
    <mergeCell ref="P41:U41"/>
    <mergeCell ref="P47:U47"/>
    <mergeCell ref="P48:U48"/>
    <mergeCell ref="AH47:AM47"/>
    <mergeCell ref="AS8:AX8"/>
    <mergeCell ref="AS22:AX22"/>
    <mergeCell ref="AS23:AX23"/>
    <mergeCell ref="AS24:AX24"/>
    <mergeCell ref="AS30:AX30"/>
    <mergeCell ref="AS31:AX31"/>
    <mergeCell ref="P20:U20"/>
    <mergeCell ref="P8:U8"/>
    <mergeCell ref="AH26:AM26"/>
    <mergeCell ref="AH27:AM27"/>
    <mergeCell ref="AH28:AM28"/>
    <mergeCell ref="AH29:AM29"/>
    <mergeCell ref="AH32:AM32"/>
    <mergeCell ref="AH33:AM33"/>
    <mergeCell ref="AH34:AM34"/>
    <mergeCell ref="AH35:AM35"/>
    <mergeCell ref="AH36:AM36"/>
    <mergeCell ref="AH37:AM37"/>
    <mergeCell ref="AS9:AX9"/>
    <mergeCell ref="AS10:AX10"/>
    <mergeCell ref="AS11:AX11"/>
    <mergeCell ref="AS12:AX12"/>
    <mergeCell ref="AS13:AX13"/>
    <mergeCell ref="AS14:AX14"/>
    <mergeCell ref="AH63:AM63"/>
    <mergeCell ref="AH64:AM64"/>
    <mergeCell ref="AH66:AM66"/>
    <mergeCell ref="AH67:AM67"/>
    <mergeCell ref="AH68:AM68"/>
    <mergeCell ref="AH70:AM70"/>
    <mergeCell ref="AH57:AM57"/>
    <mergeCell ref="AH58:AM58"/>
    <mergeCell ref="AH59:AM59"/>
    <mergeCell ref="AH60:AM60"/>
    <mergeCell ref="AH61:AM61"/>
    <mergeCell ref="AH62:AM62"/>
    <mergeCell ref="AH51:AM51"/>
    <mergeCell ref="AH52:AM52"/>
    <mergeCell ref="AH53:AM53"/>
    <mergeCell ref="AH54:AM54"/>
    <mergeCell ref="AH55:AM55"/>
    <mergeCell ref="AH56:AM56"/>
    <mergeCell ref="AH15:AM15"/>
    <mergeCell ref="AS20:AX20"/>
    <mergeCell ref="AS41:AX41"/>
    <mergeCell ref="AS21:AX21"/>
    <mergeCell ref="AH23:AM23"/>
    <mergeCell ref="AH24:AM24"/>
    <mergeCell ref="AS57:AX57"/>
    <mergeCell ref="AS58:AX58"/>
    <mergeCell ref="AS59:AX59"/>
    <mergeCell ref="AS60:AX60"/>
    <mergeCell ref="BG15:BL15"/>
    <mergeCell ref="AS51:AX51"/>
    <mergeCell ref="AS52:AX52"/>
    <mergeCell ref="AS53:AX53"/>
    <mergeCell ref="AS15:AX15"/>
    <mergeCell ref="AS16:AX16"/>
    <mergeCell ref="AS17:AX17"/>
    <mergeCell ref="AS18:AX18"/>
    <mergeCell ref="AS19:AX19"/>
    <mergeCell ref="AS25:AX25"/>
    <mergeCell ref="AS26:AX26"/>
    <mergeCell ref="AS27:AX27"/>
    <mergeCell ref="AS28:AX28"/>
    <mergeCell ref="AS29:AX29"/>
    <mergeCell ref="AS38:AX38"/>
    <mergeCell ref="AS39:AX39"/>
    <mergeCell ref="AS40:AX40"/>
    <mergeCell ref="AS42:AX42"/>
    <mergeCell ref="AS43:AX43"/>
    <mergeCell ref="AS32:AX32"/>
    <mergeCell ref="AS44:AX44"/>
    <mergeCell ref="AS45:AX45"/>
    <mergeCell ref="AS46:AX46"/>
    <mergeCell ref="AS47:AX47"/>
    <mergeCell ref="AS48:AX48"/>
    <mergeCell ref="AS50:AX50"/>
    <mergeCell ref="BG16:BL16"/>
    <mergeCell ref="BG17:BL17"/>
    <mergeCell ref="BG60:BL60"/>
    <mergeCell ref="BG61:BL61"/>
    <mergeCell ref="BG62:BL62"/>
    <mergeCell ref="BG63:BL63"/>
    <mergeCell ref="BG64:BL64"/>
    <mergeCell ref="BG66:BL66"/>
    <mergeCell ref="BG54:BL54"/>
    <mergeCell ref="BG55:BL55"/>
    <mergeCell ref="BG56:BL56"/>
    <mergeCell ref="BG57:BL57"/>
    <mergeCell ref="BG47:BL47"/>
    <mergeCell ref="BG48:BL48"/>
    <mergeCell ref="BG50:BL50"/>
    <mergeCell ref="BG51:BL51"/>
    <mergeCell ref="BG52:BL52"/>
    <mergeCell ref="BG53:BL53"/>
    <mergeCell ref="BG41:BL41"/>
    <mergeCell ref="BG42:BL42"/>
    <mergeCell ref="BG43:BL43"/>
    <mergeCell ref="BG5:BM6"/>
    <mergeCell ref="BG38:BL38"/>
    <mergeCell ref="BG39:BL39"/>
    <mergeCell ref="BG40:BL40"/>
    <mergeCell ref="BG24:BL24"/>
    <mergeCell ref="BG30:BL30"/>
    <mergeCell ref="BG31:BL31"/>
    <mergeCell ref="BG32:BL32"/>
    <mergeCell ref="BG33:BL33"/>
    <mergeCell ref="BG34:BL34"/>
    <mergeCell ref="BG18:BL18"/>
    <mergeCell ref="BG19:BL19"/>
    <mergeCell ref="BG20:BL20"/>
    <mergeCell ref="BG21:BL21"/>
    <mergeCell ref="BG22:BL22"/>
    <mergeCell ref="BG23:BL23"/>
    <mergeCell ref="BG7:BL7"/>
    <mergeCell ref="BG8:BL8"/>
    <mergeCell ref="BG9:BL9"/>
    <mergeCell ref="BG10:BL10"/>
    <mergeCell ref="BG11:BL11"/>
    <mergeCell ref="BG25:BL25"/>
    <mergeCell ref="BG26:BL26"/>
    <mergeCell ref="BG27:BL27"/>
    <mergeCell ref="BG28:BL28"/>
    <mergeCell ref="BG29:BL29"/>
    <mergeCell ref="BG12:BL12"/>
    <mergeCell ref="BG13:BL13"/>
    <mergeCell ref="BG35:BL35"/>
    <mergeCell ref="BG36:BL36"/>
    <mergeCell ref="BG37:BL37"/>
    <mergeCell ref="BG14:BL14"/>
    <mergeCell ref="CL5:CR6"/>
    <mergeCell ref="CL7:CQ7"/>
    <mergeCell ref="CL8:CQ8"/>
    <mergeCell ref="CL9:CQ9"/>
    <mergeCell ref="CL10:CQ10"/>
    <mergeCell ref="CL11:CQ11"/>
    <mergeCell ref="BS14:BX14"/>
    <mergeCell ref="BS15:BX15"/>
    <mergeCell ref="BS16:BX16"/>
    <mergeCell ref="CL28:CQ28"/>
    <mergeCell ref="CL29:CQ29"/>
    <mergeCell ref="CL12:CQ12"/>
    <mergeCell ref="CL13:CQ13"/>
    <mergeCell ref="CL14:CQ14"/>
    <mergeCell ref="CL15:CQ15"/>
    <mergeCell ref="CL16:CQ16"/>
    <mergeCell ref="CL34:CQ34"/>
    <mergeCell ref="BS28:BX28"/>
    <mergeCell ref="BS29:BX29"/>
    <mergeCell ref="BS20:BX20"/>
    <mergeCell ref="CL32:CQ32"/>
    <mergeCell ref="CL33:CQ33"/>
    <mergeCell ref="CL21:CQ21"/>
    <mergeCell ref="CL22:CQ22"/>
    <mergeCell ref="BS5:BY6"/>
    <mergeCell ref="BS7:BX7"/>
    <mergeCell ref="BS8:BX8"/>
    <mergeCell ref="BS9:BX9"/>
    <mergeCell ref="BS10:BX10"/>
    <mergeCell ref="BS11:BX11"/>
    <mergeCell ref="BS17:BX17"/>
    <mergeCell ref="DD59:DI59"/>
    <mergeCell ref="DD47:DI47"/>
    <mergeCell ref="DD48:DI48"/>
    <mergeCell ref="BS26:BX26"/>
    <mergeCell ref="BS27:BX27"/>
    <mergeCell ref="BS39:BX39"/>
    <mergeCell ref="BS44:BX44"/>
    <mergeCell ref="BS45:BX45"/>
    <mergeCell ref="BS18:BX18"/>
    <mergeCell ref="BS19:BX19"/>
    <mergeCell ref="BS24:BX24"/>
    <mergeCell ref="BS30:BX30"/>
    <mergeCell ref="BS31:BX31"/>
    <mergeCell ref="BS32:BX32"/>
    <mergeCell ref="BS33:BX33"/>
    <mergeCell ref="BS12:BX12"/>
    <mergeCell ref="BS13:BX13"/>
    <mergeCell ref="BS34:BX34"/>
    <mergeCell ref="BS35:BX35"/>
    <mergeCell ref="BS36:BX36"/>
    <mergeCell ref="BS37:BX37"/>
    <mergeCell ref="BS38:BX38"/>
    <mergeCell ref="BS40:BX40"/>
    <mergeCell ref="BS41:BX41"/>
    <mergeCell ref="BS42:BX42"/>
    <mergeCell ref="BS43:BX43"/>
    <mergeCell ref="CL52:CQ52"/>
    <mergeCell ref="CL40:CQ40"/>
    <mergeCell ref="CL41:CQ41"/>
    <mergeCell ref="BS25:BX25"/>
    <mergeCell ref="CL27:CQ27"/>
    <mergeCell ref="CL38:CQ38"/>
    <mergeCell ref="DD23:DI23"/>
    <mergeCell ref="DD24:DI24"/>
    <mergeCell ref="BS57:BX57"/>
    <mergeCell ref="BS58:BX58"/>
    <mergeCell ref="CL17:CQ17"/>
    <mergeCell ref="CL42:CQ42"/>
    <mergeCell ref="CL43:CQ43"/>
    <mergeCell ref="CL44:CQ44"/>
    <mergeCell ref="CL45:CQ45"/>
    <mergeCell ref="DD54:DI54"/>
    <mergeCell ref="DD55:DI55"/>
    <mergeCell ref="DD56:DI56"/>
    <mergeCell ref="DD57:DI57"/>
    <mergeCell ref="DD58:DI58"/>
    <mergeCell ref="CL18:CQ18"/>
    <mergeCell ref="CL19:CQ19"/>
    <mergeCell ref="CL20:CQ20"/>
    <mergeCell ref="DD19:DI19"/>
    <mergeCell ref="DD20:DI20"/>
    <mergeCell ref="DD21:DI21"/>
    <mergeCell ref="DD22:DI22"/>
    <mergeCell ref="CL35:CQ35"/>
    <mergeCell ref="CL36:CQ36"/>
    <mergeCell ref="CL37:CQ37"/>
    <mergeCell ref="CL61:CQ61"/>
    <mergeCell ref="CL62:CQ62"/>
    <mergeCell ref="CL63:CQ63"/>
    <mergeCell ref="BS52:BX52"/>
    <mergeCell ref="BS53:BX53"/>
    <mergeCell ref="BS63:BX63"/>
    <mergeCell ref="BS64:BX64"/>
    <mergeCell ref="BS21:BX21"/>
    <mergeCell ref="BS22:BX22"/>
    <mergeCell ref="BS23:BX23"/>
    <mergeCell ref="CL46:CQ46"/>
    <mergeCell ref="BS59:BX59"/>
    <mergeCell ref="BS47:BX47"/>
    <mergeCell ref="BS48:BX48"/>
    <mergeCell ref="BS50:BX50"/>
    <mergeCell ref="BS51:BX51"/>
    <mergeCell ref="BS46:BX46"/>
    <mergeCell ref="CL25:CQ25"/>
    <mergeCell ref="CL31:CQ31"/>
    <mergeCell ref="CL56:CQ56"/>
    <mergeCell ref="CL57:CQ57"/>
    <mergeCell ref="CL58:CQ58"/>
    <mergeCell ref="CL39:CQ39"/>
    <mergeCell ref="CL24:CQ24"/>
    <mergeCell ref="CL30:CQ30"/>
    <mergeCell ref="BS66:BX66"/>
    <mergeCell ref="BS54:BX54"/>
    <mergeCell ref="BS55:BX55"/>
    <mergeCell ref="BS56:BX56"/>
    <mergeCell ref="CL101:CQ101"/>
    <mergeCell ref="CL102:CQ102"/>
    <mergeCell ref="AH108:AI108"/>
    <mergeCell ref="AH109:AI109"/>
    <mergeCell ref="AH110:AI110"/>
    <mergeCell ref="AH111:AI111"/>
    <mergeCell ref="AH112:AI112"/>
    <mergeCell ref="CL55:CQ55"/>
    <mergeCell ref="AS56:AX56"/>
    <mergeCell ref="BS68:BX68"/>
    <mergeCell ref="BS70:BX70"/>
    <mergeCell ref="BS71:BX71"/>
    <mergeCell ref="BG58:BL58"/>
    <mergeCell ref="BG59:BL59"/>
    <mergeCell ref="BS60:BX60"/>
    <mergeCell ref="BS61:BX61"/>
    <mergeCell ref="BS62:BX62"/>
    <mergeCell ref="CL64:CQ64"/>
    <mergeCell ref="AS61:AX61"/>
    <mergeCell ref="AS62:AX62"/>
    <mergeCell ref="AS54:AX54"/>
    <mergeCell ref="AS55:AX55"/>
    <mergeCell ref="AJ108:AK108"/>
    <mergeCell ref="AL108:AM108"/>
    <mergeCell ref="AH71:AL71"/>
    <mergeCell ref="AS68:AX68"/>
    <mergeCell ref="CL59:CQ59"/>
    <mergeCell ref="CL60:CQ60"/>
    <mergeCell ref="O116:P116"/>
    <mergeCell ref="Q117:R117"/>
    <mergeCell ref="S117:T117"/>
    <mergeCell ref="U112:V112"/>
    <mergeCell ref="S114:T114"/>
    <mergeCell ref="Q115:R115"/>
    <mergeCell ref="S115:T115"/>
    <mergeCell ref="Q116:R116"/>
    <mergeCell ref="S116:T116"/>
    <mergeCell ref="O117:P117"/>
    <mergeCell ref="Q112:R112"/>
    <mergeCell ref="S112:T112"/>
    <mergeCell ref="BS101:BX101"/>
    <mergeCell ref="AP115:AQ115"/>
    <mergeCell ref="AP116:AQ116"/>
    <mergeCell ref="AP117:AQ117"/>
    <mergeCell ref="U111:V111"/>
    <mergeCell ref="W111:X111"/>
    <mergeCell ref="W117:X117"/>
    <mergeCell ref="Q110:R110"/>
    <mergeCell ref="Q108:R108"/>
    <mergeCell ref="S108:T108"/>
    <mergeCell ref="Q109:R109"/>
    <mergeCell ref="O108:P108"/>
    <mergeCell ref="AN112:AO112"/>
    <mergeCell ref="AC110:AG110"/>
    <mergeCell ref="AC111:AG111"/>
    <mergeCell ref="AC112:AG112"/>
    <mergeCell ref="Q107:T107"/>
    <mergeCell ref="U110:V110"/>
    <mergeCell ref="W110:X110"/>
    <mergeCell ref="Y108:Z108"/>
    <mergeCell ref="DD5:DJ6"/>
    <mergeCell ref="DD7:DI7"/>
    <mergeCell ref="DD8:DI8"/>
    <mergeCell ref="DD9:DI9"/>
    <mergeCell ref="DD10:DI10"/>
    <mergeCell ref="DD11:DI11"/>
    <mergeCell ref="DD12:DI12"/>
    <mergeCell ref="DD44:DI44"/>
    <mergeCell ref="DD45:DI45"/>
    <mergeCell ref="DD46:DI46"/>
    <mergeCell ref="DD35:DI35"/>
    <mergeCell ref="DD36:DI36"/>
    <mergeCell ref="DD37:DI37"/>
    <mergeCell ref="DD38:DI38"/>
    <mergeCell ref="DD39:DI39"/>
    <mergeCell ref="DD40:DI40"/>
    <mergeCell ref="DD25:DI25"/>
    <mergeCell ref="DD30:DI30"/>
    <mergeCell ref="DD31:DI31"/>
    <mergeCell ref="DD32:DI32"/>
    <mergeCell ref="DD33:DI33"/>
    <mergeCell ref="DD34:DI34"/>
    <mergeCell ref="DD13:DI13"/>
    <mergeCell ref="DD14:DI14"/>
    <mergeCell ref="DD15:DI15"/>
    <mergeCell ref="DD16:DI16"/>
    <mergeCell ref="DD17:DI17"/>
    <mergeCell ref="DD18:DI18"/>
    <mergeCell ref="DD26:DI26"/>
    <mergeCell ref="DD27:DI27"/>
    <mergeCell ref="DD28:DI28"/>
    <mergeCell ref="DD29:DI29"/>
    <mergeCell ref="M112:N112"/>
    <mergeCell ref="AA109:AB109"/>
    <mergeCell ref="AN114:AO114"/>
    <mergeCell ref="W112:X112"/>
    <mergeCell ref="Q114:R114"/>
    <mergeCell ref="C111:H111"/>
    <mergeCell ref="C112:H112"/>
    <mergeCell ref="C113:H113"/>
    <mergeCell ref="C67:H67"/>
    <mergeCell ref="C68:H68"/>
    <mergeCell ref="C70:H70"/>
    <mergeCell ref="C57:H57"/>
    <mergeCell ref="C58:H58"/>
    <mergeCell ref="C59:H59"/>
    <mergeCell ref="C60:H60"/>
    <mergeCell ref="C61:H61"/>
    <mergeCell ref="C62:H62"/>
    <mergeCell ref="C114:H114"/>
    <mergeCell ref="I111:J111"/>
    <mergeCell ref="I112:J112"/>
    <mergeCell ref="I113:J113"/>
    <mergeCell ref="C109:H109"/>
    <mergeCell ref="I108:J108"/>
    <mergeCell ref="I109:J109"/>
    <mergeCell ref="C64:H64"/>
    <mergeCell ref="C66:H66"/>
    <mergeCell ref="I114:J114"/>
    <mergeCell ref="C108:H108"/>
    <mergeCell ref="C110:H110"/>
    <mergeCell ref="C63:H63"/>
    <mergeCell ref="I107:L107"/>
    <mergeCell ref="AJ109:AK109"/>
    <mergeCell ref="I121:J121"/>
    <mergeCell ref="I122:J122"/>
    <mergeCell ref="C116:H116"/>
    <mergeCell ref="C117:H117"/>
    <mergeCell ref="C118:H118"/>
    <mergeCell ref="C119:H119"/>
    <mergeCell ref="C120:H120"/>
    <mergeCell ref="C121:H121"/>
    <mergeCell ref="C122:H122"/>
    <mergeCell ref="C123:H123"/>
    <mergeCell ref="C124:H124"/>
    <mergeCell ref="I126:J126"/>
    <mergeCell ref="I143:J143"/>
    <mergeCell ref="I144:J144"/>
    <mergeCell ref="I145:J145"/>
    <mergeCell ref="I146:J146"/>
    <mergeCell ref="I147:J147"/>
    <mergeCell ref="I116:J116"/>
    <mergeCell ref="I117:J117"/>
    <mergeCell ref="I118:J118"/>
    <mergeCell ref="I123:J123"/>
    <mergeCell ref="I124:J124"/>
    <mergeCell ref="I141:J141"/>
    <mergeCell ref="C138:H138"/>
    <mergeCell ref="C139:H139"/>
    <mergeCell ref="C140:H140"/>
    <mergeCell ref="C141:H141"/>
    <mergeCell ref="C136:H136"/>
    <mergeCell ref="C137:H137"/>
    <mergeCell ref="I136:J136"/>
    <mergeCell ref="C130:H130"/>
    <mergeCell ref="C131:H131"/>
    <mergeCell ref="K152:L152"/>
    <mergeCell ref="K131:L131"/>
    <mergeCell ref="K132:L132"/>
    <mergeCell ref="I151:J151"/>
    <mergeCell ref="I152:J152"/>
    <mergeCell ref="C146:H146"/>
    <mergeCell ref="I142:J142"/>
    <mergeCell ref="I130:J130"/>
    <mergeCell ref="I132:J132"/>
    <mergeCell ref="I133:J133"/>
    <mergeCell ref="I134:J134"/>
    <mergeCell ref="C148:H148"/>
    <mergeCell ref="C150:H150"/>
    <mergeCell ref="I150:J150"/>
    <mergeCell ref="C149:H149"/>
    <mergeCell ref="C147:H147"/>
    <mergeCell ref="C133:H133"/>
    <mergeCell ref="C132:H132"/>
    <mergeCell ref="C142:H142"/>
    <mergeCell ref="C143:H143"/>
    <mergeCell ref="C144:H144"/>
    <mergeCell ref="C145:H145"/>
    <mergeCell ref="K141:L141"/>
    <mergeCell ref="K142:L142"/>
    <mergeCell ref="K143:L143"/>
    <mergeCell ref="K153:L153"/>
    <mergeCell ref="M159:N159"/>
    <mergeCell ref="M142:N142"/>
    <mergeCell ref="M143:N143"/>
    <mergeCell ref="M153:N153"/>
    <mergeCell ref="M154:N154"/>
    <mergeCell ref="I148:J148"/>
    <mergeCell ref="I153:J153"/>
    <mergeCell ref="I154:J154"/>
    <mergeCell ref="I137:J137"/>
    <mergeCell ref="K126:L126"/>
    <mergeCell ref="K134:L134"/>
    <mergeCell ref="M144:N144"/>
    <mergeCell ref="M146:N146"/>
    <mergeCell ref="M147:N147"/>
    <mergeCell ref="M148:N148"/>
    <mergeCell ref="M150:N150"/>
    <mergeCell ref="M151:N151"/>
    <mergeCell ref="M152:N152"/>
    <mergeCell ref="M149:N149"/>
    <mergeCell ref="I129:J129"/>
    <mergeCell ref="I128:J128"/>
    <mergeCell ref="I127:J127"/>
    <mergeCell ref="K135:L135"/>
    <mergeCell ref="K136:L136"/>
    <mergeCell ref="M145:N145"/>
    <mergeCell ref="M133:N133"/>
    <mergeCell ref="K138:L138"/>
    <mergeCell ref="K139:L139"/>
    <mergeCell ref="K140:L140"/>
    <mergeCell ref="I140:J140"/>
    <mergeCell ref="K151:L151"/>
    <mergeCell ref="O131:P131"/>
    <mergeCell ref="O132:P132"/>
    <mergeCell ref="M141:N141"/>
    <mergeCell ref="K160:L160"/>
    <mergeCell ref="K161:L161"/>
    <mergeCell ref="K162:L162"/>
    <mergeCell ref="M139:N139"/>
    <mergeCell ref="M125:N125"/>
    <mergeCell ref="M130:N130"/>
    <mergeCell ref="M131:N131"/>
    <mergeCell ref="M132:N132"/>
    <mergeCell ref="K133:L133"/>
    <mergeCell ref="K127:L127"/>
    <mergeCell ref="K137:L137"/>
    <mergeCell ref="K125:L125"/>
    <mergeCell ref="K130:L130"/>
    <mergeCell ref="K129:L129"/>
    <mergeCell ref="K128:L128"/>
    <mergeCell ref="M140:N140"/>
    <mergeCell ref="K146:L146"/>
    <mergeCell ref="K154:L154"/>
    <mergeCell ref="K155:L155"/>
    <mergeCell ref="K156:L156"/>
    <mergeCell ref="K157:L157"/>
    <mergeCell ref="K158:L158"/>
    <mergeCell ref="K159:L159"/>
    <mergeCell ref="K147:L147"/>
    <mergeCell ref="K148:L148"/>
    <mergeCell ref="K150:L150"/>
    <mergeCell ref="M156:N156"/>
    <mergeCell ref="M157:N157"/>
    <mergeCell ref="M158:N158"/>
    <mergeCell ref="M118:N118"/>
    <mergeCell ref="O145:P145"/>
    <mergeCell ref="O146:P146"/>
    <mergeCell ref="O147:P147"/>
    <mergeCell ref="O148:P148"/>
    <mergeCell ref="O123:P123"/>
    <mergeCell ref="O124:P124"/>
    <mergeCell ref="M124:N124"/>
    <mergeCell ref="M134:N134"/>
    <mergeCell ref="M136:N136"/>
    <mergeCell ref="M129:N129"/>
    <mergeCell ref="M128:N128"/>
    <mergeCell ref="M127:N127"/>
    <mergeCell ref="M126:N126"/>
    <mergeCell ref="M137:N137"/>
    <mergeCell ref="M138:N138"/>
    <mergeCell ref="M135:N135"/>
    <mergeCell ref="O128:P128"/>
    <mergeCell ref="O127:P127"/>
    <mergeCell ref="O126:P126"/>
    <mergeCell ref="O138:P138"/>
    <mergeCell ref="O125:P125"/>
    <mergeCell ref="O119:P119"/>
    <mergeCell ref="O120:P120"/>
    <mergeCell ref="O121:P121"/>
    <mergeCell ref="O122:P122"/>
    <mergeCell ref="M119:N119"/>
    <mergeCell ref="M120:N120"/>
    <mergeCell ref="M121:N121"/>
    <mergeCell ref="M122:N122"/>
    <mergeCell ref="M123:N123"/>
    <mergeCell ref="O130:P130"/>
    <mergeCell ref="S127:T127"/>
    <mergeCell ref="S126:T126"/>
    <mergeCell ref="Q132:R132"/>
    <mergeCell ref="O170:P170"/>
    <mergeCell ref="O171:P171"/>
    <mergeCell ref="O158:P158"/>
    <mergeCell ref="O159:P159"/>
    <mergeCell ref="O160:P160"/>
    <mergeCell ref="O161:P161"/>
    <mergeCell ref="O162:P162"/>
    <mergeCell ref="O163:P163"/>
    <mergeCell ref="O152:P152"/>
    <mergeCell ref="O153:P153"/>
    <mergeCell ref="O154:P154"/>
    <mergeCell ref="O155:P155"/>
    <mergeCell ref="O156:P156"/>
    <mergeCell ref="O157:P157"/>
    <mergeCell ref="O129:P129"/>
    <mergeCell ref="S132:T132"/>
    <mergeCell ref="Q133:R133"/>
    <mergeCell ref="S133:T133"/>
    <mergeCell ref="Q134:R134"/>
    <mergeCell ref="S134:T134"/>
    <mergeCell ref="Q135:R135"/>
    <mergeCell ref="S135:T135"/>
    <mergeCell ref="Q136:R136"/>
    <mergeCell ref="S136:T136"/>
    <mergeCell ref="Q137:R137"/>
    <mergeCell ref="S137:T137"/>
    <mergeCell ref="Q129:R129"/>
    <mergeCell ref="Q128:R128"/>
    <mergeCell ref="S142:T142"/>
    <mergeCell ref="AN146:AO146"/>
    <mergeCell ref="AN135:AO135"/>
    <mergeCell ref="AN136:AO136"/>
    <mergeCell ref="AN137:AO137"/>
    <mergeCell ref="O150:P150"/>
    <mergeCell ref="O151:P151"/>
    <mergeCell ref="O139:P139"/>
    <mergeCell ref="O140:P140"/>
    <mergeCell ref="O141:P141"/>
    <mergeCell ref="O142:P142"/>
    <mergeCell ref="O143:P143"/>
    <mergeCell ref="O144:P144"/>
    <mergeCell ref="O133:P133"/>
    <mergeCell ref="O134:P134"/>
    <mergeCell ref="O135:P135"/>
    <mergeCell ref="O136:P136"/>
    <mergeCell ref="O137:P137"/>
    <mergeCell ref="AA150:AB150"/>
    <mergeCell ref="Y151:Z151"/>
    <mergeCell ref="AA151:AB151"/>
    <mergeCell ref="AC134:AG134"/>
    <mergeCell ref="AC135:AG135"/>
    <mergeCell ref="AC136:AG136"/>
    <mergeCell ref="AC137:AG137"/>
    <mergeCell ref="AC138:AG138"/>
    <mergeCell ref="AC139:AG139"/>
    <mergeCell ref="AC140:AG140"/>
    <mergeCell ref="AC141:AG141"/>
    <mergeCell ref="AC142:AG142"/>
    <mergeCell ref="AC143:AG143"/>
    <mergeCell ref="AC144:AG144"/>
    <mergeCell ref="O149:P149"/>
    <mergeCell ref="AN127:AO127"/>
    <mergeCell ref="AN126:AO126"/>
    <mergeCell ref="U126:V126"/>
    <mergeCell ref="W126:X126"/>
    <mergeCell ref="U127:V127"/>
    <mergeCell ref="W121:X121"/>
    <mergeCell ref="U122:V122"/>
    <mergeCell ref="W122:X122"/>
    <mergeCell ref="Y113:Z113"/>
    <mergeCell ref="AA113:AB113"/>
    <mergeCell ref="Y114:Z114"/>
    <mergeCell ref="AA114:AB114"/>
    <mergeCell ref="Y115:Z115"/>
    <mergeCell ref="AA115:AB115"/>
    <mergeCell ref="Y116:Z116"/>
    <mergeCell ref="AA118:AB118"/>
    <mergeCell ref="Y119:Z119"/>
    <mergeCell ref="AA119:AB119"/>
    <mergeCell ref="Y120:Z120"/>
    <mergeCell ref="AA120:AB120"/>
    <mergeCell ref="Y121:Z121"/>
    <mergeCell ref="AA121:AB121"/>
    <mergeCell ref="W114:X114"/>
    <mergeCell ref="U115:V115"/>
    <mergeCell ref="W115:X115"/>
    <mergeCell ref="U116:V116"/>
    <mergeCell ref="W116:X116"/>
    <mergeCell ref="U113:V113"/>
    <mergeCell ref="W113:X113"/>
    <mergeCell ref="U114:V114"/>
    <mergeCell ref="AN119:AO119"/>
    <mergeCell ref="U117:V117"/>
    <mergeCell ref="AN156:AO156"/>
    <mergeCell ref="AN157:AO157"/>
    <mergeCell ref="AN158:AO158"/>
    <mergeCell ref="AN159:AO159"/>
    <mergeCell ref="AN147:AO147"/>
    <mergeCell ref="AN148:AO148"/>
    <mergeCell ref="W127:X127"/>
    <mergeCell ref="U128:V128"/>
    <mergeCell ref="W128:X128"/>
    <mergeCell ref="U129:V129"/>
    <mergeCell ref="W129:X129"/>
    <mergeCell ref="U130:V130"/>
    <mergeCell ref="W130:X130"/>
    <mergeCell ref="U131:V131"/>
    <mergeCell ref="W131:X131"/>
    <mergeCell ref="W148:X148"/>
    <mergeCell ref="U149:V149"/>
    <mergeCell ref="W149:X149"/>
    <mergeCell ref="U150:V150"/>
    <mergeCell ref="W137:X137"/>
    <mergeCell ref="U138:V138"/>
    <mergeCell ref="W138:X138"/>
    <mergeCell ref="U139:V139"/>
    <mergeCell ref="W139:X139"/>
    <mergeCell ref="AA146:AB146"/>
    <mergeCell ref="Y147:Z147"/>
    <mergeCell ref="AA147:AB147"/>
    <mergeCell ref="Y148:Z148"/>
    <mergeCell ref="AA148:AB148"/>
    <mergeCell ref="Y149:Z149"/>
    <mergeCell ref="AA149:AB149"/>
    <mergeCell ref="Y150:Z150"/>
    <mergeCell ref="AP155:AQ155"/>
    <mergeCell ref="AP156:AQ156"/>
    <mergeCell ref="AP157:AQ157"/>
    <mergeCell ref="AP158:AQ158"/>
    <mergeCell ref="AP148:AQ148"/>
    <mergeCell ref="AN120:AO120"/>
    <mergeCell ref="AN121:AO121"/>
    <mergeCell ref="AN122:AO122"/>
    <mergeCell ref="DX30:EC30"/>
    <mergeCell ref="DX31:EC31"/>
    <mergeCell ref="DX32:EC32"/>
    <mergeCell ref="DX33:EC33"/>
    <mergeCell ref="DX34:EC34"/>
    <mergeCell ref="DD60:DI60"/>
    <mergeCell ref="DD61:DI61"/>
    <mergeCell ref="AN138:AO138"/>
    <mergeCell ref="AN139:AO139"/>
    <mergeCell ref="AN140:AO140"/>
    <mergeCell ref="AN125:AO125"/>
    <mergeCell ref="AN130:AO130"/>
    <mergeCell ref="AN131:AO131"/>
    <mergeCell ref="AN132:AO132"/>
    <mergeCell ref="AN133:AO133"/>
    <mergeCell ref="AN134:AO134"/>
    <mergeCell ref="AN129:AO129"/>
    <mergeCell ref="AN128:AO128"/>
    <mergeCell ref="DX39:EC39"/>
    <mergeCell ref="DX40:EC40"/>
    <mergeCell ref="DD62:DI62"/>
    <mergeCell ref="DD63:DI63"/>
    <mergeCell ref="DD64:DI64"/>
    <mergeCell ref="DD66:DI66"/>
    <mergeCell ref="AP168:AQ168"/>
    <mergeCell ref="AP170:AQ170"/>
    <mergeCell ref="AP166:AQ166"/>
    <mergeCell ref="AP167:AQ167"/>
    <mergeCell ref="M166:N166"/>
    <mergeCell ref="M167:N167"/>
    <mergeCell ref="M168:N168"/>
    <mergeCell ref="M170:N170"/>
    <mergeCell ref="M171:N171"/>
    <mergeCell ref="C260:H260"/>
    <mergeCell ref="C261:H261"/>
    <mergeCell ref="C262:H262"/>
    <mergeCell ref="C263:H263"/>
    <mergeCell ref="C242:H242"/>
    <mergeCell ref="C243:H243"/>
    <mergeCell ref="C244:H244"/>
    <mergeCell ref="C239:H239"/>
    <mergeCell ref="C240:H240"/>
    <mergeCell ref="C241:H241"/>
    <mergeCell ref="C226:H226"/>
    <mergeCell ref="C227:H227"/>
    <mergeCell ref="AN167:AO167"/>
    <mergeCell ref="AN168:AO168"/>
    <mergeCell ref="AN170:AO170"/>
    <mergeCell ref="K168:L168"/>
    <mergeCell ref="K170:L170"/>
    <mergeCell ref="K171:L171"/>
    <mergeCell ref="C169:H169"/>
    <mergeCell ref="Y174:Z174"/>
    <mergeCell ref="U172:V172"/>
    <mergeCell ref="K167:L167"/>
    <mergeCell ref="C228:H228"/>
    <mergeCell ref="DX5:ED6"/>
    <mergeCell ref="DX7:EC7"/>
    <mergeCell ref="DX8:EC8"/>
    <mergeCell ref="DX9:EC9"/>
    <mergeCell ref="DX10:EC10"/>
    <mergeCell ref="DX11:EC11"/>
    <mergeCell ref="DX12:EC12"/>
    <mergeCell ref="DX19:EC19"/>
    <mergeCell ref="DX20:EC20"/>
    <mergeCell ref="DX21:EC21"/>
    <mergeCell ref="DX22:EC22"/>
    <mergeCell ref="DX23:EC23"/>
    <mergeCell ref="DX24:EC24"/>
    <mergeCell ref="DX25:EC25"/>
    <mergeCell ref="C281:H281"/>
    <mergeCell ref="C282:H282"/>
    <mergeCell ref="C283:H283"/>
    <mergeCell ref="AN171:AO171"/>
    <mergeCell ref="AP108:AQ108"/>
    <mergeCell ref="AP109:AQ109"/>
    <mergeCell ref="AP110:AQ110"/>
    <mergeCell ref="AP111:AQ111"/>
    <mergeCell ref="AP112:AQ112"/>
    <mergeCell ref="AP113:AQ113"/>
    <mergeCell ref="AN160:AO160"/>
    <mergeCell ref="AN161:AO161"/>
    <mergeCell ref="AN162:AO162"/>
    <mergeCell ref="AN163:AO163"/>
    <mergeCell ref="AN164:AO164"/>
    <mergeCell ref="AN166:AO166"/>
    <mergeCell ref="AN154:AO154"/>
    <mergeCell ref="AN155:AO155"/>
    <mergeCell ref="DX13:EC13"/>
    <mergeCell ref="DX14:EC14"/>
    <mergeCell ref="DX15:EC15"/>
    <mergeCell ref="DX16:EC16"/>
    <mergeCell ref="DX17:EC17"/>
    <mergeCell ref="DX18:EC18"/>
    <mergeCell ref="DX26:EC26"/>
    <mergeCell ref="DX27:EC27"/>
    <mergeCell ref="DX28:EC28"/>
    <mergeCell ref="DX29:EC29"/>
    <mergeCell ref="C288:H288"/>
    <mergeCell ref="C258:G258"/>
    <mergeCell ref="DX47:EC47"/>
    <mergeCell ref="DX48:EC48"/>
    <mergeCell ref="DX50:EC50"/>
    <mergeCell ref="DX51:EC51"/>
    <mergeCell ref="DX52:EC52"/>
    <mergeCell ref="DX53:EC53"/>
    <mergeCell ref="DX41:EC41"/>
    <mergeCell ref="DX42:EC42"/>
    <mergeCell ref="DX43:EC43"/>
    <mergeCell ref="DX44:EC44"/>
    <mergeCell ref="DX45:EC45"/>
    <mergeCell ref="DX46:EC46"/>
    <mergeCell ref="DX35:EC35"/>
    <mergeCell ref="DX36:EC36"/>
    <mergeCell ref="DX37:EC37"/>
    <mergeCell ref="DX38:EC38"/>
    <mergeCell ref="C284:H284"/>
    <mergeCell ref="C286:H286"/>
    <mergeCell ref="C287:H287"/>
    <mergeCell ref="M201:P201"/>
    <mergeCell ref="DX54:EC54"/>
    <mergeCell ref="DX55:EC55"/>
    <mergeCell ref="DX56:EC56"/>
    <mergeCell ref="DX57:EC57"/>
    <mergeCell ref="DX58:EC58"/>
    <mergeCell ref="DX59:EC59"/>
    <mergeCell ref="DD53:DI53"/>
    <mergeCell ref="DD41:DI41"/>
    <mergeCell ref="DD42:DI42"/>
    <mergeCell ref="DD43:DI43"/>
    <mergeCell ref="DD51:DI51"/>
    <mergeCell ref="DD52:DI52"/>
    <mergeCell ref="DD50:DI50"/>
    <mergeCell ref="AP150:AQ150"/>
    <mergeCell ref="AP151:AQ151"/>
    <mergeCell ref="AP152:AQ152"/>
    <mergeCell ref="AP153:AQ153"/>
    <mergeCell ref="AS63:AX63"/>
    <mergeCell ref="AS64:AX64"/>
    <mergeCell ref="AS66:AX66"/>
    <mergeCell ref="AS70:AX70"/>
    <mergeCell ref="AS71:AX71"/>
    <mergeCell ref="DD67:DI67"/>
    <mergeCell ref="DD68:DI68"/>
    <mergeCell ref="DD70:DI70"/>
    <mergeCell ref="DD71:DI71"/>
    <mergeCell ref="CL71:CQ71"/>
    <mergeCell ref="BG71:BL71"/>
    <mergeCell ref="BG67:BL67"/>
    <mergeCell ref="BG68:BL68"/>
    <mergeCell ref="BG70:BL70"/>
    <mergeCell ref="AS67:AX67"/>
    <mergeCell ref="AH113:AI113"/>
    <mergeCell ref="AH114:AI114"/>
    <mergeCell ref="AH115:AI115"/>
    <mergeCell ref="AH116:AI116"/>
    <mergeCell ref="AH117:AI117"/>
    <mergeCell ref="AH118:AI118"/>
    <mergeCell ref="AH119:AI119"/>
    <mergeCell ref="AH120:AI120"/>
    <mergeCell ref="AH121:AI121"/>
    <mergeCell ref="AP154:AQ154"/>
    <mergeCell ref="AP142:AQ142"/>
    <mergeCell ref="AP143:AQ143"/>
    <mergeCell ref="AP144:AQ144"/>
    <mergeCell ref="AP145:AQ145"/>
    <mergeCell ref="AP146:AQ146"/>
    <mergeCell ref="AP147:AQ147"/>
    <mergeCell ref="AP136:AQ136"/>
    <mergeCell ref="AP119:AQ119"/>
    <mergeCell ref="AP126:AQ126"/>
    <mergeCell ref="AP120:AQ120"/>
    <mergeCell ref="AP121:AQ121"/>
    <mergeCell ref="AP129:AQ129"/>
    <mergeCell ref="AP128:AQ128"/>
    <mergeCell ref="AP127:AQ127"/>
    <mergeCell ref="AP122:AQ122"/>
    <mergeCell ref="AP124:AQ124"/>
    <mergeCell ref="AP125:AQ125"/>
    <mergeCell ref="AP114:AQ114"/>
    <mergeCell ref="AP118:AQ118"/>
    <mergeCell ref="AP123:AQ123"/>
    <mergeCell ref="AH122:AI122"/>
    <mergeCell ref="AH123:AI123"/>
    <mergeCell ref="AP171:AQ171"/>
    <mergeCell ref="AP161:AQ161"/>
    <mergeCell ref="AP162:AQ162"/>
    <mergeCell ref="AP163:AQ163"/>
    <mergeCell ref="AP164:AQ164"/>
    <mergeCell ref="C250:G250"/>
    <mergeCell ref="C251:H251"/>
    <mergeCell ref="C252:H252"/>
    <mergeCell ref="AP137:AQ137"/>
    <mergeCell ref="AP138:AQ138"/>
    <mergeCell ref="AP139:AQ139"/>
    <mergeCell ref="AP140:AQ140"/>
    <mergeCell ref="AP141:AQ141"/>
    <mergeCell ref="AP130:AQ130"/>
    <mergeCell ref="AP131:AQ131"/>
    <mergeCell ref="AP132:AQ132"/>
    <mergeCell ref="AP133:AQ133"/>
    <mergeCell ref="AP134:AQ134"/>
    <mergeCell ref="AP135:AQ135"/>
    <mergeCell ref="U140:V140"/>
    <mergeCell ref="W140:X140"/>
    <mergeCell ref="U152:V152"/>
    <mergeCell ref="W152:X152"/>
    <mergeCell ref="U153:V153"/>
    <mergeCell ref="W153:X153"/>
    <mergeCell ref="U154:V154"/>
    <mergeCell ref="W154:X154"/>
    <mergeCell ref="U155:V155"/>
    <mergeCell ref="W155:X155"/>
    <mergeCell ref="U156:V156"/>
    <mergeCell ref="C238:G238"/>
    <mergeCell ref="B206:W208"/>
    <mergeCell ref="U118:V118"/>
    <mergeCell ref="W118:X118"/>
    <mergeCell ref="U119:V119"/>
    <mergeCell ref="W119:X119"/>
    <mergeCell ref="U120:V120"/>
    <mergeCell ref="W120:X120"/>
    <mergeCell ref="U121:V121"/>
    <mergeCell ref="U123:V123"/>
    <mergeCell ref="W123:X123"/>
    <mergeCell ref="U124:V124"/>
    <mergeCell ref="W124:X124"/>
    <mergeCell ref="Y123:Z123"/>
    <mergeCell ref="AA123:AB123"/>
    <mergeCell ref="Y124:Z124"/>
    <mergeCell ref="AA124:AB124"/>
    <mergeCell ref="AC113:AG113"/>
    <mergeCell ref="AC114:AG114"/>
    <mergeCell ref="AC115:AG115"/>
    <mergeCell ref="AC116:AG116"/>
    <mergeCell ref="AC117:AG117"/>
    <mergeCell ref="AC118:AG118"/>
    <mergeCell ref="AC119:AG119"/>
    <mergeCell ref="AC120:AG120"/>
    <mergeCell ref="AC121:AG121"/>
    <mergeCell ref="AC122:AG122"/>
    <mergeCell ref="AC123:AG123"/>
    <mergeCell ref="AC124:AG124"/>
    <mergeCell ref="U125:V125"/>
    <mergeCell ref="W125:X125"/>
    <mergeCell ref="AA116:AB116"/>
    <mergeCell ref="Y117:Z117"/>
    <mergeCell ref="AA117:AB117"/>
    <mergeCell ref="Y118:Z118"/>
    <mergeCell ref="Y122:Z122"/>
    <mergeCell ref="AA122:AB122"/>
    <mergeCell ref="AN113:AO113"/>
    <mergeCell ref="ER72:EW72"/>
    <mergeCell ref="I172:J172"/>
    <mergeCell ref="K172:L172"/>
    <mergeCell ref="M172:N172"/>
    <mergeCell ref="O172:P172"/>
    <mergeCell ref="Q172:R172"/>
    <mergeCell ref="S172:T172"/>
    <mergeCell ref="AN172:AO172"/>
    <mergeCell ref="AP172:AQ172"/>
    <mergeCell ref="W150:X150"/>
    <mergeCell ref="U151:V151"/>
    <mergeCell ref="W151:X151"/>
    <mergeCell ref="U132:V132"/>
    <mergeCell ref="W132:X132"/>
    <mergeCell ref="U133:V133"/>
    <mergeCell ref="W133:X133"/>
    <mergeCell ref="U134:V134"/>
    <mergeCell ref="W134:X134"/>
    <mergeCell ref="U135:V135"/>
    <mergeCell ref="W135:X135"/>
    <mergeCell ref="U136:V136"/>
    <mergeCell ref="W136:X136"/>
    <mergeCell ref="U137:V137"/>
    <mergeCell ref="FW5:GC6"/>
    <mergeCell ref="FW7:GB7"/>
    <mergeCell ref="FW8:GB8"/>
    <mergeCell ref="FW9:GB9"/>
    <mergeCell ref="FW10:GB10"/>
    <mergeCell ref="FW11:GB11"/>
    <mergeCell ref="FW12:GB12"/>
    <mergeCell ref="FW13:GB13"/>
    <mergeCell ref="FW14:GB14"/>
    <mergeCell ref="FW15:GB15"/>
    <mergeCell ref="FW16:GB16"/>
    <mergeCell ref="FW17:GB17"/>
    <mergeCell ref="FW18:GB18"/>
    <mergeCell ref="FW19:GB19"/>
    <mergeCell ref="FW20:GB20"/>
    <mergeCell ref="FW21:GB21"/>
    <mergeCell ref="FW22:GB22"/>
    <mergeCell ref="FW23:GB23"/>
    <mergeCell ref="FW24:GB24"/>
    <mergeCell ref="FW25:GB25"/>
    <mergeCell ref="FW26:GB26"/>
    <mergeCell ref="FW27:GB27"/>
    <mergeCell ref="FW28:GB28"/>
    <mergeCell ref="FW29:GB29"/>
    <mergeCell ref="FW30:GB30"/>
    <mergeCell ref="FW31:GB31"/>
    <mergeCell ref="FW32:GB32"/>
    <mergeCell ref="FW33:GB33"/>
    <mergeCell ref="FW34:GB34"/>
    <mergeCell ref="FW35:GB35"/>
    <mergeCell ref="FW36:GB36"/>
    <mergeCell ref="FW37:GB37"/>
    <mergeCell ref="FW38:GB38"/>
    <mergeCell ref="FW39:GB39"/>
    <mergeCell ref="FW40:GB40"/>
    <mergeCell ref="FW41:GB41"/>
    <mergeCell ref="FW42:GB42"/>
    <mergeCell ref="FW43:GB43"/>
    <mergeCell ref="FW44:GB44"/>
    <mergeCell ref="FW45:GB45"/>
    <mergeCell ref="FW46:GB46"/>
    <mergeCell ref="FW47:GB47"/>
    <mergeCell ref="FW48:GB48"/>
    <mergeCell ref="FW49:GB49"/>
    <mergeCell ref="FW50:GB50"/>
    <mergeCell ref="FW51:GB51"/>
    <mergeCell ref="FW52:GB52"/>
    <mergeCell ref="FW53:GB53"/>
    <mergeCell ref="FW54:GB54"/>
    <mergeCell ref="FW55:GB55"/>
    <mergeCell ref="FW56:GB56"/>
    <mergeCell ref="FW57:GB57"/>
    <mergeCell ref="FW58:GB58"/>
    <mergeCell ref="FW59:GB59"/>
    <mergeCell ref="FW60:GB60"/>
    <mergeCell ref="FW61:GB61"/>
    <mergeCell ref="FW62:GB62"/>
    <mergeCell ref="FW63:GB63"/>
    <mergeCell ref="FW64:GB64"/>
    <mergeCell ref="FW65:GB65"/>
    <mergeCell ref="FW66:GB66"/>
    <mergeCell ref="FW67:GB67"/>
    <mergeCell ref="FW68:GB68"/>
    <mergeCell ref="FW69:GB69"/>
    <mergeCell ref="FW70:GB70"/>
    <mergeCell ref="FW71:GB71"/>
    <mergeCell ref="FW72:GB72"/>
    <mergeCell ref="U107:X107"/>
    <mergeCell ref="DX67:EC67"/>
    <mergeCell ref="DX68:EC68"/>
    <mergeCell ref="DX70:EC70"/>
    <mergeCell ref="DX71:EC71"/>
    <mergeCell ref="DX60:EC60"/>
    <mergeCell ref="DX61:EC61"/>
    <mergeCell ref="DX62:EC62"/>
    <mergeCell ref="DX63:EC63"/>
    <mergeCell ref="DX64:EC64"/>
    <mergeCell ref="DX66:EC66"/>
    <mergeCell ref="CL66:CQ66"/>
    <mergeCell ref="CL67:CQ67"/>
    <mergeCell ref="CL68:CQ68"/>
    <mergeCell ref="CL70:CQ70"/>
    <mergeCell ref="BS67:BX67"/>
    <mergeCell ref="W172:X172"/>
    <mergeCell ref="U201:X201"/>
    <mergeCell ref="U157:V157"/>
    <mergeCell ref="W157:X157"/>
    <mergeCell ref="U158:V158"/>
    <mergeCell ref="W158:X158"/>
    <mergeCell ref="U159:V159"/>
    <mergeCell ref="W159:X159"/>
    <mergeCell ref="U160:V160"/>
    <mergeCell ref="W160:X160"/>
    <mergeCell ref="U161:V161"/>
    <mergeCell ref="W161:X161"/>
    <mergeCell ref="U162:V162"/>
    <mergeCell ref="W162:X162"/>
    <mergeCell ref="U163:V163"/>
    <mergeCell ref="W163:X163"/>
    <mergeCell ref="U164:V164"/>
    <mergeCell ref="W164:X164"/>
    <mergeCell ref="W165:X165"/>
    <mergeCell ref="W178:X178"/>
    <mergeCell ref="U188:V188"/>
    <mergeCell ref="W188:X188"/>
    <mergeCell ref="U176:V176"/>
    <mergeCell ref="W176:X176"/>
    <mergeCell ref="U179:V179"/>
    <mergeCell ref="W179:X179"/>
    <mergeCell ref="U181:V181"/>
    <mergeCell ref="W181:X181"/>
    <mergeCell ref="U199:V199"/>
    <mergeCell ref="W199:X199"/>
    <mergeCell ref="GT32:GY32"/>
    <mergeCell ref="GT33:GY33"/>
    <mergeCell ref="GT34:GY34"/>
    <mergeCell ref="GT35:GY35"/>
    <mergeCell ref="W156:X156"/>
    <mergeCell ref="U166:V166"/>
    <mergeCell ref="W166:X166"/>
    <mergeCell ref="U167:V167"/>
    <mergeCell ref="W167:X167"/>
    <mergeCell ref="U168:V168"/>
    <mergeCell ref="W168:X168"/>
    <mergeCell ref="U169:V169"/>
    <mergeCell ref="W169:X169"/>
    <mergeCell ref="U170:V170"/>
    <mergeCell ref="W170:X170"/>
    <mergeCell ref="U171:V171"/>
    <mergeCell ref="W171:X171"/>
    <mergeCell ref="U141:V141"/>
    <mergeCell ref="W141:X141"/>
    <mergeCell ref="U142:V142"/>
    <mergeCell ref="W142:X142"/>
    <mergeCell ref="U143:V143"/>
    <mergeCell ref="W143:X143"/>
    <mergeCell ref="U144:V144"/>
    <mergeCell ref="W144:X144"/>
    <mergeCell ref="U145:V145"/>
    <mergeCell ref="W145:X145"/>
    <mergeCell ref="U146:V146"/>
    <mergeCell ref="W146:X146"/>
    <mergeCell ref="U147:V147"/>
    <mergeCell ref="W147:X147"/>
    <mergeCell ref="U148:V148"/>
    <mergeCell ref="GT66:GY66"/>
    <mergeCell ref="GT67:GY67"/>
    <mergeCell ref="GT68:GY68"/>
    <mergeCell ref="GT69:GY69"/>
    <mergeCell ref="U165:V165"/>
    <mergeCell ref="GT5:GZ6"/>
    <mergeCell ref="GT7:GY7"/>
    <mergeCell ref="GT8:GY8"/>
    <mergeCell ref="GT9:GY9"/>
    <mergeCell ref="GT10:GY10"/>
    <mergeCell ref="GT11:GY11"/>
    <mergeCell ref="GT12:GY12"/>
    <mergeCell ref="GT13:GY13"/>
    <mergeCell ref="GT14:GY14"/>
    <mergeCell ref="GT15:GY15"/>
    <mergeCell ref="GT16:GY16"/>
    <mergeCell ref="GT17:GY17"/>
    <mergeCell ref="GT18:GY18"/>
    <mergeCell ref="GT19:GY19"/>
    <mergeCell ref="GT20:GY20"/>
    <mergeCell ref="GT21:GY21"/>
    <mergeCell ref="GT22:GY22"/>
    <mergeCell ref="GT56:GY56"/>
    <mergeCell ref="GT23:GY23"/>
    <mergeCell ref="GT24:GY24"/>
    <mergeCell ref="GT25:GY25"/>
    <mergeCell ref="GT26:GY26"/>
    <mergeCell ref="GT27:GY27"/>
    <mergeCell ref="GT28:GY28"/>
    <mergeCell ref="GT29:GY29"/>
    <mergeCell ref="GT30:GY30"/>
    <mergeCell ref="GT31:GY31"/>
    <mergeCell ref="GT40:GY40"/>
    <mergeCell ref="GT41:GY41"/>
    <mergeCell ref="GT42:GY42"/>
    <mergeCell ref="GT43:GY43"/>
    <mergeCell ref="GT44:GY44"/>
    <mergeCell ref="GT45:GY45"/>
    <mergeCell ref="GT46:GY46"/>
    <mergeCell ref="GT47:GY47"/>
    <mergeCell ref="GT48:GY48"/>
    <mergeCell ref="GT49:GY49"/>
    <mergeCell ref="GT50:GY50"/>
    <mergeCell ref="GT51:GY51"/>
    <mergeCell ref="GT52:GY52"/>
    <mergeCell ref="GT53:GY53"/>
    <mergeCell ref="GT54:GY54"/>
    <mergeCell ref="GT55:GY55"/>
    <mergeCell ref="GT36:GY36"/>
    <mergeCell ref="GT37:GY37"/>
    <mergeCell ref="GT38:GY38"/>
    <mergeCell ref="GT39:GY39"/>
    <mergeCell ref="HO5:HU6"/>
    <mergeCell ref="HO7:HT7"/>
    <mergeCell ref="HO8:HT8"/>
    <mergeCell ref="HO9:HT9"/>
    <mergeCell ref="HO10:HT10"/>
    <mergeCell ref="HO11:HT11"/>
    <mergeCell ref="HO12:HT12"/>
    <mergeCell ref="HO13:HT13"/>
    <mergeCell ref="HO14:HT14"/>
    <mergeCell ref="HO15:HT15"/>
    <mergeCell ref="HO16:HT16"/>
    <mergeCell ref="HO17:HT17"/>
    <mergeCell ref="HO18:HT18"/>
    <mergeCell ref="HO19:HT19"/>
    <mergeCell ref="HO20:HT20"/>
    <mergeCell ref="HO21:HT21"/>
    <mergeCell ref="HO22:HT22"/>
    <mergeCell ref="HO23:HT23"/>
    <mergeCell ref="HO24:HT24"/>
    <mergeCell ref="HO25:HT25"/>
    <mergeCell ref="HO26:HT26"/>
    <mergeCell ref="HO27:HT27"/>
    <mergeCell ref="HO28:HT28"/>
    <mergeCell ref="HO29:HT29"/>
    <mergeCell ref="HO30:HT30"/>
    <mergeCell ref="HO31:HT31"/>
    <mergeCell ref="HO32:HT32"/>
    <mergeCell ref="HO33:HT33"/>
    <mergeCell ref="HO34:HT34"/>
    <mergeCell ref="HO35:HT35"/>
    <mergeCell ref="HO36:HT36"/>
    <mergeCell ref="HO37:HT37"/>
    <mergeCell ref="HO38:HT38"/>
    <mergeCell ref="HO39:HT39"/>
    <mergeCell ref="HO40:HT40"/>
    <mergeCell ref="HO41:HT41"/>
    <mergeCell ref="HO42:HT42"/>
    <mergeCell ref="HO43:HT43"/>
    <mergeCell ref="HO44:HT44"/>
    <mergeCell ref="HO45:HT45"/>
    <mergeCell ref="HO46:HT46"/>
    <mergeCell ref="HO47:HT47"/>
    <mergeCell ref="HO48:HT48"/>
    <mergeCell ref="HO49:HT49"/>
    <mergeCell ref="HO50:HT50"/>
    <mergeCell ref="HO51:HT51"/>
    <mergeCell ref="HO52:HT52"/>
    <mergeCell ref="HO53:HT53"/>
    <mergeCell ref="HO54:HT54"/>
    <mergeCell ref="HO55:HT55"/>
    <mergeCell ref="HO56:HT56"/>
    <mergeCell ref="HZ69:IE69"/>
    <mergeCell ref="HZ70:IE70"/>
    <mergeCell ref="HO57:HT57"/>
    <mergeCell ref="HO58:HT58"/>
    <mergeCell ref="HO59:HT59"/>
    <mergeCell ref="HO60:HT60"/>
    <mergeCell ref="HO61:HT61"/>
    <mergeCell ref="HO62:HT62"/>
    <mergeCell ref="HO63:HT63"/>
    <mergeCell ref="HO64:HT64"/>
    <mergeCell ref="HO65:HT65"/>
    <mergeCell ref="HO66:HT66"/>
    <mergeCell ref="HO67:HT67"/>
    <mergeCell ref="HO68:HT68"/>
    <mergeCell ref="HO69:HT69"/>
    <mergeCell ref="HO70:HT70"/>
    <mergeCell ref="AA108:AB108"/>
    <mergeCell ref="HO71:HT71"/>
    <mergeCell ref="HO72:HT72"/>
    <mergeCell ref="HO73:HT73"/>
    <mergeCell ref="GT70:GY70"/>
    <mergeCell ref="GT71:GY71"/>
    <mergeCell ref="GT72:GY72"/>
    <mergeCell ref="GT57:GY57"/>
    <mergeCell ref="GT58:GY58"/>
    <mergeCell ref="GT59:GY59"/>
    <mergeCell ref="GT60:GY60"/>
    <mergeCell ref="GT61:GY61"/>
    <mergeCell ref="GT62:GY62"/>
    <mergeCell ref="GT63:GY63"/>
    <mergeCell ref="GT64:GY64"/>
    <mergeCell ref="GT65:GY65"/>
    <mergeCell ref="Y125:Z125"/>
    <mergeCell ref="AA125:AB125"/>
    <mergeCell ref="Y126:Z126"/>
    <mergeCell ref="AA126:AB126"/>
    <mergeCell ref="AA144:AB144"/>
    <mergeCell ref="Y127:Z127"/>
    <mergeCell ref="AA127:AB127"/>
    <mergeCell ref="Y128:Z128"/>
    <mergeCell ref="AA128:AB128"/>
    <mergeCell ref="Y129:Z129"/>
    <mergeCell ref="AA129:AB129"/>
    <mergeCell ref="Y130:Z130"/>
    <mergeCell ref="AA130:AB130"/>
    <mergeCell ref="Y131:Z131"/>
    <mergeCell ref="AA131:AB131"/>
    <mergeCell ref="Y132:Z132"/>
    <mergeCell ref="AA132:AB132"/>
    <mergeCell ref="Y133:Z133"/>
    <mergeCell ref="AA133:AB133"/>
    <mergeCell ref="Y134:Z134"/>
    <mergeCell ref="AA134:AB134"/>
    <mergeCell ref="Y135:Z135"/>
    <mergeCell ref="AA135:AB135"/>
    <mergeCell ref="Y152:Z152"/>
    <mergeCell ref="AA152:AB152"/>
    <mergeCell ref="Y153:Z153"/>
    <mergeCell ref="AA153:AB153"/>
    <mergeCell ref="Y136:Z136"/>
    <mergeCell ref="AA136:AB136"/>
    <mergeCell ref="Y137:Z137"/>
    <mergeCell ref="AA137:AB137"/>
    <mergeCell ref="Y138:Z138"/>
    <mergeCell ref="AA138:AB138"/>
    <mergeCell ref="Y139:Z139"/>
    <mergeCell ref="AA139:AB139"/>
    <mergeCell ref="Y140:Z140"/>
    <mergeCell ref="AA140:AB140"/>
    <mergeCell ref="Y141:Z141"/>
    <mergeCell ref="AA141:AB141"/>
    <mergeCell ref="Y142:Z142"/>
    <mergeCell ref="AA142:AB142"/>
    <mergeCell ref="Y143:Z143"/>
    <mergeCell ref="AA143:AB143"/>
    <mergeCell ref="Y144:Z144"/>
    <mergeCell ref="JB23:JG23"/>
    <mergeCell ref="JB24:JG24"/>
    <mergeCell ref="JB25:JG25"/>
    <mergeCell ref="JB26:JG26"/>
    <mergeCell ref="JB27:JG27"/>
    <mergeCell ref="JB28:JG28"/>
    <mergeCell ref="JB29:JG29"/>
    <mergeCell ref="JB30:JG30"/>
    <mergeCell ref="JB31:JG31"/>
    <mergeCell ref="Y163:Z163"/>
    <mergeCell ref="AA163:AB163"/>
    <mergeCell ref="Y164:Z164"/>
    <mergeCell ref="AA164:AB164"/>
    <mergeCell ref="Y165:Z165"/>
    <mergeCell ref="AA165:AB165"/>
    <mergeCell ref="Y166:Z166"/>
    <mergeCell ref="AA166:AB166"/>
    <mergeCell ref="Y154:Z154"/>
    <mergeCell ref="AA154:AB154"/>
    <mergeCell ref="Y155:Z155"/>
    <mergeCell ref="AA155:AB155"/>
    <mergeCell ref="Y156:Z156"/>
    <mergeCell ref="AA156:AB156"/>
    <mergeCell ref="Y157:Z157"/>
    <mergeCell ref="AA157:AB157"/>
    <mergeCell ref="Y158:Z158"/>
    <mergeCell ref="AA158:AB158"/>
    <mergeCell ref="Y159:Z159"/>
    <mergeCell ref="AA159:AB159"/>
    <mergeCell ref="Y160:Z160"/>
    <mergeCell ref="AA160:AB160"/>
    <mergeCell ref="Y161:Z161"/>
    <mergeCell ref="JB5:JH6"/>
    <mergeCell ref="JB7:JG7"/>
    <mergeCell ref="JB8:JG8"/>
    <mergeCell ref="JB9:JG9"/>
    <mergeCell ref="JB10:JG10"/>
    <mergeCell ref="JB11:JG11"/>
    <mergeCell ref="JB12:JG12"/>
    <mergeCell ref="JB13:JG13"/>
    <mergeCell ref="JB14:JG14"/>
    <mergeCell ref="JB15:JG15"/>
    <mergeCell ref="JB16:JG16"/>
    <mergeCell ref="JB17:JG17"/>
    <mergeCell ref="JB18:JG18"/>
    <mergeCell ref="JB19:JG19"/>
    <mergeCell ref="JB20:JG20"/>
    <mergeCell ref="JB21:JG21"/>
    <mergeCell ref="JB22:JG22"/>
    <mergeCell ref="JB32:JG32"/>
    <mergeCell ref="JB33:JG33"/>
    <mergeCell ref="JB34:JG34"/>
    <mergeCell ref="JB35:JG35"/>
    <mergeCell ref="JB36:JG36"/>
    <mergeCell ref="JB37:JG37"/>
    <mergeCell ref="JB38:JG38"/>
    <mergeCell ref="JB39:JG39"/>
    <mergeCell ref="JB40:JG40"/>
    <mergeCell ref="JB41:JG41"/>
    <mergeCell ref="JB42:JG42"/>
    <mergeCell ref="JB43:JG43"/>
    <mergeCell ref="JB44:JG44"/>
    <mergeCell ref="JB45:JG45"/>
    <mergeCell ref="JB46:JG46"/>
    <mergeCell ref="JB64:JG64"/>
    <mergeCell ref="JB65:JG65"/>
    <mergeCell ref="JB47:JG47"/>
    <mergeCell ref="JB48:JG48"/>
    <mergeCell ref="JB49:JG49"/>
    <mergeCell ref="JB50:JG50"/>
    <mergeCell ref="JB51:JG51"/>
    <mergeCell ref="JB52:JG52"/>
    <mergeCell ref="JB53:JG53"/>
    <mergeCell ref="JB54:JG54"/>
    <mergeCell ref="JB55:JG55"/>
    <mergeCell ref="JB56:JG56"/>
    <mergeCell ref="JB57:JG57"/>
    <mergeCell ref="JB58:JG58"/>
    <mergeCell ref="JB59:JG59"/>
    <mergeCell ref="JB60:JG60"/>
    <mergeCell ref="JB61:JG61"/>
    <mergeCell ref="AA174:AB174"/>
    <mergeCell ref="AN174:AO174"/>
    <mergeCell ref="AP174:AQ174"/>
    <mergeCell ref="I174:J174"/>
    <mergeCell ref="K174:L174"/>
    <mergeCell ref="M174:N174"/>
    <mergeCell ref="O174:P174"/>
    <mergeCell ref="Q174:R174"/>
    <mergeCell ref="S174:T174"/>
    <mergeCell ref="U174:V174"/>
    <mergeCell ref="W174:X174"/>
    <mergeCell ref="C211:H211"/>
    <mergeCell ref="C232:H232"/>
    <mergeCell ref="C231:H231"/>
    <mergeCell ref="C230:H230"/>
    <mergeCell ref="C229:H229"/>
    <mergeCell ref="AP175:AQ175"/>
    <mergeCell ref="AN175:AO175"/>
    <mergeCell ref="C210:AG210"/>
    <mergeCell ref="C174:H174"/>
    <mergeCell ref="C176:H176"/>
    <mergeCell ref="C177:H177"/>
    <mergeCell ref="C178:H178"/>
    <mergeCell ref="C179:H179"/>
    <mergeCell ref="C180:H180"/>
    <mergeCell ref="C181:H181"/>
    <mergeCell ref="C182:H182"/>
    <mergeCell ref="C183:H183"/>
    <mergeCell ref="C184:H184"/>
    <mergeCell ref="C185:H185"/>
    <mergeCell ref="C186:H186"/>
    <mergeCell ref="M176:N176"/>
    <mergeCell ref="Y173:Z173"/>
    <mergeCell ref="AA173:AB173"/>
    <mergeCell ref="Y167:Z167"/>
    <mergeCell ref="AA167:AB167"/>
    <mergeCell ref="Y168:Z168"/>
    <mergeCell ref="AA168:AB168"/>
    <mergeCell ref="Y169:Z169"/>
    <mergeCell ref="AA169:AB169"/>
    <mergeCell ref="Y170:Z170"/>
    <mergeCell ref="AA170:AB170"/>
    <mergeCell ref="Y171:Z171"/>
    <mergeCell ref="AA171:AB171"/>
    <mergeCell ref="C299:H299"/>
    <mergeCell ref="C107:H107"/>
    <mergeCell ref="C129:H129"/>
    <mergeCell ref="C128:H128"/>
    <mergeCell ref="C127:H127"/>
    <mergeCell ref="C126:H126"/>
    <mergeCell ref="C175:H175"/>
    <mergeCell ref="O175:P175"/>
    <mergeCell ref="M175:N175"/>
    <mergeCell ref="S175:T175"/>
    <mergeCell ref="Q175:R175"/>
    <mergeCell ref="W175:X175"/>
    <mergeCell ref="U175:V175"/>
    <mergeCell ref="AA175:AB175"/>
    <mergeCell ref="Y175:Z175"/>
    <mergeCell ref="I175:J175"/>
    <mergeCell ref="K175:L175"/>
    <mergeCell ref="C234:H234"/>
    <mergeCell ref="Y172:Z172"/>
    <mergeCell ref="AA172:AB172"/>
    <mergeCell ref="Y162:Z162"/>
    <mergeCell ref="AA162:AB162"/>
    <mergeCell ref="Y145:Z145"/>
    <mergeCell ref="AA145:AB145"/>
    <mergeCell ref="Y146:Z146"/>
    <mergeCell ref="KH5:KN6"/>
    <mergeCell ref="KH7:KM7"/>
    <mergeCell ref="KH8:KM8"/>
    <mergeCell ref="KH9:KM9"/>
    <mergeCell ref="KH10:KM10"/>
    <mergeCell ref="KH11:KM11"/>
    <mergeCell ref="KH12:KM12"/>
    <mergeCell ref="KH13:KM13"/>
    <mergeCell ref="KH14:KM14"/>
    <mergeCell ref="KH15:KM15"/>
    <mergeCell ref="KH16:KM16"/>
    <mergeCell ref="KH17:KM17"/>
    <mergeCell ref="KH18:KM18"/>
    <mergeCell ref="KH19:KM19"/>
    <mergeCell ref="KH20:KM20"/>
    <mergeCell ref="KH21:KM21"/>
    <mergeCell ref="KH22:KM22"/>
    <mergeCell ref="KH23:KM23"/>
    <mergeCell ref="KH24:KM24"/>
    <mergeCell ref="KH25:KM25"/>
    <mergeCell ref="KH26:KM26"/>
    <mergeCell ref="KH27:KM27"/>
    <mergeCell ref="KH28:KM28"/>
    <mergeCell ref="KH29:KM29"/>
    <mergeCell ref="KH30:KM30"/>
    <mergeCell ref="KH31:KM31"/>
    <mergeCell ref="KH32:KM32"/>
    <mergeCell ref="KH33:KM33"/>
    <mergeCell ref="KH34:KM34"/>
    <mergeCell ref="KH35:KM35"/>
    <mergeCell ref="KH36:KM36"/>
    <mergeCell ref="KH37:KM37"/>
    <mergeCell ref="KH38:KM38"/>
    <mergeCell ref="KH39:KM39"/>
    <mergeCell ref="KH40:KM40"/>
    <mergeCell ref="KH41:KM41"/>
    <mergeCell ref="KH42:KM42"/>
    <mergeCell ref="KH43:KM43"/>
    <mergeCell ref="KH44:KM44"/>
    <mergeCell ref="KH45:KM45"/>
    <mergeCell ref="KH46:KM46"/>
    <mergeCell ref="KH47:KM47"/>
    <mergeCell ref="KH48:KM48"/>
    <mergeCell ref="KH49:KM49"/>
    <mergeCell ref="KH50:KM50"/>
    <mergeCell ref="KH51:KM51"/>
    <mergeCell ref="KH52:KM52"/>
    <mergeCell ref="KH53:KM53"/>
    <mergeCell ref="KH54:KM54"/>
    <mergeCell ref="KH55:KM55"/>
    <mergeCell ref="KH56:KM56"/>
    <mergeCell ref="KH74:KM74"/>
    <mergeCell ref="KH75:KM75"/>
    <mergeCell ref="KH57:KM57"/>
    <mergeCell ref="KH58:KM58"/>
    <mergeCell ref="KH59:KM59"/>
    <mergeCell ref="KH60:KM60"/>
    <mergeCell ref="KH61:KM61"/>
    <mergeCell ref="KH62:KM62"/>
    <mergeCell ref="KH63:KM63"/>
    <mergeCell ref="KH64:KM64"/>
    <mergeCell ref="KH65:KM65"/>
    <mergeCell ref="KH66:KM66"/>
    <mergeCell ref="KH67:KM67"/>
    <mergeCell ref="KH68:KM68"/>
    <mergeCell ref="KH69:KM69"/>
    <mergeCell ref="KH70:KM70"/>
    <mergeCell ref="KH71:KM71"/>
    <mergeCell ref="KH72:KM72"/>
    <mergeCell ref="KH73:KM73"/>
    <mergeCell ref="KV5:LB6"/>
    <mergeCell ref="KV7:LA7"/>
    <mergeCell ref="KV8:LA8"/>
    <mergeCell ref="KV9:LA9"/>
    <mergeCell ref="KV10:LA10"/>
    <mergeCell ref="KV11:LA11"/>
    <mergeCell ref="KV12:LA12"/>
    <mergeCell ref="KV13:LA13"/>
    <mergeCell ref="KV14:LA14"/>
    <mergeCell ref="KV15:LA15"/>
    <mergeCell ref="KV16:LA16"/>
    <mergeCell ref="KV17:LA17"/>
    <mergeCell ref="KV18:LA18"/>
    <mergeCell ref="KV19:LA19"/>
    <mergeCell ref="KV20:LA20"/>
    <mergeCell ref="KV21:LA21"/>
    <mergeCell ref="KV22:LA22"/>
    <mergeCell ref="KV23:LA23"/>
    <mergeCell ref="KV24:LA24"/>
    <mergeCell ref="KV25:LA25"/>
    <mergeCell ref="KV26:LA26"/>
    <mergeCell ref="KV27:LA27"/>
    <mergeCell ref="KV28:LA28"/>
    <mergeCell ref="KV29:LA29"/>
    <mergeCell ref="KV30:LA30"/>
    <mergeCell ref="KV31:LA31"/>
    <mergeCell ref="KV32:LA32"/>
    <mergeCell ref="KV33:LA33"/>
    <mergeCell ref="KV34:LA34"/>
    <mergeCell ref="KV35:LA35"/>
    <mergeCell ref="KV36:LA36"/>
    <mergeCell ref="KV37:LA37"/>
    <mergeCell ref="KV38:LA38"/>
    <mergeCell ref="KV39:LA39"/>
    <mergeCell ref="KV40:LA40"/>
    <mergeCell ref="KV41:LA41"/>
    <mergeCell ref="KV42:LA42"/>
    <mergeCell ref="KV43:LA43"/>
    <mergeCell ref="KV44:LA44"/>
    <mergeCell ref="KV45:LA45"/>
    <mergeCell ref="KV46:LA46"/>
    <mergeCell ref="KV47:LA47"/>
    <mergeCell ref="KV48:LA48"/>
    <mergeCell ref="KV49:LA49"/>
    <mergeCell ref="KV50:LA50"/>
    <mergeCell ref="KV51:LA51"/>
    <mergeCell ref="KV52:LA52"/>
    <mergeCell ref="KV53:LA53"/>
    <mergeCell ref="KV54:LA54"/>
    <mergeCell ref="KV55:LA55"/>
    <mergeCell ref="KV56:LA56"/>
    <mergeCell ref="KV57:LA57"/>
    <mergeCell ref="KV58:LA58"/>
    <mergeCell ref="KV59:LA59"/>
    <mergeCell ref="KV60:LA60"/>
    <mergeCell ref="KV61:LA61"/>
    <mergeCell ref="KV62:LA62"/>
    <mergeCell ref="KV63:LA63"/>
    <mergeCell ref="KV64:LA64"/>
    <mergeCell ref="KV65:LA65"/>
    <mergeCell ref="KV66:LA66"/>
    <mergeCell ref="KV67:LA67"/>
    <mergeCell ref="KV68:LA68"/>
    <mergeCell ref="KV69:LA69"/>
    <mergeCell ref="KV70:LA70"/>
    <mergeCell ref="KV71:LA71"/>
    <mergeCell ref="KV72:LA72"/>
    <mergeCell ref="KV73:LA73"/>
    <mergeCell ref="KV74:LA74"/>
    <mergeCell ref="KV75:LA75"/>
    <mergeCell ref="KV101:LA101"/>
    <mergeCell ref="KV102:LA102"/>
    <mergeCell ref="KV76:LA76"/>
    <mergeCell ref="KV77:LA77"/>
    <mergeCell ref="KV78:LA78"/>
    <mergeCell ref="KV79:LA79"/>
    <mergeCell ref="KV80:LA80"/>
    <mergeCell ref="KV81:LA81"/>
    <mergeCell ref="KV82:LA82"/>
    <mergeCell ref="KV83:LA83"/>
    <mergeCell ref="KV84:LA84"/>
    <mergeCell ref="KV85:LA85"/>
    <mergeCell ref="KV86:LA86"/>
    <mergeCell ref="KV87:LA87"/>
    <mergeCell ref="KV88:LA88"/>
    <mergeCell ref="KV89:LA89"/>
    <mergeCell ref="KV90:LA90"/>
    <mergeCell ref="Y176:Z176"/>
    <mergeCell ref="AA176:AB176"/>
    <mergeCell ref="AN176:AO176"/>
    <mergeCell ref="AP176:AQ176"/>
    <mergeCell ref="I177:J177"/>
    <mergeCell ref="K177:L177"/>
    <mergeCell ref="M177:N177"/>
    <mergeCell ref="O177:P177"/>
    <mergeCell ref="Q177:R177"/>
    <mergeCell ref="S177:T177"/>
    <mergeCell ref="U177:V177"/>
    <mergeCell ref="W177:X177"/>
    <mergeCell ref="Y177:Z177"/>
    <mergeCell ref="AA177:AB177"/>
    <mergeCell ref="AN177:AO177"/>
    <mergeCell ref="AP177:AQ177"/>
    <mergeCell ref="K178:L178"/>
    <mergeCell ref="M178:N178"/>
    <mergeCell ref="O178:P178"/>
    <mergeCell ref="Q178:R178"/>
    <mergeCell ref="S178:T178"/>
    <mergeCell ref="U178:V178"/>
    <mergeCell ref="Y178:Z178"/>
    <mergeCell ref="AA178:AB178"/>
    <mergeCell ref="AN178:AO178"/>
    <mergeCell ref="AP178:AQ178"/>
    <mergeCell ref="Y179:Z179"/>
    <mergeCell ref="AA179:AB179"/>
    <mergeCell ref="AN179:AO179"/>
    <mergeCell ref="AP179:AQ179"/>
    <mergeCell ref="I178:J178"/>
    <mergeCell ref="I180:J180"/>
    <mergeCell ref="K180:L180"/>
    <mergeCell ref="M180:N180"/>
    <mergeCell ref="O180:P180"/>
    <mergeCell ref="Q180:R180"/>
    <mergeCell ref="S180:T180"/>
    <mergeCell ref="U180:V180"/>
    <mergeCell ref="W180:X180"/>
    <mergeCell ref="Y180:Z180"/>
    <mergeCell ref="AA180:AB180"/>
    <mergeCell ref="AN180:AO180"/>
    <mergeCell ref="AP180:AQ180"/>
    <mergeCell ref="M179:N179"/>
    <mergeCell ref="O179:P179"/>
    <mergeCell ref="Q179:R179"/>
    <mergeCell ref="S179:T179"/>
    <mergeCell ref="Y181:Z181"/>
    <mergeCell ref="AA181:AB181"/>
    <mergeCell ref="AN181:AO181"/>
    <mergeCell ref="AP181:AQ181"/>
    <mergeCell ref="I182:J182"/>
    <mergeCell ref="K182:L182"/>
    <mergeCell ref="M182:N182"/>
    <mergeCell ref="O182:P182"/>
    <mergeCell ref="Q182:R182"/>
    <mergeCell ref="S182:T182"/>
    <mergeCell ref="U182:V182"/>
    <mergeCell ref="W182:X182"/>
    <mergeCell ref="Y182:Z182"/>
    <mergeCell ref="AA182:AB182"/>
    <mergeCell ref="AN182:AO182"/>
    <mergeCell ref="AP182:AQ182"/>
    <mergeCell ref="AC181:AG181"/>
    <mergeCell ref="AC182:AG182"/>
    <mergeCell ref="I181:J181"/>
    <mergeCell ref="K181:L181"/>
    <mergeCell ref="AJ181:AK181"/>
    <mergeCell ref="AL181:AM181"/>
    <mergeCell ref="AJ182:AK182"/>
    <mergeCell ref="AL182:AM182"/>
    <mergeCell ref="M183:N183"/>
    <mergeCell ref="O183:P183"/>
    <mergeCell ref="Q183:R183"/>
    <mergeCell ref="S183:T183"/>
    <mergeCell ref="U183:V183"/>
    <mergeCell ref="W183:X183"/>
    <mergeCell ref="Y183:Z183"/>
    <mergeCell ref="AA183:AB183"/>
    <mergeCell ref="AN183:AO183"/>
    <mergeCell ref="AP183:AQ183"/>
    <mergeCell ref="I184:J184"/>
    <mergeCell ref="K184:L184"/>
    <mergeCell ref="M184:N184"/>
    <mergeCell ref="O184:P184"/>
    <mergeCell ref="Q184:R184"/>
    <mergeCell ref="S184:T184"/>
    <mergeCell ref="U184:V184"/>
    <mergeCell ref="W184:X184"/>
    <mergeCell ref="Y184:Z184"/>
    <mergeCell ref="AA184:AB184"/>
    <mergeCell ref="AN184:AO184"/>
    <mergeCell ref="AP184:AQ184"/>
    <mergeCell ref="AC183:AG183"/>
    <mergeCell ref="AC184:AG184"/>
    <mergeCell ref="I183:J183"/>
    <mergeCell ref="AJ183:AK183"/>
    <mergeCell ref="AL183:AM183"/>
    <mergeCell ref="AJ184:AK184"/>
    <mergeCell ref="AL184:AM184"/>
    <mergeCell ref="M185:N185"/>
    <mergeCell ref="O185:P185"/>
    <mergeCell ref="Q185:R185"/>
    <mergeCell ref="S185:T185"/>
    <mergeCell ref="U185:V185"/>
    <mergeCell ref="W185:X185"/>
    <mergeCell ref="Y185:Z185"/>
    <mergeCell ref="AA185:AB185"/>
    <mergeCell ref="AN185:AO185"/>
    <mergeCell ref="AP185:AQ185"/>
    <mergeCell ref="I186:J186"/>
    <mergeCell ref="K186:L186"/>
    <mergeCell ref="M186:N186"/>
    <mergeCell ref="O186:P186"/>
    <mergeCell ref="Q186:R186"/>
    <mergeCell ref="S186:T186"/>
    <mergeCell ref="U186:V186"/>
    <mergeCell ref="W186:X186"/>
    <mergeCell ref="Y186:Z186"/>
    <mergeCell ref="AA186:AB186"/>
    <mergeCell ref="AN186:AO186"/>
    <mergeCell ref="AP186:AQ186"/>
    <mergeCell ref="AC185:AG185"/>
    <mergeCell ref="AC186:AG186"/>
    <mergeCell ref="AJ185:AK185"/>
    <mergeCell ref="AL185:AM185"/>
    <mergeCell ref="AJ186:AK186"/>
    <mergeCell ref="AL186:AM186"/>
    <mergeCell ref="AP190:AQ190"/>
    <mergeCell ref="I187:J187"/>
    <mergeCell ref="K187:L187"/>
    <mergeCell ref="M187:N187"/>
    <mergeCell ref="O187:P187"/>
    <mergeCell ref="Q187:R187"/>
    <mergeCell ref="S187:T187"/>
    <mergeCell ref="U187:V187"/>
    <mergeCell ref="W187:X187"/>
    <mergeCell ref="Y187:Z187"/>
    <mergeCell ref="AA187:AB187"/>
    <mergeCell ref="AN187:AO187"/>
    <mergeCell ref="AP187:AQ187"/>
    <mergeCell ref="I188:J188"/>
    <mergeCell ref="K188:L188"/>
    <mergeCell ref="M188:N188"/>
    <mergeCell ref="O188:P188"/>
    <mergeCell ref="Q188:R188"/>
    <mergeCell ref="Y188:Z188"/>
    <mergeCell ref="AA188:AB188"/>
    <mergeCell ref="AN188:AO188"/>
    <mergeCell ref="AP188:AQ188"/>
    <mergeCell ref="AC187:AG187"/>
    <mergeCell ref="AC188:AG188"/>
    <mergeCell ref="AC189:AG189"/>
    <mergeCell ref="AC190:AG190"/>
    <mergeCell ref="AH189:AI189"/>
    <mergeCell ref="AH190:AI190"/>
    <mergeCell ref="AN189:AO189"/>
    <mergeCell ref="AP189:AQ189"/>
    <mergeCell ref="AN190:AO190"/>
    <mergeCell ref="AH188:AI188"/>
    <mergeCell ref="U202:X202"/>
    <mergeCell ref="Q202:T202"/>
    <mergeCell ref="C201:H201"/>
    <mergeCell ref="C202:H202"/>
    <mergeCell ref="I189:J189"/>
    <mergeCell ref="K189:L189"/>
    <mergeCell ref="M189:N189"/>
    <mergeCell ref="O189:P189"/>
    <mergeCell ref="Q189:R189"/>
    <mergeCell ref="S189:T189"/>
    <mergeCell ref="U189:V189"/>
    <mergeCell ref="W189:X189"/>
    <mergeCell ref="Y189:Z189"/>
    <mergeCell ref="AA189:AB189"/>
    <mergeCell ref="I190:J190"/>
    <mergeCell ref="K190:L190"/>
    <mergeCell ref="M190:N190"/>
    <mergeCell ref="O190:P190"/>
    <mergeCell ref="Q190:R190"/>
    <mergeCell ref="S190:T190"/>
    <mergeCell ref="U190:V190"/>
    <mergeCell ref="W190:X190"/>
    <mergeCell ref="Y190:Z190"/>
    <mergeCell ref="AA190:AB190"/>
    <mergeCell ref="C195:H195"/>
    <mergeCell ref="C196:H196"/>
    <mergeCell ref="C197:H197"/>
    <mergeCell ref="C198:H198"/>
    <mergeCell ref="C199:H199"/>
    <mergeCell ref="S194:T194"/>
    <mergeCell ref="U194:V194"/>
    <mergeCell ref="W194:X194"/>
    <mergeCell ref="AC125:AG125"/>
    <mergeCell ref="AC126:AG126"/>
    <mergeCell ref="AC127:AG127"/>
    <mergeCell ref="AC128:AG128"/>
    <mergeCell ref="AC129:AG129"/>
    <mergeCell ref="AC177:AG177"/>
    <mergeCell ref="AC178:AG178"/>
    <mergeCell ref="AC179:AG179"/>
    <mergeCell ref="AC180:AG180"/>
    <mergeCell ref="AC147:AG147"/>
    <mergeCell ref="AC148:AG148"/>
    <mergeCell ref="AC149:AG149"/>
    <mergeCell ref="AC150:AG150"/>
    <mergeCell ref="AC151:AG151"/>
    <mergeCell ref="AC152:AG152"/>
    <mergeCell ref="AC153:AG153"/>
    <mergeCell ref="AC154:AG154"/>
    <mergeCell ref="AC155:AG155"/>
    <mergeCell ref="AC156:AG156"/>
    <mergeCell ref="AC157:AG157"/>
    <mergeCell ref="AC158:AG158"/>
    <mergeCell ref="AC159:AG159"/>
    <mergeCell ref="AC160:AG160"/>
    <mergeCell ref="AC161:AG161"/>
    <mergeCell ref="AC162:AG162"/>
    <mergeCell ref="AC163:AG163"/>
    <mergeCell ref="AC164:AG164"/>
    <mergeCell ref="AC165:AG165"/>
    <mergeCell ref="AC130:AG130"/>
    <mergeCell ref="AC131:AG131"/>
    <mergeCell ref="AC132:AG132"/>
    <mergeCell ref="AC133:AG133"/>
    <mergeCell ref="AC168:AG168"/>
    <mergeCell ref="AC169:AG169"/>
    <mergeCell ref="AC145:AG145"/>
    <mergeCell ref="AC146:AG146"/>
    <mergeCell ref="AH163:AI163"/>
    <mergeCell ref="AH164:AI164"/>
    <mergeCell ref="AH150:AI150"/>
    <mergeCell ref="AH151:AI151"/>
    <mergeCell ref="AH152:AI152"/>
    <mergeCell ref="AH153:AI153"/>
    <mergeCell ref="AH154:AI154"/>
    <mergeCell ref="AH155:AI155"/>
    <mergeCell ref="AH156:AI156"/>
    <mergeCell ref="AH157:AI157"/>
    <mergeCell ref="AH158:AI158"/>
    <mergeCell ref="AH159:AI159"/>
    <mergeCell ref="AH160:AI160"/>
    <mergeCell ref="AH161:AI161"/>
    <mergeCell ref="AH162:AI162"/>
    <mergeCell ref="AH148:AI148"/>
    <mergeCell ref="AH149:AI149"/>
    <mergeCell ref="AH124:AI124"/>
    <mergeCell ref="AH125:AI125"/>
    <mergeCell ref="AH126:AI126"/>
    <mergeCell ref="AH127:AI127"/>
    <mergeCell ref="AH128:AI128"/>
    <mergeCell ref="AH129:AI129"/>
    <mergeCell ref="AH130:AI130"/>
    <mergeCell ref="AH131:AI131"/>
    <mergeCell ref="AH132:AI132"/>
    <mergeCell ref="AH133:AI133"/>
    <mergeCell ref="AH134:AI134"/>
    <mergeCell ref="AH135:AI135"/>
    <mergeCell ref="AH136:AI136"/>
    <mergeCell ref="AH137:AI137"/>
    <mergeCell ref="AH187:AI187"/>
    <mergeCell ref="AH167:AI167"/>
    <mergeCell ref="AH168:AI168"/>
    <mergeCell ref="AH169:AI169"/>
    <mergeCell ref="AH170:AI170"/>
    <mergeCell ref="AH171:AI171"/>
    <mergeCell ref="AH138:AI138"/>
    <mergeCell ref="AH139:AI139"/>
    <mergeCell ref="AH140:AI140"/>
    <mergeCell ref="AH141:AI141"/>
    <mergeCell ref="AH142:AI142"/>
    <mergeCell ref="AH143:AI143"/>
    <mergeCell ref="AH144:AI144"/>
    <mergeCell ref="AH145:AI145"/>
    <mergeCell ref="AH146:AI146"/>
    <mergeCell ref="AH147:AI147"/>
    <mergeCell ref="Y194:Z194"/>
    <mergeCell ref="AA194:AB194"/>
    <mergeCell ref="AC194:AG194"/>
    <mergeCell ref="AH194:AI194"/>
    <mergeCell ref="AN194:AO194"/>
    <mergeCell ref="AP194:AQ194"/>
    <mergeCell ref="AH165:AI165"/>
    <mergeCell ref="AH166:AI166"/>
    <mergeCell ref="AH172:AI172"/>
    <mergeCell ref="AH173:AI173"/>
    <mergeCell ref="AH174:AI174"/>
    <mergeCell ref="AH175:AI175"/>
    <mergeCell ref="AH176:AI176"/>
    <mergeCell ref="AH177:AI177"/>
    <mergeCell ref="AH178:AI178"/>
    <mergeCell ref="AH179:AI179"/>
    <mergeCell ref="AH180:AI180"/>
    <mergeCell ref="AH181:AI181"/>
    <mergeCell ref="AH182:AI182"/>
    <mergeCell ref="AH183:AI183"/>
    <mergeCell ref="AH184:AI184"/>
    <mergeCell ref="AH185:AI185"/>
    <mergeCell ref="AH186:AI186"/>
    <mergeCell ref="AC166:AG166"/>
    <mergeCell ref="AC167:AG167"/>
    <mergeCell ref="AC170:AG170"/>
    <mergeCell ref="AC171:AG171"/>
    <mergeCell ref="AC172:AG172"/>
    <mergeCell ref="AC173:AG173"/>
    <mergeCell ref="AC174:AG174"/>
    <mergeCell ref="AC175:AG175"/>
    <mergeCell ref="AC176:AG176"/>
    <mergeCell ref="M193:N193"/>
    <mergeCell ref="O193:P193"/>
    <mergeCell ref="I194:J194"/>
    <mergeCell ref="K194:L194"/>
    <mergeCell ref="M194:N194"/>
    <mergeCell ref="O194:P194"/>
    <mergeCell ref="Q194:R194"/>
    <mergeCell ref="LI91:LN91"/>
    <mergeCell ref="LI92:LN92"/>
    <mergeCell ref="LI93:LN93"/>
    <mergeCell ref="C191:H191"/>
    <mergeCell ref="C192:H192"/>
    <mergeCell ref="C193:H193"/>
    <mergeCell ref="C194:H194"/>
    <mergeCell ref="AH191:AI191"/>
    <mergeCell ref="AN191:AO191"/>
    <mergeCell ref="AP191:AQ191"/>
    <mergeCell ref="AH192:AI192"/>
    <mergeCell ref="AN192:AO192"/>
    <mergeCell ref="AP192:AQ192"/>
    <mergeCell ref="Q193:R193"/>
    <mergeCell ref="S193:T193"/>
    <mergeCell ref="U193:V193"/>
    <mergeCell ref="W193:X193"/>
    <mergeCell ref="Y193:Z193"/>
    <mergeCell ref="AA193:AB193"/>
    <mergeCell ref="AC193:AG193"/>
    <mergeCell ref="AH193:AI193"/>
    <mergeCell ref="AN193:AO193"/>
    <mergeCell ref="AP193:AQ193"/>
    <mergeCell ref="I191:J191"/>
    <mergeCell ref="K191:L191"/>
    <mergeCell ref="M191:N191"/>
    <mergeCell ref="O191:P191"/>
    <mergeCell ref="Q191:R191"/>
    <mergeCell ref="S191:T191"/>
    <mergeCell ref="U191:V191"/>
    <mergeCell ref="W191:X191"/>
    <mergeCell ref="Y191:Z191"/>
    <mergeCell ref="AA191:AB191"/>
    <mergeCell ref="AC191:AG191"/>
    <mergeCell ref="I192:J192"/>
    <mergeCell ref="K192:L192"/>
    <mergeCell ref="M192:N192"/>
    <mergeCell ref="O192:P192"/>
    <mergeCell ref="Q192:R192"/>
    <mergeCell ref="S192:T192"/>
    <mergeCell ref="U192:V192"/>
    <mergeCell ref="W192:X192"/>
    <mergeCell ref="Y192:Z192"/>
    <mergeCell ref="AA192:AB192"/>
    <mergeCell ref="AC192:AG192"/>
    <mergeCell ref="M195:N195"/>
    <mergeCell ref="O195:P195"/>
    <mergeCell ref="Q195:R195"/>
    <mergeCell ref="S195:T195"/>
    <mergeCell ref="U195:V195"/>
    <mergeCell ref="W195:X195"/>
    <mergeCell ref="Y195:Z195"/>
    <mergeCell ref="AA195:AB195"/>
    <mergeCell ref="AC195:AG195"/>
    <mergeCell ref="AH195:AI195"/>
    <mergeCell ref="AN195:AO195"/>
    <mergeCell ref="AP195:AQ195"/>
    <mergeCell ref="I196:J196"/>
    <mergeCell ref="K196:L196"/>
    <mergeCell ref="M196:N196"/>
    <mergeCell ref="O196:P196"/>
    <mergeCell ref="Q196:R196"/>
    <mergeCell ref="S196:T196"/>
    <mergeCell ref="U196:V196"/>
    <mergeCell ref="W196:X196"/>
    <mergeCell ref="Y196:Z196"/>
    <mergeCell ref="AA196:AB196"/>
    <mergeCell ref="AC196:AG196"/>
    <mergeCell ref="AH196:AI196"/>
    <mergeCell ref="AN196:AO196"/>
    <mergeCell ref="AP196:AQ196"/>
    <mergeCell ref="AJ196:AK196"/>
    <mergeCell ref="AL196:AM196"/>
    <mergeCell ref="M197:N197"/>
    <mergeCell ref="O197:P197"/>
    <mergeCell ref="Q197:R197"/>
    <mergeCell ref="S197:T197"/>
    <mergeCell ref="U197:V197"/>
    <mergeCell ref="W197:X197"/>
    <mergeCell ref="Y197:Z197"/>
    <mergeCell ref="AA197:AB197"/>
    <mergeCell ref="AC197:AG197"/>
    <mergeCell ref="AH197:AI197"/>
    <mergeCell ref="AN197:AO197"/>
    <mergeCell ref="AP197:AQ197"/>
    <mergeCell ref="AP200:AQ200"/>
    <mergeCell ref="C292:H292"/>
    <mergeCell ref="C322:P322"/>
    <mergeCell ref="I198:J198"/>
    <mergeCell ref="K198:L198"/>
    <mergeCell ref="M198:N198"/>
    <mergeCell ref="O198:P198"/>
    <mergeCell ref="Q198:R198"/>
    <mergeCell ref="S198:T198"/>
    <mergeCell ref="U198:V198"/>
    <mergeCell ref="W198:X198"/>
    <mergeCell ref="Y198:Z198"/>
    <mergeCell ref="AA198:AB198"/>
    <mergeCell ref="AC198:AG198"/>
    <mergeCell ref="AH198:AI198"/>
    <mergeCell ref="AN198:AO198"/>
    <mergeCell ref="AP198:AQ198"/>
    <mergeCell ref="I199:J199"/>
    <mergeCell ref="Q199:R199"/>
    <mergeCell ref="S199:T199"/>
    <mergeCell ref="Y199:Z199"/>
    <mergeCell ref="AA199:AB199"/>
    <mergeCell ref="AC199:AG199"/>
    <mergeCell ref="AH199:AI199"/>
    <mergeCell ref="AN199:AO199"/>
    <mergeCell ref="AP199:AQ199"/>
    <mergeCell ref="C291:H291"/>
    <mergeCell ref="C325:H325"/>
    <mergeCell ref="C317:H317"/>
    <mergeCell ref="C323:H323"/>
    <mergeCell ref="C324:H324"/>
    <mergeCell ref="I200:J200"/>
    <mergeCell ref="K200:L200"/>
    <mergeCell ref="M200:N200"/>
    <mergeCell ref="O200:P200"/>
    <mergeCell ref="Q200:R200"/>
    <mergeCell ref="S200:T200"/>
    <mergeCell ref="U200:V200"/>
    <mergeCell ref="W200:X200"/>
    <mergeCell ref="Y200:Z200"/>
    <mergeCell ref="AA200:AB200"/>
    <mergeCell ref="AC200:AG200"/>
    <mergeCell ref="AH200:AI200"/>
    <mergeCell ref="AN200:AO200"/>
    <mergeCell ref="C300:H300"/>
    <mergeCell ref="C200:H200"/>
    <mergeCell ref="C296:H296"/>
    <mergeCell ref="I202:L202"/>
    <mergeCell ref="C301:H301"/>
    <mergeCell ref="C302:H302"/>
    <mergeCell ref="C303:H303"/>
    <mergeCell ref="C304:H304"/>
    <mergeCell ref="C305:H305"/>
    <mergeCell ref="C306:H306"/>
    <mergeCell ref="C307:H307"/>
    <mergeCell ref="C308:H308"/>
    <mergeCell ref="C309:H309"/>
    <mergeCell ref="C310:H310"/>
    <mergeCell ref="C311:H311"/>
    <mergeCell ref="C312:H312"/>
    <mergeCell ref="C313:H313"/>
    <mergeCell ref="C298:H298"/>
    <mergeCell ref="K199:L199"/>
    <mergeCell ref="M199:N199"/>
    <mergeCell ref="O199:P199"/>
    <mergeCell ref="M202:P202"/>
    <mergeCell ref="C297:H297"/>
    <mergeCell ref="C290:H290"/>
    <mergeCell ref="C233:H233"/>
    <mergeCell ref="C220:H220"/>
    <mergeCell ref="C221:H221"/>
    <mergeCell ref="C222:H222"/>
    <mergeCell ref="C224:H224"/>
    <mergeCell ref="C225:H225"/>
    <mergeCell ref="C214:H214"/>
    <mergeCell ref="C215:H215"/>
    <mergeCell ref="C216:H216"/>
    <mergeCell ref="C217:H217"/>
    <mergeCell ref="C218:H218"/>
    <mergeCell ref="C219:H219"/>
    <mergeCell ref="C277:H277"/>
    <mergeCell ref="C278:H278"/>
    <mergeCell ref="C279:H279"/>
    <mergeCell ref="C280:H280"/>
  </mergeCells>
  <phoneticPr fontId="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IB388"/>
  <sheetViews>
    <sheetView topLeftCell="A250" zoomScale="70" zoomScaleNormal="70" workbookViewId="0">
      <selection activeCell="T224" sqref="T224"/>
    </sheetView>
  </sheetViews>
  <sheetFormatPr baseColWidth="10" defaultRowHeight="15" x14ac:dyDescent="0.25"/>
  <cols>
    <col min="1" max="1" width="9.140625" customWidth="1"/>
    <col min="7" max="7" width="8.85546875" customWidth="1"/>
    <col min="10" max="10" width="14" customWidth="1"/>
    <col min="20" max="20" width="16" customWidth="1"/>
    <col min="21" max="21" width="15.28515625" customWidth="1"/>
    <col min="71" max="75" width="11.5703125" customWidth="1"/>
    <col min="90" max="99" width="11.5703125" customWidth="1"/>
    <col min="108" max="115" width="11.5703125" customWidth="1"/>
    <col min="148" max="167" width="11.5703125" customWidth="1"/>
    <col min="179" max="189" width="11.5703125" customWidth="1"/>
    <col min="202" max="209" width="11.5703125" customWidth="1"/>
  </cols>
  <sheetData>
    <row r="1" spans="1:236" x14ac:dyDescent="0.25">
      <c r="A1" s="749" t="s">
        <v>85</v>
      </c>
      <c r="B1" s="749"/>
      <c r="C1" s="749"/>
      <c r="D1" s="749"/>
      <c r="E1" s="749"/>
      <c r="F1" s="749"/>
      <c r="G1" s="749"/>
      <c r="H1" s="749"/>
      <c r="I1" s="749"/>
      <c r="J1" s="749"/>
      <c r="K1" s="749"/>
      <c r="L1" s="749"/>
      <c r="M1" s="749"/>
      <c r="N1" s="749"/>
      <c r="O1" s="749"/>
      <c r="P1" s="749"/>
      <c r="Q1" s="749"/>
      <c r="R1" s="749"/>
      <c r="S1" s="749"/>
      <c r="T1" s="749"/>
      <c r="U1" s="749"/>
      <c r="V1" s="749"/>
      <c r="W1" s="749"/>
      <c r="X1" s="749"/>
      <c r="Y1" s="749"/>
      <c r="Z1" s="749"/>
      <c r="AA1" s="749"/>
      <c r="AB1" s="749"/>
      <c r="AC1" s="749"/>
      <c r="AD1" s="749"/>
      <c r="AE1" s="749"/>
      <c r="AF1" s="749"/>
      <c r="AG1" s="749"/>
      <c r="AH1" s="749"/>
      <c r="AI1" s="749"/>
      <c r="AJ1" s="749"/>
      <c r="AK1" s="749"/>
      <c r="AL1" s="749"/>
      <c r="AM1" s="749"/>
      <c r="AN1" s="749"/>
      <c r="AO1" s="749"/>
      <c r="AP1" s="749"/>
      <c r="AQ1" s="749"/>
      <c r="AR1" s="749"/>
      <c r="AS1" s="749"/>
      <c r="AT1" s="749"/>
      <c r="AU1" s="749"/>
      <c r="AV1" s="749"/>
      <c r="AW1" s="749"/>
      <c r="AX1" s="749"/>
      <c r="AY1" s="749"/>
      <c r="AZ1" s="749"/>
      <c r="BA1" s="749"/>
      <c r="BB1" s="749"/>
      <c r="BC1" s="749"/>
      <c r="BD1" s="749"/>
      <c r="BE1" s="749"/>
      <c r="BF1" s="749"/>
      <c r="BG1" s="749"/>
      <c r="BH1" s="749"/>
      <c r="BI1" s="749"/>
      <c r="BJ1" s="749"/>
      <c r="BK1" s="749"/>
      <c r="BL1" s="749"/>
      <c r="BM1" s="749"/>
      <c r="BN1" s="749"/>
      <c r="BO1" s="749"/>
      <c r="BP1" s="749"/>
      <c r="BQ1" s="749"/>
      <c r="BR1" s="749"/>
      <c r="BS1" s="749"/>
      <c r="BT1" s="749"/>
      <c r="BU1" s="749"/>
      <c r="BV1" s="749"/>
      <c r="BW1" s="749"/>
      <c r="BX1" s="749"/>
      <c r="BY1" s="749"/>
      <c r="BZ1" s="749"/>
      <c r="CA1" s="749"/>
      <c r="CB1" s="749"/>
      <c r="CC1" s="749"/>
      <c r="CD1" s="749"/>
      <c r="CE1" s="749"/>
      <c r="CF1" s="749"/>
      <c r="CG1" s="749"/>
      <c r="CH1" s="749"/>
      <c r="CI1" s="749"/>
      <c r="CJ1" s="749"/>
      <c r="CK1" s="749"/>
      <c r="CL1" s="749"/>
      <c r="CM1" s="749"/>
      <c r="CN1" s="749"/>
      <c r="CO1" s="749"/>
      <c r="CP1" s="749"/>
      <c r="CQ1" s="749"/>
      <c r="CR1" s="749"/>
      <c r="CS1" s="749"/>
      <c r="CT1" s="749"/>
      <c r="CU1" s="749"/>
      <c r="CV1" s="749"/>
      <c r="CW1" s="749"/>
      <c r="CX1" s="749"/>
      <c r="CY1" s="749"/>
      <c r="CZ1" s="749"/>
      <c r="DA1" s="749"/>
      <c r="DB1" s="749"/>
      <c r="DC1" s="749"/>
      <c r="DD1" s="749"/>
      <c r="DE1" s="749"/>
      <c r="DF1" s="749"/>
      <c r="DG1" s="749"/>
      <c r="DH1" s="749"/>
      <c r="DI1" s="749"/>
      <c r="DJ1" s="749"/>
      <c r="DK1" s="749"/>
      <c r="DL1" s="749"/>
      <c r="DM1" s="749"/>
      <c r="DN1" s="749"/>
      <c r="DO1" s="749"/>
    </row>
    <row r="2" spans="1:236" x14ac:dyDescent="0.25">
      <c r="A2" s="749"/>
      <c r="B2" s="749"/>
      <c r="C2" s="749"/>
      <c r="D2" s="749"/>
      <c r="E2" s="749"/>
      <c r="F2" s="749"/>
      <c r="G2" s="749"/>
      <c r="H2" s="749"/>
      <c r="I2" s="749"/>
      <c r="J2" s="749"/>
      <c r="K2" s="749"/>
      <c r="L2" s="749"/>
      <c r="M2" s="749"/>
      <c r="N2" s="749"/>
      <c r="O2" s="749"/>
      <c r="P2" s="749"/>
      <c r="Q2" s="749"/>
      <c r="R2" s="749"/>
      <c r="S2" s="749"/>
      <c r="T2" s="749"/>
      <c r="U2" s="749"/>
      <c r="V2" s="749"/>
      <c r="W2" s="749"/>
      <c r="X2" s="749"/>
      <c r="Y2" s="749"/>
      <c r="Z2" s="749"/>
      <c r="AA2" s="749"/>
      <c r="AB2" s="749"/>
      <c r="AC2" s="749"/>
      <c r="AD2" s="749"/>
      <c r="AE2" s="749"/>
      <c r="AF2" s="749"/>
      <c r="AG2" s="749"/>
      <c r="AH2" s="749"/>
      <c r="AI2" s="749"/>
      <c r="AJ2" s="749"/>
      <c r="AK2" s="749"/>
      <c r="AL2" s="749"/>
      <c r="AM2" s="749"/>
      <c r="AN2" s="749"/>
      <c r="AO2" s="749"/>
      <c r="AP2" s="749"/>
      <c r="AQ2" s="749"/>
      <c r="AR2" s="749"/>
      <c r="AS2" s="749"/>
      <c r="AT2" s="749"/>
      <c r="AU2" s="749"/>
      <c r="AV2" s="749"/>
      <c r="AW2" s="749"/>
      <c r="AX2" s="749"/>
      <c r="AY2" s="749"/>
      <c r="AZ2" s="749"/>
      <c r="BA2" s="749"/>
      <c r="BB2" s="749"/>
      <c r="BC2" s="749"/>
      <c r="BD2" s="749"/>
      <c r="BE2" s="749"/>
      <c r="BF2" s="749"/>
      <c r="BG2" s="749"/>
      <c r="BH2" s="749"/>
      <c r="BI2" s="749"/>
      <c r="BJ2" s="749"/>
      <c r="BK2" s="749"/>
      <c r="BL2" s="749"/>
      <c r="BM2" s="749"/>
      <c r="BN2" s="749"/>
      <c r="BO2" s="749"/>
      <c r="BP2" s="749"/>
      <c r="BQ2" s="749"/>
      <c r="BR2" s="749"/>
      <c r="BS2" s="749"/>
      <c r="BT2" s="749"/>
      <c r="BU2" s="749"/>
      <c r="BV2" s="749"/>
      <c r="BW2" s="749"/>
      <c r="BX2" s="749"/>
      <c r="BY2" s="749"/>
      <c r="BZ2" s="749"/>
      <c r="CA2" s="749"/>
      <c r="CB2" s="749"/>
      <c r="CC2" s="749"/>
      <c r="CD2" s="749"/>
      <c r="CE2" s="749"/>
      <c r="CF2" s="749"/>
      <c r="CG2" s="749"/>
      <c r="CH2" s="749"/>
      <c r="CI2" s="749"/>
      <c r="CJ2" s="749"/>
      <c r="CK2" s="749"/>
      <c r="CL2" s="749"/>
      <c r="CM2" s="749"/>
      <c r="CN2" s="749"/>
      <c r="CO2" s="749"/>
      <c r="CP2" s="749"/>
      <c r="CQ2" s="749"/>
      <c r="CR2" s="749"/>
      <c r="CS2" s="749"/>
      <c r="CT2" s="749"/>
      <c r="CU2" s="749"/>
      <c r="CV2" s="749"/>
      <c r="CW2" s="749"/>
      <c r="CX2" s="749"/>
      <c r="CY2" s="749"/>
      <c r="CZ2" s="749"/>
      <c r="DA2" s="749"/>
      <c r="DB2" s="749"/>
      <c r="DC2" s="749"/>
      <c r="DD2" s="749"/>
      <c r="DE2" s="749"/>
      <c r="DF2" s="749"/>
      <c r="DG2" s="749"/>
      <c r="DH2" s="749"/>
      <c r="DI2" s="749"/>
      <c r="DJ2" s="749"/>
      <c r="DK2" s="749"/>
      <c r="DL2" s="749"/>
      <c r="DM2" s="749"/>
      <c r="DN2" s="749"/>
      <c r="DO2" s="749"/>
    </row>
    <row r="3" spans="1:236" x14ac:dyDescent="0.25">
      <c r="A3" s="749"/>
      <c r="B3" s="749"/>
      <c r="C3" s="749"/>
      <c r="D3" s="749"/>
      <c r="E3" s="749"/>
      <c r="F3" s="749"/>
      <c r="G3" s="749"/>
      <c r="H3" s="749"/>
      <c r="I3" s="749"/>
      <c r="J3" s="749"/>
      <c r="K3" s="749"/>
      <c r="L3" s="749"/>
      <c r="M3" s="749"/>
      <c r="N3" s="749"/>
      <c r="O3" s="749"/>
      <c r="P3" s="749"/>
      <c r="Q3" s="749"/>
      <c r="R3" s="749"/>
      <c r="S3" s="749"/>
      <c r="T3" s="749"/>
      <c r="U3" s="749"/>
      <c r="V3" s="749"/>
      <c r="W3" s="749"/>
      <c r="X3" s="749"/>
      <c r="Y3" s="749"/>
      <c r="Z3" s="749"/>
      <c r="AA3" s="749"/>
      <c r="AB3" s="749"/>
      <c r="AC3" s="749"/>
      <c r="AD3" s="749"/>
      <c r="AE3" s="749"/>
      <c r="AF3" s="749"/>
      <c r="AG3" s="749"/>
      <c r="AH3" s="749"/>
      <c r="AI3" s="749"/>
      <c r="AJ3" s="749"/>
      <c r="AK3" s="749"/>
      <c r="AL3" s="749"/>
      <c r="AM3" s="749"/>
      <c r="AN3" s="749"/>
      <c r="AO3" s="749"/>
      <c r="AP3" s="749"/>
      <c r="AQ3" s="749"/>
      <c r="AR3" s="749"/>
      <c r="AS3" s="749"/>
      <c r="AT3" s="749"/>
      <c r="AU3" s="749"/>
      <c r="AV3" s="749"/>
      <c r="AW3" s="749"/>
      <c r="AX3" s="749"/>
      <c r="AY3" s="749"/>
      <c r="AZ3" s="749"/>
      <c r="BA3" s="749"/>
      <c r="BB3" s="749"/>
      <c r="BC3" s="749"/>
      <c r="BD3" s="749"/>
      <c r="BE3" s="749"/>
      <c r="BF3" s="749"/>
      <c r="BG3" s="749"/>
      <c r="BH3" s="749"/>
      <c r="BI3" s="749"/>
      <c r="BJ3" s="749"/>
      <c r="BK3" s="749"/>
      <c r="BL3" s="749"/>
      <c r="BM3" s="749"/>
      <c r="BN3" s="749"/>
      <c r="BO3" s="749"/>
      <c r="BP3" s="749"/>
      <c r="BQ3" s="749"/>
      <c r="BR3" s="749"/>
      <c r="BS3" s="749"/>
      <c r="BT3" s="749"/>
      <c r="BU3" s="749"/>
      <c r="BV3" s="749"/>
      <c r="BW3" s="749"/>
      <c r="BX3" s="749"/>
      <c r="BY3" s="749"/>
      <c r="BZ3" s="749"/>
      <c r="CA3" s="749"/>
      <c r="CB3" s="749"/>
      <c r="CC3" s="749"/>
      <c r="CD3" s="749"/>
      <c r="CE3" s="749"/>
      <c r="CF3" s="749"/>
      <c r="CG3" s="749"/>
      <c r="CH3" s="749"/>
      <c r="CI3" s="749"/>
      <c r="CJ3" s="749"/>
      <c r="CK3" s="749"/>
      <c r="CL3" s="749"/>
      <c r="CM3" s="749"/>
      <c r="CN3" s="749"/>
      <c r="CO3" s="749"/>
      <c r="CP3" s="749"/>
      <c r="CQ3" s="749"/>
      <c r="CR3" s="749"/>
      <c r="CS3" s="749"/>
      <c r="CT3" s="749"/>
      <c r="CU3" s="749"/>
      <c r="CV3" s="749"/>
      <c r="CW3" s="749"/>
      <c r="CX3" s="749"/>
      <c r="CY3" s="749"/>
      <c r="CZ3" s="749"/>
      <c r="DA3" s="749"/>
      <c r="DB3" s="749"/>
      <c r="DC3" s="749"/>
      <c r="DD3" s="749"/>
      <c r="DE3" s="749"/>
      <c r="DF3" s="749"/>
      <c r="DG3" s="749"/>
      <c r="DH3" s="749"/>
      <c r="DI3" s="749"/>
      <c r="DJ3" s="749"/>
      <c r="DK3" s="749"/>
      <c r="DL3" s="749"/>
      <c r="DM3" s="749"/>
      <c r="DN3" s="749"/>
      <c r="DO3" s="749"/>
    </row>
    <row r="4" spans="1:236" ht="14.45" customHeight="1" x14ac:dyDescent="0.25">
      <c r="A4" s="47"/>
      <c r="B4" s="7"/>
      <c r="C4" s="16"/>
      <c r="D4" s="16"/>
      <c r="E4" s="16"/>
      <c r="F4" s="16"/>
      <c r="G4" s="16"/>
      <c r="H4" s="16"/>
      <c r="I4" s="7"/>
      <c r="J4" s="7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spans="1:236" ht="14.45" customHeight="1" x14ac:dyDescent="0.25">
      <c r="A5" s="47"/>
      <c r="B5" s="7"/>
      <c r="C5" s="628"/>
      <c r="D5" s="628"/>
      <c r="E5" s="628"/>
      <c r="F5" s="628"/>
      <c r="G5" s="628"/>
      <c r="H5" s="628"/>
      <c r="I5" s="5"/>
      <c r="J5" s="7"/>
      <c r="K5" s="9"/>
      <c r="L5" s="9"/>
      <c r="M5" s="9"/>
      <c r="N5" s="9"/>
      <c r="O5" s="792"/>
      <c r="P5" s="792"/>
      <c r="Q5" s="792"/>
      <c r="R5" s="792"/>
      <c r="S5" s="792"/>
      <c r="T5" s="792"/>
      <c r="U5" s="792"/>
      <c r="V5" s="7"/>
      <c r="W5" s="9"/>
      <c r="X5" s="9"/>
      <c r="Y5" s="9"/>
      <c r="AA5" s="791"/>
      <c r="AB5" s="792"/>
      <c r="AC5" s="792"/>
      <c r="AD5" s="792"/>
      <c r="AE5" s="792"/>
      <c r="AF5" s="792"/>
      <c r="AG5" s="792"/>
      <c r="AH5" s="7"/>
      <c r="AI5" s="7"/>
      <c r="AJ5" s="7"/>
      <c r="AL5" s="791"/>
      <c r="AM5" s="792"/>
      <c r="AN5" s="792"/>
      <c r="AO5" s="792"/>
      <c r="AP5" s="792"/>
      <c r="AQ5" s="792"/>
      <c r="AR5" s="792"/>
      <c r="AS5" s="7"/>
      <c r="AZ5" s="791"/>
      <c r="BA5" s="792"/>
      <c r="BB5" s="792"/>
      <c r="BC5" s="792"/>
      <c r="BD5" s="792"/>
      <c r="BE5" s="792"/>
      <c r="BF5" s="792"/>
      <c r="BG5" s="7"/>
      <c r="BL5" s="791"/>
      <c r="BM5" s="792"/>
      <c r="BN5" s="792"/>
      <c r="BO5" s="792"/>
      <c r="BP5" s="792"/>
      <c r="BQ5" s="792"/>
      <c r="BR5" s="792"/>
      <c r="BS5" s="7"/>
      <c r="CE5" s="791"/>
      <c r="CF5" s="792"/>
      <c r="CG5" s="792"/>
      <c r="CH5" s="792"/>
      <c r="CI5" s="792"/>
      <c r="CJ5" s="792"/>
      <c r="CK5" s="792"/>
      <c r="CL5" s="7"/>
      <c r="CW5" s="791"/>
      <c r="CX5" s="792"/>
      <c r="CY5" s="792"/>
      <c r="CZ5" s="792"/>
      <c r="DA5" s="792"/>
      <c r="DB5" s="792"/>
      <c r="DC5" s="792"/>
      <c r="DQ5" s="791"/>
      <c r="DR5" s="792"/>
      <c r="DS5" s="792"/>
      <c r="DT5" s="792"/>
      <c r="DU5" s="792"/>
      <c r="DV5" s="792"/>
      <c r="DW5" s="792"/>
      <c r="EK5" s="791"/>
      <c r="EL5" s="792"/>
      <c r="EM5" s="792"/>
      <c r="EN5" s="792"/>
      <c r="EO5" s="792"/>
      <c r="EP5" s="792"/>
      <c r="EQ5" s="792"/>
      <c r="FP5" s="791"/>
      <c r="FQ5" s="792"/>
      <c r="FR5" s="792"/>
      <c r="FS5" s="792"/>
      <c r="FT5" s="792"/>
      <c r="FU5" s="792"/>
      <c r="FV5" s="792"/>
      <c r="GM5" s="791"/>
      <c r="GN5" s="792"/>
      <c r="GO5" s="792"/>
      <c r="GP5" s="792"/>
      <c r="GQ5" s="792"/>
      <c r="GR5" s="792"/>
      <c r="GS5" s="792"/>
      <c r="HH5" s="791"/>
      <c r="HI5" s="792"/>
      <c r="HJ5" s="792"/>
      <c r="HK5" s="792"/>
      <c r="HL5" s="792"/>
      <c r="HM5" s="792"/>
      <c r="HN5" s="792"/>
      <c r="HS5" s="791"/>
      <c r="HT5" s="792"/>
      <c r="HU5" s="792"/>
      <c r="HV5" s="792"/>
      <c r="HW5" s="792"/>
      <c r="HX5" s="792"/>
      <c r="HY5" s="792"/>
    </row>
    <row r="6" spans="1:236" ht="14.45" customHeight="1" x14ac:dyDescent="0.25">
      <c r="A6" s="47"/>
      <c r="B6" s="7"/>
      <c r="C6" s="628"/>
      <c r="D6" s="628"/>
      <c r="E6" s="628"/>
      <c r="F6" s="628"/>
      <c r="G6" s="628"/>
      <c r="H6" s="628"/>
      <c r="I6" s="5"/>
      <c r="J6" s="7"/>
      <c r="K6" s="9"/>
      <c r="L6" s="9"/>
      <c r="M6" s="9"/>
      <c r="N6" s="9"/>
      <c r="O6" s="792"/>
      <c r="P6" s="792"/>
      <c r="Q6" s="792"/>
      <c r="R6" s="792"/>
      <c r="S6" s="792"/>
      <c r="T6" s="792"/>
      <c r="U6" s="792"/>
      <c r="V6" s="7"/>
      <c r="W6" s="9"/>
      <c r="X6" s="9"/>
      <c r="Y6" s="9"/>
      <c r="AA6" s="792"/>
      <c r="AB6" s="792"/>
      <c r="AC6" s="792"/>
      <c r="AD6" s="792"/>
      <c r="AE6" s="792"/>
      <c r="AF6" s="792"/>
      <c r="AG6" s="792"/>
      <c r="AH6" s="7"/>
      <c r="AI6" s="7"/>
      <c r="AJ6" s="7"/>
      <c r="AL6" s="792"/>
      <c r="AM6" s="792"/>
      <c r="AN6" s="792"/>
      <c r="AO6" s="792"/>
      <c r="AP6" s="792"/>
      <c r="AQ6" s="792"/>
      <c r="AR6" s="792"/>
      <c r="AS6" s="7"/>
      <c r="AZ6" s="792"/>
      <c r="BA6" s="792"/>
      <c r="BB6" s="792"/>
      <c r="BC6" s="792"/>
      <c r="BD6" s="792"/>
      <c r="BE6" s="792"/>
      <c r="BF6" s="792"/>
      <c r="BG6" s="7"/>
      <c r="BL6" s="792"/>
      <c r="BM6" s="792"/>
      <c r="BN6" s="792"/>
      <c r="BO6" s="792"/>
      <c r="BP6" s="792"/>
      <c r="BQ6" s="792"/>
      <c r="BR6" s="792"/>
      <c r="BS6" s="7"/>
      <c r="CE6" s="792"/>
      <c r="CF6" s="792"/>
      <c r="CG6" s="792"/>
      <c r="CH6" s="792"/>
      <c r="CI6" s="792"/>
      <c r="CJ6" s="792"/>
      <c r="CK6" s="792"/>
      <c r="CL6" s="7"/>
      <c r="CW6" s="792"/>
      <c r="CX6" s="792"/>
      <c r="CY6" s="792"/>
      <c r="CZ6" s="792"/>
      <c r="DA6" s="792"/>
      <c r="DB6" s="792"/>
      <c r="DC6" s="792"/>
      <c r="DQ6" s="792"/>
      <c r="DR6" s="792"/>
      <c r="DS6" s="792"/>
      <c r="DT6" s="792"/>
      <c r="DU6" s="792"/>
      <c r="DV6" s="792"/>
      <c r="DW6" s="792"/>
      <c r="EK6" s="792"/>
      <c r="EL6" s="792"/>
      <c r="EM6" s="792"/>
      <c r="EN6" s="792"/>
      <c r="EO6" s="792"/>
      <c r="EP6" s="792"/>
      <c r="EQ6" s="792"/>
      <c r="FP6" s="792"/>
      <c r="FQ6" s="792"/>
      <c r="FR6" s="792"/>
      <c r="FS6" s="792"/>
      <c r="FT6" s="792"/>
      <c r="FU6" s="792"/>
      <c r="FV6" s="792"/>
      <c r="GM6" s="792"/>
      <c r="GN6" s="792"/>
      <c r="GO6" s="792"/>
      <c r="GP6" s="792"/>
      <c r="GQ6" s="792"/>
      <c r="GR6" s="792"/>
      <c r="GS6" s="792"/>
      <c r="HH6" s="792"/>
      <c r="HI6" s="792"/>
      <c r="HJ6" s="792"/>
      <c r="HK6" s="792"/>
      <c r="HL6" s="792"/>
      <c r="HM6" s="792"/>
      <c r="HN6" s="792"/>
      <c r="HS6" s="792"/>
      <c r="HT6" s="792"/>
      <c r="HU6" s="792"/>
      <c r="HV6" s="792"/>
      <c r="HW6" s="792"/>
      <c r="HX6" s="792"/>
      <c r="HY6" s="792"/>
    </row>
    <row r="7" spans="1:236" ht="14.45" customHeight="1" x14ac:dyDescent="0.25">
      <c r="A7" s="47"/>
      <c r="B7" s="10"/>
      <c r="C7" s="715" t="s">
        <v>2</v>
      </c>
      <c r="D7" s="715"/>
      <c r="E7" s="715"/>
      <c r="F7" s="715"/>
      <c r="G7" s="715"/>
      <c r="H7" s="133" t="s">
        <v>3</v>
      </c>
      <c r="I7" s="132">
        <v>44782</v>
      </c>
      <c r="J7" s="134">
        <v>44800</v>
      </c>
      <c r="K7" s="129"/>
      <c r="L7" s="18" t="s">
        <v>1</v>
      </c>
      <c r="M7" s="18" t="s">
        <v>72</v>
      </c>
      <c r="N7" s="17"/>
      <c r="R7" s="776"/>
      <c r="S7" s="776"/>
      <c r="T7" s="776"/>
      <c r="U7" s="10"/>
      <c r="V7" s="17"/>
      <c r="W7" s="17"/>
      <c r="X7" s="17"/>
      <c r="Y7" s="17"/>
      <c r="Z7" s="17"/>
      <c r="AA7" s="790"/>
      <c r="AB7" s="790"/>
      <c r="AC7" s="790"/>
      <c r="AD7" s="790"/>
      <c r="AE7" s="790"/>
      <c r="AF7" s="790"/>
      <c r="AG7" s="10"/>
      <c r="AH7" s="17"/>
      <c r="AI7" s="17"/>
      <c r="AJ7" s="17"/>
      <c r="AL7" s="790"/>
      <c r="AM7" s="790"/>
      <c r="AN7" s="790"/>
      <c r="AO7" s="790"/>
      <c r="AP7" s="790"/>
      <c r="AQ7" s="790"/>
      <c r="AR7" s="10"/>
      <c r="AS7" s="17"/>
      <c r="AT7" s="17"/>
      <c r="AU7" s="17"/>
      <c r="AV7" s="17"/>
      <c r="AW7" s="17"/>
      <c r="AX7" s="17"/>
      <c r="AY7" s="17"/>
      <c r="AZ7" s="790"/>
      <c r="BA7" s="790"/>
      <c r="BB7" s="790"/>
      <c r="BC7" s="790"/>
      <c r="BD7" s="790"/>
      <c r="BE7" s="790"/>
      <c r="BF7" s="10"/>
      <c r="BG7" s="17"/>
      <c r="BH7" s="17"/>
      <c r="BI7" s="17"/>
      <c r="BJ7" s="17"/>
      <c r="BK7" s="17"/>
      <c r="BL7" s="790"/>
      <c r="BM7" s="790"/>
      <c r="BN7" s="790"/>
      <c r="BO7" s="790"/>
      <c r="BP7" s="790"/>
      <c r="BQ7" s="790"/>
      <c r="BR7" s="10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790"/>
      <c r="CF7" s="790"/>
      <c r="CG7" s="790"/>
      <c r="CH7" s="790"/>
      <c r="CI7" s="790"/>
      <c r="CJ7" s="790"/>
      <c r="CK7" s="10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790"/>
      <c r="CX7" s="790"/>
      <c r="CY7" s="790"/>
      <c r="CZ7" s="790"/>
      <c r="DA7" s="790"/>
      <c r="DB7" s="790"/>
      <c r="DC7" s="10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Q7" s="790"/>
      <c r="DR7" s="790"/>
      <c r="DS7" s="790"/>
      <c r="DT7" s="790"/>
      <c r="DU7" s="790"/>
      <c r="DV7" s="790"/>
      <c r="DW7" s="10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K7" s="790"/>
      <c r="EL7" s="790"/>
      <c r="EM7" s="790"/>
      <c r="EN7" s="790"/>
      <c r="EO7" s="790"/>
      <c r="EP7" s="790"/>
      <c r="EQ7" s="10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P7" s="790"/>
      <c r="FQ7" s="790"/>
      <c r="FR7" s="790"/>
      <c r="FS7" s="790"/>
      <c r="FT7" s="790"/>
      <c r="FU7" s="790"/>
      <c r="FV7" s="10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M7" s="790"/>
      <c r="GN7" s="790"/>
      <c r="GO7" s="790"/>
      <c r="GP7" s="790"/>
      <c r="GQ7" s="790"/>
      <c r="GR7" s="790"/>
      <c r="GS7" s="10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H7" s="790"/>
      <c r="HI7" s="790"/>
      <c r="HJ7" s="790"/>
      <c r="HK7" s="790"/>
      <c r="HL7" s="790"/>
      <c r="HM7" s="790"/>
      <c r="HN7" s="10"/>
      <c r="HO7" s="17"/>
      <c r="HP7" s="17"/>
      <c r="HQ7" s="17"/>
      <c r="HS7" s="790"/>
      <c r="HT7" s="790"/>
      <c r="HU7" s="790"/>
      <c r="HV7" s="790"/>
      <c r="HW7" s="790"/>
      <c r="HX7" s="790"/>
      <c r="HY7" s="10"/>
      <c r="HZ7" s="17"/>
      <c r="IA7" s="17"/>
      <c r="IB7" s="17"/>
    </row>
    <row r="8" spans="1:236" ht="14.45" customHeight="1" x14ac:dyDescent="0.25">
      <c r="A8" s="47"/>
      <c r="B8" s="12"/>
      <c r="C8" s="777" t="s">
        <v>119</v>
      </c>
      <c r="D8" s="777"/>
      <c r="E8" s="777"/>
      <c r="F8" s="777"/>
      <c r="G8" s="777"/>
      <c r="H8" s="102"/>
      <c r="I8" s="13"/>
      <c r="J8" s="13"/>
      <c r="K8" s="13"/>
      <c r="L8" s="19">
        <f>SUM(I8:K8)</f>
        <v>0</v>
      </c>
      <c r="M8" s="19">
        <f>L8*H8</f>
        <v>0</v>
      </c>
      <c r="N8" s="12"/>
      <c r="R8" s="776"/>
      <c r="S8" s="776"/>
      <c r="T8" s="776"/>
      <c r="U8" s="12"/>
      <c r="V8" s="12"/>
      <c r="W8" s="12"/>
      <c r="X8" s="12"/>
      <c r="Y8" s="12"/>
      <c r="Z8" s="6"/>
      <c r="AA8" s="779"/>
      <c r="AB8" s="779"/>
      <c r="AC8" s="779"/>
      <c r="AD8" s="779"/>
      <c r="AE8" s="779"/>
      <c r="AF8" s="10"/>
      <c r="AG8" s="12"/>
      <c r="AH8" s="12"/>
      <c r="AI8" s="12"/>
      <c r="AJ8" s="12"/>
      <c r="AL8" s="779"/>
      <c r="AM8" s="779"/>
      <c r="AN8" s="779"/>
      <c r="AO8" s="779"/>
      <c r="AP8" s="779"/>
      <c r="AQ8" s="779"/>
      <c r="AR8" s="12"/>
      <c r="AS8" s="12"/>
      <c r="AT8" s="12"/>
      <c r="AU8" s="12"/>
      <c r="AV8" s="12"/>
      <c r="AW8" s="12"/>
      <c r="AX8" s="12"/>
      <c r="AY8" s="12"/>
      <c r="AZ8" s="779"/>
      <c r="BA8" s="779"/>
      <c r="BB8" s="779"/>
      <c r="BC8" s="779"/>
      <c r="BD8" s="779"/>
      <c r="BE8" s="779"/>
      <c r="BF8" s="12"/>
      <c r="BG8" s="12"/>
      <c r="BH8" s="12"/>
      <c r="BI8" s="12"/>
      <c r="BJ8" s="12"/>
      <c r="BK8" s="12"/>
      <c r="BL8" s="779"/>
      <c r="BM8" s="779"/>
      <c r="BN8" s="779"/>
      <c r="BO8" s="779"/>
      <c r="BP8" s="779"/>
      <c r="BQ8" s="779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779"/>
      <c r="CF8" s="779"/>
      <c r="CG8" s="779"/>
      <c r="CH8" s="779"/>
      <c r="CI8" s="779"/>
      <c r="CJ8" s="779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779"/>
      <c r="CX8" s="779"/>
      <c r="CY8" s="779"/>
      <c r="CZ8" s="779"/>
      <c r="DA8" s="779"/>
      <c r="DB8" s="779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Q8" s="779"/>
      <c r="DR8" s="779"/>
      <c r="DS8" s="779"/>
      <c r="DT8" s="779"/>
      <c r="DU8" s="779"/>
      <c r="DV8" s="779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K8" s="779"/>
      <c r="EL8" s="779"/>
      <c r="EM8" s="779"/>
      <c r="EN8" s="779"/>
      <c r="EO8" s="779"/>
      <c r="EP8" s="779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P8" s="779"/>
      <c r="FQ8" s="779"/>
      <c r="FR8" s="779"/>
      <c r="FS8" s="779"/>
      <c r="FT8" s="779"/>
      <c r="FU8" s="779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M8" s="779"/>
      <c r="GN8" s="779"/>
      <c r="GO8" s="779"/>
      <c r="GP8" s="779"/>
      <c r="GQ8" s="779"/>
      <c r="GR8" s="779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H8" s="779"/>
      <c r="HI8" s="779"/>
      <c r="HJ8" s="779"/>
      <c r="HK8" s="779"/>
      <c r="HL8" s="779"/>
      <c r="HM8" s="779"/>
      <c r="HN8" s="12"/>
      <c r="HO8" s="12"/>
      <c r="HP8" s="12"/>
      <c r="HQ8" s="12"/>
      <c r="HS8" s="779"/>
      <c r="HT8" s="779"/>
      <c r="HU8" s="779"/>
      <c r="HV8" s="779"/>
      <c r="HW8" s="779"/>
      <c r="HX8" s="779"/>
      <c r="HY8" s="12"/>
      <c r="HZ8" s="12"/>
      <c r="IA8" s="12"/>
      <c r="IB8" s="12"/>
    </row>
    <row r="9" spans="1:236" ht="14.45" customHeight="1" x14ac:dyDescent="0.25">
      <c r="A9" s="47"/>
      <c r="B9" s="12"/>
      <c r="C9" s="777" t="s">
        <v>120</v>
      </c>
      <c r="D9" s="777"/>
      <c r="E9" s="777"/>
      <c r="F9" s="777"/>
      <c r="G9" s="777"/>
      <c r="H9" s="102"/>
      <c r="I9" s="13"/>
      <c r="J9" s="13"/>
      <c r="K9" s="13"/>
      <c r="L9" s="19">
        <f t="shared" ref="L9:L69" si="0">SUM(I9:K9)</f>
        <v>0</v>
      </c>
      <c r="M9" s="19">
        <f t="shared" ref="M9:M69" si="1">L9*H9</f>
        <v>0</v>
      </c>
      <c r="N9" s="12"/>
      <c r="R9" s="776"/>
      <c r="S9" s="776"/>
      <c r="T9" s="776"/>
      <c r="U9" s="12"/>
      <c r="V9" s="12"/>
      <c r="W9" s="12"/>
      <c r="X9" s="12"/>
      <c r="Y9" s="12"/>
      <c r="Z9" s="6"/>
      <c r="AA9" s="779"/>
      <c r="AB9" s="779"/>
      <c r="AC9" s="779"/>
      <c r="AD9" s="779"/>
      <c r="AE9" s="779"/>
      <c r="AF9" s="779"/>
      <c r="AG9" s="12"/>
      <c r="AH9" s="12"/>
      <c r="AI9" s="12"/>
      <c r="AJ9" s="12"/>
      <c r="AL9" s="779"/>
      <c r="AM9" s="779"/>
      <c r="AN9" s="779"/>
      <c r="AO9" s="779"/>
      <c r="AP9" s="779"/>
      <c r="AQ9" s="779"/>
      <c r="AR9" s="12"/>
      <c r="AS9" s="12"/>
      <c r="AT9" s="12"/>
      <c r="AU9" s="12"/>
      <c r="AV9" s="12"/>
      <c r="AW9" s="12"/>
      <c r="AX9" s="12"/>
      <c r="AY9" s="12"/>
      <c r="AZ9" s="779"/>
      <c r="BA9" s="779"/>
      <c r="BB9" s="779"/>
      <c r="BC9" s="779"/>
      <c r="BD9" s="779"/>
      <c r="BE9" s="779"/>
      <c r="BF9" s="12"/>
      <c r="BG9" s="12"/>
      <c r="BH9" s="12"/>
      <c r="BI9" s="12"/>
      <c r="BJ9" s="12"/>
      <c r="BK9" s="12"/>
      <c r="BL9" s="779"/>
      <c r="BM9" s="779"/>
      <c r="BN9" s="779"/>
      <c r="BO9" s="779"/>
      <c r="BP9" s="779"/>
      <c r="BQ9" s="779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779"/>
      <c r="CF9" s="779"/>
      <c r="CG9" s="779"/>
      <c r="CH9" s="779"/>
      <c r="CI9" s="779"/>
      <c r="CJ9" s="779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779"/>
      <c r="CX9" s="779"/>
      <c r="CY9" s="779"/>
      <c r="CZ9" s="779"/>
      <c r="DA9" s="779"/>
      <c r="DB9" s="779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Q9" s="779"/>
      <c r="DR9" s="779"/>
      <c r="DS9" s="779"/>
      <c r="DT9" s="779"/>
      <c r="DU9" s="779"/>
      <c r="DV9" s="779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K9" s="779"/>
      <c r="EL9" s="779"/>
      <c r="EM9" s="779"/>
      <c r="EN9" s="779"/>
      <c r="EO9" s="779"/>
      <c r="EP9" s="779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P9" s="779"/>
      <c r="FQ9" s="779"/>
      <c r="FR9" s="779"/>
      <c r="FS9" s="779"/>
      <c r="FT9" s="779"/>
      <c r="FU9" s="779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M9" s="779"/>
      <c r="GN9" s="779"/>
      <c r="GO9" s="779"/>
      <c r="GP9" s="779"/>
      <c r="GQ9" s="779"/>
      <c r="GR9" s="779"/>
      <c r="GS9" s="12"/>
      <c r="GT9" s="12"/>
      <c r="GU9" s="12"/>
      <c r="GV9" s="12"/>
      <c r="GW9" s="12"/>
      <c r="GX9" s="12"/>
      <c r="GY9" s="12"/>
      <c r="GZ9" s="12"/>
      <c r="HA9" s="12"/>
      <c r="HB9" s="12"/>
      <c r="HC9" s="12"/>
      <c r="HD9" s="12"/>
      <c r="HE9" s="12"/>
      <c r="HF9" s="12"/>
      <c r="HH9" s="779"/>
      <c r="HI9" s="779"/>
      <c r="HJ9" s="779"/>
      <c r="HK9" s="779"/>
      <c r="HL9" s="779"/>
      <c r="HM9" s="779"/>
      <c r="HN9" s="12"/>
      <c r="HO9" s="12"/>
      <c r="HP9" s="12"/>
      <c r="HQ9" s="12"/>
      <c r="HS9" s="779"/>
      <c r="HT9" s="779"/>
      <c r="HU9" s="779"/>
      <c r="HV9" s="779"/>
      <c r="HW9" s="779"/>
      <c r="HX9" s="779"/>
      <c r="HY9" s="12"/>
      <c r="HZ9" s="12"/>
      <c r="IA9" s="12"/>
      <c r="IB9" s="12"/>
    </row>
    <row r="10" spans="1:236" ht="14.45" customHeight="1" x14ac:dyDescent="0.25">
      <c r="A10" s="47"/>
      <c r="B10" s="12"/>
      <c r="C10" s="777" t="s">
        <v>122</v>
      </c>
      <c r="D10" s="777"/>
      <c r="E10" s="777"/>
      <c r="F10" s="777"/>
      <c r="G10" s="777"/>
      <c r="H10" s="102"/>
      <c r="I10" s="13"/>
      <c r="J10" s="13"/>
      <c r="K10" s="13"/>
      <c r="L10" s="19">
        <f t="shared" si="0"/>
        <v>0</v>
      </c>
      <c r="M10" s="19">
        <f t="shared" si="1"/>
        <v>0</v>
      </c>
      <c r="N10" s="12"/>
      <c r="R10" s="776"/>
      <c r="S10" s="776"/>
      <c r="T10" s="776"/>
      <c r="U10" s="12"/>
      <c r="V10" s="12"/>
      <c r="W10" s="12"/>
      <c r="X10" s="12"/>
      <c r="Y10" s="12"/>
      <c r="Z10" s="6"/>
      <c r="AA10" s="779"/>
      <c r="AB10" s="779"/>
      <c r="AC10" s="779"/>
      <c r="AD10" s="779"/>
      <c r="AE10" s="779"/>
      <c r="AF10" s="779"/>
      <c r="AG10" s="12"/>
      <c r="AH10" s="12"/>
      <c r="AI10" s="12"/>
      <c r="AJ10" s="12"/>
      <c r="AL10" s="779"/>
      <c r="AM10" s="779"/>
      <c r="AN10" s="779"/>
      <c r="AO10" s="779"/>
      <c r="AP10" s="779"/>
      <c r="AQ10" s="779"/>
      <c r="AR10" s="12"/>
      <c r="AS10" s="12"/>
      <c r="AT10" s="12"/>
      <c r="AU10" s="12"/>
      <c r="AV10" s="12"/>
      <c r="AW10" s="12"/>
      <c r="AX10" s="12"/>
      <c r="AY10" s="12"/>
      <c r="AZ10" s="779"/>
      <c r="BA10" s="779"/>
      <c r="BB10" s="779"/>
      <c r="BC10" s="779"/>
      <c r="BD10" s="779"/>
      <c r="BE10" s="779"/>
      <c r="BF10" s="12"/>
      <c r="BG10" s="12"/>
      <c r="BH10" s="12"/>
      <c r="BI10" s="12"/>
      <c r="BJ10" s="12"/>
      <c r="BK10" s="12"/>
      <c r="BL10" s="779"/>
      <c r="BM10" s="779"/>
      <c r="BN10" s="779"/>
      <c r="BO10" s="779"/>
      <c r="BP10" s="779"/>
      <c r="BQ10" s="779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779"/>
      <c r="CF10" s="779"/>
      <c r="CG10" s="779"/>
      <c r="CH10" s="779"/>
      <c r="CI10" s="779"/>
      <c r="CJ10" s="779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779"/>
      <c r="CX10" s="779"/>
      <c r="CY10" s="779"/>
      <c r="CZ10" s="779"/>
      <c r="DA10" s="779"/>
      <c r="DB10" s="779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Q10" s="779"/>
      <c r="DR10" s="779"/>
      <c r="DS10" s="779"/>
      <c r="DT10" s="779"/>
      <c r="DU10" s="779"/>
      <c r="DV10" s="779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K10" s="779"/>
      <c r="EL10" s="779"/>
      <c r="EM10" s="779"/>
      <c r="EN10" s="779"/>
      <c r="EO10" s="779"/>
      <c r="EP10" s="779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P10" s="779"/>
      <c r="FQ10" s="779"/>
      <c r="FR10" s="779"/>
      <c r="FS10" s="779"/>
      <c r="FT10" s="779"/>
      <c r="FU10" s="779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M10" s="779"/>
      <c r="GN10" s="779"/>
      <c r="GO10" s="779"/>
      <c r="GP10" s="779"/>
      <c r="GQ10" s="779"/>
      <c r="GR10" s="779"/>
      <c r="GS10" s="12"/>
      <c r="GT10" s="12"/>
      <c r="GU10" s="12"/>
      <c r="GV10" s="12"/>
      <c r="GW10" s="12"/>
      <c r="GX10" s="12"/>
      <c r="GY10" s="12"/>
      <c r="GZ10" s="12"/>
      <c r="HA10" s="12"/>
      <c r="HB10" s="12"/>
      <c r="HC10" s="12"/>
      <c r="HD10" s="12"/>
      <c r="HE10" s="12"/>
      <c r="HF10" s="12"/>
      <c r="HH10" s="779"/>
      <c r="HI10" s="779"/>
      <c r="HJ10" s="779"/>
      <c r="HK10" s="779"/>
      <c r="HL10" s="779"/>
      <c r="HM10" s="779"/>
      <c r="HN10" s="12"/>
      <c r="HO10" s="12"/>
      <c r="HP10" s="12"/>
      <c r="HQ10" s="12"/>
      <c r="HS10" s="779"/>
      <c r="HT10" s="779"/>
      <c r="HU10" s="779"/>
      <c r="HV10" s="779"/>
      <c r="HW10" s="779"/>
      <c r="HX10" s="779"/>
      <c r="HY10" s="12"/>
      <c r="HZ10" s="12"/>
      <c r="IA10" s="12"/>
      <c r="IB10" s="12"/>
    </row>
    <row r="11" spans="1:236" ht="14.45" customHeight="1" x14ac:dyDescent="0.25">
      <c r="A11" s="47"/>
      <c r="B11" s="12"/>
      <c r="C11" s="777" t="s">
        <v>121</v>
      </c>
      <c r="D11" s="777"/>
      <c r="E11" s="777"/>
      <c r="F11" s="777"/>
      <c r="G11" s="777"/>
      <c r="H11" s="102"/>
      <c r="I11" s="13"/>
      <c r="J11" s="13"/>
      <c r="K11" s="13"/>
      <c r="L11" s="19">
        <f t="shared" si="0"/>
        <v>0</v>
      </c>
      <c r="M11" s="19">
        <f t="shared" si="1"/>
        <v>0</v>
      </c>
      <c r="N11" s="12"/>
      <c r="R11" s="776"/>
      <c r="S11" s="776"/>
      <c r="T11" s="776"/>
      <c r="U11" s="12"/>
      <c r="V11" s="12"/>
      <c r="W11" s="12"/>
      <c r="X11" s="12"/>
      <c r="Y11" s="12"/>
      <c r="Z11" s="6"/>
      <c r="AA11" s="779"/>
      <c r="AB11" s="779"/>
      <c r="AC11" s="779"/>
      <c r="AD11" s="779"/>
      <c r="AE11" s="779"/>
      <c r="AF11" s="779"/>
      <c r="AG11" s="12"/>
      <c r="AH11" s="12"/>
      <c r="AI11" s="12"/>
      <c r="AJ11" s="12"/>
      <c r="AL11" s="779"/>
      <c r="AM11" s="779"/>
      <c r="AN11" s="779"/>
      <c r="AO11" s="779"/>
      <c r="AP11" s="779"/>
      <c r="AQ11" s="779"/>
      <c r="AR11" s="12"/>
      <c r="AS11" s="12"/>
      <c r="AT11" s="12"/>
      <c r="AU11" s="12"/>
      <c r="AV11" s="12"/>
      <c r="AW11" s="12"/>
      <c r="AX11" s="12"/>
      <c r="AY11" s="12"/>
      <c r="AZ11" s="779"/>
      <c r="BA11" s="779"/>
      <c r="BB11" s="779"/>
      <c r="BC11" s="779"/>
      <c r="BD11" s="779"/>
      <c r="BE11" s="779"/>
      <c r="BF11" s="12"/>
      <c r="BG11" s="12"/>
      <c r="BH11" s="12"/>
      <c r="BI11" s="12"/>
      <c r="BJ11" s="12"/>
      <c r="BK11" s="12"/>
      <c r="BL11" s="779"/>
      <c r="BM11" s="779"/>
      <c r="BN11" s="779"/>
      <c r="BO11" s="779"/>
      <c r="BP11" s="779"/>
      <c r="BQ11" s="779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779"/>
      <c r="CF11" s="779"/>
      <c r="CG11" s="779"/>
      <c r="CH11" s="779"/>
      <c r="CI11" s="779"/>
      <c r="CJ11" s="779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779"/>
      <c r="CX11" s="779"/>
      <c r="CY11" s="779"/>
      <c r="CZ11" s="779"/>
      <c r="DA11" s="779"/>
      <c r="DB11" s="779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Q11" s="779"/>
      <c r="DR11" s="779"/>
      <c r="DS11" s="779"/>
      <c r="DT11" s="779"/>
      <c r="DU11" s="779"/>
      <c r="DV11" s="779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K11" s="779"/>
      <c r="EL11" s="779"/>
      <c r="EM11" s="779"/>
      <c r="EN11" s="779"/>
      <c r="EO11" s="779"/>
      <c r="EP11" s="779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P11" s="779"/>
      <c r="FQ11" s="779"/>
      <c r="FR11" s="779"/>
      <c r="FS11" s="779"/>
      <c r="FT11" s="779"/>
      <c r="FU11" s="779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M11" s="779"/>
      <c r="GN11" s="779"/>
      <c r="GO11" s="779"/>
      <c r="GP11" s="779"/>
      <c r="GQ11" s="779"/>
      <c r="GR11" s="779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H11" s="779"/>
      <c r="HI11" s="779"/>
      <c r="HJ11" s="779"/>
      <c r="HK11" s="779"/>
      <c r="HL11" s="779"/>
      <c r="HM11" s="779"/>
      <c r="HN11" s="12"/>
      <c r="HO11" s="12"/>
      <c r="HP11" s="12"/>
      <c r="HQ11" s="12"/>
      <c r="HS11" s="779"/>
      <c r="HT11" s="779"/>
      <c r="HU11" s="779"/>
      <c r="HV11" s="779"/>
      <c r="HW11" s="779"/>
      <c r="HX11" s="779"/>
      <c r="HY11" s="12"/>
      <c r="HZ11" s="12"/>
      <c r="IA11" s="12"/>
      <c r="IB11" s="12"/>
    </row>
    <row r="12" spans="1:236" ht="14.45" customHeight="1" x14ac:dyDescent="0.25">
      <c r="A12" s="47"/>
      <c r="B12" s="14"/>
      <c r="C12" s="777" t="s">
        <v>123</v>
      </c>
      <c r="D12" s="777"/>
      <c r="E12" s="777"/>
      <c r="F12" s="777"/>
      <c r="G12" s="777"/>
      <c r="H12" s="102"/>
      <c r="I12" s="13"/>
      <c r="J12" s="13"/>
      <c r="K12" s="13"/>
      <c r="L12" s="19">
        <f t="shared" si="0"/>
        <v>0</v>
      </c>
      <c r="M12" s="19">
        <f t="shared" si="1"/>
        <v>0</v>
      </c>
      <c r="N12" s="12"/>
      <c r="R12" s="776"/>
      <c r="S12" s="776"/>
      <c r="T12" s="776"/>
      <c r="U12" s="12"/>
      <c r="V12" s="12"/>
      <c r="W12" s="12"/>
      <c r="X12" s="12"/>
      <c r="Y12" s="12"/>
      <c r="Z12" s="6"/>
      <c r="AA12" s="779"/>
      <c r="AB12" s="779"/>
      <c r="AC12" s="779"/>
      <c r="AD12" s="779"/>
      <c r="AE12" s="779"/>
      <c r="AF12" s="779"/>
      <c r="AG12" s="12"/>
      <c r="AH12" s="12"/>
      <c r="AI12" s="12"/>
      <c r="AJ12" s="12"/>
      <c r="AL12" s="779"/>
      <c r="AM12" s="779"/>
      <c r="AN12" s="779"/>
      <c r="AO12" s="779"/>
      <c r="AP12" s="779"/>
      <c r="AQ12" s="779"/>
      <c r="AR12" s="12"/>
      <c r="AS12" s="12"/>
      <c r="AT12" s="12"/>
      <c r="AU12" s="12"/>
      <c r="AV12" s="12"/>
      <c r="AW12" s="12"/>
      <c r="AX12" s="12"/>
      <c r="AY12" s="12"/>
      <c r="AZ12" s="779"/>
      <c r="BA12" s="779"/>
      <c r="BB12" s="779"/>
      <c r="BC12" s="779"/>
      <c r="BD12" s="779"/>
      <c r="BE12" s="779"/>
      <c r="BF12" s="12"/>
      <c r="BG12" s="12"/>
      <c r="BH12" s="12"/>
      <c r="BI12" s="12"/>
      <c r="BJ12" s="12"/>
      <c r="BK12" s="12"/>
      <c r="BL12" s="779"/>
      <c r="BM12" s="779"/>
      <c r="BN12" s="779"/>
      <c r="BO12" s="779"/>
      <c r="BP12" s="779"/>
      <c r="BQ12" s="779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779"/>
      <c r="CF12" s="779"/>
      <c r="CG12" s="779"/>
      <c r="CH12" s="779"/>
      <c r="CI12" s="779"/>
      <c r="CJ12" s="779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779"/>
      <c r="CX12" s="779"/>
      <c r="CY12" s="779"/>
      <c r="CZ12" s="779"/>
      <c r="DA12" s="779"/>
      <c r="DB12" s="779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Q12" s="779"/>
      <c r="DR12" s="779"/>
      <c r="DS12" s="779"/>
      <c r="DT12" s="779"/>
      <c r="DU12" s="779"/>
      <c r="DV12" s="779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K12" s="779"/>
      <c r="EL12" s="779"/>
      <c r="EM12" s="779"/>
      <c r="EN12" s="779"/>
      <c r="EO12" s="779"/>
      <c r="EP12" s="779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  <c r="FL12" s="12"/>
      <c r="FM12" s="12"/>
      <c r="FN12" s="12"/>
      <c r="FP12" s="779"/>
      <c r="FQ12" s="779"/>
      <c r="FR12" s="779"/>
      <c r="FS12" s="779"/>
      <c r="FT12" s="779"/>
      <c r="FU12" s="779"/>
      <c r="FV12" s="12"/>
      <c r="FW12" s="12"/>
      <c r="FX12" s="12"/>
      <c r="FY12" s="12"/>
      <c r="FZ12" s="12"/>
      <c r="GA12" s="12"/>
      <c r="GB12" s="12"/>
      <c r="GC12" s="12"/>
      <c r="GD12" s="12"/>
      <c r="GE12" s="12"/>
      <c r="GF12" s="12"/>
      <c r="GG12" s="12"/>
      <c r="GH12" s="12"/>
      <c r="GI12" s="12"/>
      <c r="GJ12" s="12"/>
      <c r="GK12" s="12"/>
      <c r="GM12" s="779"/>
      <c r="GN12" s="779"/>
      <c r="GO12" s="779"/>
      <c r="GP12" s="779"/>
      <c r="GQ12" s="779"/>
      <c r="GR12" s="779"/>
      <c r="GS12" s="12"/>
      <c r="GT12" s="12"/>
      <c r="GU12" s="12"/>
      <c r="GV12" s="12"/>
      <c r="GW12" s="12"/>
      <c r="GX12" s="12"/>
      <c r="GY12" s="12"/>
      <c r="GZ12" s="12"/>
      <c r="HA12" s="12"/>
      <c r="HB12" s="12"/>
      <c r="HC12" s="12"/>
      <c r="HD12" s="12"/>
      <c r="HE12" s="12"/>
      <c r="HF12" s="12"/>
      <c r="HH12" s="779"/>
      <c r="HI12" s="779"/>
      <c r="HJ12" s="779"/>
      <c r="HK12" s="779"/>
      <c r="HL12" s="779"/>
      <c r="HM12" s="779"/>
      <c r="HN12" s="12"/>
      <c r="HO12" s="12"/>
      <c r="HP12" s="12"/>
      <c r="HQ12" s="12"/>
      <c r="HS12" s="779"/>
      <c r="HT12" s="779"/>
      <c r="HU12" s="779"/>
      <c r="HV12" s="779"/>
      <c r="HW12" s="779"/>
      <c r="HX12" s="779"/>
      <c r="HY12" s="12"/>
      <c r="HZ12" s="12"/>
      <c r="IA12" s="12"/>
      <c r="IB12" s="12"/>
    </row>
    <row r="13" spans="1:236" ht="14.45" customHeight="1" x14ac:dyDescent="0.25">
      <c r="A13" s="47"/>
      <c r="B13" s="14"/>
      <c r="C13" s="777" t="s">
        <v>124</v>
      </c>
      <c r="D13" s="777"/>
      <c r="E13" s="777"/>
      <c r="F13" s="777"/>
      <c r="G13" s="777"/>
      <c r="H13" s="102"/>
      <c r="I13" s="13"/>
      <c r="J13" s="13"/>
      <c r="K13" s="13"/>
      <c r="L13" s="19">
        <f t="shared" si="0"/>
        <v>0</v>
      </c>
      <c r="M13" s="19">
        <f t="shared" si="1"/>
        <v>0</v>
      </c>
      <c r="N13" s="12"/>
      <c r="R13" s="776"/>
      <c r="S13" s="776"/>
      <c r="T13" s="776"/>
      <c r="U13" s="12"/>
      <c r="V13" s="12"/>
      <c r="W13" s="12"/>
      <c r="X13" s="12"/>
      <c r="Y13" s="12"/>
      <c r="Z13" s="6"/>
      <c r="AA13" s="779"/>
      <c r="AB13" s="779"/>
      <c r="AC13" s="779"/>
      <c r="AD13" s="779"/>
      <c r="AE13" s="779"/>
      <c r="AF13" s="779"/>
      <c r="AG13" s="12"/>
      <c r="AH13" s="12"/>
      <c r="AI13" s="12"/>
      <c r="AJ13" s="12"/>
      <c r="AL13" s="779"/>
      <c r="AM13" s="779"/>
      <c r="AN13" s="779"/>
      <c r="AO13" s="779"/>
      <c r="AP13" s="779"/>
      <c r="AQ13" s="779"/>
      <c r="AR13" s="12"/>
      <c r="AS13" s="12"/>
      <c r="AT13" s="12"/>
      <c r="AU13" s="12"/>
      <c r="AV13" s="12"/>
      <c r="AW13" s="12"/>
      <c r="AX13" s="12"/>
      <c r="AY13" s="12"/>
      <c r="AZ13" s="779"/>
      <c r="BA13" s="779"/>
      <c r="BB13" s="779"/>
      <c r="BC13" s="779"/>
      <c r="BD13" s="779"/>
      <c r="BE13" s="779"/>
      <c r="BF13" s="12"/>
      <c r="BG13" s="12"/>
      <c r="BH13" s="12"/>
      <c r="BI13" s="12"/>
      <c r="BJ13" s="12"/>
      <c r="BK13" s="12"/>
      <c r="BL13" s="779"/>
      <c r="BM13" s="779"/>
      <c r="BN13" s="779"/>
      <c r="BO13" s="779"/>
      <c r="BP13" s="779"/>
      <c r="BQ13" s="779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779"/>
      <c r="CF13" s="779"/>
      <c r="CG13" s="779"/>
      <c r="CH13" s="779"/>
      <c r="CI13" s="779"/>
      <c r="CJ13" s="779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779"/>
      <c r="CX13" s="779"/>
      <c r="CY13" s="779"/>
      <c r="CZ13" s="779"/>
      <c r="DA13" s="779"/>
      <c r="DB13" s="779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Q13" s="779"/>
      <c r="DR13" s="779"/>
      <c r="DS13" s="779"/>
      <c r="DT13" s="779"/>
      <c r="DU13" s="779"/>
      <c r="DV13" s="779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K13" s="779"/>
      <c r="EL13" s="779"/>
      <c r="EM13" s="779"/>
      <c r="EN13" s="779"/>
      <c r="EO13" s="779"/>
      <c r="EP13" s="779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P13" s="779"/>
      <c r="FQ13" s="779"/>
      <c r="FR13" s="779"/>
      <c r="FS13" s="779"/>
      <c r="FT13" s="779"/>
      <c r="FU13" s="779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  <c r="GI13" s="12"/>
      <c r="GJ13" s="12"/>
      <c r="GK13" s="12"/>
      <c r="GM13" s="779"/>
      <c r="GN13" s="779"/>
      <c r="GO13" s="779"/>
      <c r="GP13" s="779"/>
      <c r="GQ13" s="779"/>
      <c r="GR13" s="779"/>
      <c r="GS13" s="12"/>
      <c r="GT13" s="12"/>
      <c r="GU13" s="12"/>
      <c r="GV13" s="12"/>
      <c r="GW13" s="12"/>
      <c r="GX13" s="12"/>
      <c r="GY13" s="12"/>
      <c r="GZ13" s="12"/>
      <c r="HA13" s="12"/>
      <c r="HB13" s="12"/>
      <c r="HC13" s="12"/>
      <c r="HD13" s="12"/>
      <c r="HE13" s="12"/>
      <c r="HF13" s="12"/>
      <c r="HH13" s="779"/>
      <c r="HI13" s="779"/>
      <c r="HJ13" s="779"/>
      <c r="HK13" s="779"/>
      <c r="HL13" s="779"/>
      <c r="HM13" s="779"/>
      <c r="HN13" s="12"/>
      <c r="HO13" s="12"/>
      <c r="HP13" s="12"/>
      <c r="HQ13" s="12"/>
      <c r="HS13" s="779"/>
      <c r="HT13" s="779"/>
      <c r="HU13" s="779"/>
      <c r="HV13" s="779"/>
      <c r="HW13" s="779"/>
      <c r="HX13" s="779"/>
      <c r="HY13" s="12"/>
      <c r="HZ13" s="12"/>
      <c r="IA13" s="12"/>
      <c r="IB13" s="12"/>
    </row>
    <row r="14" spans="1:236" ht="14.45" customHeight="1" x14ac:dyDescent="0.25">
      <c r="A14" s="47"/>
      <c r="B14" s="14"/>
      <c r="C14" s="777" t="s">
        <v>127</v>
      </c>
      <c r="D14" s="777"/>
      <c r="E14" s="777"/>
      <c r="F14" s="777"/>
      <c r="G14" s="777"/>
      <c r="H14" s="102"/>
      <c r="I14" s="13"/>
      <c r="J14" s="13"/>
      <c r="K14" s="13"/>
      <c r="L14" s="19">
        <f t="shared" si="0"/>
        <v>0</v>
      </c>
      <c r="M14" s="19">
        <f t="shared" si="1"/>
        <v>0</v>
      </c>
      <c r="N14" s="12"/>
      <c r="R14" s="776"/>
      <c r="S14" s="776"/>
      <c r="T14" s="776"/>
      <c r="U14" s="12"/>
      <c r="V14" s="12"/>
      <c r="W14" s="12"/>
      <c r="X14" s="12"/>
      <c r="Y14" s="12"/>
      <c r="Z14" s="6"/>
      <c r="AA14" s="779"/>
      <c r="AB14" s="779"/>
      <c r="AC14" s="779"/>
      <c r="AD14" s="779"/>
      <c r="AE14" s="779"/>
      <c r="AF14" s="779"/>
      <c r="AG14" s="12"/>
      <c r="AH14" s="12"/>
      <c r="AI14" s="12"/>
      <c r="AJ14" s="12"/>
      <c r="AL14" s="779"/>
      <c r="AM14" s="779"/>
      <c r="AN14" s="779"/>
      <c r="AO14" s="779"/>
      <c r="AP14" s="779"/>
      <c r="AQ14" s="779"/>
      <c r="AR14" s="12"/>
      <c r="AS14" s="12"/>
      <c r="AT14" s="12"/>
      <c r="AU14" s="12"/>
      <c r="AV14" s="12"/>
      <c r="AW14" s="12"/>
      <c r="AX14" s="12"/>
      <c r="AY14" s="12"/>
      <c r="AZ14" s="779"/>
      <c r="BA14" s="779"/>
      <c r="BB14" s="779"/>
      <c r="BC14" s="779"/>
      <c r="BD14" s="779"/>
      <c r="BE14" s="779"/>
      <c r="BF14" s="12"/>
      <c r="BG14" s="12"/>
      <c r="BH14" s="12"/>
      <c r="BI14" s="12"/>
      <c r="BJ14" s="12"/>
      <c r="BK14" s="12"/>
      <c r="BL14" s="779"/>
      <c r="BM14" s="779"/>
      <c r="BN14" s="779"/>
      <c r="BO14" s="779"/>
      <c r="BP14" s="779"/>
      <c r="BQ14" s="779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779"/>
      <c r="CF14" s="779"/>
      <c r="CG14" s="779"/>
      <c r="CH14" s="779"/>
      <c r="CI14" s="779"/>
      <c r="CJ14" s="779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779"/>
      <c r="CX14" s="779"/>
      <c r="CY14" s="779"/>
      <c r="CZ14" s="779"/>
      <c r="DA14" s="779"/>
      <c r="DB14" s="779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Q14" s="779"/>
      <c r="DR14" s="779"/>
      <c r="DS14" s="779"/>
      <c r="DT14" s="779"/>
      <c r="DU14" s="779"/>
      <c r="DV14" s="779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K14" s="779"/>
      <c r="EL14" s="779"/>
      <c r="EM14" s="779"/>
      <c r="EN14" s="779"/>
      <c r="EO14" s="779"/>
      <c r="EP14" s="779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12"/>
      <c r="FP14" s="779"/>
      <c r="FQ14" s="779"/>
      <c r="FR14" s="779"/>
      <c r="FS14" s="779"/>
      <c r="FT14" s="779"/>
      <c r="FU14" s="779"/>
      <c r="FV14" s="12"/>
      <c r="FW14" s="12"/>
      <c r="FX14" s="12"/>
      <c r="FY14" s="12"/>
      <c r="FZ14" s="12"/>
      <c r="GA14" s="12"/>
      <c r="GB14" s="12"/>
      <c r="GC14" s="12"/>
      <c r="GD14" s="12"/>
      <c r="GE14" s="12"/>
      <c r="GF14" s="12"/>
      <c r="GG14" s="12"/>
      <c r="GH14" s="12"/>
      <c r="GI14" s="12"/>
      <c r="GJ14" s="12"/>
      <c r="GK14" s="12"/>
      <c r="GM14" s="779"/>
      <c r="GN14" s="779"/>
      <c r="GO14" s="779"/>
      <c r="GP14" s="779"/>
      <c r="GQ14" s="779"/>
      <c r="GR14" s="779"/>
      <c r="GS14" s="12"/>
      <c r="GT14" s="12"/>
      <c r="GU14" s="12"/>
      <c r="GV14" s="12"/>
      <c r="GW14" s="12"/>
      <c r="GX14" s="12"/>
      <c r="GY14" s="12"/>
      <c r="GZ14" s="12"/>
      <c r="HA14" s="12"/>
      <c r="HB14" s="12"/>
      <c r="HC14" s="12"/>
      <c r="HD14" s="12"/>
      <c r="HE14" s="12"/>
      <c r="HF14" s="12"/>
      <c r="HH14" s="779"/>
      <c r="HI14" s="779"/>
      <c r="HJ14" s="779"/>
      <c r="HK14" s="779"/>
      <c r="HL14" s="779"/>
      <c r="HM14" s="779"/>
      <c r="HN14" s="12"/>
      <c r="HO14" s="12"/>
      <c r="HP14" s="12"/>
      <c r="HQ14" s="12"/>
      <c r="HS14" s="779"/>
      <c r="HT14" s="779"/>
      <c r="HU14" s="779"/>
      <c r="HV14" s="779"/>
      <c r="HW14" s="779"/>
      <c r="HX14" s="779"/>
      <c r="HY14" s="12"/>
      <c r="HZ14" s="12"/>
      <c r="IA14" s="12"/>
      <c r="IB14" s="12"/>
    </row>
    <row r="15" spans="1:236" ht="14.45" customHeight="1" x14ac:dyDescent="0.25">
      <c r="A15" s="47"/>
      <c r="B15" s="14"/>
      <c r="C15" s="777" t="s">
        <v>128</v>
      </c>
      <c r="D15" s="777"/>
      <c r="E15" s="777"/>
      <c r="F15" s="777"/>
      <c r="G15" s="777"/>
      <c r="H15" s="102"/>
      <c r="I15" s="13"/>
      <c r="J15" s="13"/>
      <c r="K15" s="13"/>
      <c r="L15" s="19">
        <f t="shared" si="0"/>
        <v>0</v>
      </c>
      <c r="M15" s="19">
        <f t="shared" si="1"/>
        <v>0</v>
      </c>
      <c r="N15" s="12"/>
      <c r="R15" s="776"/>
      <c r="S15" s="776"/>
      <c r="T15" s="776"/>
      <c r="U15" s="12"/>
      <c r="V15" s="12"/>
      <c r="W15" s="12"/>
      <c r="X15" s="12"/>
      <c r="Y15" s="12"/>
      <c r="Z15" s="6"/>
      <c r="AA15" s="779"/>
      <c r="AB15" s="779"/>
      <c r="AC15" s="779"/>
      <c r="AD15" s="779"/>
      <c r="AE15" s="779"/>
      <c r="AF15" s="779"/>
      <c r="AG15" s="12"/>
      <c r="AH15" s="12"/>
      <c r="AI15" s="12"/>
      <c r="AJ15" s="12"/>
      <c r="AL15" s="779"/>
      <c r="AM15" s="779"/>
      <c r="AN15" s="779"/>
      <c r="AO15" s="779"/>
      <c r="AP15" s="779"/>
      <c r="AQ15" s="779"/>
      <c r="AR15" s="12"/>
      <c r="AS15" s="12"/>
      <c r="AT15" s="12"/>
      <c r="AU15" s="12"/>
      <c r="AV15" s="12"/>
      <c r="AW15" s="12"/>
      <c r="AX15" s="12"/>
      <c r="AY15" s="12"/>
      <c r="AZ15" s="779"/>
      <c r="BA15" s="779"/>
      <c r="BB15" s="779"/>
      <c r="BC15" s="779"/>
      <c r="BD15" s="779"/>
      <c r="BE15" s="779"/>
      <c r="BF15" s="12"/>
      <c r="BG15" s="12"/>
      <c r="BH15" s="12"/>
      <c r="BI15" s="12"/>
      <c r="BJ15" s="12"/>
      <c r="BK15" s="12"/>
      <c r="BL15" s="779"/>
      <c r="BM15" s="779"/>
      <c r="BN15" s="779"/>
      <c r="BO15" s="779"/>
      <c r="BP15" s="779"/>
      <c r="BQ15" s="779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779"/>
      <c r="CF15" s="779"/>
      <c r="CG15" s="779"/>
      <c r="CH15" s="779"/>
      <c r="CI15" s="779"/>
      <c r="CJ15" s="779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779"/>
      <c r="CX15" s="779"/>
      <c r="CY15" s="779"/>
      <c r="CZ15" s="779"/>
      <c r="DA15" s="779"/>
      <c r="DB15" s="779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Q15" s="779"/>
      <c r="DR15" s="779"/>
      <c r="DS15" s="779"/>
      <c r="DT15" s="779"/>
      <c r="DU15" s="779"/>
      <c r="DV15" s="779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K15" s="779"/>
      <c r="EL15" s="779"/>
      <c r="EM15" s="779"/>
      <c r="EN15" s="779"/>
      <c r="EO15" s="779"/>
      <c r="EP15" s="779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P15" s="779"/>
      <c r="FQ15" s="779"/>
      <c r="FR15" s="779"/>
      <c r="FS15" s="779"/>
      <c r="FT15" s="779"/>
      <c r="FU15" s="779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  <c r="GI15" s="12"/>
      <c r="GJ15" s="12"/>
      <c r="GK15" s="12"/>
      <c r="GM15" s="779"/>
      <c r="GN15" s="779"/>
      <c r="GO15" s="779"/>
      <c r="GP15" s="779"/>
      <c r="GQ15" s="779"/>
      <c r="GR15" s="779"/>
      <c r="GS15" s="12"/>
      <c r="GT15" s="12"/>
      <c r="GU15" s="12"/>
      <c r="GV15" s="12"/>
      <c r="GW15" s="12"/>
      <c r="GX15" s="12"/>
      <c r="GY15" s="12"/>
      <c r="GZ15" s="12"/>
      <c r="HA15" s="12"/>
      <c r="HB15" s="12"/>
      <c r="HC15" s="12"/>
      <c r="HD15" s="12"/>
      <c r="HE15" s="12"/>
      <c r="HF15" s="12"/>
      <c r="HH15" s="779"/>
      <c r="HI15" s="779"/>
      <c r="HJ15" s="779"/>
      <c r="HK15" s="779"/>
      <c r="HL15" s="779"/>
      <c r="HM15" s="779"/>
      <c r="HN15" s="12"/>
      <c r="HO15" s="12"/>
      <c r="HP15" s="12"/>
      <c r="HQ15" s="12"/>
      <c r="HS15" s="779"/>
      <c r="HT15" s="779"/>
      <c r="HU15" s="779"/>
      <c r="HV15" s="779"/>
      <c r="HW15" s="779"/>
      <c r="HX15" s="779"/>
      <c r="HY15" s="12"/>
      <c r="HZ15" s="12"/>
      <c r="IA15" s="12"/>
      <c r="IB15" s="12"/>
    </row>
    <row r="16" spans="1:236" ht="14.45" customHeight="1" x14ac:dyDescent="0.25">
      <c r="A16" s="47"/>
      <c r="B16" s="14"/>
      <c r="C16" s="777" t="s">
        <v>129</v>
      </c>
      <c r="D16" s="777"/>
      <c r="E16" s="777"/>
      <c r="F16" s="777"/>
      <c r="G16" s="777"/>
      <c r="H16" s="102"/>
      <c r="I16" s="13"/>
      <c r="J16" s="13"/>
      <c r="K16" s="13"/>
      <c r="L16" s="19">
        <f t="shared" si="0"/>
        <v>0</v>
      </c>
      <c r="M16" s="19">
        <f t="shared" si="1"/>
        <v>0</v>
      </c>
      <c r="N16" s="12"/>
      <c r="R16" s="776"/>
      <c r="S16" s="776"/>
      <c r="T16" s="776"/>
      <c r="U16" s="12"/>
      <c r="V16" s="12"/>
      <c r="W16" s="12"/>
      <c r="X16" s="12"/>
      <c r="Y16" s="12"/>
      <c r="Z16" s="6"/>
      <c r="AA16" s="779"/>
      <c r="AB16" s="779"/>
      <c r="AC16" s="779"/>
      <c r="AD16" s="779"/>
      <c r="AE16" s="779"/>
      <c r="AF16" s="779"/>
      <c r="AG16" s="12"/>
      <c r="AH16" s="12"/>
      <c r="AI16" s="12"/>
      <c r="AJ16" s="12"/>
      <c r="AL16" s="779"/>
      <c r="AM16" s="779"/>
      <c r="AN16" s="779"/>
      <c r="AO16" s="779"/>
      <c r="AP16" s="779"/>
      <c r="AQ16" s="779"/>
      <c r="AR16" s="12"/>
      <c r="AS16" s="12"/>
      <c r="AT16" s="12"/>
      <c r="AU16" s="12"/>
      <c r="AV16" s="12"/>
      <c r="AW16" s="12"/>
      <c r="AX16" s="12"/>
      <c r="AY16" s="12"/>
      <c r="AZ16" s="779"/>
      <c r="BA16" s="779"/>
      <c r="BB16" s="779"/>
      <c r="BC16" s="779"/>
      <c r="BD16" s="779"/>
      <c r="BE16" s="779"/>
      <c r="BF16" s="12"/>
      <c r="BG16" s="12"/>
      <c r="BH16" s="12"/>
      <c r="BI16" s="12"/>
      <c r="BJ16" s="12"/>
      <c r="BK16" s="12"/>
      <c r="BL16" s="779"/>
      <c r="BM16" s="779"/>
      <c r="BN16" s="779"/>
      <c r="BO16" s="779"/>
      <c r="BP16" s="779"/>
      <c r="BQ16" s="779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779"/>
      <c r="CF16" s="779"/>
      <c r="CG16" s="779"/>
      <c r="CH16" s="779"/>
      <c r="CI16" s="779"/>
      <c r="CJ16" s="779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779"/>
      <c r="CX16" s="779"/>
      <c r="CY16" s="779"/>
      <c r="CZ16" s="779"/>
      <c r="DA16" s="779"/>
      <c r="DB16" s="779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Q16" s="779"/>
      <c r="DR16" s="779"/>
      <c r="DS16" s="779"/>
      <c r="DT16" s="779"/>
      <c r="DU16" s="779"/>
      <c r="DV16" s="779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K16" s="779"/>
      <c r="EL16" s="779"/>
      <c r="EM16" s="779"/>
      <c r="EN16" s="779"/>
      <c r="EO16" s="779"/>
      <c r="EP16" s="779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P16" s="779"/>
      <c r="FQ16" s="779"/>
      <c r="FR16" s="779"/>
      <c r="FS16" s="779"/>
      <c r="FT16" s="779"/>
      <c r="FU16" s="779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M16" s="779"/>
      <c r="GN16" s="779"/>
      <c r="GO16" s="779"/>
      <c r="GP16" s="779"/>
      <c r="GQ16" s="779"/>
      <c r="GR16" s="779"/>
      <c r="GS16" s="12"/>
      <c r="GT16" s="12"/>
      <c r="GU16" s="12"/>
      <c r="GV16" s="12"/>
      <c r="GW16" s="12"/>
      <c r="GX16" s="12"/>
      <c r="GY16" s="12"/>
      <c r="GZ16" s="12"/>
      <c r="HA16" s="12"/>
      <c r="HB16" s="12"/>
      <c r="HC16" s="12"/>
      <c r="HD16" s="12"/>
      <c r="HE16" s="12"/>
      <c r="HF16" s="12"/>
      <c r="HH16" s="779"/>
      <c r="HI16" s="779"/>
      <c r="HJ16" s="779"/>
      <c r="HK16" s="779"/>
      <c r="HL16" s="779"/>
      <c r="HM16" s="779"/>
      <c r="HN16" s="12"/>
      <c r="HO16" s="12"/>
      <c r="HP16" s="12"/>
      <c r="HQ16" s="12"/>
      <c r="HS16" s="779"/>
      <c r="HT16" s="779"/>
      <c r="HU16" s="779"/>
      <c r="HV16" s="779"/>
      <c r="HW16" s="779"/>
      <c r="HX16" s="779"/>
      <c r="HY16" s="12"/>
      <c r="HZ16" s="12"/>
      <c r="IA16" s="12"/>
      <c r="IB16" s="12"/>
    </row>
    <row r="17" spans="1:236" ht="14.45" customHeight="1" x14ac:dyDescent="0.25">
      <c r="A17" s="47"/>
      <c r="B17" s="14"/>
      <c r="C17" s="777" t="s">
        <v>130</v>
      </c>
      <c r="D17" s="777"/>
      <c r="E17" s="777"/>
      <c r="F17" s="777"/>
      <c r="G17" s="777"/>
      <c r="H17" s="102"/>
      <c r="I17" s="13"/>
      <c r="J17" s="13"/>
      <c r="K17" s="13"/>
      <c r="L17" s="19">
        <f t="shared" si="0"/>
        <v>0</v>
      </c>
      <c r="M17" s="19">
        <f t="shared" si="1"/>
        <v>0</v>
      </c>
      <c r="N17" s="12"/>
      <c r="R17" s="776"/>
      <c r="S17" s="776"/>
      <c r="T17" s="776"/>
      <c r="U17" s="12"/>
      <c r="V17" s="12"/>
      <c r="W17" s="12"/>
      <c r="X17" s="12"/>
      <c r="Y17" s="12"/>
      <c r="Z17" s="6"/>
      <c r="AA17" s="779"/>
      <c r="AB17" s="779"/>
      <c r="AC17" s="779"/>
      <c r="AD17" s="779"/>
      <c r="AE17" s="779"/>
      <c r="AF17" s="779"/>
      <c r="AG17" s="12"/>
      <c r="AH17" s="12"/>
      <c r="AI17" s="12"/>
      <c r="AJ17" s="12"/>
      <c r="AL17" s="779"/>
      <c r="AM17" s="779"/>
      <c r="AN17" s="779"/>
      <c r="AO17" s="779"/>
      <c r="AP17" s="779"/>
      <c r="AQ17" s="779"/>
      <c r="AR17" s="12"/>
      <c r="AS17" s="12"/>
      <c r="AT17" s="12"/>
      <c r="AU17" s="12"/>
      <c r="AV17" s="12"/>
      <c r="AW17" s="12"/>
      <c r="AX17" s="12"/>
      <c r="AY17" s="12"/>
      <c r="AZ17" s="779"/>
      <c r="BA17" s="779"/>
      <c r="BB17" s="779"/>
      <c r="BC17" s="779"/>
      <c r="BD17" s="779"/>
      <c r="BE17" s="779"/>
      <c r="BF17" s="12"/>
      <c r="BG17" s="12"/>
      <c r="BH17" s="12"/>
      <c r="BI17" s="12"/>
      <c r="BJ17" s="12"/>
      <c r="BK17" s="12"/>
      <c r="BL17" s="779"/>
      <c r="BM17" s="779"/>
      <c r="BN17" s="779"/>
      <c r="BO17" s="779"/>
      <c r="BP17" s="779"/>
      <c r="BQ17" s="779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779"/>
      <c r="CF17" s="779"/>
      <c r="CG17" s="779"/>
      <c r="CH17" s="779"/>
      <c r="CI17" s="779"/>
      <c r="CJ17" s="779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779"/>
      <c r="CX17" s="779"/>
      <c r="CY17" s="779"/>
      <c r="CZ17" s="779"/>
      <c r="DA17" s="779"/>
      <c r="DB17" s="779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Q17" s="779"/>
      <c r="DR17" s="779"/>
      <c r="DS17" s="779"/>
      <c r="DT17" s="779"/>
      <c r="DU17" s="779"/>
      <c r="DV17" s="779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K17" s="779"/>
      <c r="EL17" s="779"/>
      <c r="EM17" s="779"/>
      <c r="EN17" s="779"/>
      <c r="EO17" s="779"/>
      <c r="EP17" s="779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P17" s="779"/>
      <c r="FQ17" s="779"/>
      <c r="FR17" s="779"/>
      <c r="FS17" s="779"/>
      <c r="FT17" s="779"/>
      <c r="FU17" s="779"/>
      <c r="FV17" s="12"/>
      <c r="FW17" s="12"/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  <c r="GI17" s="12"/>
      <c r="GJ17" s="12"/>
      <c r="GK17" s="12"/>
      <c r="GM17" s="779"/>
      <c r="GN17" s="779"/>
      <c r="GO17" s="779"/>
      <c r="GP17" s="779"/>
      <c r="GQ17" s="779"/>
      <c r="GR17" s="779"/>
      <c r="GS17" s="12"/>
      <c r="GT17" s="12"/>
      <c r="GU17" s="12"/>
      <c r="GV17" s="12"/>
      <c r="GW17" s="12"/>
      <c r="GX17" s="12"/>
      <c r="GY17" s="12"/>
      <c r="GZ17" s="12"/>
      <c r="HA17" s="12"/>
      <c r="HB17" s="12"/>
      <c r="HC17" s="12"/>
      <c r="HD17" s="12"/>
      <c r="HE17" s="12"/>
      <c r="HF17" s="12"/>
      <c r="HH17" s="779"/>
      <c r="HI17" s="779"/>
      <c r="HJ17" s="779"/>
      <c r="HK17" s="779"/>
      <c r="HL17" s="779"/>
      <c r="HM17" s="779"/>
      <c r="HN17" s="12"/>
      <c r="HO17" s="12"/>
      <c r="HP17" s="12"/>
      <c r="HQ17" s="12"/>
      <c r="HS17" s="779"/>
      <c r="HT17" s="779"/>
      <c r="HU17" s="779"/>
      <c r="HV17" s="779"/>
      <c r="HW17" s="779"/>
      <c r="HX17" s="779"/>
      <c r="HY17" s="12"/>
      <c r="HZ17" s="12"/>
      <c r="IA17" s="12"/>
      <c r="IB17" s="12"/>
    </row>
    <row r="18" spans="1:236" ht="14.45" customHeight="1" x14ac:dyDescent="0.25">
      <c r="A18" s="47"/>
      <c r="B18" s="14"/>
      <c r="C18" s="777" t="s">
        <v>139</v>
      </c>
      <c r="D18" s="777"/>
      <c r="E18" s="777"/>
      <c r="F18" s="777"/>
      <c r="G18" s="777"/>
      <c r="H18" s="102"/>
      <c r="I18" s="13"/>
      <c r="J18" s="13"/>
      <c r="K18" s="13"/>
      <c r="L18" s="19">
        <f t="shared" si="0"/>
        <v>0</v>
      </c>
      <c r="M18" s="19">
        <f t="shared" si="1"/>
        <v>0</v>
      </c>
      <c r="N18" s="12"/>
      <c r="R18" s="776"/>
      <c r="S18" s="776"/>
      <c r="T18" s="776"/>
      <c r="U18" s="12"/>
      <c r="V18" s="12"/>
      <c r="W18" s="12"/>
      <c r="X18" s="12"/>
      <c r="Y18" s="12"/>
      <c r="Z18" s="6"/>
      <c r="AA18" s="779"/>
      <c r="AB18" s="779"/>
      <c r="AC18" s="779"/>
      <c r="AD18" s="779"/>
      <c r="AE18" s="779"/>
      <c r="AF18" s="779"/>
      <c r="AG18" s="12"/>
      <c r="AH18" s="12"/>
      <c r="AI18" s="12"/>
      <c r="AJ18" s="12"/>
      <c r="AL18" s="779"/>
      <c r="AM18" s="779"/>
      <c r="AN18" s="779"/>
      <c r="AO18" s="779"/>
      <c r="AP18" s="779"/>
      <c r="AQ18" s="779"/>
      <c r="AR18" s="12"/>
      <c r="AS18" s="12"/>
      <c r="AT18" s="12"/>
      <c r="AU18" s="12"/>
      <c r="AV18" s="12"/>
      <c r="AW18" s="12"/>
      <c r="AX18" s="12"/>
      <c r="AY18" s="12"/>
      <c r="AZ18" s="779"/>
      <c r="BA18" s="779"/>
      <c r="BB18" s="779"/>
      <c r="BC18" s="779"/>
      <c r="BD18" s="779"/>
      <c r="BE18" s="779"/>
      <c r="BF18" s="12"/>
      <c r="BG18" s="12"/>
      <c r="BH18" s="12"/>
      <c r="BI18" s="12"/>
      <c r="BJ18" s="12"/>
      <c r="BK18" s="12"/>
      <c r="BL18" s="779"/>
      <c r="BM18" s="779"/>
      <c r="BN18" s="779"/>
      <c r="BO18" s="779"/>
      <c r="BP18" s="779"/>
      <c r="BQ18" s="779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779"/>
      <c r="CF18" s="779"/>
      <c r="CG18" s="779"/>
      <c r="CH18" s="779"/>
      <c r="CI18" s="779"/>
      <c r="CJ18" s="779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779"/>
      <c r="CX18" s="779"/>
      <c r="CY18" s="779"/>
      <c r="CZ18" s="779"/>
      <c r="DA18" s="779"/>
      <c r="DB18" s="779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Q18" s="779"/>
      <c r="DR18" s="779"/>
      <c r="DS18" s="779"/>
      <c r="DT18" s="779"/>
      <c r="DU18" s="779"/>
      <c r="DV18" s="779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K18" s="779"/>
      <c r="EL18" s="779"/>
      <c r="EM18" s="779"/>
      <c r="EN18" s="779"/>
      <c r="EO18" s="779"/>
      <c r="EP18" s="779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P18" s="779"/>
      <c r="FQ18" s="779"/>
      <c r="FR18" s="779"/>
      <c r="FS18" s="779"/>
      <c r="FT18" s="779"/>
      <c r="FU18" s="779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  <c r="GI18" s="12"/>
      <c r="GJ18" s="12"/>
      <c r="GK18" s="12"/>
      <c r="GM18" s="779"/>
      <c r="GN18" s="779"/>
      <c r="GO18" s="779"/>
      <c r="GP18" s="779"/>
      <c r="GQ18" s="779"/>
      <c r="GR18" s="779"/>
      <c r="GS18" s="12"/>
      <c r="GT18" s="12"/>
      <c r="GU18" s="12"/>
      <c r="GV18" s="12"/>
      <c r="GW18" s="12"/>
      <c r="GX18" s="12"/>
      <c r="GY18" s="12"/>
      <c r="GZ18" s="12"/>
      <c r="HA18" s="12"/>
      <c r="HB18" s="12"/>
      <c r="HC18" s="12"/>
      <c r="HD18" s="12"/>
      <c r="HE18" s="12"/>
      <c r="HF18" s="12"/>
      <c r="HH18" s="779"/>
      <c r="HI18" s="779"/>
      <c r="HJ18" s="779"/>
      <c r="HK18" s="779"/>
      <c r="HL18" s="779"/>
      <c r="HM18" s="779"/>
      <c r="HN18" s="12"/>
      <c r="HO18" s="12"/>
      <c r="HP18" s="12"/>
      <c r="HQ18" s="12"/>
      <c r="HS18" s="779"/>
      <c r="HT18" s="779"/>
      <c r="HU18" s="779"/>
      <c r="HV18" s="779"/>
      <c r="HW18" s="779"/>
      <c r="HX18" s="779"/>
      <c r="HY18" s="12"/>
      <c r="HZ18" s="12"/>
      <c r="IA18" s="12"/>
      <c r="IB18" s="12"/>
    </row>
    <row r="19" spans="1:236" ht="14.45" customHeight="1" x14ac:dyDescent="0.25">
      <c r="A19" s="47"/>
      <c r="B19" s="14"/>
      <c r="C19" s="777" t="s">
        <v>145</v>
      </c>
      <c r="D19" s="777"/>
      <c r="E19" s="777"/>
      <c r="F19" s="777"/>
      <c r="G19" s="777"/>
      <c r="H19" s="102"/>
      <c r="I19" s="13"/>
      <c r="J19" s="13"/>
      <c r="K19" s="13"/>
      <c r="L19" s="19">
        <f t="shared" si="0"/>
        <v>0</v>
      </c>
      <c r="M19" s="19">
        <f t="shared" si="1"/>
        <v>0</v>
      </c>
      <c r="N19" s="12"/>
      <c r="R19" s="776"/>
      <c r="S19" s="776"/>
      <c r="T19" s="776"/>
      <c r="U19" s="12"/>
      <c r="V19" s="12"/>
      <c r="W19" s="12"/>
      <c r="X19" s="12"/>
      <c r="Y19" s="12"/>
      <c r="Z19" s="6"/>
      <c r="AA19" s="779"/>
      <c r="AB19" s="779"/>
      <c r="AC19" s="779"/>
      <c r="AD19" s="779"/>
      <c r="AE19" s="779"/>
      <c r="AF19" s="779"/>
      <c r="AG19" s="12"/>
      <c r="AH19" s="12"/>
      <c r="AI19" s="12"/>
      <c r="AJ19" s="12"/>
      <c r="AL19" s="779"/>
      <c r="AM19" s="779"/>
      <c r="AN19" s="779"/>
      <c r="AO19" s="779"/>
      <c r="AP19" s="779"/>
      <c r="AQ19" s="779"/>
      <c r="AR19" s="12"/>
      <c r="AS19" s="12"/>
      <c r="AT19" s="12"/>
      <c r="AU19" s="12"/>
      <c r="AV19" s="12"/>
      <c r="AW19" s="12"/>
      <c r="AX19" s="12"/>
      <c r="AY19" s="12"/>
      <c r="AZ19" s="779"/>
      <c r="BA19" s="779"/>
      <c r="BB19" s="779"/>
      <c r="BC19" s="779"/>
      <c r="BD19" s="779"/>
      <c r="BE19" s="779"/>
      <c r="BF19" s="12"/>
      <c r="BG19" s="12"/>
      <c r="BH19" s="12"/>
      <c r="BI19" s="12"/>
      <c r="BJ19" s="12"/>
      <c r="BK19" s="12"/>
      <c r="BL19" s="779"/>
      <c r="BM19" s="779"/>
      <c r="BN19" s="779"/>
      <c r="BO19" s="779"/>
      <c r="BP19" s="779"/>
      <c r="BQ19" s="779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779"/>
      <c r="CF19" s="779"/>
      <c r="CG19" s="779"/>
      <c r="CH19" s="779"/>
      <c r="CI19" s="779"/>
      <c r="CJ19" s="779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779"/>
      <c r="CX19" s="779"/>
      <c r="CY19" s="779"/>
      <c r="CZ19" s="779"/>
      <c r="DA19" s="779"/>
      <c r="DB19" s="779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Q19" s="779"/>
      <c r="DR19" s="779"/>
      <c r="DS19" s="779"/>
      <c r="DT19" s="779"/>
      <c r="DU19" s="779"/>
      <c r="DV19" s="779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K19" s="779"/>
      <c r="EL19" s="779"/>
      <c r="EM19" s="779"/>
      <c r="EN19" s="779"/>
      <c r="EO19" s="779"/>
      <c r="EP19" s="779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P19" s="779"/>
      <c r="FQ19" s="779"/>
      <c r="FR19" s="779"/>
      <c r="FS19" s="779"/>
      <c r="FT19" s="779"/>
      <c r="FU19" s="779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M19" s="779"/>
      <c r="GN19" s="779"/>
      <c r="GO19" s="779"/>
      <c r="GP19" s="779"/>
      <c r="GQ19" s="779"/>
      <c r="GR19" s="779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H19" s="779"/>
      <c r="HI19" s="779"/>
      <c r="HJ19" s="779"/>
      <c r="HK19" s="779"/>
      <c r="HL19" s="779"/>
      <c r="HM19" s="779"/>
      <c r="HN19" s="12"/>
      <c r="HO19" s="12"/>
      <c r="HP19" s="12"/>
      <c r="HQ19" s="12"/>
      <c r="HS19" s="779"/>
      <c r="HT19" s="779"/>
      <c r="HU19" s="779"/>
      <c r="HV19" s="779"/>
      <c r="HW19" s="779"/>
      <c r="HX19" s="779"/>
      <c r="HY19" s="12"/>
      <c r="HZ19" s="12"/>
      <c r="IA19" s="12"/>
      <c r="IB19" s="12"/>
    </row>
    <row r="20" spans="1:236" ht="14.45" customHeight="1" x14ac:dyDescent="0.25">
      <c r="A20" s="47"/>
      <c r="B20" s="14"/>
      <c r="C20" s="777" t="s">
        <v>140</v>
      </c>
      <c r="D20" s="777"/>
      <c r="E20" s="777"/>
      <c r="F20" s="777"/>
      <c r="G20" s="777"/>
      <c r="H20" s="102"/>
      <c r="I20" s="13"/>
      <c r="J20" s="13"/>
      <c r="K20" s="13"/>
      <c r="L20" s="19">
        <f t="shared" si="0"/>
        <v>0</v>
      </c>
      <c r="M20" s="19">
        <f t="shared" si="1"/>
        <v>0</v>
      </c>
      <c r="N20" s="12"/>
      <c r="R20" s="776"/>
      <c r="S20" s="776"/>
      <c r="T20" s="776"/>
      <c r="U20" s="12"/>
      <c r="V20" s="12"/>
      <c r="W20" s="12"/>
      <c r="X20" s="12"/>
      <c r="Y20" s="12"/>
      <c r="Z20" s="6"/>
      <c r="AA20" s="779"/>
      <c r="AB20" s="779"/>
      <c r="AC20" s="779"/>
      <c r="AD20" s="779"/>
      <c r="AE20" s="779"/>
      <c r="AF20" s="12"/>
      <c r="AG20" s="12"/>
      <c r="AH20" s="12"/>
      <c r="AI20" s="12"/>
      <c r="AJ20" s="12"/>
      <c r="AL20" s="779"/>
      <c r="AM20" s="779"/>
      <c r="AN20" s="779"/>
      <c r="AO20" s="779"/>
      <c r="AP20" s="779"/>
      <c r="AQ20" s="779"/>
      <c r="AR20" s="12"/>
      <c r="AS20" s="12"/>
      <c r="AT20" s="12"/>
      <c r="AU20" s="12"/>
      <c r="AV20" s="12"/>
      <c r="AW20" s="12"/>
      <c r="AX20" s="12"/>
      <c r="AY20" s="12"/>
      <c r="AZ20" s="779"/>
      <c r="BA20" s="779"/>
      <c r="BB20" s="779"/>
      <c r="BC20" s="779"/>
      <c r="BD20" s="779"/>
      <c r="BE20" s="779"/>
      <c r="BF20" s="12"/>
      <c r="BG20" s="12"/>
      <c r="BH20" s="12"/>
      <c r="BI20" s="12"/>
      <c r="BJ20" s="12"/>
      <c r="BK20" s="12"/>
      <c r="BL20" s="779"/>
      <c r="BM20" s="779"/>
      <c r="BN20" s="779"/>
      <c r="BO20" s="779"/>
      <c r="BP20" s="779"/>
      <c r="BQ20" s="779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779"/>
      <c r="CF20" s="779"/>
      <c r="CG20" s="779"/>
      <c r="CH20" s="779"/>
      <c r="CI20" s="779"/>
      <c r="CJ20" s="779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779"/>
      <c r="CX20" s="779"/>
      <c r="CY20" s="779"/>
      <c r="CZ20" s="779"/>
      <c r="DA20" s="779"/>
      <c r="DB20" s="779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Q20" s="779"/>
      <c r="DR20" s="779"/>
      <c r="DS20" s="779"/>
      <c r="DT20" s="779"/>
      <c r="DU20" s="779"/>
      <c r="DV20" s="779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K20" s="779"/>
      <c r="EL20" s="779"/>
      <c r="EM20" s="779"/>
      <c r="EN20" s="779"/>
      <c r="EO20" s="779"/>
      <c r="EP20" s="779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P20" s="779"/>
      <c r="FQ20" s="779"/>
      <c r="FR20" s="779"/>
      <c r="FS20" s="779"/>
      <c r="FT20" s="779"/>
      <c r="FU20" s="779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  <c r="GI20" s="12"/>
      <c r="GJ20" s="12"/>
      <c r="GK20" s="12"/>
      <c r="GM20" s="779"/>
      <c r="GN20" s="779"/>
      <c r="GO20" s="779"/>
      <c r="GP20" s="779"/>
      <c r="GQ20" s="779"/>
      <c r="GR20" s="779"/>
      <c r="GS20" s="12"/>
      <c r="GT20" s="12"/>
      <c r="GU20" s="12"/>
      <c r="GV20" s="12"/>
      <c r="GW20" s="12"/>
      <c r="GX20" s="12"/>
      <c r="GY20" s="12"/>
      <c r="GZ20" s="12"/>
      <c r="HA20" s="12"/>
      <c r="HB20" s="12"/>
      <c r="HC20" s="12"/>
      <c r="HD20" s="12"/>
      <c r="HE20" s="12"/>
      <c r="HF20" s="12"/>
      <c r="HH20" s="779"/>
      <c r="HI20" s="779"/>
      <c r="HJ20" s="779"/>
      <c r="HK20" s="779"/>
      <c r="HL20" s="779"/>
      <c r="HM20" s="779"/>
      <c r="HN20" s="12"/>
      <c r="HO20" s="12"/>
      <c r="HP20" s="12"/>
      <c r="HQ20" s="12"/>
      <c r="HS20" s="779"/>
      <c r="HT20" s="779"/>
      <c r="HU20" s="779"/>
      <c r="HV20" s="779"/>
      <c r="HW20" s="779"/>
      <c r="HX20" s="779"/>
      <c r="HY20" s="12"/>
      <c r="HZ20" s="12"/>
      <c r="IA20" s="12"/>
      <c r="IB20" s="12"/>
    </row>
    <row r="21" spans="1:236" ht="14.45" customHeight="1" x14ac:dyDescent="0.25">
      <c r="A21" s="47"/>
      <c r="B21" s="14"/>
      <c r="C21" s="777" t="s">
        <v>141</v>
      </c>
      <c r="D21" s="777"/>
      <c r="E21" s="777"/>
      <c r="F21" s="777"/>
      <c r="G21" s="777"/>
      <c r="H21" s="102"/>
      <c r="I21" s="13"/>
      <c r="J21" s="13"/>
      <c r="K21" s="13"/>
      <c r="L21" s="19">
        <f t="shared" si="0"/>
        <v>0</v>
      </c>
      <c r="M21" s="19">
        <f t="shared" si="1"/>
        <v>0</v>
      </c>
      <c r="N21" s="12"/>
      <c r="R21" s="776"/>
      <c r="S21" s="776"/>
      <c r="T21" s="776"/>
      <c r="U21" s="12"/>
      <c r="V21" s="12"/>
      <c r="W21" s="12"/>
      <c r="X21" s="12"/>
      <c r="Y21" s="12"/>
      <c r="Z21" s="6"/>
      <c r="AA21" s="779"/>
      <c r="AB21" s="779"/>
      <c r="AC21" s="779"/>
      <c r="AD21" s="779"/>
      <c r="AE21" s="779"/>
      <c r="AF21" s="779"/>
      <c r="AG21" s="12"/>
      <c r="AH21" s="12"/>
      <c r="AI21" s="12"/>
      <c r="AJ21" s="12"/>
      <c r="AL21" s="779"/>
      <c r="AM21" s="779"/>
      <c r="AN21" s="779"/>
      <c r="AO21" s="779"/>
      <c r="AP21" s="779"/>
      <c r="AQ21" s="779"/>
      <c r="AR21" s="12"/>
      <c r="AS21" s="12"/>
      <c r="AT21" s="12"/>
      <c r="AU21" s="12"/>
      <c r="AV21" s="12"/>
      <c r="AW21" s="12"/>
      <c r="AX21" s="12"/>
      <c r="AY21" s="12"/>
      <c r="AZ21" s="779"/>
      <c r="BA21" s="779"/>
      <c r="BB21" s="779"/>
      <c r="BC21" s="779"/>
      <c r="BD21" s="779"/>
      <c r="BE21" s="779"/>
      <c r="BF21" s="12"/>
      <c r="BG21" s="12"/>
      <c r="BH21" s="12"/>
      <c r="BI21" s="12"/>
      <c r="BJ21" s="12"/>
      <c r="BK21" s="12"/>
      <c r="BL21" s="779"/>
      <c r="BM21" s="779"/>
      <c r="BN21" s="779"/>
      <c r="BO21" s="779"/>
      <c r="BP21" s="779"/>
      <c r="BQ21" s="779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779"/>
      <c r="CF21" s="779"/>
      <c r="CG21" s="779"/>
      <c r="CH21" s="779"/>
      <c r="CI21" s="779"/>
      <c r="CJ21" s="779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779"/>
      <c r="CX21" s="779"/>
      <c r="CY21" s="779"/>
      <c r="CZ21" s="779"/>
      <c r="DA21" s="779"/>
      <c r="DB21" s="779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Q21" s="779"/>
      <c r="DR21" s="779"/>
      <c r="DS21" s="779"/>
      <c r="DT21" s="779"/>
      <c r="DU21" s="779"/>
      <c r="DV21" s="779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K21" s="779"/>
      <c r="EL21" s="779"/>
      <c r="EM21" s="779"/>
      <c r="EN21" s="779"/>
      <c r="EO21" s="779"/>
      <c r="EP21" s="779"/>
      <c r="EQ21" s="12"/>
      <c r="ER21" s="12"/>
      <c r="ES21" s="12"/>
      <c r="ET21" s="12"/>
      <c r="EU21" s="12"/>
      <c r="EV21" s="12"/>
      <c r="EW21" s="12"/>
      <c r="EX21" s="12"/>
      <c r="EY21" s="12"/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12"/>
      <c r="FK21" s="12"/>
      <c r="FL21" s="12"/>
      <c r="FM21" s="12"/>
      <c r="FN21" s="12"/>
      <c r="FP21" s="779"/>
      <c r="FQ21" s="779"/>
      <c r="FR21" s="779"/>
      <c r="FS21" s="779"/>
      <c r="FT21" s="779"/>
      <c r="FU21" s="779"/>
      <c r="FV21" s="12"/>
      <c r="FW21" s="12"/>
      <c r="FX21" s="12"/>
      <c r="FY21" s="12"/>
      <c r="FZ21" s="12"/>
      <c r="GA21" s="12"/>
      <c r="GB21" s="12"/>
      <c r="GC21" s="12"/>
      <c r="GD21" s="12"/>
      <c r="GE21" s="12"/>
      <c r="GF21" s="12"/>
      <c r="GG21" s="12"/>
      <c r="GH21" s="12"/>
      <c r="GI21" s="12"/>
      <c r="GJ21" s="12"/>
      <c r="GK21" s="12"/>
      <c r="GM21" s="779"/>
      <c r="GN21" s="779"/>
      <c r="GO21" s="779"/>
      <c r="GP21" s="779"/>
      <c r="GQ21" s="779"/>
      <c r="GR21" s="779"/>
      <c r="GS21" s="12"/>
      <c r="GT21" s="12"/>
      <c r="GU21" s="12"/>
      <c r="GV21" s="12"/>
      <c r="GW21" s="12"/>
      <c r="GX21" s="12"/>
      <c r="GY21" s="12"/>
      <c r="GZ21" s="12"/>
      <c r="HA21" s="12"/>
      <c r="HB21" s="12"/>
      <c r="HC21" s="12"/>
      <c r="HD21" s="12"/>
      <c r="HE21" s="12"/>
      <c r="HF21" s="12"/>
      <c r="HH21" s="779"/>
      <c r="HI21" s="779"/>
      <c r="HJ21" s="779"/>
      <c r="HK21" s="779"/>
      <c r="HL21" s="779"/>
      <c r="HM21" s="779"/>
      <c r="HN21" s="12"/>
      <c r="HO21" s="12"/>
      <c r="HP21" s="12"/>
      <c r="HQ21" s="12"/>
      <c r="HS21" s="779"/>
      <c r="HT21" s="779"/>
      <c r="HU21" s="779"/>
      <c r="HV21" s="779"/>
      <c r="HW21" s="779"/>
      <c r="HX21" s="779"/>
      <c r="HY21" s="12"/>
      <c r="HZ21" s="12"/>
      <c r="IA21" s="12"/>
      <c r="IB21" s="12"/>
    </row>
    <row r="22" spans="1:236" ht="14.45" customHeight="1" x14ac:dyDescent="0.25">
      <c r="A22" s="47"/>
      <c r="B22" s="14"/>
      <c r="C22" s="777" t="s">
        <v>142</v>
      </c>
      <c r="D22" s="777"/>
      <c r="E22" s="777"/>
      <c r="F22" s="777"/>
      <c r="G22" s="777"/>
      <c r="H22" s="102"/>
      <c r="I22" s="13"/>
      <c r="J22" s="13"/>
      <c r="K22" s="13"/>
      <c r="L22" s="19">
        <f t="shared" si="0"/>
        <v>0</v>
      </c>
      <c r="M22" s="19">
        <f t="shared" si="1"/>
        <v>0</v>
      </c>
      <c r="N22" s="12"/>
      <c r="R22" s="776"/>
      <c r="S22" s="776"/>
      <c r="T22" s="776"/>
      <c r="U22" s="12"/>
      <c r="V22" s="12"/>
      <c r="W22" s="12"/>
      <c r="X22" s="12"/>
      <c r="Y22" s="12"/>
      <c r="Z22" s="6"/>
      <c r="AA22" s="779"/>
      <c r="AB22" s="779"/>
      <c r="AC22" s="779"/>
      <c r="AD22" s="779"/>
      <c r="AE22" s="779"/>
      <c r="AF22" s="779"/>
      <c r="AG22" s="12"/>
      <c r="AH22" s="12"/>
      <c r="AI22" s="12"/>
      <c r="AJ22" s="12"/>
      <c r="AL22" s="779"/>
      <c r="AM22" s="779"/>
      <c r="AN22" s="779"/>
      <c r="AO22" s="779"/>
      <c r="AP22" s="779"/>
      <c r="AQ22" s="779"/>
      <c r="AR22" s="12"/>
      <c r="AS22" s="12"/>
      <c r="AT22" s="12"/>
      <c r="AU22" s="12"/>
      <c r="AV22" s="12"/>
      <c r="AW22" s="12"/>
      <c r="AX22" s="12"/>
      <c r="AY22" s="12"/>
      <c r="AZ22" s="779"/>
      <c r="BA22" s="779"/>
      <c r="BB22" s="779"/>
      <c r="BC22" s="779"/>
      <c r="BD22" s="779"/>
      <c r="BE22" s="779"/>
      <c r="BF22" s="12"/>
      <c r="BG22" s="12"/>
      <c r="BH22" s="12"/>
      <c r="BI22" s="12"/>
      <c r="BJ22" s="12"/>
      <c r="BK22" s="12"/>
      <c r="BL22" s="779"/>
      <c r="BM22" s="779"/>
      <c r="BN22" s="779"/>
      <c r="BO22" s="779"/>
      <c r="BP22" s="779"/>
      <c r="BQ22" s="779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779"/>
      <c r="CF22" s="779"/>
      <c r="CG22" s="779"/>
      <c r="CH22" s="779"/>
      <c r="CI22" s="779"/>
      <c r="CJ22" s="779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779"/>
      <c r="CX22" s="779"/>
      <c r="CY22" s="779"/>
      <c r="CZ22" s="779"/>
      <c r="DA22" s="779"/>
      <c r="DB22" s="779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Q22" s="779"/>
      <c r="DR22" s="779"/>
      <c r="DS22" s="779"/>
      <c r="DT22" s="779"/>
      <c r="DU22" s="779"/>
      <c r="DV22" s="779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K22" s="779"/>
      <c r="EL22" s="779"/>
      <c r="EM22" s="779"/>
      <c r="EN22" s="779"/>
      <c r="EO22" s="779"/>
      <c r="EP22" s="779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P22" s="779"/>
      <c r="FQ22" s="779"/>
      <c r="FR22" s="779"/>
      <c r="FS22" s="779"/>
      <c r="FT22" s="779"/>
      <c r="FU22" s="779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  <c r="GI22" s="12"/>
      <c r="GJ22" s="12"/>
      <c r="GK22" s="12"/>
      <c r="GM22" s="779"/>
      <c r="GN22" s="779"/>
      <c r="GO22" s="779"/>
      <c r="GP22" s="779"/>
      <c r="GQ22" s="779"/>
      <c r="GR22" s="779"/>
      <c r="GS22" s="12"/>
      <c r="GT22" s="12"/>
      <c r="GU22" s="12"/>
      <c r="GV22" s="12"/>
      <c r="GW22" s="12"/>
      <c r="GX22" s="12"/>
      <c r="GY22" s="12"/>
      <c r="GZ22" s="12"/>
      <c r="HA22" s="12"/>
      <c r="HB22" s="12"/>
      <c r="HC22" s="12"/>
      <c r="HD22" s="12"/>
      <c r="HE22" s="12"/>
      <c r="HF22" s="12"/>
      <c r="HH22" s="779"/>
      <c r="HI22" s="779"/>
      <c r="HJ22" s="779"/>
      <c r="HK22" s="779"/>
      <c r="HL22" s="779"/>
      <c r="HM22" s="779"/>
      <c r="HN22" s="12"/>
      <c r="HO22" s="12"/>
      <c r="HP22" s="12"/>
      <c r="HQ22" s="12"/>
      <c r="HS22" s="779"/>
      <c r="HT22" s="779"/>
      <c r="HU22" s="779"/>
      <c r="HV22" s="779"/>
      <c r="HW22" s="779"/>
      <c r="HX22" s="779"/>
      <c r="HY22" s="12"/>
      <c r="HZ22" s="12"/>
      <c r="IA22" s="12"/>
      <c r="IB22" s="12"/>
    </row>
    <row r="23" spans="1:236" ht="14.45" customHeight="1" x14ac:dyDescent="0.25">
      <c r="A23" s="47"/>
      <c r="B23" s="14"/>
      <c r="C23" s="777" t="s">
        <v>144</v>
      </c>
      <c r="D23" s="777"/>
      <c r="E23" s="777"/>
      <c r="F23" s="777"/>
      <c r="G23" s="777"/>
      <c r="H23" s="102"/>
      <c r="I23" s="13"/>
      <c r="J23" s="13"/>
      <c r="K23" s="13"/>
      <c r="L23" s="19">
        <f t="shared" si="0"/>
        <v>0</v>
      </c>
      <c r="M23" s="19">
        <f t="shared" si="1"/>
        <v>0</v>
      </c>
      <c r="N23" s="12"/>
      <c r="R23" s="776"/>
      <c r="S23" s="776"/>
      <c r="T23" s="776"/>
      <c r="U23" s="12"/>
      <c r="V23" s="12"/>
      <c r="W23" s="12"/>
      <c r="X23" s="12"/>
      <c r="Y23" s="12"/>
      <c r="Z23" s="6"/>
      <c r="AA23" s="779"/>
      <c r="AB23" s="779"/>
      <c r="AC23" s="779"/>
      <c r="AD23" s="779"/>
      <c r="AE23" s="779"/>
      <c r="AF23" s="779"/>
      <c r="AG23" s="12"/>
      <c r="AH23" s="12"/>
      <c r="AI23" s="12"/>
      <c r="AJ23" s="12"/>
      <c r="AL23" s="779"/>
      <c r="AM23" s="779"/>
      <c r="AN23" s="779"/>
      <c r="AO23" s="779"/>
      <c r="AP23" s="779"/>
      <c r="AQ23" s="779"/>
      <c r="AR23" s="12"/>
      <c r="AS23" s="12"/>
      <c r="AT23" s="12"/>
      <c r="AU23" s="12"/>
      <c r="AV23" s="12"/>
      <c r="AW23" s="12"/>
      <c r="AX23" s="12"/>
      <c r="AY23" s="12"/>
      <c r="AZ23" s="779"/>
      <c r="BA23" s="779"/>
      <c r="BB23" s="779"/>
      <c r="BC23" s="779"/>
      <c r="BD23" s="779"/>
      <c r="BE23" s="779"/>
      <c r="BF23" s="12"/>
      <c r="BG23" s="12"/>
      <c r="BH23" s="12"/>
      <c r="BI23" s="12"/>
      <c r="BJ23" s="12"/>
      <c r="BK23" s="12"/>
      <c r="BL23" s="779"/>
      <c r="BM23" s="779"/>
      <c r="BN23" s="779"/>
      <c r="BO23" s="779"/>
      <c r="BP23" s="779"/>
      <c r="BQ23" s="779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779"/>
      <c r="CF23" s="779"/>
      <c r="CG23" s="779"/>
      <c r="CH23" s="779"/>
      <c r="CI23" s="779"/>
      <c r="CJ23" s="779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779"/>
      <c r="CX23" s="779"/>
      <c r="CY23" s="779"/>
      <c r="CZ23" s="779"/>
      <c r="DA23" s="779"/>
      <c r="DB23" s="779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Q23" s="779"/>
      <c r="DR23" s="779"/>
      <c r="DS23" s="779"/>
      <c r="DT23" s="779"/>
      <c r="DU23" s="779"/>
      <c r="DV23" s="779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K23" s="779"/>
      <c r="EL23" s="779"/>
      <c r="EM23" s="779"/>
      <c r="EN23" s="779"/>
      <c r="EO23" s="779"/>
      <c r="EP23" s="779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P23" s="779"/>
      <c r="FQ23" s="779"/>
      <c r="FR23" s="779"/>
      <c r="FS23" s="779"/>
      <c r="FT23" s="779"/>
      <c r="FU23" s="779"/>
      <c r="FV23" s="12"/>
      <c r="FW23" s="12"/>
      <c r="FX23" s="12"/>
      <c r="FY23" s="12"/>
      <c r="FZ23" s="12"/>
      <c r="GA23" s="12"/>
      <c r="GB23" s="12"/>
      <c r="GC23" s="12"/>
      <c r="GD23" s="12"/>
      <c r="GE23" s="12"/>
      <c r="GF23" s="12"/>
      <c r="GG23" s="12"/>
      <c r="GH23" s="12"/>
      <c r="GI23" s="12"/>
      <c r="GJ23" s="12"/>
      <c r="GK23" s="12"/>
      <c r="GM23" s="779"/>
      <c r="GN23" s="779"/>
      <c r="GO23" s="779"/>
      <c r="GP23" s="779"/>
      <c r="GQ23" s="779"/>
      <c r="GR23" s="779"/>
      <c r="GS23" s="12"/>
      <c r="GT23" s="12"/>
      <c r="GU23" s="12"/>
      <c r="GV23" s="12"/>
      <c r="GW23" s="12"/>
      <c r="GX23" s="12"/>
      <c r="GY23" s="12"/>
      <c r="GZ23" s="12"/>
      <c r="HA23" s="12"/>
      <c r="HB23" s="12"/>
      <c r="HC23" s="12"/>
      <c r="HD23" s="12"/>
      <c r="HE23" s="12"/>
      <c r="HF23" s="12"/>
      <c r="HH23" s="779"/>
      <c r="HI23" s="779"/>
      <c r="HJ23" s="779"/>
      <c r="HK23" s="779"/>
      <c r="HL23" s="779"/>
      <c r="HM23" s="779"/>
      <c r="HN23" s="12"/>
      <c r="HO23" s="12"/>
      <c r="HP23" s="12"/>
      <c r="HQ23" s="12"/>
      <c r="HS23" s="779"/>
      <c r="HT23" s="779"/>
      <c r="HU23" s="779"/>
      <c r="HV23" s="779"/>
      <c r="HW23" s="779"/>
      <c r="HX23" s="779"/>
      <c r="HY23" s="12"/>
      <c r="HZ23" s="12"/>
      <c r="IA23" s="12"/>
      <c r="IB23" s="12"/>
    </row>
    <row r="24" spans="1:236" ht="14.45" customHeight="1" x14ac:dyDescent="0.25">
      <c r="A24" s="47"/>
      <c r="B24" s="14"/>
      <c r="C24" s="777" t="s">
        <v>143</v>
      </c>
      <c r="D24" s="777"/>
      <c r="E24" s="777"/>
      <c r="F24" s="777"/>
      <c r="G24" s="777"/>
      <c r="H24" s="102"/>
      <c r="I24" s="13"/>
      <c r="J24" s="13"/>
      <c r="K24" s="13"/>
      <c r="L24" s="19">
        <f t="shared" si="0"/>
        <v>0</v>
      </c>
      <c r="M24" s="19">
        <f t="shared" si="1"/>
        <v>0</v>
      </c>
      <c r="N24" s="12"/>
      <c r="R24" s="776"/>
      <c r="S24" s="776"/>
      <c r="T24" s="776"/>
      <c r="U24" s="12"/>
      <c r="V24" s="12"/>
      <c r="W24" s="12"/>
      <c r="X24" s="12"/>
      <c r="Y24" s="12"/>
      <c r="Z24" s="6"/>
      <c r="AA24" s="779"/>
      <c r="AB24" s="779"/>
      <c r="AC24" s="779"/>
      <c r="AD24" s="779"/>
      <c r="AE24" s="779"/>
      <c r="AF24" s="779"/>
      <c r="AG24" s="12"/>
      <c r="AH24" s="12"/>
      <c r="AI24" s="12"/>
      <c r="AJ24" s="12"/>
      <c r="AL24" s="779"/>
      <c r="AM24" s="779"/>
      <c r="AN24" s="779"/>
      <c r="AO24" s="779"/>
      <c r="AP24" s="779"/>
      <c r="AQ24" s="779"/>
      <c r="AR24" s="12"/>
      <c r="AS24" s="12"/>
      <c r="AT24" s="12"/>
      <c r="AU24" s="12"/>
      <c r="AV24" s="12"/>
      <c r="AW24" s="12"/>
      <c r="AX24" s="12"/>
      <c r="AY24" s="12"/>
      <c r="AZ24" s="779"/>
      <c r="BA24" s="779"/>
      <c r="BB24" s="779"/>
      <c r="BC24" s="779"/>
      <c r="BD24" s="779"/>
      <c r="BE24" s="779"/>
      <c r="BF24" s="12"/>
      <c r="BG24" s="12"/>
      <c r="BH24" s="12"/>
      <c r="BI24" s="12"/>
      <c r="BJ24" s="12"/>
      <c r="BK24" s="12"/>
      <c r="BL24" s="779"/>
      <c r="BM24" s="779"/>
      <c r="BN24" s="779"/>
      <c r="BO24" s="779"/>
      <c r="BP24" s="779"/>
      <c r="BQ24" s="779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779"/>
      <c r="CF24" s="779"/>
      <c r="CG24" s="779"/>
      <c r="CH24" s="779"/>
      <c r="CI24" s="779"/>
      <c r="CJ24" s="779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779"/>
      <c r="CX24" s="779"/>
      <c r="CY24" s="779"/>
      <c r="CZ24" s="779"/>
      <c r="DA24" s="779"/>
      <c r="DB24" s="779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Q24" s="779"/>
      <c r="DR24" s="779"/>
      <c r="DS24" s="779"/>
      <c r="DT24" s="779"/>
      <c r="DU24" s="779"/>
      <c r="DV24" s="779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K24" s="779"/>
      <c r="EL24" s="779"/>
      <c r="EM24" s="779"/>
      <c r="EN24" s="779"/>
      <c r="EO24" s="779"/>
      <c r="EP24" s="779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12"/>
      <c r="FK24" s="12"/>
      <c r="FL24" s="12"/>
      <c r="FM24" s="12"/>
      <c r="FN24" s="12"/>
      <c r="FP24" s="779"/>
      <c r="FQ24" s="779"/>
      <c r="FR24" s="779"/>
      <c r="FS24" s="779"/>
      <c r="FT24" s="779"/>
      <c r="FU24" s="779"/>
      <c r="FV24" s="12"/>
      <c r="FW24" s="12"/>
      <c r="FX24" s="12"/>
      <c r="FY24" s="12"/>
      <c r="FZ24" s="12"/>
      <c r="GA24" s="12"/>
      <c r="GB24" s="12"/>
      <c r="GC24" s="12"/>
      <c r="GD24" s="12"/>
      <c r="GE24" s="12"/>
      <c r="GF24" s="12"/>
      <c r="GG24" s="12"/>
      <c r="GH24" s="12"/>
      <c r="GI24" s="12"/>
      <c r="GJ24" s="12"/>
      <c r="GK24" s="12"/>
      <c r="GM24" s="779"/>
      <c r="GN24" s="779"/>
      <c r="GO24" s="779"/>
      <c r="GP24" s="779"/>
      <c r="GQ24" s="779"/>
      <c r="GR24" s="779"/>
      <c r="GS24" s="12"/>
      <c r="GT24" s="12"/>
      <c r="GU24" s="12"/>
      <c r="GV24" s="12"/>
      <c r="GW24" s="12"/>
      <c r="GX24" s="12"/>
      <c r="GY24" s="12"/>
      <c r="GZ24" s="12"/>
      <c r="HA24" s="12"/>
      <c r="HB24" s="12"/>
      <c r="HC24" s="12"/>
      <c r="HD24" s="12"/>
      <c r="HE24" s="12"/>
      <c r="HF24" s="12"/>
      <c r="HH24" s="779"/>
      <c r="HI24" s="779"/>
      <c r="HJ24" s="779"/>
      <c r="HK24" s="779"/>
      <c r="HL24" s="779"/>
      <c r="HM24" s="779"/>
      <c r="HN24" s="12"/>
      <c r="HO24" s="12"/>
      <c r="HP24" s="12"/>
      <c r="HQ24" s="12"/>
      <c r="HS24" s="779"/>
      <c r="HT24" s="779"/>
      <c r="HU24" s="779"/>
      <c r="HV24" s="779"/>
      <c r="HW24" s="779"/>
      <c r="HX24" s="779"/>
      <c r="HY24" s="12"/>
      <c r="HZ24" s="12"/>
      <c r="IA24" s="12"/>
      <c r="IB24" s="12"/>
    </row>
    <row r="25" spans="1:236" ht="14.45" customHeight="1" x14ac:dyDescent="0.25">
      <c r="A25" s="47"/>
      <c r="B25" s="14"/>
      <c r="C25" s="777" t="s">
        <v>133</v>
      </c>
      <c r="D25" s="777"/>
      <c r="E25" s="777"/>
      <c r="F25" s="777"/>
      <c r="G25" s="777"/>
      <c r="H25" s="102"/>
      <c r="I25" s="13"/>
      <c r="J25" s="13"/>
      <c r="K25" s="13"/>
      <c r="L25" s="19">
        <f t="shared" si="0"/>
        <v>0</v>
      </c>
      <c r="M25" s="19">
        <f t="shared" si="1"/>
        <v>0</v>
      </c>
      <c r="N25" s="12"/>
      <c r="R25" s="776"/>
      <c r="S25" s="776"/>
      <c r="T25" s="776"/>
      <c r="U25" s="12"/>
      <c r="V25" s="12"/>
      <c r="W25" s="12"/>
      <c r="X25" s="12"/>
      <c r="Y25" s="12"/>
      <c r="Z25" s="6"/>
      <c r="AA25" s="752"/>
      <c r="AB25" s="752"/>
      <c r="AC25" s="752"/>
      <c r="AD25" s="752"/>
      <c r="AE25" s="752"/>
      <c r="AF25" s="752"/>
      <c r="AG25" s="12"/>
      <c r="AH25" s="12"/>
      <c r="AI25" s="12"/>
      <c r="AJ25" s="12"/>
      <c r="AL25" s="752"/>
      <c r="AM25" s="752"/>
      <c r="AN25" s="752"/>
      <c r="AO25" s="752"/>
      <c r="AP25" s="752"/>
      <c r="AQ25" s="752"/>
      <c r="AR25" s="12"/>
      <c r="AS25" s="12"/>
      <c r="AT25" s="12"/>
      <c r="AU25" s="12"/>
      <c r="AV25" s="12"/>
      <c r="AW25" s="12"/>
      <c r="AX25" s="12"/>
      <c r="AY25" s="12"/>
      <c r="AZ25" s="752"/>
      <c r="BA25" s="752"/>
      <c r="BB25" s="752"/>
      <c r="BC25" s="752"/>
      <c r="BD25" s="752"/>
      <c r="BE25" s="752"/>
      <c r="BF25" s="12"/>
      <c r="BG25" s="12"/>
      <c r="BH25" s="12"/>
      <c r="BI25" s="12"/>
      <c r="BJ25" s="12"/>
      <c r="BK25" s="12"/>
      <c r="BL25" s="752"/>
      <c r="BM25" s="752"/>
      <c r="BN25" s="752"/>
      <c r="BO25" s="752"/>
      <c r="BP25" s="752"/>
      <c r="BQ25" s="75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752"/>
      <c r="CF25" s="752"/>
      <c r="CG25" s="752"/>
      <c r="CH25" s="752"/>
      <c r="CI25" s="752"/>
      <c r="CJ25" s="752"/>
      <c r="CK25" s="6"/>
      <c r="CL25" s="6"/>
      <c r="CM25" s="6"/>
      <c r="CN25" s="6"/>
      <c r="CO25" s="6"/>
      <c r="CP25" s="6"/>
      <c r="CQ25" s="6"/>
      <c r="CR25" s="6"/>
      <c r="CS25" s="6"/>
      <c r="CT25" s="12"/>
      <c r="CU25" s="12"/>
      <c r="CV25" s="6"/>
      <c r="CW25" s="752"/>
      <c r="CX25" s="752"/>
      <c r="CY25" s="752"/>
      <c r="CZ25" s="752"/>
      <c r="DA25" s="752"/>
      <c r="DB25" s="752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12"/>
      <c r="DO25" s="12"/>
      <c r="DQ25" s="752"/>
      <c r="DR25" s="752"/>
      <c r="DS25" s="752"/>
      <c r="DT25" s="752"/>
      <c r="DU25" s="752"/>
      <c r="DV25" s="752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12"/>
      <c r="EI25" s="12"/>
      <c r="EK25" s="752"/>
      <c r="EL25" s="752"/>
      <c r="EM25" s="752"/>
      <c r="EN25" s="752"/>
      <c r="EO25" s="752"/>
      <c r="EP25" s="752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12"/>
      <c r="FN25" s="12"/>
      <c r="FP25" s="752"/>
      <c r="FQ25" s="752"/>
      <c r="FR25" s="752"/>
      <c r="FS25" s="752"/>
      <c r="FT25" s="752"/>
      <c r="FU25" s="752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12"/>
      <c r="GK25" s="12"/>
      <c r="GM25" s="752"/>
      <c r="GN25" s="752"/>
      <c r="GO25" s="752"/>
      <c r="GP25" s="752"/>
      <c r="GQ25" s="752"/>
      <c r="GR25" s="752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12"/>
      <c r="HF25" s="12"/>
      <c r="HH25" s="752"/>
      <c r="HI25" s="752"/>
      <c r="HJ25" s="752"/>
      <c r="HK25" s="752"/>
      <c r="HL25" s="752"/>
      <c r="HM25" s="752"/>
      <c r="HO25" s="6"/>
      <c r="HP25" s="12"/>
      <c r="HQ25" s="12"/>
      <c r="HS25" s="752"/>
      <c r="HT25" s="752"/>
      <c r="HU25" s="752"/>
      <c r="HV25" s="752"/>
      <c r="HW25" s="752"/>
      <c r="HX25" s="752"/>
      <c r="HZ25" s="6"/>
      <c r="IA25" s="12"/>
      <c r="IB25" s="12"/>
    </row>
    <row r="26" spans="1:236" ht="14.45" customHeight="1" x14ac:dyDescent="0.25">
      <c r="A26" s="47"/>
      <c r="B26" s="14"/>
      <c r="C26" s="777" t="s">
        <v>166</v>
      </c>
      <c r="D26" s="777"/>
      <c r="E26" s="777"/>
      <c r="F26" s="777"/>
      <c r="G26" s="777"/>
      <c r="H26" s="102"/>
      <c r="I26" s="13"/>
      <c r="J26" s="13"/>
      <c r="K26" s="13"/>
      <c r="L26" s="19">
        <f t="shared" si="0"/>
        <v>0</v>
      </c>
      <c r="M26" s="19">
        <f t="shared" si="1"/>
        <v>0</v>
      </c>
      <c r="N26" s="12"/>
      <c r="R26" s="776"/>
      <c r="S26" s="776"/>
      <c r="T26" s="776"/>
      <c r="U26" s="12"/>
      <c r="V26" s="12"/>
      <c r="W26" s="12"/>
      <c r="X26" s="12"/>
      <c r="Y26" s="12"/>
      <c r="Z26" s="6"/>
      <c r="AA26" s="779"/>
      <c r="AB26" s="779"/>
      <c r="AC26" s="779"/>
      <c r="AD26" s="779"/>
      <c r="AE26" s="779"/>
      <c r="AF26" s="779"/>
      <c r="AG26" s="12"/>
      <c r="AH26" s="12"/>
      <c r="AI26" s="12"/>
      <c r="AJ26" s="12"/>
      <c r="AL26" s="779"/>
      <c r="AM26" s="779"/>
      <c r="AN26" s="779"/>
      <c r="AO26" s="779"/>
      <c r="AP26" s="779"/>
      <c r="AQ26" s="779"/>
      <c r="AR26" s="12"/>
      <c r="AS26" s="12"/>
      <c r="AT26" s="12"/>
      <c r="AU26" s="12"/>
      <c r="AV26" s="12"/>
      <c r="AW26" s="12"/>
      <c r="AX26" s="12"/>
      <c r="AY26" s="12"/>
      <c r="AZ26" s="779"/>
      <c r="BA26" s="779"/>
      <c r="BB26" s="779"/>
      <c r="BC26" s="779"/>
      <c r="BD26" s="779"/>
      <c r="BE26" s="779"/>
      <c r="BF26" s="12"/>
      <c r="BG26" s="12"/>
      <c r="BH26" s="12"/>
      <c r="BI26" s="12"/>
      <c r="BJ26" s="12"/>
      <c r="BK26" s="12"/>
      <c r="BL26" s="779"/>
      <c r="BM26" s="779"/>
      <c r="BN26" s="779"/>
      <c r="BO26" s="779"/>
      <c r="BP26" s="779"/>
      <c r="BQ26" s="779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779"/>
      <c r="CF26" s="779"/>
      <c r="CG26" s="779"/>
      <c r="CH26" s="779"/>
      <c r="CI26" s="779"/>
      <c r="CJ26" s="779"/>
      <c r="CK26" s="6"/>
      <c r="CL26" s="6"/>
      <c r="CM26" s="6"/>
      <c r="CN26" s="6"/>
      <c r="CO26" s="6"/>
      <c r="CP26" s="6"/>
      <c r="CQ26" s="6"/>
      <c r="CR26" s="6"/>
      <c r="CS26" s="6"/>
      <c r="CT26" s="12"/>
      <c r="CU26" s="12"/>
      <c r="CV26" s="6"/>
      <c r="CW26" s="779"/>
      <c r="CX26" s="779"/>
      <c r="CY26" s="779"/>
      <c r="CZ26" s="779"/>
      <c r="DA26" s="779"/>
      <c r="DB26" s="779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12"/>
      <c r="DO26" s="12"/>
      <c r="DQ26" s="779"/>
      <c r="DR26" s="779"/>
      <c r="DS26" s="779"/>
      <c r="DT26" s="779"/>
      <c r="DU26" s="779"/>
      <c r="DV26" s="779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12"/>
      <c r="EI26" s="12"/>
      <c r="EK26" s="779"/>
      <c r="EL26" s="779"/>
      <c r="EM26" s="779"/>
      <c r="EN26" s="779"/>
      <c r="EO26" s="779"/>
      <c r="EP26" s="779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12"/>
      <c r="FN26" s="12"/>
      <c r="FP26" s="779"/>
      <c r="FQ26" s="779"/>
      <c r="FR26" s="779"/>
      <c r="FS26" s="779"/>
      <c r="FT26" s="779"/>
      <c r="FU26" s="779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12"/>
      <c r="GK26" s="12"/>
      <c r="GM26" s="779"/>
      <c r="GN26" s="779"/>
      <c r="GO26" s="779"/>
      <c r="GP26" s="779"/>
      <c r="GQ26" s="779"/>
      <c r="GR26" s="779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12"/>
      <c r="HF26" s="12"/>
      <c r="HH26" s="779"/>
      <c r="HI26" s="779"/>
      <c r="HJ26" s="779"/>
      <c r="HK26" s="779"/>
      <c r="HL26" s="779"/>
      <c r="HM26" s="779"/>
      <c r="HN26" s="6"/>
      <c r="HO26" s="6"/>
      <c r="HP26" s="12"/>
      <c r="HQ26" s="12"/>
      <c r="HS26" s="779"/>
      <c r="HT26" s="779"/>
      <c r="HU26" s="779"/>
      <c r="HV26" s="779"/>
      <c r="HW26" s="779"/>
      <c r="HX26" s="779"/>
      <c r="HY26" s="6"/>
      <c r="HZ26" s="6"/>
      <c r="IA26" s="12"/>
      <c r="IB26" s="12"/>
    </row>
    <row r="27" spans="1:236" ht="14.45" customHeight="1" x14ac:dyDescent="0.25">
      <c r="A27" s="47"/>
      <c r="B27" s="14"/>
      <c r="C27" s="777" t="s">
        <v>131</v>
      </c>
      <c r="D27" s="777"/>
      <c r="E27" s="777"/>
      <c r="F27" s="777"/>
      <c r="G27" s="777"/>
      <c r="H27" s="102"/>
      <c r="I27" s="13"/>
      <c r="J27" s="13"/>
      <c r="K27" s="13"/>
      <c r="L27" s="19">
        <f t="shared" si="0"/>
        <v>0</v>
      </c>
      <c r="M27" s="19">
        <f t="shared" si="1"/>
        <v>0</v>
      </c>
      <c r="N27" s="12"/>
      <c r="R27" s="776"/>
      <c r="S27" s="776"/>
      <c r="T27" s="776"/>
      <c r="U27" s="12"/>
      <c r="V27" s="12"/>
      <c r="W27" s="12"/>
      <c r="X27" s="12"/>
      <c r="Y27" s="12"/>
      <c r="Z27" s="6"/>
      <c r="AA27" s="779"/>
      <c r="AB27" s="779"/>
      <c r="AC27" s="779"/>
      <c r="AD27" s="779"/>
      <c r="AE27" s="779"/>
      <c r="AF27" s="779"/>
      <c r="AG27" s="12"/>
      <c r="AH27" s="12"/>
      <c r="AI27" s="12"/>
      <c r="AJ27" s="12"/>
      <c r="AL27" s="779"/>
      <c r="AM27" s="779"/>
      <c r="AN27" s="779"/>
      <c r="AO27" s="779"/>
      <c r="AP27" s="779"/>
      <c r="AQ27" s="779"/>
      <c r="AR27" s="12"/>
      <c r="AS27" s="12"/>
      <c r="AT27" s="12"/>
      <c r="AU27" s="12"/>
      <c r="AV27" s="12"/>
      <c r="AW27" s="12"/>
      <c r="AX27" s="12"/>
      <c r="AY27" s="12"/>
      <c r="AZ27" s="779"/>
      <c r="BA27" s="779"/>
      <c r="BB27" s="779"/>
      <c r="BC27" s="779"/>
      <c r="BD27" s="779"/>
      <c r="BE27" s="779"/>
      <c r="BF27" s="12"/>
      <c r="BG27" s="12"/>
      <c r="BH27" s="12"/>
      <c r="BI27" s="12"/>
      <c r="BJ27" s="12"/>
      <c r="BK27" s="12"/>
      <c r="BL27" s="779"/>
      <c r="BM27" s="779"/>
      <c r="BN27" s="779"/>
      <c r="BO27" s="779"/>
      <c r="BP27" s="779"/>
      <c r="BQ27" s="779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779"/>
      <c r="CF27" s="779"/>
      <c r="CG27" s="779"/>
      <c r="CH27" s="779"/>
      <c r="CI27" s="779"/>
      <c r="CJ27" s="779"/>
      <c r="CK27" s="6"/>
      <c r="CL27" s="6"/>
      <c r="CM27" s="6"/>
      <c r="CN27" s="6"/>
      <c r="CO27" s="6"/>
      <c r="CP27" s="6"/>
      <c r="CQ27" s="6"/>
      <c r="CR27" s="6"/>
      <c r="CS27" s="6"/>
      <c r="CT27" s="12"/>
      <c r="CU27" s="12"/>
      <c r="CV27" s="6"/>
      <c r="CW27" s="779"/>
      <c r="CX27" s="779"/>
      <c r="CY27" s="779"/>
      <c r="CZ27" s="779"/>
      <c r="DA27" s="779"/>
      <c r="DB27" s="779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12"/>
      <c r="DO27" s="12"/>
      <c r="DQ27" s="779"/>
      <c r="DR27" s="779"/>
      <c r="DS27" s="779"/>
      <c r="DT27" s="779"/>
      <c r="DU27" s="779"/>
      <c r="DV27" s="779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12"/>
      <c r="EI27" s="12"/>
      <c r="EK27" s="779"/>
      <c r="EL27" s="779"/>
      <c r="EM27" s="779"/>
      <c r="EN27" s="779"/>
      <c r="EO27" s="779"/>
      <c r="EP27" s="779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12"/>
      <c r="FN27" s="12"/>
      <c r="FP27" s="779"/>
      <c r="FQ27" s="779"/>
      <c r="FR27" s="779"/>
      <c r="FS27" s="779"/>
      <c r="FT27" s="779"/>
      <c r="FU27" s="779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12"/>
      <c r="GK27" s="12"/>
      <c r="GM27" s="779"/>
      <c r="GN27" s="779"/>
      <c r="GO27" s="779"/>
      <c r="GP27" s="779"/>
      <c r="GQ27" s="779"/>
      <c r="GR27" s="779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12"/>
      <c r="HF27" s="12"/>
      <c r="HH27" s="779"/>
      <c r="HI27" s="779"/>
      <c r="HJ27" s="779"/>
      <c r="HK27" s="779"/>
      <c r="HL27" s="779"/>
      <c r="HM27" s="779"/>
      <c r="HN27" s="6"/>
      <c r="HO27" s="6"/>
      <c r="HP27" s="12"/>
      <c r="HQ27" s="12"/>
      <c r="HS27" s="779"/>
      <c r="HT27" s="779"/>
      <c r="HU27" s="779"/>
      <c r="HV27" s="779"/>
      <c r="HW27" s="779"/>
      <c r="HX27" s="779"/>
      <c r="HY27" s="6"/>
      <c r="HZ27" s="6"/>
      <c r="IA27" s="12"/>
      <c r="IB27" s="12"/>
    </row>
    <row r="28" spans="1:236" ht="14.45" customHeight="1" x14ac:dyDescent="0.25">
      <c r="A28" s="47"/>
      <c r="B28" s="14"/>
      <c r="C28" s="777" t="s">
        <v>132</v>
      </c>
      <c r="D28" s="777"/>
      <c r="E28" s="777"/>
      <c r="F28" s="777"/>
      <c r="G28" s="777"/>
      <c r="H28" s="102"/>
      <c r="I28" s="13"/>
      <c r="J28" s="13"/>
      <c r="K28" s="13"/>
      <c r="L28" s="19">
        <f t="shared" si="0"/>
        <v>0</v>
      </c>
      <c r="M28" s="19">
        <f t="shared" si="1"/>
        <v>0</v>
      </c>
      <c r="N28" s="12"/>
      <c r="R28" s="776"/>
      <c r="S28" s="776"/>
      <c r="T28" s="776"/>
      <c r="U28" s="12"/>
      <c r="V28" s="12"/>
      <c r="W28" s="12"/>
      <c r="X28" s="12"/>
      <c r="Y28" s="12"/>
      <c r="Z28" s="6"/>
      <c r="AA28" s="779"/>
      <c r="AB28" s="779"/>
      <c r="AC28" s="779"/>
      <c r="AD28" s="779"/>
      <c r="AE28" s="779"/>
      <c r="AF28" s="779"/>
      <c r="AG28" s="12"/>
      <c r="AH28" s="12"/>
      <c r="AI28" s="12"/>
      <c r="AJ28" s="12"/>
      <c r="AL28" s="779"/>
      <c r="AM28" s="779"/>
      <c r="AN28" s="779"/>
      <c r="AO28" s="779"/>
      <c r="AP28" s="779"/>
      <c r="AQ28" s="779"/>
      <c r="AR28" s="12"/>
      <c r="AS28" s="12"/>
      <c r="AT28" s="12"/>
      <c r="AU28" s="12"/>
      <c r="AV28" s="12"/>
      <c r="AW28" s="12"/>
      <c r="AX28" s="12"/>
      <c r="AY28" s="12"/>
      <c r="AZ28" s="779"/>
      <c r="BA28" s="779"/>
      <c r="BB28" s="779"/>
      <c r="BC28" s="779"/>
      <c r="BD28" s="779"/>
      <c r="BE28" s="779"/>
      <c r="BF28" s="12"/>
      <c r="BG28" s="12"/>
      <c r="BH28" s="12"/>
      <c r="BI28" s="12"/>
      <c r="BJ28" s="12"/>
      <c r="BK28" s="12"/>
      <c r="BL28" s="779"/>
      <c r="BM28" s="779"/>
      <c r="BN28" s="779"/>
      <c r="BO28" s="779"/>
      <c r="BP28" s="779"/>
      <c r="BQ28" s="779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779"/>
      <c r="CF28" s="779"/>
      <c r="CG28" s="779"/>
      <c r="CH28" s="779"/>
      <c r="CI28" s="779"/>
      <c r="CJ28" s="779"/>
      <c r="CK28" s="6"/>
      <c r="CL28" s="6"/>
      <c r="CM28" s="6"/>
      <c r="CN28" s="6"/>
      <c r="CO28" s="6"/>
      <c r="CP28" s="6"/>
      <c r="CQ28" s="6"/>
      <c r="CR28" s="6"/>
      <c r="CS28" s="6"/>
      <c r="CT28" s="12"/>
      <c r="CU28" s="12"/>
      <c r="CV28" s="6"/>
      <c r="CW28" s="779"/>
      <c r="CX28" s="779"/>
      <c r="CY28" s="779"/>
      <c r="CZ28" s="779"/>
      <c r="DA28" s="779"/>
      <c r="DB28" s="779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12"/>
      <c r="DO28" s="12"/>
      <c r="DQ28" s="779"/>
      <c r="DR28" s="779"/>
      <c r="DS28" s="779"/>
      <c r="DT28" s="779"/>
      <c r="DU28" s="779"/>
      <c r="DV28" s="779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12"/>
      <c r="EI28" s="12"/>
      <c r="EK28" s="779"/>
      <c r="EL28" s="779"/>
      <c r="EM28" s="779"/>
      <c r="EN28" s="779"/>
      <c r="EO28" s="779"/>
      <c r="EP28" s="779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12"/>
      <c r="FN28" s="12"/>
      <c r="FP28" s="779"/>
      <c r="FQ28" s="779"/>
      <c r="FR28" s="779"/>
      <c r="FS28" s="779"/>
      <c r="FT28" s="779"/>
      <c r="FU28" s="779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12"/>
      <c r="GK28" s="12"/>
      <c r="GM28" s="779"/>
      <c r="GN28" s="779"/>
      <c r="GO28" s="779"/>
      <c r="GP28" s="779"/>
      <c r="GQ28" s="779"/>
      <c r="GR28" s="779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12"/>
      <c r="HF28" s="12"/>
      <c r="HH28" s="779"/>
      <c r="HI28" s="779"/>
      <c r="HJ28" s="779"/>
      <c r="HK28" s="779"/>
      <c r="HL28" s="779"/>
      <c r="HM28" s="779"/>
      <c r="HN28" s="6"/>
      <c r="HO28" s="6"/>
      <c r="HP28" s="12"/>
      <c r="HQ28" s="12"/>
      <c r="HS28" s="779"/>
      <c r="HT28" s="779"/>
      <c r="HU28" s="779"/>
      <c r="HV28" s="779"/>
      <c r="HW28" s="779"/>
      <c r="HX28" s="779"/>
      <c r="HY28" s="6"/>
      <c r="HZ28" s="6"/>
      <c r="IA28" s="12"/>
      <c r="IB28" s="12"/>
    </row>
    <row r="29" spans="1:236" ht="14.45" customHeight="1" x14ac:dyDescent="0.25">
      <c r="A29" s="47"/>
      <c r="B29" s="14"/>
      <c r="C29" s="777" t="s">
        <v>167</v>
      </c>
      <c r="D29" s="777"/>
      <c r="E29" s="777"/>
      <c r="F29" s="777"/>
      <c r="G29" s="777"/>
      <c r="H29" s="102"/>
      <c r="I29" s="13"/>
      <c r="J29" s="13"/>
      <c r="K29" s="13"/>
      <c r="L29" s="19">
        <f t="shared" si="0"/>
        <v>0</v>
      </c>
      <c r="M29" s="19">
        <f t="shared" si="1"/>
        <v>0</v>
      </c>
      <c r="N29" s="12"/>
      <c r="R29" s="776"/>
      <c r="S29" s="776"/>
      <c r="T29" s="776"/>
      <c r="U29" s="12"/>
      <c r="V29" s="12"/>
      <c r="W29" s="12"/>
      <c r="X29" s="12"/>
      <c r="Y29" s="12"/>
      <c r="Z29" s="6"/>
      <c r="AA29" s="779"/>
      <c r="AB29" s="779"/>
      <c r="AC29" s="779"/>
      <c r="AD29" s="779"/>
      <c r="AE29" s="779"/>
      <c r="AF29" s="779"/>
      <c r="AG29" s="12"/>
      <c r="AH29" s="12"/>
      <c r="AI29" s="12"/>
      <c r="AJ29" s="12"/>
      <c r="AL29" s="779"/>
      <c r="AM29" s="779"/>
      <c r="AN29" s="779"/>
      <c r="AO29" s="779"/>
      <c r="AP29" s="779"/>
      <c r="AQ29" s="779"/>
      <c r="AR29" s="12"/>
      <c r="AS29" s="12"/>
      <c r="AT29" s="12"/>
      <c r="AU29" s="12"/>
      <c r="AV29" s="12"/>
      <c r="AW29" s="12"/>
      <c r="AX29" s="12"/>
      <c r="AY29" s="12"/>
      <c r="AZ29" s="779"/>
      <c r="BA29" s="779"/>
      <c r="BB29" s="779"/>
      <c r="BC29" s="779"/>
      <c r="BD29" s="779"/>
      <c r="BE29" s="779"/>
      <c r="BF29" s="12"/>
      <c r="BG29" s="12"/>
      <c r="BH29" s="12"/>
      <c r="BI29" s="12"/>
      <c r="BJ29" s="12"/>
      <c r="BK29" s="12"/>
      <c r="BL29" s="779"/>
      <c r="BM29" s="779"/>
      <c r="BN29" s="779"/>
      <c r="BO29" s="779"/>
      <c r="BP29" s="779"/>
      <c r="BQ29" s="779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779"/>
      <c r="CF29" s="779"/>
      <c r="CG29" s="779"/>
      <c r="CH29" s="779"/>
      <c r="CI29" s="779"/>
      <c r="CJ29" s="779"/>
      <c r="CK29" s="6"/>
      <c r="CL29" s="6"/>
      <c r="CM29" s="6"/>
      <c r="CN29" s="6"/>
      <c r="CO29" s="6"/>
      <c r="CP29" s="6"/>
      <c r="CQ29" s="6"/>
      <c r="CR29" s="6"/>
      <c r="CS29" s="6"/>
      <c r="CT29" s="12"/>
      <c r="CU29" s="12"/>
      <c r="CV29" s="6"/>
      <c r="CW29" s="779"/>
      <c r="CX29" s="779"/>
      <c r="CY29" s="779"/>
      <c r="CZ29" s="779"/>
      <c r="DA29" s="779"/>
      <c r="DB29" s="779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12"/>
      <c r="DO29" s="12"/>
      <c r="DQ29" s="779"/>
      <c r="DR29" s="779"/>
      <c r="DS29" s="779"/>
      <c r="DT29" s="779"/>
      <c r="DU29" s="779"/>
      <c r="DV29" s="779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12"/>
      <c r="EI29" s="12"/>
      <c r="EK29" s="779"/>
      <c r="EL29" s="779"/>
      <c r="EM29" s="779"/>
      <c r="EN29" s="779"/>
      <c r="EO29" s="779"/>
      <c r="EP29" s="779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12"/>
      <c r="FN29" s="12"/>
      <c r="FP29" s="779"/>
      <c r="FQ29" s="779"/>
      <c r="FR29" s="779"/>
      <c r="FS29" s="779"/>
      <c r="FT29" s="779"/>
      <c r="FU29" s="779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12"/>
      <c r="GK29" s="12"/>
      <c r="GM29" s="779"/>
      <c r="GN29" s="779"/>
      <c r="GO29" s="779"/>
      <c r="GP29" s="779"/>
      <c r="GQ29" s="779"/>
      <c r="GR29" s="779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12"/>
      <c r="HF29" s="12"/>
      <c r="HH29" s="779"/>
      <c r="HI29" s="779"/>
      <c r="HJ29" s="779"/>
      <c r="HK29" s="779"/>
      <c r="HL29" s="779"/>
      <c r="HM29" s="779"/>
      <c r="HN29" s="6"/>
      <c r="HO29" s="6"/>
      <c r="HP29" s="12"/>
      <c r="HQ29" s="12"/>
      <c r="HS29" s="779"/>
      <c r="HT29" s="779"/>
      <c r="HU29" s="779"/>
      <c r="HV29" s="779"/>
      <c r="HW29" s="779"/>
      <c r="HX29" s="779"/>
      <c r="HY29" s="6"/>
      <c r="HZ29" s="6"/>
      <c r="IA29" s="12"/>
      <c r="IB29" s="12"/>
    </row>
    <row r="30" spans="1:236" ht="14.45" customHeight="1" x14ac:dyDescent="0.25">
      <c r="A30" s="47"/>
      <c r="B30" s="14"/>
      <c r="C30" s="777" t="s">
        <v>134</v>
      </c>
      <c r="D30" s="777"/>
      <c r="E30" s="777"/>
      <c r="F30" s="777"/>
      <c r="G30" s="777"/>
      <c r="H30" s="102"/>
      <c r="I30" s="13"/>
      <c r="J30" s="13"/>
      <c r="K30" s="13"/>
      <c r="L30" s="19">
        <f t="shared" si="0"/>
        <v>0</v>
      </c>
      <c r="M30" s="19">
        <f t="shared" si="1"/>
        <v>0</v>
      </c>
      <c r="N30" s="12"/>
      <c r="R30" s="776"/>
      <c r="S30" s="776"/>
      <c r="T30" s="776"/>
      <c r="U30" s="12"/>
      <c r="V30" s="12"/>
      <c r="W30" s="12"/>
      <c r="X30" s="12"/>
      <c r="Y30" s="12"/>
      <c r="Z30" s="6"/>
      <c r="AA30" s="779"/>
      <c r="AB30" s="779"/>
      <c r="AC30" s="779"/>
      <c r="AD30" s="779"/>
      <c r="AE30" s="779"/>
      <c r="AF30" s="779"/>
      <c r="AG30" s="12"/>
      <c r="AH30" s="12"/>
      <c r="AI30" s="12"/>
      <c r="AJ30" s="12"/>
      <c r="AL30" s="779"/>
      <c r="AM30" s="779"/>
      <c r="AN30" s="779"/>
      <c r="AO30" s="779"/>
      <c r="AP30" s="779"/>
      <c r="AQ30" s="779"/>
      <c r="AR30" s="12"/>
      <c r="AS30" s="12"/>
      <c r="AT30" s="12"/>
      <c r="AU30" s="12"/>
      <c r="AV30" s="12"/>
      <c r="AW30" s="12"/>
      <c r="AX30" s="12"/>
      <c r="AY30" s="12"/>
      <c r="AZ30" s="779"/>
      <c r="BA30" s="779"/>
      <c r="BB30" s="779"/>
      <c r="BC30" s="779"/>
      <c r="BD30" s="779"/>
      <c r="BE30" s="779"/>
      <c r="BF30" s="12"/>
      <c r="BG30" s="12"/>
      <c r="BH30" s="12"/>
      <c r="BI30" s="12"/>
      <c r="BJ30" s="12"/>
      <c r="BK30" s="12"/>
      <c r="BL30" s="779"/>
      <c r="BM30" s="779"/>
      <c r="BN30" s="779"/>
      <c r="BO30" s="779"/>
      <c r="BP30" s="779"/>
      <c r="BQ30" s="779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779"/>
      <c r="CF30" s="779"/>
      <c r="CG30" s="779"/>
      <c r="CH30" s="779"/>
      <c r="CI30" s="779"/>
      <c r="CJ30" s="779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779"/>
      <c r="CX30" s="779"/>
      <c r="CY30" s="779"/>
      <c r="CZ30" s="779"/>
      <c r="DA30" s="779"/>
      <c r="DB30" s="779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Q30" s="779"/>
      <c r="DR30" s="779"/>
      <c r="DS30" s="779"/>
      <c r="DT30" s="779"/>
      <c r="DU30" s="779"/>
      <c r="DV30" s="779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G30" s="12"/>
      <c r="EH30" s="12"/>
      <c r="EI30" s="12"/>
      <c r="EK30" s="779"/>
      <c r="EL30" s="779"/>
      <c r="EM30" s="779"/>
      <c r="EN30" s="779"/>
      <c r="EO30" s="779"/>
      <c r="EP30" s="779"/>
      <c r="EQ30" s="12"/>
      <c r="ER30" s="12"/>
      <c r="ES30" s="12"/>
      <c r="ET30" s="12"/>
      <c r="EU30" s="12"/>
      <c r="EV30" s="12"/>
      <c r="EW30" s="12"/>
      <c r="EX30" s="12"/>
      <c r="EY30" s="12"/>
      <c r="EZ30" s="12"/>
      <c r="FA30" s="12"/>
      <c r="FB30" s="12"/>
      <c r="FC30" s="12"/>
      <c r="FD30" s="12"/>
      <c r="FE30" s="12"/>
      <c r="FF30" s="12"/>
      <c r="FG30" s="12"/>
      <c r="FH30" s="12"/>
      <c r="FI30" s="12"/>
      <c r="FJ30" s="12"/>
      <c r="FK30" s="12"/>
      <c r="FL30" s="12"/>
      <c r="FM30" s="12"/>
      <c r="FN30" s="12"/>
      <c r="FP30" s="779"/>
      <c r="FQ30" s="779"/>
      <c r="FR30" s="779"/>
      <c r="FS30" s="779"/>
      <c r="FT30" s="779"/>
      <c r="FU30" s="779"/>
      <c r="FV30" s="12"/>
      <c r="FW30" s="12"/>
      <c r="FX30" s="12"/>
      <c r="FY30" s="12"/>
      <c r="FZ30" s="12"/>
      <c r="GA30" s="12"/>
      <c r="GB30" s="12"/>
      <c r="GC30" s="12"/>
      <c r="GD30" s="12"/>
      <c r="GE30" s="12"/>
      <c r="GF30" s="12"/>
      <c r="GG30" s="12"/>
      <c r="GH30" s="12"/>
      <c r="GI30" s="12"/>
      <c r="GJ30" s="12"/>
      <c r="GK30" s="12"/>
      <c r="GM30" s="779"/>
      <c r="GN30" s="779"/>
      <c r="GO30" s="779"/>
      <c r="GP30" s="779"/>
      <c r="GQ30" s="779"/>
      <c r="GR30" s="779"/>
      <c r="GS30" s="12"/>
      <c r="GT30" s="12"/>
      <c r="GU30" s="12"/>
      <c r="GV30" s="12"/>
      <c r="GW30" s="12"/>
      <c r="GX30" s="12"/>
      <c r="GY30" s="12"/>
      <c r="GZ30" s="12"/>
      <c r="HA30" s="12"/>
      <c r="HB30" s="12"/>
      <c r="HC30" s="12"/>
      <c r="HD30" s="12"/>
      <c r="HE30" s="12"/>
      <c r="HF30" s="12"/>
      <c r="HH30" s="779"/>
      <c r="HI30" s="779"/>
      <c r="HJ30" s="779"/>
      <c r="HK30" s="779"/>
      <c r="HL30" s="779"/>
      <c r="HM30" s="779"/>
      <c r="HN30" s="6"/>
      <c r="HO30" s="12"/>
      <c r="HP30" s="12"/>
      <c r="HQ30" s="12"/>
      <c r="HS30" s="779"/>
      <c r="HT30" s="779"/>
      <c r="HU30" s="779"/>
      <c r="HV30" s="779"/>
      <c r="HW30" s="779"/>
      <c r="HX30" s="779"/>
      <c r="HY30" s="6"/>
      <c r="HZ30" s="12"/>
      <c r="IA30" s="12"/>
      <c r="IB30" s="12"/>
    </row>
    <row r="31" spans="1:236" ht="14.45" customHeight="1" x14ac:dyDescent="0.25">
      <c r="A31" s="47"/>
      <c r="B31" s="12"/>
      <c r="C31" s="777" t="s">
        <v>135</v>
      </c>
      <c r="D31" s="777"/>
      <c r="E31" s="777"/>
      <c r="F31" s="777"/>
      <c r="G31" s="777"/>
      <c r="H31" s="102"/>
      <c r="I31" s="13"/>
      <c r="J31" s="13"/>
      <c r="K31" s="13"/>
      <c r="L31" s="19">
        <f t="shared" si="0"/>
        <v>0</v>
      </c>
      <c r="M31" s="19">
        <f t="shared" si="1"/>
        <v>0</v>
      </c>
      <c r="N31" s="12"/>
      <c r="R31" s="776"/>
      <c r="S31" s="776"/>
      <c r="T31" s="776"/>
      <c r="U31" s="12"/>
      <c r="V31" s="12"/>
      <c r="W31" s="12"/>
      <c r="X31" s="12"/>
      <c r="Y31" s="12"/>
      <c r="Z31" s="6"/>
      <c r="AA31" s="779"/>
      <c r="AB31" s="779"/>
      <c r="AC31" s="779"/>
      <c r="AD31" s="779"/>
      <c r="AE31" s="779"/>
      <c r="AF31" s="779"/>
      <c r="AG31" s="12"/>
      <c r="AH31" s="12"/>
      <c r="AI31" s="12"/>
      <c r="AJ31" s="12"/>
      <c r="AL31" s="779"/>
      <c r="AM31" s="779"/>
      <c r="AN31" s="779"/>
      <c r="AO31" s="779"/>
      <c r="AP31" s="779"/>
      <c r="AQ31" s="779"/>
      <c r="AR31" s="12"/>
      <c r="AS31" s="12"/>
      <c r="AT31" s="12"/>
      <c r="AU31" s="12"/>
      <c r="AV31" s="12"/>
      <c r="AW31" s="12"/>
      <c r="AX31" s="12"/>
      <c r="AY31" s="12"/>
      <c r="AZ31" s="779"/>
      <c r="BA31" s="779"/>
      <c r="BB31" s="779"/>
      <c r="BC31" s="779"/>
      <c r="BD31" s="779"/>
      <c r="BE31" s="779"/>
      <c r="BF31" s="12"/>
      <c r="BG31" s="12"/>
      <c r="BH31" s="12"/>
      <c r="BI31" s="12"/>
      <c r="BJ31" s="12"/>
      <c r="BK31" s="12"/>
      <c r="BL31" s="779"/>
      <c r="BM31" s="779"/>
      <c r="BN31" s="779"/>
      <c r="BO31" s="779"/>
      <c r="BP31" s="779"/>
      <c r="BQ31" s="779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779"/>
      <c r="CF31" s="779"/>
      <c r="CG31" s="779"/>
      <c r="CH31" s="779"/>
      <c r="CI31" s="779"/>
      <c r="CJ31" s="779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779"/>
      <c r="CX31" s="779"/>
      <c r="CY31" s="779"/>
      <c r="CZ31" s="779"/>
      <c r="DA31" s="779"/>
      <c r="DB31" s="779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Q31" s="779"/>
      <c r="DR31" s="779"/>
      <c r="DS31" s="779"/>
      <c r="DT31" s="779"/>
      <c r="DU31" s="779"/>
      <c r="DV31" s="779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K31" s="779"/>
      <c r="EL31" s="779"/>
      <c r="EM31" s="779"/>
      <c r="EN31" s="779"/>
      <c r="EO31" s="779"/>
      <c r="EP31" s="779"/>
      <c r="EQ31" s="12"/>
      <c r="ER31" s="12"/>
      <c r="ES31" s="12"/>
      <c r="ET31" s="12"/>
      <c r="EU31" s="12"/>
      <c r="EV31" s="12"/>
      <c r="EW31" s="12"/>
      <c r="EX31" s="12"/>
      <c r="EY31" s="12"/>
      <c r="EZ31" s="12"/>
      <c r="FA31" s="12"/>
      <c r="FB31" s="12"/>
      <c r="FC31" s="12"/>
      <c r="FD31" s="12"/>
      <c r="FE31" s="12"/>
      <c r="FF31" s="12"/>
      <c r="FG31" s="12"/>
      <c r="FH31" s="12"/>
      <c r="FI31" s="12"/>
      <c r="FJ31" s="12"/>
      <c r="FK31" s="12"/>
      <c r="FL31" s="12"/>
      <c r="FM31" s="12"/>
      <c r="FN31" s="12"/>
      <c r="FP31" s="779"/>
      <c r="FQ31" s="779"/>
      <c r="FR31" s="779"/>
      <c r="FS31" s="779"/>
      <c r="FT31" s="779"/>
      <c r="FU31" s="779"/>
      <c r="FV31" s="12"/>
      <c r="FW31" s="12"/>
      <c r="FX31" s="12"/>
      <c r="FY31" s="12"/>
      <c r="FZ31" s="12"/>
      <c r="GA31" s="12"/>
      <c r="GB31" s="12"/>
      <c r="GC31" s="12"/>
      <c r="GD31" s="12"/>
      <c r="GE31" s="12"/>
      <c r="GF31" s="12"/>
      <c r="GG31" s="12"/>
      <c r="GH31" s="12"/>
      <c r="GI31" s="12"/>
      <c r="GJ31" s="12"/>
      <c r="GK31" s="12"/>
      <c r="GM31" s="779"/>
      <c r="GN31" s="779"/>
      <c r="GO31" s="779"/>
      <c r="GP31" s="779"/>
      <c r="GQ31" s="779"/>
      <c r="GR31" s="779"/>
      <c r="GS31" s="12"/>
      <c r="GT31" s="12"/>
      <c r="GU31" s="12"/>
      <c r="GV31" s="12"/>
      <c r="GW31" s="12"/>
      <c r="GX31" s="12"/>
      <c r="GY31" s="12"/>
      <c r="GZ31" s="12"/>
      <c r="HA31" s="12"/>
      <c r="HB31" s="12"/>
      <c r="HC31" s="12"/>
      <c r="HD31" s="12"/>
      <c r="HE31" s="12"/>
      <c r="HF31" s="12"/>
      <c r="HH31" s="779"/>
      <c r="HI31" s="779"/>
      <c r="HJ31" s="779"/>
      <c r="HK31" s="779"/>
      <c r="HL31" s="779"/>
      <c r="HM31" s="779"/>
      <c r="HN31" s="12"/>
      <c r="HO31" s="12"/>
      <c r="HP31" s="12"/>
      <c r="HQ31" s="12"/>
      <c r="HS31" s="779"/>
      <c r="HT31" s="779"/>
      <c r="HU31" s="779"/>
      <c r="HV31" s="779"/>
      <c r="HW31" s="779"/>
      <c r="HX31" s="779"/>
      <c r="HY31" s="12"/>
      <c r="HZ31" s="12"/>
      <c r="IA31" s="12"/>
      <c r="IB31" s="12"/>
    </row>
    <row r="32" spans="1:236" ht="14.45" customHeight="1" x14ac:dyDescent="0.25">
      <c r="A32" s="47"/>
      <c r="B32" s="12"/>
      <c r="C32" s="777" t="s">
        <v>136</v>
      </c>
      <c r="D32" s="777"/>
      <c r="E32" s="777"/>
      <c r="F32" s="777"/>
      <c r="G32" s="777"/>
      <c r="H32" s="102"/>
      <c r="I32" s="13"/>
      <c r="J32" s="13"/>
      <c r="K32" s="13"/>
      <c r="L32" s="19">
        <f t="shared" si="0"/>
        <v>0</v>
      </c>
      <c r="M32" s="19">
        <f t="shared" si="1"/>
        <v>0</v>
      </c>
      <c r="N32" s="12"/>
      <c r="R32" s="776"/>
      <c r="S32" s="776"/>
      <c r="T32" s="776"/>
      <c r="U32" s="12"/>
      <c r="V32" s="12"/>
      <c r="W32" s="12"/>
      <c r="X32" s="12"/>
      <c r="Y32" s="12"/>
      <c r="Z32" s="6"/>
      <c r="AA32" s="779"/>
      <c r="AB32" s="779"/>
      <c r="AC32" s="779"/>
      <c r="AD32" s="779"/>
      <c r="AE32" s="779"/>
      <c r="AF32" s="779"/>
      <c r="AG32" s="12"/>
      <c r="AH32" s="12"/>
      <c r="AI32" s="12"/>
      <c r="AJ32" s="12"/>
      <c r="AL32" s="779"/>
      <c r="AM32" s="779"/>
      <c r="AN32" s="779"/>
      <c r="AO32" s="779"/>
      <c r="AP32" s="779"/>
      <c r="AQ32" s="779"/>
      <c r="AR32" s="12"/>
      <c r="AS32" s="12"/>
      <c r="AT32" s="12"/>
      <c r="AU32" s="12"/>
      <c r="AV32" s="12"/>
      <c r="AW32" s="12"/>
      <c r="AX32" s="12"/>
      <c r="AY32" s="12"/>
      <c r="AZ32" s="779"/>
      <c r="BA32" s="779"/>
      <c r="BB32" s="779"/>
      <c r="BC32" s="779"/>
      <c r="BD32" s="779"/>
      <c r="BE32" s="779"/>
      <c r="BF32" s="12"/>
      <c r="BG32" s="12"/>
      <c r="BH32" s="12"/>
      <c r="BI32" s="12"/>
      <c r="BJ32" s="12"/>
      <c r="BK32" s="12"/>
      <c r="BL32" s="779"/>
      <c r="BM32" s="779"/>
      <c r="BN32" s="779"/>
      <c r="BO32" s="779"/>
      <c r="BP32" s="779"/>
      <c r="BQ32" s="779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779"/>
      <c r="CF32" s="779"/>
      <c r="CG32" s="779"/>
      <c r="CH32" s="779"/>
      <c r="CI32" s="779"/>
      <c r="CJ32" s="779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779"/>
      <c r="CX32" s="779"/>
      <c r="CY32" s="779"/>
      <c r="CZ32" s="779"/>
      <c r="DA32" s="779"/>
      <c r="DB32" s="779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Q32" s="779"/>
      <c r="DR32" s="779"/>
      <c r="DS32" s="779"/>
      <c r="DT32" s="779"/>
      <c r="DU32" s="779"/>
      <c r="DV32" s="779"/>
      <c r="DW32" s="12"/>
      <c r="DX32" s="12"/>
      <c r="DY32" s="12"/>
      <c r="DZ32" s="12"/>
      <c r="EA32" s="12"/>
      <c r="EB32" s="12"/>
      <c r="EC32" s="12"/>
      <c r="ED32" s="12"/>
      <c r="EE32" s="12"/>
      <c r="EF32" s="12"/>
      <c r="EG32" s="12"/>
      <c r="EH32" s="12"/>
      <c r="EI32" s="12"/>
      <c r="EK32" s="779"/>
      <c r="EL32" s="779"/>
      <c r="EM32" s="779"/>
      <c r="EN32" s="779"/>
      <c r="EO32" s="779"/>
      <c r="EP32" s="779"/>
      <c r="EQ32" s="12"/>
      <c r="ER32" s="12"/>
      <c r="ES32" s="12"/>
      <c r="ET32" s="12"/>
      <c r="EU32" s="12"/>
      <c r="EV32" s="12"/>
      <c r="EW32" s="12"/>
      <c r="EX32" s="12"/>
      <c r="EY32" s="12"/>
      <c r="EZ32" s="12"/>
      <c r="FA32" s="12"/>
      <c r="FB32" s="12"/>
      <c r="FC32" s="12"/>
      <c r="FD32" s="12"/>
      <c r="FE32" s="12"/>
      <c r="FF32" s="12"/>
      <c r="FG32" s="12"/>
      <c r="FH32" s="12"/>
      <c r="FI32" s="12"/>
      <c r="FJ32" s="12"/>
      <c r="FK32" s="12"/>
      <c r="FL32" s="12"/>
      <c r="FM32" s="12"/>
      <c r="FN32" s="12"/>
      <c r="FP32" s="779"/>
      <c r="FQ32" s="779"/>
      <c r="FR32" s="779"/>
      <c r="FS32" s="779"/>
      <c r="FT32" s="779"/>
      <c r="FU32" s="779"/>
      <c r="FV32" s="12"/>
      <c r="FW32" s="12"/>
      <c r="FX32" s="12"/>
      <c r="FY32" s="12"/>
      <c r="FZ32" s="12"/>
      <c r="GA32" s="12"/>
      <c r="GB32" s="12"/>
      <c r="GC32" s="12"/>
      <c r="GD32" s="12"/>
      <c r="GE32" s="12"/>
      <c r="GF32" s="12"/>
      <c r="GG32" s="12"/>
      <c r="GH32" s="12"/>
      <c r="GI32" s="12"/>
      <c r="GJ32" s="12"/>
      <c r="GK32" s="12"/>
      <c r="GM32" s="779"/>
      <c r="GN32" s="779"/>
      <c r="GO32" s="779"/>
      <c r="GP32" s="779"/>
      <c r="GQ32" s="779"/>
      <c r="GR32" s="779"/>
      <c r="GS32" s="12"/>
      <c r="GT32" s="12"/>
      <c r="GU32" s="12"/>
      <c r="GV32" s="12"/>
      <c r="GW32" s="12"/>
      <c r="GX32" s="12"/>
      <c r="GY32" s="12"/>
      <c r="GZ32" s="12"/>
      <c r="HA32" s="12"/>
      <c r="HB32" s="12"/>
      <c r="HC32" s="12"/>
      <c r="HD32" s="12"/>
      <c r="HE32" s="12"/>
      <c r="HF32" s="12"/>
      <c r="HH32" s="779"/>
      <c r="HI32" s="779"/>
      <c r="HJ32" s="779"/>
      <c r="HK32" s="779"/>
      <c r="HL32" s="779"/>
      <c r="HM32" s="779"/>
      <c r="HN32" s="12"/>
      <c r="HO32" s="12"/>
      <c r="HP32" s="12"/>
      <c r="HQ32" s="12"/>
      <c r="HS32" s="779"/>
      <c r="HT32" s="779"/>
      <c r="HU32" s="779"/>
      <c r="HV32" s="779"/>
      <c r="HW32" s="779"/>
      <c r="HX32" s="779"/>
      <c r="HY32" s="12"/>
      <c r="HZ32" s="12"/>
      <c r="IA32" s="12"/>
      <c r="IB32" s="12"/>
    </row>
    <row r="33" spans="1:236" ht="14.45" customHeight="1" x14ac:dyDescent="0.25">
      <c r="A33" s="47"/>
      <c r="B33" s="12"/>
      <c r="C33" s="777" t="s">
        <v>146</v>
      </c>
      <c r="D33" s="777"/>
      <c r="E33" s="777"/>
      <c r="F33" s="777"/>
      <c r="G33" s="777"/>
      <c r="H33" s="102"/>
      <c r="I33" s="13"/>
      <c r="J33" s="13"/>
      <c r="K33" s="13"/>
      <c r="L33" s="19">
        <f t="shared" si="0"/>
        <v>0</v>
      </c>
      <c r="M33" s="19">
        <f t="shared" si="1"/>
        <v>0</v>
      </c>
      <c r="N33" s="12"/>
      <c r="R33" s="776"/>
      <c r="S33" s="776"/>
      <c r="T33" s="776"/>
      <c r="U33" s="12"/>
      <c r="V33" s="12"/>
      <c r="W33" s="12"/>
      <c r="X33" s="12"/>
      <c r="Y33" s="12"/>
      <c r="Z33" s="6"/>
      <c r="AA33" s="779"/>
      <c r="AB33" s="779"/>
      <c r="AC33" s="779"/>
      <c r="AD33" s="779"/>
      <c r="AE33" s="779"/>
      <c r="AF33" s="779"/>
      <c r="AG33" s="12"/>
      <c r="AH33" s="12"/>
      <c r="AI33" s="12"/>
      <c r="AJ33" s="12"/>
      <c r="AL33" s="779"/>
      <c r="AM33" s="779"/>
      <c r="AN33" s="779"/>
      <c r="AO33" s="779"/>
      <c r="AP33" s="779"/>
      <c r="AQ33" s="779"/>
      <c r="AR33" s="12"/>
      <c r="AS33" s="12"/>
      <c r="AT33" s="12"/>
      <c r="AU33" s="12"/>
      <c r="AV33" s="12"/>
      <c r="AW33" s="12"/>
      <c r="AX33" s="12"/>
      <c r="AY33" s="12"/>
      <c r="AZ33" s="779"/>
      <c r="BA33" s="779"/>
      <c r="BB33" s="779"/>
      <c r="BC33" s="779"/>
      <c r="BD33" s="779"/>
      <c r="BE33" s="779"/>
      <c r="BF33" s="12"/>
      <c r="BG33" s="12"/>
      <c r="BH33" s="12"/>
      <c r="BI33" s="12"/>
      <c r="BJ33" s="12"/>
      <c r="BK33" s="12"/>
      <c r="BL33" s="779"/>
      <c r="BM33" s="779"/>
      <c r="BN33" s="779"/>
      <c r="BO33" s="779"/>
      <c r="BP33" s="779"/>
      <c r="BQ33" s="779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779"/>
      <c r="CF33" s="779"/>
      <c r="CG33" s="779"/>
      <c r="CH33" s="779"/>
      <c r="CI33" s="779"/>
      <c r="CJ33" s="779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779"/>
      <c r="CX33" s="779"/>
      <c r="CY33" s="779"/>
      <c r="CZ33" s="779"/>
      <c r="DA33" s="779"/>
      <c r="DB33" s="779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Q33" s="779"/>
      <c r="DR33" s="779"/>
      <c r="DS33" s="779"/>
      <c r="DT33" s="779"/>
      <c r="DU33" s="779"/>
      <c r="DV33" s="779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K33" s="779"/>
      <c r="EL33" s="779"/>
      <c r="EM33" s="779"/>
      <c r="EN33" s="779"/>
      <c r="EO33" s="779"/>
      <c r="EP33" s="779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P33" s="779"/>
      <c r="FQ33" s="779"/>
      <c r="FR33" s="779"/>
      <c r="FS33" s="779"/>
      <c r="FT33" s="779"/>
      <c r="FU33" s="779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M33" s="779"/>
      <c r="GN33" s="779"/>
      <c r="GO33" s="779"/>
      <c r="GP33" s="779"/>
      <c r="GQ33" s="779"/>
      <c r="GR33" s="779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  <c r="HF33" s="12"/>
      <c r="HH33" s="779"/>
      <c r="HI33" s="779"/>
      <c r="HJ33" s="779"/>
      <c r="HK33" s="779"/>
      <c r="HL33" s="779"/>
      <c r="HM33" s="779"/>
      <c r="HN33" s="12"/>
      <c r="HO33" s="12"/>
      <c r="HP33" s="12"/>
      <c r="HQ33" s="12"/>
      <c r="HS33" s="779"/>
      <c r="HT33" s="779"/>
      <c r="HU33" s="779"/>
      <c r="HV33" s="779"/>
      <c r="HW33" s="779"/>
      <c r="HX33" s="779"/>
      <c r="HY33" s="12"/>
      <c r="HZ33" s="12"/>
      <c r="IA33" s="12"/>
      <c r="IB33" s="12"/>
    </row>
    <row r="34" spans="1:236" ht="14.45" customHeight="1" x14ac:dyDescent="0.25">
      <c r="A34" s="47"/>
      <c r="B34" s="12"/>
      <c r="C34" s="777" t="s">
        <v>173</v>
      </c>
      <c r="D34" s="777"/>
      <c r="E34" s="777"/>
      <c r="F34" s="777"/>
      <c r="G34" s="777"/>
      <c r="H34" s="102"/>
      <c r="I34" s="13"/>
      <c r="J34" s="13"/>
      <c r="K34" s="13"/>
      <c r="L34" s="19">
        <f t="shared" si="0"/>
        <v>0</v>
      </c>
      <c r="M34" s="19">
        <f t="shared" si="1"/>
        <v>0</v>
      </c>
      <c r="N34" s="12"/>
      <c r="R34" s="776"/>
      <c r="S34" s="776"/>
      <c r="T34" s="776"/>
      <c r="U34" s="12"/>
      <c r="V34" s="12"/>
      <c r="W34" s="12"/>
      <c r="X34" s="12"/>
      <c r="Y34" s="12"/>
      <c r="Z34" s="6"/>
      <c r="AA34" s="779"/>
      <c r="AB34" s="779"/>
      <c r="AC34" s="779"/>
      <c r="AD34" s="779"/>
      <c r="AE34" s="779"/>
      <c r="AF34" s="779"/>
      <c r="AG34" s="12"/>
      <c r="AH34" s="12"/>
      <c r="AI34" s="12"/>
      <c r="AJ34" s="12"/>
      <c r="AL34" s="779"/>
      <c r="AM34" s="779"/>
      <c r="AN34" s="779"/>
      <c r="AO34" s="779"/>
      <c r="AP34" s="779"/>
      <c r="AQ34" s="779"/>
      <c r="AR34" s="12"/>
      <c r="AS34" s="12"/>
      <c r="AT34" s="12"/>
      <c r="AU34" s="12"/>
      <c r="AV34" s="12"/>
      <c r="AW34" s="12"/>
      <c r="AX34" s="12"/>
      <c r="AY34" s="12"/>
      <c r="AZ34" s="779"/>
      <c r="BA34" s="779"/>
      <c r="BB34" s="779"/>
      <c r="BC34" s="779"/>
      <c r="BD34" s="779"/>
      <c r="BE34" s="779"/>
      <c r="BF34" s="12"/>
      <c r="BG34" s="12"/>
      <c r="BH34" s="12"/>
      <c r="BI34" s="12"/>
      <c r="BJ34" s="12"/>
      <c r="BK34" s="12"/>
      <c r="BL34" s="779"/>
      <c r="BM34" s="779"/>
      <c r="BN34" s="779"/>
      <c r="BO34" s="779"/>
      <c r="BP34" s="779"/>
      <c r="BQ34" s="779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779"/>
      <c r="CF34" s="779"/>
      <c r="CG34" s="779"/>
      <c r="CH34" s="779"/>
      <c r="CI34" s="779"/>
      <c r="CJ34" s="779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779"/>
      <c r="CX34" s="779"/>
      <c r="CY34" s="779"/>
      <c r="CZ34" s="779"/>
      <c r="DA34" s="779"/>
      <c r="DB34" s="779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Q34" s="779"/>
      <c r="DR34" s="779"/>
      <c r="DS34" s="779"/>
      <c r="DT34" s="779"/>
      <c r="DU34" s="779"/>
      <c r="DV34" s="779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K34" s="779"/>
      <c r="EL34" s="779"/>
      <c r="EM34" s="779"/>
      <c r="EN34" s="779"/>
      <c r="EO34" s="779"/>
      <c r="EP34" s="779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2"/>
      <c r="FI34" s="12"/>
      <c r="FJ34" s="12"/>
      <c r="FK34" s="12"/>
      <c r="FL34" s="12"/>
      <c r="FM34" s="12"/>
      <c r="FN34" s="12"/>
      <c r="FP34" s="779"/>
      <c r="FQ34" s="779"/>
      <c r="FR34" s="779"/>
      <c r="FS34" s="779"/>
      <c r="FT34" s="779"/>
      <c r="FU34" s="779"/>
      <c r="FV34" s="12"/>
      <c r="FW34" s="12"/>
      <c r="FX34" s="12"/>
      <c r="FY34" s="12"/>
      <c r="FZ34" s="12"/>
      <c r="GA34" s="12"/>
      <c r="GB34" s="12"/>
      <c r="GC34" s="12"/>
      <c r="GD34" s="12"/>
      <c r="GE34" s="12"/>
      <c r="GF34" s="12"/>
      <c r="GG34" s="12"/>
      <c r="GH34" s="12"/>
      <c r="GI34" s="12"/>
      <c r="GJ34" s="12"/>
      <c r="GK34" s="12"/>
      <c r="GM34" s="779"/>
      <c r="GN34" s="779"/>
      <c r="GO34" s="779"/>
      <c r="GP34" s="779"/>
      <c r="GQ34" s="779"/>
      <c r="GR34" s="779"/>
      <c r="GS34" s="12"/>
      <c r="GT34" s="12"/>
      <c r="GU34" s="12"/>
      <c r="GV34" s="12"/>
      <c r="GW34" s="12"/>
      <c r="GX34" s="12"/>
      <c r="GY34" s="12"/>
      <c r="GZ34" s="12"/>
      <c r="HA34" s="12"/>
      <c r="HB34" s="12"/>
      <c r="HC34" s="12"/>
      <c r="HD34" s="12"/>
      <c r="HE34" s="12"/>
      <c r="HF34" s="12"/>
      <c r="HH34" s="779"/>
      <c r="HI34" s="779"/>
      <c r="HJ34" s="779"/>
      <c r="HK34" s="779"/>
      <c r="HL34" s="779"/>
      <c r="HM34" s="779"/>
      <c r="HN34" s="12"/>
      <c r="HO34" s="12"/>
      <c r="HP34" s="12"/>
      <c r="HQ34" s="12"/>
      <c r="HS34" s="779"/>
      <c r="HT34" s="779"/>
      <c r="HU34" s="779"/>
      <c r="HV34" s="779"/>
      <c r="HW34" s="779"/>
      <c r="HX34" s="779"/>
      <c r="HY34" s="12"/>
      <c r="HZ34" s="12"/>
      <c r="IA34" s="12"/>
      <c r="IB34" s="12"/>
    </row>
    <row r="35" spans="1:236" ht="14.45" customHeight="1" x14ac:dyDescent="0.25">
      <c r="A35" s="47"/>
      <c r="B35" s="12"/>
      <c r="C35" s="777" t="s">
        <v>209</v>
      </c>
      <c r="D35" s="777"/>
      <c r="E35" s="777"/>
      <c r="F35" s="777"/>
      <c r="G35" s="777"/>
      <c r="H35" s="102"/>
      <c r="I35" s="13"/>
      <c r="J35" s="13"/>
      <c r="K35" s="13"/>
      <c r="L35" s="19">
        <f t="shared" si="0"/>
        <v>0</v>
      </c>
      <c r="M35" s="19">
        <f t="shared" si="1"/>
        <v>0</v>
      </c>
      <c r="N35" s="12"/>
      <c r="R35" s="776"/>
      <c r="S35" s="776"/>
      <c r="T35" s="776"/>
      <c r="U35" s="12"/>
      <c r="V35" s="12"/>
      <c r="W35" s="12"/>
      <c r="X35" s="12"/>
      <c r="Y35" s="12"/>
      <c r="Z35" s="6"/>
      <c r="AA35" s="779"/>
      <c r="AB35" s="779"/>
      <c r="AC35" s="779"/>
      <c r="AD35" s="779"/>
      <c r="AE35" s="779"/>
      <c r="AF35" s="779"/>
      <c r="AG35" s="12"/>
      <c r="AH35" s="12"/>
      <c r="AI35" s="12"/>
      <c r="AJ35" s="12"/>
      <c r="AL35" s="779"/>
      <c r="AM35" s="779"/>
      <c r="AN35" s="779"/>
      <c r="AO35" s="779"/>
      <c r="AP35" s="779"/>
      <c r="AQ35" s="779"/>
      <c r="AR35" s="12"/>
      <c r="AS35" s="12"/>
      <c r="AT35" s="12"/>
      <c r="AU35" s="12"/>
      <c r="AV35" s="12"/>
      <c r="AW35" s="12"/>
      <c r="AX35" s="12"/>
      <c r="AY35" s="12"/>
      <c r="AZ35" s="779"/>
      <c r="BA35" s="779"/>
      <c r="BB35" s="779"/>
      <c r="BC35" s="779"/>
      <c r="BD35" s="779"/>
      <c r="BE35" s="779"/>
      <c r="BF35" s="12"/>
      <c r="BG35" s="12"/>
      <c r="BH35" s="12"/>
      <c r="BI35" s="12"/>
      <c r="BJ35" s="12"/>
      <c r="BK35" s="12"/>
      <c r="BL35" s="779"/>
      <c r="BM35" s="779"/>
      <c r="BN35" s="779"/>
      <c r="BO35" s="779"/>
      <c r="BP35" s="779"/>
      <c r="BQ35" s="779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779"/>
      <c r="CF35" s="779"/>
      <c r="CG35" s="779"/>
      <c r="CH35" s="779"/>
      <c r="CI35" s="779"/>
      <c r="CJ35" s="779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779"/>
      <c r="CX35" s="779"/>
      <c r="CY35" s="779"/>
      <c r="CZ35" s="779"/>
      <c r="DA35" s="779"/>
      <c r="DB35" s="779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Q35" s="779"/>
      <c r="DR35" s="779"/>
      <c r="DS35" s="779"/>
      <c r="DT35" s="779"/>
      <c r="DU35" s="779"/>
      <c r="DV35" s="779"/>
      <c r="DW35" s="12"/>
      <c r="DX35" s="12"/>
      <c r="DY35" s="12"/>
      <c r="DZ35" s="12"/>
      <c r="EA35" s="12"/>
      <c r="EB35" s="12"/>
      <c r="EC35" s="12"/>
      <c r="ED35" s="12"/>
      <c r="EE35" s="12"/>
      <c r="EF35" s="12"/>
      <c r="EG35" s="12"/>
      <c r="EH35" s="12"/>
      <c r="EI35" s="12"/>
      <c r="EK35" s="779"/>
      <c r="EL35" s="779"/>
      <c r="EM35" s="779"/>
      <c r="EN35" s="779"/>
      <c r="EO35" s="779"/>
      <c r="EP35" s="779"/>
      <c r="EQ35" s="12"/>
      <c r="ER35" s="12"/>
      <c r="ES35" s="131"/>
      <c r="ET35" s="12"/>
      <c r="EU35" s="12"/>
      <c r="EV35" s="12"/>
      <c r="EW35" s="12"/>
      <c r="EX35" s="12"/>
      <c r="EY35" s="12"/>
      <c r="EZ35" s="12"/>
      <c r="FA35" s="12"/>
      <c r="FB35" s="12"/>
      <c r="FC35" s="12"/>
      <c r="FD35" s="12"/>
      <c r="FE35" s="12"/>
      <c r="FF35" s="12"/>
      <c r="FG35" s="12"/>
      <c r="FH35" s="12"/>
      <c r="FI35" s="12"/>
      <c r="FJ35" s="12"/>
      <c r="FK35" s="12"/>
      <c r="FL35" s="12"/>
      <c r="FM35" s="12"/>
      <c r="FN35" s="12"/>
      <c r="FP35" s="779"/>
      <c r="FQ35" s="779"/>
      <c r="FR35" s="779"/>
      <c r="FS35" s="779"/>
      <c r="FT35" s="779"/>
      <c r="FU35" s="779"/>
      <c r="FV35" s="12"/>
      <c r="FW35" s="12"/>
      <c r="FX35" s="131"/>
      <c r="FY35" s="12"/>
      <c r="FZ35" s="12"/>
      <c r="GA35" s="12"/>
      <c r="GB35" s="12"/>
      <c r="GC35" s="12"/>
      <c r="GD35" s="12"/>
      <c r="GE35" s="12"/>
      <c r="GF35" s="12"/>
      <c r="GG35" s="12"/>
      <c r="GH35" s="12"/>
      <c r="GI35" s="12"/>
      <c r="GJ35" s="12"/>
      <c r="GK35" s="12"/>
      <c r="GM35" s="779"/>
      <c r="GN35" s="779"/>
      <c r="GO35" s="779"/>
      <c r="GP35" s="779"/>
      <c r="GQ35" s="779"/>
      <c r="GR35" s="779"/>
      <c r="GS35" s="12"/>
      <c r="GT35" s="131"/>
      <c r="GU35" s="12"/>
      <c r="GV35" s="12"/>
      <c r="GW35" s="12"/>
      <c r="GX35" s="12"/>
      <c r="GY35" s="12"/>
      <c r="GZ35" s="12"/>
      <c r="HA35" s="12"/>
      <c r="HB35" s="12"/>
      <c r="HC35" s="12"/>
      <c r="HD35" s="12"/>
      <c r="HE35" s="12"/>
      <c r="HF35" s="12"/>
      <c r="HH35" s="779"/>
      <c r="HI35" s="779"/>
      <c r="HJ35" s="779"/>
      <c r="HK35" s="779"/>
      <c r="HL35" s="779"/>
      <c r="HM35" s="779"/>
      <c r="HN35" s="12"/>
      <c r="HO35" s="131"/>
      <c r="HP35" s="12"/>
      <c r="HQ35" s="12"/>
      <c r="HS35" s="779"/>
      <c r="HT35" s="779"/>
      <c r="HU35" s="779"/>
      <c r="HV35" s="779"/>
      <c r="HW35" s="779"/>
      <c r="HX35" s="779"/>
      <c r="HY35" s="12"/>
      <c r="HZ35" s="131"/>
      <c r="IA35" s="12"/>
      <c r="IB35" s="12"/>
    </row>
    <row r="36" spans="1:236" ht="14.45" customHeight="1" x14ac:dyDescent="0.25">
      <c r="A36" s="47"/>
      <c r="B36" s="12"/>
      <c r="C36" s="777" t="s">
        <v>147</v>
      </c>
      <c r="D36" s="777"/>
      <c r="E36" s="777"/>
      <c r="F36" s="777"/>
      <c r="G36" s="777"/>
      <c r="H36" s="102">
        <v>4.55</v>
      </c>
      <c r="I36" s="13">
        <v>15</v>
      </c>
      <c r="J36" s="13"/>
      <c r="K36" s="13"/>
      <c r="L36" s="19">
        <f>SUM(I36:K36)</f>
        <v>15</v>
      </c>
      <c r="M36" s="19">
        <f t="shared" si="1"/>
        <v>68.25</v>
      </c>
      <c r="N36" s="12"/>
      <c r="R36" s="776"/>
      <c r="S36" s="776"/>
      <c r="T36" s="776"/>
      <c r="U36" s="12"/>
      <c r="V36" s="12"/>
      <c r="W36" s="12"/>
      <c r="X36" s="12"/>
      <c r="Y36" s="12"/>
      <c r="Z36" s="6"/>
      <c r="AA36" s="779"/>
      <c r="AB36" s="779"/>
      <c r="AC36" s="779"/>
      <c r="AD36" s="779"/>
      <c r="AE36" s="779"/>
      <c r="AF36" s="779"/>
      <c r="AG36" s="12"/>
      <c r="AH36" s="12"/>
      <c r="AI36" s="12"/>
      <c r="AJ36" s="12"/>
      <c r="AL36" s="779"/>
      <c r="AM36" s="779"/>
      <c r="AN36" s="779"/>
      <c r="AO36" s="779"/>
      <c r="AP36" s="779"/>
      <c r="AQ36" s="779"/>
      <c r="AR36" s="12"/>
      <c r="AS36" s="12"/>
      <c r="AT36" s="12"/>
      <c r="AU36" s="12"/>
      <c r="AV36" s="12"/>
      <c r="AW36" s="12"/>
      <c r="AX36" s="12"/>
      <c r="AY36" s="12"/>
      <c r="AZ36" s="779"/>
      <c r="BA36" s="779"/>
      <c r="BB36" s="779"/>
      <c r="BC36" s="779"/>
      <c r="BD36" s="779"/>
      <c r="BE36" s="779"/>
      <c r="BF36" s="12"/>
      <c r="BG36" s="12"/>
      <c r="BH36" s="12"/>
      <c r="BI36" s="12"/>
      <c r="BJ36" s="12"/>
      <c r="BK36" s="12"/>
      <c r="BL36" s="779"/>
      <c r="BM36" s="779"/>
      <c r="BN36" s="779"/>
      <c r="BO36" s="779"/>
      <c r="BP36" s="779"/>
      <c r="BQ36" s="779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779"/>
      <c r="CF36" s="779"/>
      <c r="CG36" s="779"/>
      <c r="CH36" s="779"/>
      <c r="CI36" s="779"/>
      <c r="CJ36" s="779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779"/>
      <c r="CX36" s="779"/>
      <c r="CY36" s="779"/>
      <c r="CZ36" s="779"/>
      <c r="DA36" s="779"/>
      <c r="DB36" s="779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Q36" s="779"/>
      <c r="DR36" s="779"/>
      <c r="DS36" s="779"/>
      <c r="DT36" s="779"/>
      <c r="DU36" s="779"/>
      <c r="DV36" s="779"/>
      <c r="DW36" s="12"/>
      <c r="DX36" s="12"/>
      <c r="DY36" s="12"/>
      <c r="DZ36" s="12"/>
      <c r="EA36" s="12"/>
      <c r="EB36" s="12"/>
      <c r="EC36" s="12"/>
      <c r="ED36" s="12"/>
      <c r="EE36" s="12"/>
      <c r="EF36" s="12"/>
      <c r="EG36" s="12"/>
      <c r="EH36" s="12"/>
      <c r="EI36" s="12"/>
      <c r="EK36" s="779"/>
      <c r="EL36" s="779"/>
      <c r="EM36" s="779"/>
      <c r="EN36" s="779"/>
      <c r="EO36" s="779"/>
      <c r="EP36" s="779"/>
      <c r="EQ36" s="12"/>
      <c r="ER36" s="12"/>
      <c r="ES36" s="12"/>
      <c r="ET36" s="12"/>
      <c r="EU36" s="12"/>
      <c r="EV36" s="12"/>
      <c r="EW36" s="12"/>
      <c r="EX36" s="12"/>
      <c r="EY36" s="12"/>
      <c r="EZ36" s="12"/>
      <c r="FA36" s="12"/>
      <c r="FB36" s="12"/>
      <c r="FC36" s="12"/>
      <c r="FD36" s="12"/>
      <c r="FE36" s="12"/>
      <c r="FF36" s="12"/>
      <c r="FG36" s="12"/>
      <c r="FH36" s="12"/>
      <c r="FI36" s="12"/>
      <c r="FJ36" s="12"/>
      <c r="FK36" s="12"/>
      <c r="FL36" s="12"/>
      <c r="FM36" s="12"/>
      <c r="FN36" s="12"/>
      <c r="FP36" s="779"/>
      <c r="FQ36" s="779"/>
      <c r="FR36" s="779"/>
      <c r="FS36" s="779"/>
      <c r="FT36" s="779"/>
      <c r="FU36" s="779"/>
      <c r="FV36" s="12"/>
      <c r="FW36" s="12"/>
      <c r="FX36" s="12"/>
      <c r="FY36" s="12"/>
      <c r="FZ36" s="12"/>
      <c r="GA36" s="12"/>
      <c r="GB36" s="12"/>
      <c r="GC36" s="12"/>
      <c r="GD36" s="12"/>
      <c r="GE36" s="12"/>
      <c r="GF36" s="12"/>
      <c r="GG36" s="12"/>
      <c r="GH36" s="12"/>
      <c r="GI36" s="12"/>
      <c r="GJ36" s="12"/>
      <c r="GK36" s="12"/>
      <c r="GM36" s="779"/>
      <c r="GN36" s="779"/>
      <c r="GO36" s="779"/>
      <c r="GP36" s="779"/>
      <c r="GQ36" s="779"/>
      <c r="GR36" s="779"/>
      <c r="GS36" s="12"/>
      <c r="GT36" s="12"/>
      <c r="GU36" s="12"/>
      <c r="GV36" s="12"/>
      <c r="GW36" s="12"/>
      <c r="GX36" s="12"/>
      <c r="GY36" s="12"/>
      <c r="GZ36" s="12"/>
      <c r="HA36" s="12"/>
      <c r="HB36" s="12"/>
      <c r="HC36" s="12"/>
      <c r="HD36" s="12"/>
      <c r="HE36" s="12"/>
      <c r="HF36" s="12"/>
      <c r="HH36" s="779"/>
      <c r="HI36" s="779"/>
      <c r="HJ36" s="779"/>
      <c r="HK36" s="779"/>
      <c r="HL36" s="779"/>
      <c r="HM36" s="779"/>
      <c r="HN36" s="12"/>
      <c r="HO36" s="12"/>
      <c r="HP36" s="12"/>
      <c r="HQ36" s="12"/>
      <c r="HS36" s="779"/>
      <c r="HT36" s="779"/>
      <c r="HU36" s="779"/>
      <c r="HV36" s="779"/>
      <c r="HW36" s="779"/>
      <c r="HX36" s="779"/>
      <c r="HY36" s="12"/>
      <c r="HZ36" s="12"/>
      <c r="IA36" s="12"/>
      <c r="IB36" s="12"/>
    </row>
    <row r="37" spans="1:236" ht="14.45" customHeight="1" x14ac:dyDescent="0.25">
      <c r="A37" s="47"/>
      <c r="B37" s="12"/>
      <c r="C37" s="777" t="s">
        <v>168</v>
      </c>
      <c r="D37" s="777"/>
      <c r="E37" s="777"/>
      <c r="F37" s="777"/>
      <c r="G37" s="777"/>
      <c r="H37" s="102">
        <v>5.93</v>
      </c>
      <c r="I37" s="13">
        <v>15</v>
      </c>
      <c r="J37" s="13"/>
      <c r="K37" s="13"/>
      <c r="L37" s="19">
        <f t="shared" si="0"/>
        <v>15</v>
      </c>
      <c r="M37" s="19">
        <f t="shared" si="1"/>
        <v>88.949999999999989</v>
      </c>
      <c r="N37" s="12"/>
      <c r="R37" s="776"/>
      <c r="S37" s="776"/>
      <c r="T37" s="776"/>
      <c r="U37" s="12"/>
      <c r="V37" s="12"/>
      <c r="W37" s="12"/>
      <c r="X37" s="12"/>
      <c r="Y37" s="12"/>
      <c r="Z37" s="6"/>
      <c r="AA37" s="779"/>
      <c r="AB37" s="779"/>
      <c r="AC37" s="779"/>
      <c r="AD37" s="779"/>
      <c r="AE37" s="779"/>
      <c r="AF37" s="779"/>
      <c r="AG37" s="12"/>
      <c r="AH37" s="12"/>
      <c r="AI37" s="12"/>
      <c r="AJ37" s="12"/>
      <c r="AL37" s="779"/>
      <c r="AM37" s="779"/>
      <c r="AN37" s="779"/>
      <c r="AO37" s="779"/>
      <c r="AP37" s="779"/>
      <c r="AQ37" s="779"/>
      <c r="AR37" s="12"/>
      <c r="AS37" s="12"/>
      <c r="AT37" s="12"/>
      <c r="AU37" s="12"/>
      <c r="AV37" s="12"/>
      <c r="AW37" s="12"/>
      <c r="AX37" s="12"/>
      <c r="AY37" s="12"/>
      <c r="AZ37" s="779"/>
      <c r="BA37" s="779"/>
      <c r="BB37" s="779"/>
      <c r="BC37" s="779"/>
      <c r="BD37" s="779"/>
      <c r="BE37" s="779"/>
      <c r="BF37" s="12"/>
      <c r="BG37" s="12"/>
      <c r="BH37" s="12"/>
      <c r="BI37" s="12"/>
      <c r="BJ37" s="12"/>
      <c r="BK37" s="12"/>
      <c r="BL37" s="779"/>
      <c r="BM37" s="779"/>
      <c r="BN37" s="779"/>
      <c r="BO37" s="779"/>
      <c r="BP37" s="779"/>
      <c r="BQ37" s="779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779"/>
      <c r="CF37" s="779"/>
      <c r="CG37" s="779"/>
      <c r="CH37" s="779"/>
      <c r="CI37" s="779"/>
      <c r="CJ37" s="779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779"/>
      <c r="CX37" s="779"/>
      <c r="CY37" s="779"/>
      <c r="CZ37" s="779"/>
      <c r="DA37" s="779"/>
      <c r="DB37" s="779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Q37" s="779"/>
      <c r="DR37" s="779"/>
      <c r="DS37" s="779"/>
      <c r="DT37" s="779"/>
      <c r="DU37" s="779"/>
      <c r="DV37" s="779"/>
      <c r="DW37" s="12"/>
      <c r="DX37" s="12"/>
      <c r="DY37" s="12"/>
      <c r="DZ37" s="12"/>
      <c r="EA37" s="12"/>
      <c r="EB37" s="12"/>
      <c r="EC37" s="12"/>
      <c r="ED37" s="12"/>
      <c r="EE37" s="12"/>
      <c r="EF37" s="12"/>
      <c r="EG37" s="12"/>
      <c r="EH37" s="12"/>
      <c r="EI37" s="12"/>
      <c r="EK37" s="779"/>
      <c r="EL37" s="779"/>
      <c r="EM37" s="779"/>
      <c r="EN37" s="779"/>
      <c r="EO37" s="779"/>
      <c r="EP37" s="779"/>
      <c r="EQ37" s="12"/>
      <c r="ER37" s="12"/>
      <c r="ES37" s="12"/>
      <c r="ET37" s="12"/>
      <c r="EU37" s="12"/>
      <c r="EV37" s="12"/>
      <c r="EW37" s="12"/>
      <c r="EX37" s="12"/>
      <c r="EY37" s="12"/>
      <c r="EZ37" s="12"/>
      <c r="FA37" s="12"/>
      <c r="FB37" s="12"/>
      <c r="FC37" s="12"/>
      <c r="FD37" s="12"/>
      <c r="FE37" s="12"/>
      <c r="FF37" s="12"/>
      <c r="FG37" s="12"/>
      <c r="FH37" s="12"/>
      <c r="FI37" s="12"/>
      <c r="FJ37" s="12"/>
      <c r="FK37" s="12"/>
      <c r="FL37" s="12"/>
      <c r="FM37" s="12"/>
      <c r="FN37" s="12"/>
      <c r="FP37" s="779"/>
      <c r="FQ37" s="779"/>
      <c r="FR37" s="779"/>
      <c r="FS37" s="779"/>
      <c r="FT37" s="779"/>
      <c r="FU37" s="779"/>
      <c r="FV37" s="12"/>
      <c r="FW37" s="12"/>
      <c r="FX37" s="12"/>
      <c r="FY37" s="12"/>
      <c r="FZ37" s="12"/>
      <c r="GA37" s="12"/>
      <c r="GB37" s="12"/>
      <c r="GC37" s="12"/>
      <c r="GD37" s="12"/>
      <c r="GE37" s="12"/>
      <c r="GF37" s="12"/>
      <c r="GG37" s="12"/>
      <c r="GH37" s="12"/>
      <c r="GI37" s="12"/>
      <c r="GJ37" s="12"/>
      <c r="GK37" s="12"/>
      <c r="GM37" s="779"/>
      <c r="GN37" s="779"/>
      <c r="GO37" s="779"/>
      <c r="GP37" s="779"/>
      <c r="GQ37" s="779"/>
      <c r="GR37" s="779"/>
      <c r="GS37" s="12"/>
      <c r="GT37" s="12"/>
      <c r="GU37" s="12"/>
      <c r="GV37" s="12"/>
      <c r="GW37" s="12"/>
      <c r="GX37" s="12"/>
      <c r="GY37" s="12"/>
      <c r="GZ37" s="12"/>
      <c r="HA37" s="12"/>
      <c r="HB37" s="12"/>
      <c r="HC37" s="12"/>
      <c r="HD37" s="12"/>
      <c r="HE37" s="12"/>
      <c r="HF37" s="12"/>
      <c r="HH37" s="779"/>
      <c r="HI37" s="779"/>
      <c r="HJ37" s="779"/>
      <c r="HK37" s="779"/>
      <c r="HL37" s="779"/>
      <c r="HM37" s="779"/>
      <c r="HN37" s="12"/>
      <c r="HO37" s="12"/>
      <c r="HP37" s="12"/>
      <c r="HQ37" s="12"/>
      <c r="HS37" s="779"/>
      <c r="HT37" s="779"/>
      <c r="HU37" s="779"/>
      <c r="HV37" s="779"/>
      <c r="HW37" s="779"/>
      <c r="HX37" s="779"/>
      <c r="HY37" s="12"/>
      <c r="HZ37" s="12"/>
      <c r="IA37" s="12"/>
      <c r="IB37" s="12"/>
    </row>
    <row r="38" spans="1:236" ht="14.45" customHeight="1" x14ac:dyDescent="0.25">
      <c r="A38" s="47"/>
      <c r="B38" s="12"/>
      <c r="C38" s="777" t="s">
        <v>155</v>
      </c>
      <c r="D38" s="777"/>
      <c r="E38" s="777"/>
      <c r="F38" s="777"/>
      <c r="G38" s="777"/>
      <c r="H38" s="102"/>
      <c r="I38" s="13"/>
      <c r="J38" s="13"/>
      <c r="K38" s="13"/>
      <c r="L38" s="19">
        <f t="shared" si="0"/>
        <v>0</v>
      </c>
      <c r="M38" s="19">
        <f t="shared" si="1"/>
        <v>0</v>
      </c>
      <c r="N38" s="12"/>
      <c r="R38" s="776"/>
      <c r="S38" s="776"/>
      <c r="T38" s="776"/>
      <c r="U38" s="12"/>
      <c r="V38" s="12"/>
      <c r="W38" s="12"/>
      <c r="X38" s="12"/>
      <c r="Y38" s="12"/>
      <c r="Z38" s="6"/>
      <c r="AA38" s="779"/>
      <c r="AB38" s="779"/>
      <c r="AC38" s="779"/>
      <c r="AD38" s="779"/>
      <c r="AE38" s="779"/>
      <c r="AF38" s="779"/>
      <c r="AG38" s="12"/>
      <c r="AH38" s="12"/>
      <c r="AI38" s="12"/>
      <c r="AJ38" s="12"/>
      <c r="AL38" s="779"/>
      <c r="AM38" s="779"/>
      <c r="AN38" s="779"/>
      <c r="AO38" s="779"/>
      <c r="AP38" s="779"/>
      <c r="AQ38" s="779"/>
      <c r="AR38" s="12"/>
      <c r="AS38" s="12"/>
      <c r="AT38" s="12"/>
      <c r="AU38" s="12"/>
      <c r="AV38" s="12"/>
      <c r="AW38" s="12"/>
      <c r="AX38" s="12"/>
      <c r="AY38" s="12"/>
      <c r="AZ38" s="779"/>
      <c r="BA38" s="779"/>
      <c r="BB38" s="779"/>
      <c r="BC38" s="779"/>
      <c r="BD38" s="779"/>
      <c r="BE38" s="779"/>
      <c r="BF38" s="12"/>
      <c r="BG38" s="12"/>
      <c r="BH38" s="12"/>
      <c r="BI38" s="12"/>
      <c r="BJ38" s="12"/>
      <c r="BK38" s="12"/>
      <c r="BL38" s="779"/>
      <c r="BM38" s="779"/>
      <c r="BN38" s="779"/>
      <c r="BO38" s="779"/>
      <c r="BP38" s="779"/>
      <c r="BQ38" s="779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779"/>
      <c r="CF38" s="779"/>
      <c r="CG38" s="779"/>
      <c r="CH38" s="779"/>
      <c r="CI38" s="779"/>
      <c r="CJ38" s="779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779"/>
      <c r="CX38" s="779"/>
      <c r="CY38" s="779"/>
      <c r="CZ38" s="779"/>
      <c r="DA38" s="779"/>
      <c r="DB38" s="779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Q38" s="779"/>
      <c r="DR38" s="779"/>
      <c r="DS38" s="779"/>
      <c r="DT38" s="779"/>
      <c r="DU38" s="779"/>
      <c r="DV38" s="779"/>
      <c r="DW38" s="12"/>
      <c r="DX38" s="12"/>
      <c r="DY38" s="12"/>
      <c r="DZ38" s="12"/>
      <c r="EA38" s="12"/>
      <c r="EB38" s="12"/>
      <c r="EC38" s="12"/>
      <c r="ED38" s="12"/>
      <c r="EE38" s="12"/>
      <c r="EF38" s="12"/>
      <c r="EG38" s="12"/>
      <c r="EH38" s="12"/>
      <c r="EI38" s="12"/>
      <c r="EK38" s="779"/>
      <c r="EL38" s="779"/>
      <c r="EM38" s="779"/>
      <c r="EN38" s="779"/>
      <c r="EO38" s="779"/>
      <c r="EP38" s="779"/>
      <c r="EQ38" s="12"/>
      <c r="ER38" s="12"/>
      <c r="ES38" s="12"/>
      <c r="ET38" s="12"/>
      <c r="EU38" s="12"/>
      <c r="EV38" s="12"/>
      <c r="EW38" s="12"/>
      <c r="EX38" s="12"/>
      <c r="EY38" s="12"/>
      <c r="EZ38" s="12"/>
      <c r="FA38" s="12"/>
      <c r="FB38" s="12"/>
      <c r="FC38" s="12"/>
      <c r="FD38" s="12"/>
      <c r="FE38" s="12"/>
      <c r="FF38" s="12"/>
      <c r="FG38" s="12"/>
      <c r="FH38" s="12"/>
      <c r="FI38" s="12"/>
      <c r="FJ38" s="12"/>
      <c r="FK38" s="12"/>
      <c r="FL38" s="12"/>
      <c r="FM38" s="12"/>
      <c r="FN38" s="12"/>
      <c r="FP38" s="779"/>
      <c r="FQ38" s="779"/>
      <c r="FR38" s="779"/>
      <c r="FS38" s="779"/>
      <c r="FT38" s="779"/>
      <c r="FU38" s="779"/>
      <c r="FV38" s="12"/>
      <c r="FW38" s="12"/>
      <c r="FX38" s="12"/>
      <c r="FY38" s="12"/>
      <c r="FZ38" s="12"/>
      <c r="GA38" s="12"/>
      <c r="GB38" s="12"/>
      <c r="GC38" s="12"/>
      <c r="GD38" s="12"/>
      <c r="GE38" s="12"/>
      <c r="GF38" s="12"/>
      <c r="GG38" s="12"/>
      <c r="GH38" s="12"/>
      <c r="GI38" s="12"/>
      <c r="GJ38" s="12"/>
      <c r="GK38" s="12"/>
      <c r="GM38" s="779"/>
      <c r="GN38" s="779"/>
      <c r="GO38" s="779"/>
      <c r="GP38" s="779"/>
      <c r="GQ38" s="779"/>
      <c r="GR38" s="779"/>
      <c r="GS38" s="12"/>
      <c r="GT38" s="12"/>
      <c r="GU38" s="12"/>
      <c r="GV38" s="12"/>
      <c r="GW38" s="12"/>
      <c r="GX38" s="12"/>
      <c r="GY38" s="12"/>
      <c r="GZ38" s="12"/>
      <c r="HA38" s="12"/>
      <c r="HB38" s="12"/>
      <c r="HC38" s="12"/>
      <c r="HD38" s="12"/>
      <c r="HE38" s="12"/>
      <c r="HF38" s="12"/>
      <c r="HH38" s="779"/>
      <c r="HI38" s="779"/>
      <c r="HJ38" s="779"/>
      <c r="HK38" s="779"/>
      <c r="HL38" s="779"/>
      <c r="HM38" s="779"/>
      <c r="HN38" s="12"/>
      <c r="HO38" s="12"/>
      <c r="HP38" s="12"/>
      <c r="HQ38" s="12"/>
      <c r="HS38" s="779"/>
      <c r="HT38" s="779"/>
      <c r="HU38" s="779"/>
      <c r="HV38" s="779"/>
      <c r="HW38" s="779"/>
      <c r="HX38" s="779"/>
      <c r="HY38" s="12"/>
      <c r="HZ38" s="12"/>
      <c r="IA38" s="12"/>
      <c r="IB38" s="12"/>
    </row>
    <row r="39" spans="1:236" ht="14.45" customHeight="1" x14ac:dyDescent="0.25">
      <c r="A39" s="47"/>
      <c r="B39" s="12"/>
      <c r="C39" s="777" t="s">
        <v>149</v>
      </c>
      <c r="D39" s="777"/>
      <c r="E39" s="777"/>
      <c r="F39" s="777"/>
      <c r="G39" s="777"/>
      <c r="H39" s="102"/>
      <c r="I39" s="13"/>
      <c r="J39" s="13"/>
      <c r="K39" s="13"/>
      <c r="L39" s="19">
        <f t="shared" si="0"/>
        <v>0</v>
      </c>
      <c r="M39" s="19">
        <f t="shared" si="1"/>
        <v>0</v>
      </c>
      <c r="N39" s="12"/>
      <c r="R39" s="776"/>
      <c r="S39" s="776"/>
      <c r="T39" s="776"/>
      <c r="U39" s="12"/>
      <c r="V39" s="12"/>
      <c r="W39" s="12"/>
      <c r="X39" s="12"/>
      <c r="Y39" s="12"/>
      <c r="Z39" s="6"/>
      <c r="AA39" s="779"/>
      <c r="AB39" s="779"/>
      <c r="AC39" s="779"/>
      <c r="AD39" s="779"/>
      <c r="AE39" s="779"/>
      <c r="AF39" s="779"/>
      <c r="AG39" s="12"/>
      <c r="AH39" s="12"/>
      <c r="AI39" s="12"/>
      <c r="AJ39" s="12"/>
      <c r="AL39" s="779"/>
      <c r="AM39" s="779"/>
      <c r="AN39" s="779"/>
      <c r="AO39" s="779"/>
      <c r="AP39" s="779"/>
      <c r="AQ39" s="779"/>
      <c r="AR39" s="12"/>
      <c r="AS39" s="12"/>
      <c r="AT39" s="12"/>
      <c r="AU39" s="12"/>
      <c r="AV39" s="12"/>
      <c r="AW39" s="12"/>
      <c r="AX39" s="12"/>
      <c r="AY39" s="12"/>
      <c r="AZ39" s="779"/>
      <c r="BA39" s="779"/>
      <c r="BB39" s="779"/>
      <c r="BC39" s="779"/>
      <c r="BD39" s="779"/>
      <c r="BE39" s="779"/>
      <c r="BF39" s="12"/>
      <c r="BG39" s="12"/>
      <c r="BH39" s="12"/>
      <c r="BI39" s="12"/>
      <c r="BJ39" s="12"/>
      <c r="BK39" s="12"/>
      <c r="BL39" s="779"/>
      <c r="BM39" s="779"/>
      <c r="BN39" s="779"/>
      <c r="BO39" s="779"/>
      <c r="BP39" s="779"/>
      <c r="BQ39" s="779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779"/>
      <c r="CF39" s="779"/>
      <c r="CG39" s="779"/>
      <c r="CH39" s="779"/>
      <c r="CI39" s="779"/>
      <c r="CJ39" s="779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779"/>
      <c r="CX39" s="779"/>
      <c r="CY39" s="779"/>
      <c r="CZ39" s="779"/>
      <c r="DA39" s="779"/>
      <c r="DB39" s="779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Q39" s="779"/>
      <c r="DR39" s="779"/>
      <c r="DS39" s="779"/>
      <c r="DT39" s="779"/>
      <c r="DU39" s="779"/>
      <c r="DV39" s="779"/>
      <c r="DW39" s="12"/>
      <c r="DX39" s="12"/>
      <c r="DY39" s="12"/>
      <c r="DZ39" s="12"/>
      <c r="EA39" s="12"/>
      <c r="EB39" s="12"/>
      <c r="EC39" s="12"/>
      <c r="ED39" s="12"/>
      <c r="EE39" s="12"/>
      <c r="EF39" s="12"/>
      <c r="EG39" s="12"/>
      <c r="EH39" s="12"/>
      <c r="EI39" s="12"/>
      <c r="EK39" s="779"/>
      <c r="EL39" s="779"/>
      <c r="EM39" s="779"/>
      <c r="EN39" s="779"/>
      <c r="EO39" s="779"/>
      <c r="EP39" s="779"/>
      <c r="EQ39" s="12"/>
      <c r="ER39" s="12"/>
      <c r="ES39" s="12"/>
      <c r="ET39" s="12"/>
      <c r="EU39" s="12"/>
      <c r="EV39" s="12"/>
      <c r="EW39" s="12"/>
      <c r="EX39" s="12"/>
      <c r="EY39" s="12"/>
      <c r="EZ39" s="12"/>
      <c r="FA39" s="12"/>
      <c r="FB39" s="12"/>
      <c r="FC39" s="12"/>
      <c r="FD39" s="12"/>
      <c r="FE39" s="12"/>
      <c r="FF39" s="12"/>
      <c r="FG39" s="12"/>
      <c r="FH39" s="12"/>
      <c r="FI39" s="12"/>
      <c r="FJ39" s="12"/>
      <c r="FK39" s="12"/>
      <c r="FL39" s="12"/>
      <c r="FM39" s="12"/>
      <c r="FN39" s="12"/>
      <c r="FP39" s="779"/>
      <c r="FQ39" s="779"/>
      <c r="FR39" s="779"/>
      <c r="FS39" s="779"/>
      <c r="FT39" s="779"/>
      <c r="FU39" s="779"/>
      <c r="FV39" s="12"/>
      <c r="FW39" s="12"/>
      <c r="FX39" s="12"/>
      <c r="FY39" s="12"/>
      <c r="FZ39" s="12"/>
      <c r="GA39" s="12"/>
      <c r="GB39" s="12"/>
      <c r="GC39" s="12"/>
      <c r="GD39" s="12"/>
      <c r="GE39" s="12"/>
      <c r="GF39" s="12"/>
      <c r="GG39" s="12"/>
      <c r="GH39" s="12"/>
      <c r="GI39" s="12"/>
      <c r="GJ39" s="12"/>
      <c r="GK39" s="12"/>
      <c r="GM39" s="779"/>
      <c r="GN39" s="779"/>
      <c r="GO39" s="779"/>
      <c r="GP39" s="779"/>
      <c r="GQ39" s="779"/>
      <c r="GR39" s="779"/>
      <c r="GS39" s="12"/>
      <c r="GT39" s="12"/>
      <c r="GU39" s="12"/>
      <c r="GV39" s="12"/>
      <c r="GW39" s="12"/>
      <c r="GX39" s="12"/>
      <c r="GY39" s="12"/>
      <c r="GZ39" s="12"/>
      <c r="HA39" s="12"/>
      <c r="HB39" s="12"/>
      <c r="HC39" s="12"/>
      <c r="HD39" s="12"/>
      <c r="HE39" s="12"/>
      <c r="HF39" s="12"/>
      <c r="HH39" s="779"/>
      <c r="HI39" s="779"/>
      <c r="HJ39" s="779"/>
      <c r="HK39" s="779"/>
      <c r="HL39" s="779"/>
      <c r="HM39" s="779"/>
      <c r="HN39" s="12"/>
      <c r="HO39" s="12"/>
      <c r="HP39" s="12"/>
      <c r="HQ39" s="12"/>
      <c r="HS39" s="779"/>
      <c r="HT39" s="779"/>
      <c r="HU39" s="779"/>
      <c r="HV39" s="779"/>
      <c r="HW39" s="779"/>
      <c r="HX39" s="779"/>
      <c r="HY39" s="12"/>
      <c r="HZ39" s="12"/>
      <c r="IA39" s="12"/>
      <c r="IB39" s="12"/>
    </row>
    <row r="40" spans="1:236" ht="14.45" customHeight="1" x14ac:dyDescent="0.25">
      <c r="A40" s="47"/>
      <c r="B40" s="12"/>
      <c r="C40" s="777" t="s">
        <v>148</v>
      </c>
      <c r="D40" s="777"/>
      <c r="E40" s="777"/>
      <c r="F40" s="777"/>
      <c r="G40" s="777"/>
      <c r="H40" s="102">
        <v>5.54</v>
      </c>
      <c r="I40" s="13">
        <v>10</v>
      </c>
      <c r="J40" s="13"/>
      <c r="K40" s="13"/>
      <c r="L40" s="19">
        <f t="shared" si="0"/>
        <v>10</v>
      </c>
      <c r="M40" s="19">
        <f t="shared" si="1"/>
        <v>55.4</v>
      </c>
      <c r="N40" s="12"/>
      <c r="R40" s="776"/>
      <c r="S40" s="776"/>
      <c r="T40" s="776"/>
      <c r="U40" s="12"/>
      <c r="V40" s="12"/>
      <c r="W40" s="12"/>
      <c r="X40" s="12"/>
      <c r="Y40" s="12"/>
      <c r="Z40" s="6"/>
      <c r="AA40" s="779"/>
      <c r="AB40" s="779"/>
      <c r="AC40" s="779"/>
      <c r="AD40" s="779"/>
      <c r="AE40" s="779"/>
      <c r="AF40" s="779"/>
      <c r="AG40" s="12"/>
      <c r="AH40" s="12"/>
      <c r="AI40" s="12"/>
      <c r="AJ40" s="12"/>
      <c r="AL40" s="779"/>
      <c r="AM40" s="779"/>
      <c r="AN40" s="779"/>
      <c r="AO40" s="779"/>
      <c r="AP40" s="779"/>
      <c r="AQ40" s="779"/>
      <c r="AR40" s="12"/>
      <c r="AS40" s="12"/>
      <c r="AT40" s="12"/>
      <c r="AU40" s="12"/>
      <c r="AV40" s="12"/>
      <c r="AW40" s="12"/>
      <c r="AX40" s="12"/>
      <c r="AY40" s="12"/>
      <c r="AZ40" s="779"/>
      <c r="BA40" s="779"/>
      <c r="BB40" s="779"/>
      <c r="BC40" s="779"/>
      <c r="BD40" s="779"/>
      <c r="BE40" s="779"/>
      <c r="BF40" s="12"/>
      <c r="BG40" s="12"/>
      <c r="BH40" s="12"/>
      <c r="BI40" s="12"/>
      <c r="BJ40" s="12"/>
      <c r="BK40" s="12"/>
      <c r="BL40" s="779"/>
      <c r="BM40" s="779"/>
      <c r="BN40" s="779"/>
      <c r="BO40" s="779"/>
      <c r="BP40" s="779"/>
      <c r="BQ40" s="779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779"/>
      <c r="CF40" s="779"/>
      <c r="CG40" s="779"/>
      <c r="CH40" s="779"/>
      <c r="CI40" s="779"/>
      <c r="CJ40" s="779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779"/>
      <c r="CX40" s="779"/>
      <c r="CY40" s="779"/>
      <c r="CZ40" s="779"/>
      <c r="DA40" s="779"/>
      <c r="DB40" s="779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Q40" s="779"/>
      <c r="DR40" s="779"/>
      <c r="DS40" s="779"/>
      <c r="DT40" s="779"/>
      <c r="DU40" s="779"/>
      <c r="DV40" s="779"/>
      <c r="DW40" s="12"/>
      <c r="DX40" s="12"/>
      <c r="DY40" s="12"/>
      <c r="DZ40" s="12"/>
      <c r="EA40" s="12"/>
      <c r="EB40" s="12"/>
      <c r="EC40" s="12"/>
      <c r="ED40" s="12"/>
      <c r="EE40" s="12"/>
      <c r="EF40" s="12"/>
      <c r="EG40" s="12"/>
      <c r="EH40" s="12"/>
      <c r="EI40" s="12"/>
      <c r="EK40" s="779"/>
      <c r="EL40" s="779"/>
      <c r="EM40" s="779"/>
      <c r="EN40" s="779"/>
      <c r="EO40" s="779"/>
      <c r="EP40" s="779"/>
      <c r="EQ40" s="12"/>
      <c r="ER40" s="12"/>
      <c r="ES40" s="12"/>
      <c r="ET40" s="12"/>
      <c r="EU40" s="12"/>
      <c r="EV40" s="12"/>
      <c r="EW40" s="12"/>
      <c r="EX40" s="12"/>
      <c r="EY40" s="12"/>
      <c r="EZ40" s="12"/>
      <c r="FA40" s="12"/>
      <c r="FB40" s="12"/>
      <c r="FC40" s="12"/>
      <c r="FD40" s="12"/>
      <c r="FE40" s="12"/>
      <c r="FF40" s="12"/>
      <c r="FG40" s="12"/>
      <c r="FH40" s="12"/>
      <c r="FI40" s="12"/>
      <c r="FJ40" s="12"/>
      <c r="FK40" s="12"/>
      <c r="FL40" s="12"/>
      <c r="FM40" s="12"/>
      <c r="FN40" s="12"/>
      <c r="FP40" s="779"/>
      <c r="FQ40" s="779"/>
      <c r="FR40" s="779"/>
      <c r="FS40" s="779"/>
      <c r="FT40" s="779"/>
      <c r="FU40" s="779"/>
      <c r="FV40" s="12"/>
      <c r="FW40" s="12"/>
      <c r="FX40" s="12"/>
      <c r="FY40" s="12"/>
      <c r="FZ40" s="12"/>
      <c r="GA40" s="12"/>
      <c r="GB40" s="12"/>
      <c r="GC40" s="12"/>
      <c r="GD40" s="12"/>
      <c r="GE40" s="12"/>
      <c r="GF40" s="12"/>
      <c r="GG40" s="12"/>
      <c r="GH40" s="12"/>
      <c r="GI40" s="12"/>
      <c r="GJ40" s="12"/>
      <c r="GK40" s="12"/>
      <c r="GM40" s="779"/>
      <c r="GN40" s="779"/>
      <c r="GO40" s="779"/>
      <c r="GP40" s="779"/>
      <c r="GQ40" s="779"/>
      <c r="GR40" s="779"/>
      <c r="GS40" s="12"/>
      <c r="GT40" s="12"/>
      <c r="GU40" s="12"/>
      <c r="GV40" s="12"/>
      <c r="GW40" s="12"/>
      <c r="GX40" s="12"/>
      <c r="GY40" s="12"/>
      <c r="GZ40" s="12"/>
      <c r="HA40" s="12"/>
      <c r="HB40" s="12"/>
      <c r="HC40" s="12"/>
      <c r="HD40" s="12"/>
      <c r="HE40" s="12"/>
      <c r="HF40" s="12"/>
      <c r="HH40" s="779"/>
      <c r="HI40" s="779"/>
      <c r="HJ40" s="779"/>
      <c r="HK40" s="779"/>
      <c r="HL40" s="779"/>
      <c r="HM40" s="779"/>
      <c r="HN40" s="12"/>
      <c r="HO40" s="12"/>
      <c r="HP40" s="12"/>
      <c r="HQ40" s="12"/>
      <c r="HS40" s="779"/>
      <c r="HT40" s="779"/>
      <c r="HU40" s="779"/>
      <c r="HV40" s="779"/>
      <c r="HW40" s="779"/>
      <c r="HX40" s="779"/>
      <c r="HY40" s="12"/>
      <c r="HZ40" s="12"/>
      <c r="IA40" s="12"/>
      <c r="IB40" s="12"/>
    </row>
    <row r="41" spans="1:236" ht="14.45" customHeight="1" x14ac:dyDescent="0.25">
      <c r="A41" s="47"/>
      <c r="B41" s="12"/>
      <c r="C41" s="777" t="s">
        <v>150</v>
      </c>
      <c r="D41" s="777"/>
      <c r="E41" s="777"/>
      <c r="F41" s="777"/>
      <c r="G41" s="777"/>
      <c r="H41" s="102">
        <v>3.81</v>
      </c>
      <c r="I41" s="13">
        <v>10</v>
      </c>
      <c r="J41" s="13"/>
      <c r="K41" s="13"/>
      <c r="L41" s="19">
        <f t="shared" si="0"/>
        <v>10</v>
      </c>
      <c r="M41" s="19">
        <f t="shared" si="1"/>
        <v>38.1</v>
      </c>
      <c r="N41" s="12"/>
      <c r="R41" s="776"/>
      <c r="S41" s="776"/>
      <c r="T41" s="776"/>
      <c r="U41" s="12"/>
      <c r="V41" s="12"/>
      <c r="W41" s="12"/>
      <c r="X41" s="12"/>
      <c r="Y41" s="12"/>
      <c r="Z41" s="6"/>
      <c r="AA41" s="779"/>
      <c r="AB41" s="779"/>
      <c r="AC41" s="779"/>
      <c r="AD41" s="779"/>
      <c r="AE41" s="779"/>
      <c r="AF41" s="779"/>
      <c r="AG41" s="12"/>
      <c r="AH41" s="12"/>
      <c r="AI41" s="12"/>
      <c r="AJ41" s="12"/>
      <c r="AL41" s="779"/>
      <c r="AM41" s="779"/>
      <c r="AN41" s="779"/>
      <c r="AO41" s="779"/>
      <c r="AP41" s="779"/>
      <c r="AQ41" s="779"/>
      <c r="AR41" s="12"/>
      <c r="AS41" s="12"/>
      <c r="AT41" s="12"/>
      <c r="AU41" s="12"/>
      <c r="AV41" s="12"/>
      <c r="AW41" s="12"/>
      <c r="AX41" s="12"/>
      <c r="AY41" s="12"/>
      <c r="AZ41" s="779"/>
      <c r="BA41" s="779"/>
      <c r="BB41" s="779"/>
      <c r="BC41" s="779"/>
      <c r="BD41" s="779"/>
      <c r="BE41" s="779"/>
      <c r="BF41" s="12"/>
      <c r="BG41" s="12"/>
      <c r="BH41" s="12"/>
      <c r="BI41" s="12"/>
      <c r="BJ41" s="12"/>
      <c r="BK41" s="12"/>
      <c r="BL41" s="779"/>
      <c r="BM41" s="779"/>
      <c r="BN41" s="779"/>
      <c r="BO41" s="779"/>
      <c r="BP41" s="779"/>
      <c r="BQ41" s="779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779"/>
      <c r="CF41" s="779"/>
      <c r="CG41" s="779"/>
      <c r="CH41" s="779"/>
      <c r="CI41" s="779"/>
      <c r="CJ41" s="779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779"/>
      <c r="CX41" s="779"/>
      <c r="CY41" s="779"/>
      <c r="CZ41" s="779"/>
      <c r="DA41" s="779"/>
      <c r="DB41" s="779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Q41" s="779"/>
      <c r="DR41" s="779"/>
      <c r="DS41" s="779"/>
      <c r="DT41" s="779"/>
      <c r="DU41" s="779"/>
      <c r="DV41" s="779"/>
      <c r="DW41" s="12"/>
      <c r="DX41" s="12"/>
      <c r="DY41" s="12"/>
      <c r="DZ41" s="12"/>
      <c r="EA41" s="12"/>
      <c r="EB41" s="12"/>
      <c r="EC41" s="12"/>
      <c r="ED41" s="12"/>
      <c r="EE41" s="12"/>
      <c r="EF41" s="12"/>
      <c r="EG41" s="12"/>
      <c r="EH41" s="12"/>
      <c r="EI41" s="12"/>
      <c r="EK41" s="779"/>
      <c r="EL41" s="779"/>
      <c r="EM41" s="779"/>
      <c r="EN41" s="779"/>
      <c r="EO41" s="779"/>
      <c r="EP41" s="779"/>
      <c r="EQ41" s="12"/>
      <c r="ER41" s="12"/>
      <c r="ES41" s="12"/>
      <c r="ET41" s="12"/>
      <c r="EU41" s="12"/>
      <c r="EV41" s="12"/>
      <c r="EW41" s="12"/>
      <c r="EX41" s="12"/>
      <c r="EY41" s="12"/>
      <c r="EZ41" s="12"/>
      <c r="FA41" s="12"/>
      <c r="FB41" s="12"/>
      <c r="FC41" s="12"/>
      <c r="FD41" s="12"/>
      <c r="FE41" s="12"/>
      <c r="FF41" s="12"/>
      <c r="FG41" s="12"/>
      <c r="FH41" s="12"/>
      <c r="FI41" s="12"/>
      <c r="FJ41" s="12"/>
      <c r="FK41" s="12"/>
      <c r="FL41" s="12"/>
      <c r="FM41" s="12"/>
      <c r="FN41" s="12"/>
      <c r="FP41" s="779"/>
      <c r="FQ41" s="779"/>
      <c r="FR41" s="779"/>
      <c r="FS41" s="779"/>
      <c r="FT41" s="779"/>
      <c r="FU41" s="779"/>
      <c r="FV41" s="12"/>
      <c r="FW41" s="12"/>
      <c r="FX41" s="12"/>
      <c r="FY41" s="12"/>
      <c r="FZ41" s="12"/>
      <c r="GA41" s="12"/>
      <c r="GB41" s="12"/>
      <c r="GC41" s="12"/>
      <c r="GD41" s="12"/>
      <c r="GE41" s="12"/>
      <c r="GF41" s="12"/>
      <c r="GG41" s="12"/>
      <c r="GH41" s="12"/>
      <c r="GI41" s="12"/>
      <c r="GJ41" s="12"/>
      <c r="GK41" s="12"/>
      <c r="GM41" s="779"/>
      <c r="GN41" s="779"/>
      <c r="GO41" s="779"/>
      <c r="GP41" s="779"/>
      <c r="GQ41" s="779"/>
      <c r="GR41" s="779"/>
      <c r="GS41" s="12"/>
      <c r="GT41" s="12"/>
      <c r="GU41" s="12"/>
      <c r="GV41" s="12"/>
      <c r="GW41" s="12"/>
      <c r="GX41" s="12"/>
      <c r="GY41" s="12"/>
      <c r="GZ41" s="12"/>
      <c r="HA41" s="12"/>
      <c r="HB41" s="12"/>
      <c r="HC41" s="12"/>
      <c r="HD41" s="12"/>
      <c r="HE41" s="12"/>
      <c r="HF41" s="12"/>
      <c r="HH41" s="779"/>
      <c r="HI41" s="779"/>
      <c r="HJ41" s="779"/>
      <c r="HK41" s="779"/>
      <c r="HL41" s="779"/>
      <c r="HM41" s="779"/>
      <c r="HN41" s="12"/>
      <c r="HO41" s="12"/>
      <c r="HP41" s="12"/>
      <c r="HQ41" s="12"/>
      <c r="HS41" s="779"/>
      <c r="HT41" s="779"/>
      <c r="HU41" s="779"/>
      <c r="HV41" s="779"/>
      <c r="HW41" s="779"/>
      <c r="HX41" s="779"/>
      <c r="HY41" s="12"/>
      <c r="HZ41" s="12"/>
      <c r="IA41" s="12"/>
      <c r="IB41" s="12"/>
    </row>
    <row r="42" spans="1:236" ht="14.45" customHeight="1" x14ac:dyDescent="0.25">
      <c r="A42" s="47"/>
      <c r="B42" s="12"/>
      <c r="C42" s="777" t="s">
        <v>171</v>
      </c>
      <c r="D42" s="777"/>
      <c r="E42" s="777"/>
      <c r="F42" s="777"/>
      <c r="G42" s="777"/>
      <c r="H42" s="102"/>
      <c r="I42" s="13"/>
      <c r="J42" s="13"/>
      <c r="K42" s="13"/>
      <c r="L42" s="19">
        <f t="shared" si="0"/>
        <v>0</v>
      </c>
      <c r="M42" s="19">
        <f t="shared" si="1"/>
        <v>0</v>
      </c>
      <c r="N42" s="12"/>
      <c r="R42" s="776"/>
      <c r="S42" s="776"/>
      <c r="T42" s="776"/>
      <c r="U42" s="12"/>
      <c r="V42" s="12"/>
      <c r="W42" s="12"/>
      <c r="X42" s="12"/>
      <c r="Y42" s="12"/>
      <c r="Z42" s="6"/>
      <c r="AA42" s="779"/>
      <c r="AB42" s="779"/>
      <c r="AC42" s="779"/>
      <c r="AD42" s="779"/>
      <c r="AE42" s="779"/>
      <c r="AF42" s="779"/>
      <c r="AG42" s="12"/>
      <c r="AH42" s="12"/>
      <c r="AI42" s="12"/>
      <c r="AJ42" s="12"/>
      <c r="AL42" s="779"/>
      <c r="AM42" s="779"/>
      <c r="AN42" s="779"/>
      <c r="AO42" s="779"/>
      <c r="AP42" s="779"/>
      <c r="AQ42" s="779"/>
      <c r="AR42" s="12"/>
      <c r="AS42" s="12"/>
      <c r="AT42" s="12"/>
      <c r="AU42" s="12"/>
      <c r="AV42" s="12"/>
      <c r="AW42" s="12"/>
      <c r="AX42" s="12"/>
      <c r="AY42" s="12"/>
      <c r="AZ42" s="779"/>
      <c r="BA42" s="779"/>
      <c r="BB42" s="779"/>
      <c r="BC42" s="779"/>
      <c r="BD42" s="779"/>
      <c r="BE42" s="779"/>
      <c r="BF42" s="12"/>
      <c r="BG42" s="12"/>
      <c r="BH42" s="12"/>
      <c r="BI42" s="12"/>
      <c r="BJ42" s="12"/>
      <c r="BK42" s="12"/>
      <c r="BL42" s="779"/>
      <c r="BM42" s="779"/>
      <c r="BN42" s="779"/>
      <c r="BO42" s="779"/>
      <c r="BP42" s="779"/>
      <c r="BQ42" s="779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779"/>
      <c r="CF42" s="779"/>
      <c r="CG42" s="779"/>
      <c r="CH42" s="779"/>
      <c r="CI42" s="779"/>
      <c r="CJ42" s="779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779"/>
      <c r="CX42" s="779"/>
      <c r="CY42" s="779"/>
      <c r="CZ42" s="779"/>
      <c r="DA42" s="779"/>
      <c r="DB42" s="779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Q42" s="779"/>
      <c r="DR42" s="779"/>
      <c r="DS42" s="779"/>
      <c r="DT42" s="779"/>
      <c r="DU42" s="779"/>
      <c r="DV42" s="779"/>
      <c r="DW42" s="12"/>
      <c r="DX42" s="12"/>
      <c r="DY42" s="12"/>
      <c r="DZ42" s="12"/>
      <c r="EA42" s="12"/>
      <c r="EB42" s="12"/>
      <c r="EC42" s="12"/>
      <c r="ED42" s="12"/>
      <c r="EE42" s="12"/>
      <c r="EF42" s="12"/>
      <c r="EG42" s="12"/>
      <c r="EH42" s="12"/>
      <c r="EI42" s="12"/>
      <c r="EK42" s="779"/>
      <c r="EL42" s="779"/>
      <c r="EM42" s="779"/>
      <c r="EN42" s="779"/>
      <c r="EO42" s="779"/>
      <c r="EP42" s="779"/>
      <c r="EQ42" s="12"/>
      <c r="ER42" s="12"/>
      <c r="ES42" s="12"/>
      <c r="ET42" s="12"/>
      <c r="EU42" s="12"/>
      <c r="EV42" s="12"/>
      <c r="EW42" s="12"/>
      <c r="EX42" s="12"/>
      <c r="EY42" s="12"/>
      <c r="EZ42" s="12"/>
      <c r="FA42" s="12"/>
      <c r="FB42" s="12"/>
      <c r="FC42" s="12"/>
      <c r="FD42" s="12"/>
      <c r="FE42" s="12"/>
      <c r="FF42" s="12"/>
      <c r="FG42" s="12"/>
      <c r="FH42" s="12"/>
      <c r="FI42" s="12"/>
      <c r="FJ42" s="12"/>
      <c r="FK42" s="12"/>
      <c r="FL42" s="12"/>
      <c r="FM42" s="12"/>
      <c r="FN42" s="12"/>
      <c r="FP42" s="779"/>
      <c r="FQ42" s="779"/>
      <c r="FR42" s="779"/>
      <c r="FS42" s="779"/>
      <c r="FT42" s="779"/>
      <c r="FU42" s="779"/>
      <c r="FV42" s="12"/>
      <c r="FW42" s="12"/>
      <c r="FX42" s="12"/>
      <c r="FY42" s="12"/>
      <c r="FZ42" s="12"/>
      <c r="GA42" s="12"/>
      <c r="GB42" s="12"/>
      <c r="GC42" s="12"/>
      <c r="GD42" s="12"/>
      <c r="GE42" s="12"/>
      <c r="GF42" s="12"/>
      <c r="GG42" s="12"/>
      <c r="GH42" s="12"/>
      <c r="GI42" s="12"/>
      <c r="GJ42" s="12"/>
      <c r="GK42" s="12"/>
      <c r="GM42" s="779"/>
      <c r="GN42" s="779"/>
      <c r="GO42" s="779"/>
      <c r="GP42" s="779"/>
      <c r="GQ42" s="779"/>
      <c r="GR42" s="779"/>
      <c r="GS42" s="12"/>
      <c r="GT42" s="12"/>
      <c r="GU42" s="12"/>
      <c r="GV42" s="12"/>
      <c r="GW42" s="12"/>
      <c r="GX42" s="12"/>
      <c r="GY42" s="12"/>
      <c r="GZ42" s="12"/>
      <c r="HA42" s="12"/>
      <c r="HB42" s="12"/>
      <c r="HC42" s="12"/>
      <c r="HD42" s="12"/>
      <c r="HE42" s="12"/>
      <c r="HF42" s="12"/>
      <c r="HH42" s="779"/>
      <c r="HI42" s="779"/>
      <c r="HJ42" s="779"/>
      <c r="HK42" s="779"/>
      <c r="HL42" s="779"/>
      <c r="HM42" s="779"/>
      <c r="HN42" s="12"/>
      <c r="HO42" s="12"/>
      <c r="HP42" s="12"/>
      <c r="HQ42" s="12"/>
      <c r="HS42" s="779"/>
      <c r="HT42" s="779"/>
      <c r="HU42" s="779"/>
      <c r="HV42" s="779"/>
      <c r="HW42" s="779"/>
      <c r="HX42" s="779"/>
      <c r="HY42" s="12"/>
      <c r="HZ42" s="12"/>
      <c r="IA42" s="12"/>
      <c r="IB42" s="12"/>
    </row>
    <row r="43" spans="1:236" ht="14.45" customHeight="1" x14ac:dyDescent="0.25">
      <c r="A43" s="47"/>
      <c r="B43" s="12"/>
      <c r="C43" s="777" t="s">
        <v>172</v>
      </c>
      <c r="D43" s="777"/>
      <c r="E43" s="777"/>
      <c r="F43" s="777"/>
      <c r="G43" s="777"/>
      <c r="H43" s="102"/>
      <c r="I43" s="13"/>
      <c r="J43" s="13"/>
      <c r="K43" s="13"/>
      <c r="L43" s="19">
        <f t="shared" si="0"/>
        <v>0</v>
      </c>
      <c r="M43" s="19">
        <f t="shared" si="1"/>
        <v>0</v>
      </c>
      <c r="N43" s="12"/>
      <c r="R43" s="776"/>
      <c r="S43" s="776"/>
      <c r="T43" s="776"/>
      <c r="U43" s="12"/>
      <c r="V43" s="12"/>
      <c r="W43" s="12"/>
      <c r="X43" s="12"/>
      <c r="Y43" s="12"/>
      <c r="Z43" s="6"/>
      <c r="AA43" s="779"/>
      <c r="AB43" s="779"/>
      <c r="AC43" s="779"/>
      <c r="AD43" s="779"/>
      <c r="AE43" s="779"/>
      <c r="AF43" s="779"/>
      <c r="AG43" s="12"/>
      <c r="AH43" s="12"/>
      <c r="AI43" s="12"/>
      <c r="AJ43" s="12"/>
      <c r="AL43" s="779"/>
      <c r="AM43" s="779"/>
      <c r="AN43" s="779"/>
      <c r="AO43" s="779"/>
      <c r="AP43" s="779"/>
      <c r="AQ43" s="779"/>
      <c r="AR43" s="12"/>
      <c r="AS43" s="12"/>
      <c r="AT43" s="12"/>
      <c r="AU43" s="12"/>
      <c r="AV43" s="12"/>
      <c r="AW43" s="12"/>
      <c r="AX43" s="12"/>
      <c r="AY43" s="12"/>
      <c r="AZ43" s="779"/>
      <c r="BA43" s="779"/>
      <c r="BB43" s="779"/>
      <c r="BC43" s="779"/>
      <c r="BD43" s="779"/>
      <c r="BE43" s="779"/>
      <c r="BF43" s="12"/>
      <c r="BG43" s="12"/>
      <c r="BH43" s="12"/>
      <c r="BI43" s="12"/>
      <c r="BJ43" s="12"/>
      <c r="BK43" s="12"/>
      <c r="BL43" s="779"/>
      <c r="BM43" s="779"/>
      <c r="BN43" s="779"/>
      <c r="BO43" s="779"/>
      <c r="BP43" s="779"/>
      <c r="BQ43" s="779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779"/>
      <c r="CF43" s="779"/>
      <c r="CG43" s="779"/>
      <c r="CH43" s="779"/>
      <c r="CI43" s="779"/>
      <c r="CJ43" s="779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779"/>
      <c r="CX43" s="779"/>
      <c r="CY43" s="779"/>
      <c r="CZ43" s="779"/>
      <c r="DA43" s="779"/>
      <c r="DB43" s="779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Q43" s="779"/>
      <c r="DR43" s="779"/>
      <c r="DS43" s="779"/>
      <c r="DT43" s="779"/>
      <c r="DU43" s="779"/>
      <c r="DV43" s="779"/>
      <c r="DW43" s="12"/>
      <c r="DX43" s="12"/>
      <c r="DY43" s="12"/>
      <c r="DZ43" s="12"/>
      <c r="EA43" s="12"/>
      <c r="EB43" s="12"/>
      <c r="EC43" s="12"/>
      <c r="ED43" s="12"/>
      <c r="EE43" s="12"/>
      <c r="EF43" s="12"/>
      <c r="EG43" s="12"/>
      <c r="EH43" s="12"/>
      <c r="EI43" s="12"/>
      <c r="EK43" s="779"/>
      <c r="EL43" s="779"/>
      <c r="EM43" s="779"/>
      <c r="EN43" s="779"/>
      <c r="EO43" s="779"/>
      <c r="EP43" s="779"/>
      <c r="EQ43" s="12"/>
      <c r="ER43" s="12"/>
      <c r="ES43" s="12"/>
      <c r="ET43" s="12"/>
      <c r="EU43" s="12"/>
      <c r="EV43" s="12"/>
      <c r="EW43" s="12"/>
      <c r="EX43" s="12"/>
      <c r="EY43" s="12"/>
      <c r="EZ43" s="12"/>
      <c r="FA43" s="12"/>
      <c r="FB43" s="12"/>
      <c r="FC43" s="12"/>
      <c r="FD43" s="12"/>
      <c r="FE43" s="12"/>
      <c r="FF43" s="12"/>
      <c r="FG43" s="12"/>
      <c r="FH43" s="12"/>
      <c r="FI43" s="12"/>
      <c r="FJ43" s="12"/>
      <c r="FK43" s="12"/>
      <c r="FL43" s="12"/>
      <c r="FM43" s="12"/>
      <c r="FN43" s="12"/>
      <c r="FP43" s="779"/>
      <c r="FQ43" s="779"/>
      <c r="FR43" s="779"/>
      <c r="FS43" s="779"/>
      <c r="FT43" s="779"/>
      <c r="FU43" s="779"/>
      <c r="FV43" s="12"/>
      <c r="FW43" s="12"/>
      <c r="FX43" s="12"/>
      <c r="FY43" s="12"/>
      <c r="FZ43" s="12"/>
      <c r="GA43" s="12"/>
      <c r="GB43" s="12"/>
      <c r="GC43" s="12"/>
      <c r="GD43" s="12"/>
      <c r="GE43" s="12"/>
      <c r="GF43" s="12"/>
      <c r="GG43" s="12"/>
      <c r="GH43" s="12"/>
      <c r="GI43" s="12"/>
      <c r="GJ43" s="12"/>
      <c r="GK43" s="12"/>
      <c r="GM43" s="779"/>
      <c r="GN43" s="779"/>
      <c r="GO43" s="779"/>
      <c r="GP43" s="779"/>
      <c r="GQ43" s="779"/>
      <c r="GR43" s="779"/>
      <c r="GS43" s="12"/>
      <c r="GT43" s="12"/>
      <c r="GU43" s="12"/>
      <c r="GV43" s="12"/>
      <c r="GW43" s="12"/>
      <c r="GX43" s="12"/>
      <c r="GY43" s="12"/>
      <c r="GZ43" s="12"/>
      <c r="HA43" s="12"/>
      <c r="HB43" s="12"/>
      <c r="HC43" s="12"/>
      <c r="HD43" s="12"/>
      <c r="HE43" s="12"/>
      <c r="HF43" s="12"/>
      <c r="HH43" s="779"/>
      <c r="HI43" s="779"/>
      <c r="HJ43" s="779"/>
      <c r="HK43" s="779"/>
      <c r="HL43" s="779"/>
      <c r="HM43" s="779"/>
      <c r="HN43" s="12"/>
      <c r="HO43" s="12"/>
      <c r="HP43" s="12"/>
      <c r="HQ43" s="12"/>
      <c r="HS43" s="779"/>
      <c r="HT43" s="779"/>
      <c r="HU43" s="779"/>
      <c r="HV43" s="779"/>
      <c r="HW43" s="779"/>
      <c r="HX43" s="779"/>
      <c r="HY43" s="12"/>
      <c r="HZ43" s="12"/>
      <c r="IA43" s="12"/>
      <c r="IB43" s="12"/>
    </row>
    <row r="44" spans="1:236" ht="14.45" customHeight="1" x14ac:dyDescent="0.25">
      <c r="A44" s="47"/>
      <c r="B44" s="12"/>
      <c r="C44" s="777" t="s">
        <v>154</v>
      </c>
      <c r="D44" s="777"/>
      <c r="E44" s="777"/>
      <c r="F44" s="777"/>
      <c r="G44" s="777"/>
      <c r="H44" s="102"/>
      <c r="I44" s="13"/>
      <c r="J44" s="13"/>
      <c r="K44" s="13"/>
      <c r="L44" s="19">
        <f t="shared" si="0"/>
        <v>0</v>
      </c>
      <c r="M44" s="19">
        <f t="shared" si="1"/>
        <v>0</v>
      </c>
      <c r="N44" s="12"/>
      <c r="R44" s="776"/>
      <c r="S44" s="776"/>
      <c r="T44" s="776"/>
      <c r="U44" s="12"/>
      <c r="V44" s="12"/>
      <c r="W44" s="12"/>
      <c r="X44" s="12"/>
      <c r="Y44" s="12"/>
      <c r="Z44" s="6"/>
      <c r="AA44" s="779"/>
      <c r="AB44" s="779"/>
      <c r="AC44" s="779"/>
      <c r="AD44" s="779"/>
      <c r="AE44" s="779"/>
      <c r="AF44" s="779"/>
      <c r="AG44" s="12"/>
      <c r="AH44" s="12"/>
      <c r="AI44" s="12"/>
      <c r="AJ44" s="12"/>
      <c r="AL44" s="779"/>
      <c r="AM44" s="779"/>
      <c r="AN44" s="779"/>
      <c r="AO44" s="779"/>
      <c r="AP44" s="779"/>
      <c r="AQ44" s="779"/>
      <c r="AR44" s="12"/>
      <c r="AS44" s="12"/>
      <c r="AT44" s="12"/>
      <c r="AU44" s="12"/>
      <c r="AV44" s="12"/>
      <c r="AW44" s="12"/>
      <c r="AX44" s="12"/>
      <c r="AY44" s="12"/>
      <c r="AZ44" s="779"/>
      <c r="BA44" s="779"/>
      <c r="BB44" s="779"/>
      <c r="BC44" s="779"/>
      <c r="BD44" s="779"/>
      <c r="BE44" s="779"/>
      <c r="BF44" s="12"/>
      <c r="BG44" s="12"/>
      <c r="BH44" s="12"/>
      <c r="BI44" s="12"/>
      <c r="BJ44" s="12"/>
      <c r="BK44" s="12"/>
      <c r="BL44" s="779"/>
      <c r="BM44" s="779"/>
      <c r="BN44" s="779"/>
      <c r="BO44" s="779"/>
      <c r="BP44" s="779"/>
      <c r="BQ44" s="779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779"/>
      <c r="CF44" s="779"/>
      <c r="CG44" s="779"/>
      <c r="CH44" s="779"/>
      <c r="CI44" s="779"/>
      <c r="CJ44" s="779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779"/>
      <c r="CX44" s="779"/>
      <c r="CY44" s="779"/>
      <c r="CZ44" s="779"/>
      <c r="DA44" s="779"/>
      <c r="DB44" s="779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Q44" s="779"/>
      <c r="DR44" s="779"/>
      <c r="DS44" s="779"/>
      <c r="DT44" s="779"/>
      <c r="DU44" s="779"/>
      <c r="DV44" s="779"/>
      <c r="DW44" s="12"/>
      <c r="DX44" s="12"/>
      <c r="DY44" s="12"/>
      <c r="DZ44" s="12"/>
      <c r="EA44" s="12"/>
      <c r="EB44" s="12"/>
      <c r="EC44" s="12"/>
      <c r="ED44" s="12"/>
      <c r="EE44" s="12"/>
      <c r="EF44" s="12"/>
      <c r="EG44" s="12"/>
      <c r="EH44" s="12"/>
      <c r="EI44" s="12"/>
      <c r="EK44" s="779"/>
      <c r="EL44" s="779"/>
      <c r="EM44" s="779"/>
      <c r="EN44" s="779"/>
      <c r="EO44" s="779"/>
      <c r="EP44" s="779"/>
      <c r="EQ44" s="12"/>
      <c r="ER44" s="12"/>
      <c r="ES44" s="12"/>
      <c r="ET44" s="12"/>
      <c r="EU44" s="12"/>
      <c r="EV44" s="12"/>
      <c r="EW44" s="12"/>
      <c r="EX44" s="12"/>
      <c r="EY44" s="12"/>
      <c r="EZ44" s="12"/>
      <c r="FA44" s="12"/>
      <c r="FB44" s="12"/>
      <c r="FC44" s="12"/>
      <c r="FD44" s="12"/>
      <c r="FE44" s="12"/>
      <c r="FF44" s="12"/>
      <c r="FG44" s="12"/>
      <c r="FH44" s="12"/>
      <c r="FI44" s="12"/>
      <c r="FJ44" s="12"/>
      <c r="FK44" s="12"/>
      <c r="FL44" s="12"/>
      <c r="FM44" s="12"/>
      <c r="FN44" s="12"/>
      <c r="FP44" s="779"/>
      <c r="FQ44" s="779"/>
      <c r="FR44" s="779"/>
      <c r="FS44" s="779"/>
      <c r="FT44" s="779"/>
      <c r="FU44" s="779"/>
      <c r="FV44" s="12"/>
      <c r="FW44" s="12"/>
      <c r="FX44" s="12"/>
      <c r="FY44" s="12"/>
      <c r="FZ44" s="12"/>
      <c r="GA44" s="12"/>
      <c r="GB44" s="12"/>
      <c r="GC44" s="12"/>
      <c r="GD44" s="12"/>
      <c r="GE44" s="12"/>
      <c r="GF44" s="12"/>
      <c r="GG44" s="12"/>
      <c r="GH44" s="12"/>
      <c r="GI44" s="12"/>
      <c r="GJ44" s="12"/>
      <c r="GK44" s="12"/>
      <c r="GM44" s="779"/>
      <c r="GN44" s="779"/>
      <c r="GO44" s="779"/>
      <c r="GP44" s="779"/>
      <c r="GQ44" s="779"/>
      <c r="GR44" s="779"/>
      <c r="GS44" s="12"/>
      <c r="GT44" s="12"/>
      <c r="GU44" s="12"/>
      <c r="GV44" s="12"/>
      <c r="GW44" s="12"/>
      <c r="GX44" s="12"/>
      <c r="GY44" s="12"/>
      <c r="GZ44" s="12"/>
      <c r="HA44" s="12"/>
      <c r="HB44" s="12"/>
      <c r="HC44" s="12"/>
      <c r="HD44" s="12"/>
      <c r="HE44" s="12"/>
      <c r="HF44" s="12"/>
      <c r="HH44" s="779"/>
      <c r="HI44" s="779"/>
      <c r="HJ44" s="779"/>
      <c r="HK44" s="779"/>
      <c r="HL44" s="779"/>
      <c r="HM44" s="779"/>
      <c r="HN44" s="12"/>
      <c r="HO44" s="12"/>
      <c r="HP44" s="12"/>
      <c r="HQ44" s="12"/>
      <c r="HS44" s="779"/>
      <c r="HT44" s="779"/>
      <c r="HU44" s="779"/>
      <c r="HV44" s="779"/>
      <c r="HW44" s="779"/>
      <c r="HX44" s="779"/>
      <c r="HY44" s="12"/>
      <c r="HZ44" s="12"/>
      <c r="IA44" s="12"/>
      <c r="IB44" s="12"/>
    </row>
    <row r="45" spans="1:236" ht="14.45" customHeight="1" x14ac:dyDescent="0.25">
      <c r="A45" s="47"/>
      <c r="B45" s="12"/>
      <c r="C45" s="777" t="s">
        <v>151</v>
      </c>
      <c r="D45" s="777"/>
      <c r="E45" s="777"/>
      <c r="F45" s="777"/>
      <c r="G45" s="777"/>
      <c r="H45" s="102"/>
      <c r="I45" s="13"/>
      <c r="J45" s="13"/>
      <c r="K45" s="13"/>
      <c r="L45" s="19">
        <f t="shared" si="0"/>
        <v>0</v>
      </c>
      <c r="M45" s="19">
        <f t="shared" si="1"/>
        <v>0</v>
      </c>
      <c r="N45" s="12"/>
      <c r="R45" s="776"/>
      <c r="S45" s="776"/>
      <c r="T45" s="776"/>
      <c r="U45" s="12"/>
      <c r="V45" s="12"/>
      <c r="W45" s="12"/>
      <c r="X45" s="12"/>
      <c r="Y45" s="12"/>
      <c r="Z45" s="6"/>
      <c r="AA45" s="779"/>
      <c r="AB45" s="779"/>
      <c r="AC45" s="779"/>
      <c r="AD45" s="779"/>
      <c r="AE45" s="779"/>
      <c r="AF45" s="779"/>
      <c r="AG45" s="12"/>
      <c r="AH45" s="12"/>
      <c r="AI45" s="12"/>
      <c r="AJ45" s="12"/>
      <c r="AL45" s="779"/>
      <c r="AM45" s="779"/>
      <c r="AN45" s="779"/>
      <c r="AO45" s="779"/>
      <c r="AP45" s="779"/>
      <c r="AQ45" s="779"/>
      <c r="AR45" s="12"/>
      <c r="AS45" s="12"/>
      <c r="AT45" s="12"/>
      <c r="AU45" s="12"/>
      <c r="AV45" s="12"/>
      <c r="AW45" s="12"/>
      <c r="AX45" s="12"/>
      <c r="AY45" s="12"/>
      <c r="AZ45" s="779"/>
      <c r="BA45" s="779"/>
      <c r="BB45" s="779"/>
      <c r="BC45" s="779"/>
      <c r="BD45" s="779"/>
      <c r="BE45" s="779"/>
      <c r="BF45" s="12"/>
      <c r="BG45" s="12"/>
      <c r="BH45" s="12"/>
      <c r="BI45" s="12"/>
      <c r="BJ45" s="12"/>
      <c r="BK45" s="12"/>
      <c r="BL45" s="779"/>
      <c r="BM45" s="779"/>
      <c r="BN45" s="779"/>
      <c r="BO45" s="779"/>
      <c r="BP45" s="779"/>
      <c r="BQ45" s="779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779"/>
      <c r="CF45" s="779"/>
      <c r="CG45" s="779"/>
      <c r="CH45" s="779"/>
      <c r="CI45" s="779"/>
      <c r="CJ45" s="779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779"/>
      <c r="CX45" s="779"/>
      <c r="CY45" s="779"/>
      <c r="CZ45" s="779"/>
      <c r="DA45" s="779"/>
      <c r="DB45" s="779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Q45" s="779"/>
      <c r="DR45" s="779"/>
      <c r="DS45" s="779"/>
      <c r="DT45" s="779"/>
      <c r="DU45" s="779"/>
      <c r="DV45" s="779"/>
      <c r="DW45" s="12"/>
      <c r="DX45" s="12"/>
      <c r="DY45" s="12"/>
      <c r="DZ45" s="12"/>
      <c r="EA45" s="12"/>
      <c r="EB45" s="12"/>
      <c r="EC45" s="12"/>
      <c r="ED45" s="12"/>
      <c r="EE45" s="12"/>
      <c r="EF45" s="12"/>
      <c r="EG45" s="12"/>
      <c r="EH45" s="12"/>
      <c r="EI45" s="12"/>
      <c r="EK45" s="779"/>
      <c r="EL45" s="779"/>
      <c r="EM45" s="779"/>
      <c r="EN45" s="779"/>
      <c r="EO45" s="779"/>
      <c r="EP45" s="779"/>
      <c r="EQ45" s="12"/>
      <c r="ER45" s="12"/>
      <c r="ES45" s="12"/>
      <c r="ET45" s="12"/>
      <c r="EU45" s="12"/>
      <c r="EV45" s="12"/>
      <c r="EW45" s="12"/>
      <c r="EX45" s="12"/>
      <c r="EY45" s="12"/>
      <c r="EZ45" s="12"/>
      <c r="FA45" s="12"/>
      <c r="FB45" s="12"/>
      <c r="FC45" s="12"/>
      <c r="FD45" s="12"/>
      <c r="FE45" s="12"/>
      <c r="FF45" s="12"/>
      <c r="FG45" s="12"/>
      <c r="FH45" s="12"/>
      <c r="FI45" s="12"/>
      <c r="FJ45" s="12"/>
      <c r="FK45" s="12"/>
      <c r="FL45" s="12"/>
      <c r="FM45" s="12"/>
      <c r="FN45" s="12"/>
      <c r="FP45" s="779"/>
      <c r="FQ45" s="779"/>
      <c r="FR45" s="779"/>
      <c r="FS45" s="779"/>
      <c r="FT45" s="779"/>
      <c r="FU45" s="779"/>
      <c r="FV45" s="12"/>
      <c r="FW45" s="12"/>
      <c r="FX45" s="12"/>
      <c r="FY45" s="12"/>
      <c r="FZ45" s="12"/>
      <c r="GA45" s="12"/>
      <c r="GB45" s="12"/>
      <c r="GC45" s="12"/>
      <c r="GD45" s="12"/>
      <c r="GE45" s="12"/>
      <c r="GF45" s="12"/>
      <c r="GG45" s="12"/>
      <c r="GH45" s="12"/>
      <c r="GI45" s="12"/>
      <c r="GJ45" s="12"/>
      <c r="GK45" s="12"/>
      <c r="GM45" s="779"/>
      <c r="GN45" s="779"/>
      <c r="GO45" s="779"/>
      <c r="GP45" s="779"/>
      <c r="GQ45" s="779"/>
      <c r="GR45" s="779"/>
      <c r="GS45" s="12"/>
      <c r="GT45" s="12"/>
      <c r="GU45" s="12"/>
      <c r="GV45" s="12"/>
      <c r="GW45" s="12"/>
      <c r="GX45" s="12"/>
      <c r="GY45" s="12"/>
      <c r="GZ45" s="12"/>
      <c r="HA45" s="12"/>
      <c r="HB45" s="12"/>
      <c r="HC45" s="12"/>
      <c r="HD45" s="12"/>
      <c r="HE45" s="12"/>
      <c r="HF45" s="12"/>
      <c r="HH45" s="779"/>
      <c r="HI45" s="779"/>
      <c r="HJ45" s="779"/>
      <c r="HK45" s="779"/>
      <c r="HL45" s="779"/>
      <c r="HM45" s="779"/>
      <c r="HN45" s="12"/>
      <c r="HO45" s="12"/>
      <c r="HP45" s="12"/>
      <c r="HQ45" s="12"/>
      <c r="HS45" s="779"/>
      <c r="HT45" s="779"/>
      <c r="HU45" s="779"/>
      <c r="HV45" s="779"/>
      <c r="HW45" s="779"/>
      <c r="HX45" s="779"/>
      <c r="HY45" s="12"/>
      <c r="HZ45" s="12"/>
      <c r="IA45" s="12"/>
      <c r="IB45" s="12"/>
    </row>
    <row r="46" spans="1:236" ht="14.45" customHeight="1" x14ac:dyDescent="0.25">
      <c r="A46" s="47"/>
      <c r="B46" s="12"/>
      <c r="C46" s="777" t="s">
        <v>152</v>
      </c>
      <c r="D46" s="777"/>
      <c r="E46" s="777"/>
      <c r="F46" s="777"/>
      <c r="G46" s="777"/>
      <c r="H46" s="102"/>
      <c r="I46" s="13"/>
      <c r="J46" s="13"/>
      <c r="K46" s="13"/>
      <c r="L46" s="19">
        <f t="shared" si="0"/>
        <v>0</v>
      </c>
      <c r="M46" s="19">
        <f t="shared" si="1"/>
        <v>0</v>
      </c>
      <c r="N46" s="12"/>
      <c r="R46" s="776"/>
      <c r="S46" s="776"/>
      <c r="T46" s="776"/>
      <c r="U46" s="12"/>
      <c r="V46" s="12"/>
      <c r="W46" s="12"/>
      <c r="X46" s="12"/>
      <c r="Y46" s="12"/>
      <c r="Z46" s="6"/>
      <c r="AA46" s="779"/>
      <c r="AB46" s="779"/>
      <c r="AC46" s="779"/>
      <c r="AD46" s="779"/>
      <c r="AE46" s="779"/>
      <c r="AF46" s="779"/>
      <c r="AG46" s="12"/>
      <c r="AH46" s="12"/>
      <c r="AI46" s="12"/>
      <c r="AJ46" s="12"/>
      <c r="AL46" s="779"/>
      <c r="AM46" s="779"/>
      <c r="AN46" s="779"/>
      <c r="AO46" s="779"/>
      <c r="AP46" s="779"/>
      <c r="AQ46" s="779"/>
      <c r="AR46" s="12"/>
      <c r="AS46" s="12"/>
      <c r="AT46" s="12"/>
      <c r="AU46" s="12"/>
      <c r="AV46" s="12"/>
      <c r="AW46" s="12"/>
      <c r="AX46" s="12"/>
      <c r="AY46" s="12"/>
      <c r="AZ46" s="779"/>
      <c r="BA46" s="779"/>
      <c r="BB46" s="779"/>
      <c r="BC46" s="779"/>
      <c r="BD46" s="779"/>
      <c r="BE46" s="779"/>
      <c r="BF46" s="12"/>
      <c r="BG46" s="12"/>
      <c r="BH46" s="12"/>
      <c r="BI46" s="12"/>
      <c r="BJ46" s="12"/>
      <c r="BK46" s="12"/>
      <c r="BL46" s="779"/>
      <c r="BM46" s="779"/>
      <c r="BN46" s="779"/>
      <c r="BO46" s="779"/>
      <c r="BP46" s="779"/>
      <c r="BQ46" s="779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779"/>
      <c r="CF46" s="779"/>
      <c r="CG46" s="779"/>
      <c r="CH46" s="779"/>
      <c r="CI46" s="779"/>
      <c r="CJ46" s="779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779"/>
      <c r="CX46" s="779"/>
      <c r="CY46" s="779"/>
      <c r="CZ46" s="779"/>
      <c r="DA46" s="779"/>
      <c r="DB46" s="779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Q46" s="779"/>
      <c r="DR46" s="779"/>
      <c r="DS46" s="779"/>
      <c r="DT46" s="779"/>
      <c r="DU46" s="779"/>
      <c r="DV46" s="779"/>
      <c r="DW46" s="12"/>
      <c r="DX46" s="12"/>
      <c r="DY46" s="12"/>
      <c r="DZ46" s="12"/>
      <c r="EA46" s="12"/>
      <c r="EB46" s="12"/>
      <c r="EC46" s="12"/>
      <c r="ED46" s="12"/>
      <c r="EE46" s="12"/>
      <c r="EF46" s="12"/>
      <c r="EG46" s="12"/>
      <c r="EH46" s="12"/>
      <c r="EI46" s="12"/>
      <c r="EK46" s="779"/>
      <c r="EL46" s="779"/>
      <c r="EM46" s="779"/>
      <c r="EN46" s="779"/>
      <c r="EO46" s="779"/>
      <c r="EP46" s="779"/>
      <c r="EQ46" s="12"/>
      <c r="ER46" s="12"/>
      <c r="ES46" s="12"/>
      <c r="ET46" s="12"/>
      <c r="EU46" s="12"/>
      <c r="EV46" s="12"/>
      <c r="EW46" s="12"/>
      <c r="EX46" s="12"/>
      <c r="EY46" s="12"/>
      <c r="EZ46" s="12"/>
      <c r="FA46" s="12"/>
      <c r="FB46" s="12"/>
      <c r="FC46" s="12"/>
      <c r="FD46" s="12"/>
      <c r="FE46" s="12"/>
      <c r="FF46" s="12"/>
      <c r="FG46" s="12"/>
      <c r="FH46" s="12"/>
      <c r="FI46" s="12"/>
      <c r="FJ46" s="12"/>
      <c r="FK46" s="12"/>
      <c r="FL46" s="12"/>
      <c r="FM46" s="12"/>
      <c r="FN46" s="12"/>
      <c r="FP46" s="779"/>
      <c r="FQ46" s="779"/>
      <c r="FR46" s="779"/>
      <c r="FS46" s="779"/>
      <c r="FT46" s="779"/>
      <c r="FU46" s="779"/>
      <c r="FV46" s="12"/>
      <c r="FW46" s="12"/>
      <c r="FX46" s="12"/>
      <c r="FY46" s="12"/>
      <c r="FZ46" s="12"/>
      <c r="GA46" s="12"/>
      <c r="GB46" s="12"/>
      <c r="GC46" s="12"/>
      <c r="GD46" s="12"/>
      <c r="GE46" s="12"/>
      <c r="GF46" s="12"/>
      <c r="GG46" s="12"/>
      <c r="GH46" s="12"/>
      <c r="GI46" s="12"/>
      <c r="GJ46" s="12"/>
      <c r="GK46" s="12"/>
      <c r="GM46" s="779"/>
      <c r="GN46" s="779"/>
      <c r="GO46" s="779"/>
      <c r="GP46" s="779"/>
      <c r="GQ46" s="779"/>
      <c r="GR46" s="779"/>
      <c r="GS46" s="12"/>
      <c r="GT46" s="12"/>
      <c r="GU46" s="12"/>
      <c r="GV46" s="12"/>
      <c r="GW46" s="12"/>
      <c r="GX46" s="12"/>
      <c r="GY46" s="12"/>
      <c r="GZ46" s="12"/>
      <c r="HA46" s="12"/>
      <c r="HB46" s="12"/>
      <c r="HC46" s="12"/>
      <c r="HD46" s="12"/>
      <c r="HE46" s="12"/>
      <c r="HF46" s="12"/>
      <c r="HH46" s="779"/>
      <c r="HI46" s="779"/>
      <c r="HJ46" s="779"/>
      <c r="HK46" s="779"/>
      <c r="HL46" s="779"/>
      <c r="HM46" s="779"/>
      <c r="HN46" s="12"/>
      <c r="HO46" s="12"/>
      <c r="HP46" s="12"/>
      <c r="HQ46" s="12"/>
      <c r="HS46" s="779"/>
      <c r="HT46" s="779"/>
      <c r="HU46" s="779"/>
      <c r="HV46" s="779"/>
      <c r="HW46" s="779"/>
      <c r="HX46" s="779"/>
      <c r="HY46" s="12"/>
      <c r="HZ46" s="12"/>
      <c r="IA46" s="12"/>
      <c r="IB46" s="12"/>
    </row>
    <row r="47" spans="1:236" ht="14.45" customHeight="1" x14ac:dyDescent="0.25">
      <c r="A47" s="47"/>
      <c r="B47" s="12"/>
      <c r="C47" s="777" t="s">
        <v>153</v>
      </c>
      <c r="D47" s="777"/>
      <c r="E47" s="777"/>
      <c r="F47" s="777"/>
      <c r="G47" s="777"/>
      <c r="H47" s="102"/>
      <c r="I47" s="13"/>
      <c r="J47" s="13"/>
      <c r="K47" s="13"/>
      <c r="L47" s="19">
        <f t="shared" si="0"/>
        <v>0</v>
      </c>
      <c r="M47" s="19">
        <f t="shared" si="1"/>
        <v>0</v>
      </c>
      <c r="N47" s="12"/>
      <c r="R47" s="776"/>
      <c r="S47" s="776"/>
      <c r="T47" s="776"/>
      <c r="U47" s="12"/>
      <c r="V47" s="12"/>
      <c r="W47" s="12"/>
      <c r="X47" s="12"/>
      <c r="Y47" s="12"/>
      <c r="Z47" s="6"/>
      <c r="AA47" s="779"/>
      <c r="AB47" s="779"/>
      <c r="AC47" s="779"/>
      <c r="AD47" s="779"/>
      <c r="AE47" s="779"/>
      <c r="AF47" s="779"/>
      <c r="AG47" s="12"/>
      <c r="AH47" s="12"/>
      <c r="AI47" s="12"/>
      <c r="AJ47" s="12"/>
      <c r="AL47" s="779"/>
      <c r="AM47" s="779"/>
      <c r="AN47" s="779"/>
      <c r="AO47" s="779"/>
      <c r="AP47" s="779"/>
      <c r="AQ47" s="779"/>
      <c r="AR47" s="12"/>
      <c r="AS47" s="12"/>
      <c r="AT47" s="12"/>
      <c r="AU47" s="12"/>
      <c r="AV47" s="12"/>
      <c r="AW47" s="12"/>
      <c r="AX47" s="12"/>
      <c r="AY47" s="12"/>
      <c r="AZ47" s="779"/>
      <c r="BA47" s="779"/>
      <c r="BB47" s="779"/>
      <c r="BC47" s="779"/>
      <c r="BD47" s="779"/>
      <c r="BE47" s="779"/>
      <c r="BF47" s="12"/>
      <c r="BG47" s="12"/>
      <c r="BH47" s="12"/>
      <c r="BI47" s="12"/>
      <c r="BJ47" s="12"/>
      <c r="BK47" s="12"/>
      <c r="BL47" s="779"/>
      <c r="BM47" s="779"/>
      <c r="BN47" s="779"/>
      <c r="BO47" s="779"/>
      <c r="BP47" s="779"/>
      <c r="BQ47" s="779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779"/>
      <c r="CF47" s="779"/>
      <c r="CG47" s="779"/>
      <c r="CH47" s="779"/>
      <c r="CI47" s="779"/>
      <c r="CJ47" s="779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779"/>
      <c r="CX47" s="779"/>
      <c r="CY47" s="779"/>
      <c r="CZ47" s="779"/>
      <c r="DA47" s="779"/>
      <c r="DB47" s="779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Q47" s="779"/>
      <c r="DR47" s="779"/>
      <c r="DS47" s="779"/>
      <c r="DT47" s="779"/>
      <c r="DU47" s="779"/>
      <c r="DV47" s="779"/>
      <c r="DW47" s="12"/>
      <c r="DX47" s="12"/>
      <c r="DY47" s="12"/>
      <c r="DZ47" s="12"/>
      <c r="EA47" s="12"/>
      <c r="EB47" s="12"/>
      <c r="EC47" s="12"/>
      <c r="ED47" s="12"/>
      <c r="EE47" s="12"/>
      <c r="EF47" s="12"/>
      <c r="EG47" s="12"/>
      <c r="EH47" s="12"/>
      <c r="EI47" s="12"/>
      <c r="EK47" s="779"/>
      <c r="EL47" s="779"/>
      <c r="EM47" s="779"/>
      <c r="EN47" s="779"/>
      <c r="EO47" s="779"/>
      <c r="EP47" s="779"/>
      <c r="EQ47" s="12"/>
      <c r="ER47" s="12"/>
      <c r="ES47" s="12"/>
      <c r="ET47" s="12"/>
      <c r="EU47" s="12"/>
      <c r="EV47" s="12"/>
      <c r="EW47" s="12"/>
      <c r="EX47" s="12"/>
      <c r="EY47" s="12"/>
      <c r="EZ47" s="12"/>
      <c r="FA47" s="12"/>
      <c r="FB47" s="12"/>
      <c r="FC47" s="12"/>
      <c r="FD47" s="12"/>
      <c r="FE47" s="12"/>
      <c r="FF47" s="12"/>
      <c r="FG47" s="12"/>
      <c r="FH47" s="12"/>
      <c r="FI47" s="12"/>
      <c r="FJ47" s="12"/>
      <c r="FK47" s="12"/>
      <c r="FL47" s="12"/>
      <c r="FM47" s="12"/>
      <c r="FN47" s="12"/>
      <c r="FP47" s="779"/>
      <c r="FQ47" s="779"/>
      <c r="FR47" s="779"/>
      <c r="FS47" s="779"/>
      <c r="FT47" s="779"/>
      <c r="FU47" s="779"/>
      <c r="FV47" s="12"/>
      <c r="FW47" s="12"/>
      <c r="FX47" s="12"/>
      <c r="FY47" s="12"/>
      <c r="FZ47" s="12"/>
      <c r="GA47" s="12"/>
      <c r="GB47" s="12"/>
      <c r="GC47" s="12"/>
      <c r="GD47" s="12"/>
      <c r="GE47" s="12"/>
      <c r="GF47" s="12"/>
      <c r="GG47" s="12"/>
      <c r="GH47" s="12"/>
      <c r="GI47" s="12"/>
      <c r="GJ47" s="12"/>
      <c r="GK47" s="12"/>
      <c r="GM47" s="779"/>
      <c r="GN47" s="779"/>
      <c r="GO47" s="779"/>
      <c r="GP47" s="779"/>
      <c r="GQ47" s="779"/>
      <c r="GR47" s="779"/>
      <c r="GS47" s="12"/>
      <c r="GT47" s="12"/>
      <c r="GU47" s="12"/>
      <c r="GV47" s="12"/>
      <c r="GW47" s="12"/>
      <c r="GX47" s="12"/>
      <c r="GY47" s="12"/>
      <c r="GZ47" s="12"/>
      <c r="HA47" s="12"/>
      <c r="HB47" s="12"/>
      <c r="HC47" s="12"/>
      <c r="HD47" s="12"/>
      <c r="HE47" s="12"/>
      <c r="HF47" s="12"/>
      <c r="HH47" s="779"/>
      <c r="HI47" s="779"/>
      <c r="HJ47" s="779"/>
      <c r="HK47" s="779"/>
      <c r="HL47" s="779"/>
      <c r="HM47" s="779"/>
      <c r="HN47" s="12"/>
      <c r="HO47" s="12"/>
      <c r="HP47" s="12"/>
      <c r="HQ47" s="12"/>
      <c r="HS47" s="779"/>
      <c r="HT47" s="779"/>
      <c r="HU47" s="779"/>
      <c r="HV47" s="779"/>
      <c r="HW47" s="779"/>
      <c r="HX47" s="779"/>
      <c r="HY47" s="12"/>
      <c r="HZ47" s="12"/>
      <c r="IA47" s="12"/>
      <c r="IB47" s="12"/>
    </row>
    <row r="48" spans="1:236" ht="14.45" customHeight="1" x14ac:dyDescent="0.25">
      <c r="A48" s="47"/>
      <c r="B48" s="12"/>
      <c r="C48" s="777" t="s">
        <v>169</v>
      </c>
      <c r="D48" s="777"/>
      <c r="E48" s="777"/>
      <c r="F48" s="777"/>
      <c r="G48" s="777"/>
      <c r="H48" s="102"/>
      <c r="I48" s="13"/>
      <c r="J48" s="13"/>
      <c r="K48" s="13"/>
      <c r="L48" s="19">
        <f t="shared" si="0"/>
        <v>0</v>
      </c>
      <c r="M48" s="19">
        <f t="shared" si="1"/>
        <v>0</v>
      </c>
      <c r="N48" s="12"/>
      <c r="R48" s="776"/>
      <c r="S48" s="776"/>
      <c r="T48" s="776"/>
      <c r="U48" s="12"/>
      <c r="V48" s="12"/>
      <c r="W48" s="12"/>
      <c r="X48" s="12"/>
      <c r="Y48" s="12"/>
      <c r="Z48" s="6"/>
      <c r="AA48" s="779"/>
      <c r="AB48" s="779"/>
      <c r="AC48" s="779"/>
      <c r="AD48" s="779"/>
      <c r="AE48" s="779"/>
      <c r="AF48" s="779"/>
      <c r="AG48" s="12"/>
      <c r="AH48" s="12"/>
      <c r="AI48" s="12"/>
      <c r="AJ48" s="12"/>
      <c r="AL48" s="779"/>
      <c r="AM48" s="779"/>
      <c r="AN48" s="779"/>
      <c r="AO48" s="779"/>
      <c r="AP48" s="779"/>
      <c r="AQ48" s="779"/>
      <c r="AR48" s="12"/>
      <c r="AS48" s="12"/>
      <c r="AT48" s="12"/>
      <c r="AU48" s="12"/>
      <c r="AV48" s="12"/>
      <c r="AW48" s="12"/>
      <c r="AX48" s="12"/>
      <c r="AY48" s="12"/>
      <c r="AZ48" s="779"/>
      <c r="BA48" s="779"/>
      <c r="BB48" s="779"/>
      <c r="BC48" s="779"/>
      <c r="BD48" s="779"/>
      <c r="BE48" s="779"/>
      <c r="BF48" s="12"/>
      <c r="BG48" s="12"/>
      <c r="BH48" s="12"/>
      <c r="BI48" s="12"/>
      <c r="BJ48" s="12"/>
      <c r="BK48" s="12"/>
      <c r="BL48" s="779"/>
      <c r="BM48" s="779"/>
      <c r="BN48" s="779"/>
      <c r="BO48" s="779"/>
      <c r="BP48" s="779"/>
      <c r="BQ48" s="779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779"/>
      <c r="CF48" s="779"/>
      <c r="CG48" s="779"/>
      <c r="CH48" s="779"/>
      <c r="CI48" s="779"/>
      <c r="CJ48" s="779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779"/>
      <c r="CX48" s="779"/>
      <c r="CY48" s="779"/>
      <c r="CZ48" s="779"/>
      <c r="DA48" s="779"/>
      <c r="DB48" s="779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Q48" s="779"/>
      <c r="DR48" s="779"/>
      <c r="DS48" s="779"/>
      <c r="DT48" s="779"/>
      <c r="DU48" s="779"/>
      <c r="DV48" s="779"/>
      <c r="DW48" s="12"/>
      <c r="DX48" s="12"/>
      <c r="DY48" s="12"/>
      <c r="DZ48" s="12"/>
      <c r="EA48" s="12"/>
      <c r="EB48" s="12"/>
      <c r="EC48" s="12"/>
      <c r="ED48" s="12"/>
      <c r="EE48" s="12"/>
      <c r="EF48" s="12"/>
      <c r="EG48" s="12"/>
      <c r="EH48" s="12"/>
      <c r="EI48" s="12"/>
      <c r="EK48" s="779"/>
      <c r="EL48" s="779"/>
      <c r="EM48" s="779"/>
      <c r="EN48" s="779"/>
      <c r="EO48" s="779"/>
      <c r="EP48" s="779"/>
      <c r="EQ48" s="12"/>
      <c r="ER48" s="12"/>
      <c r="ES48" s="12"/>
      <c r="ET48" s="12"/>
      <c r="EU48" s="12"/>
      <c r="EV48" s="12"/>
      <c r="EW48" s="12"/>
      <c r="EX48" s="12"/>
      <c r="EY48" s="12"/>
      <c r="EZ48" s="12"/>
      <c r="FA48" s="12"/>
      <c r="FB48" s="12"/>
      <c r="FC48" s="12"/>
      <c r="FD48" s="12"/>
      <c r="FE48" s="12"/>
      <c r="FF48" s="12"/>
      <c r="FG48" s="12"/>
      <c r="FH48" s="12"/>
      <c r="FI48" s="12"/>
      <c r="FJ48" s="12"/>
      <c r="FK48" s="12"/>
      <c r="FL48" s="12"/>
      <c r="FM48" s="12"/>
      <c r="FN48" s="12"/>
      <c r="FP48" s="779"/>
      <c r="FQ48" s="779"/>
      <c r="FR48" s="779"/>
      <c r="FS48" s="779"/>
      <c r="FT48" s="779"/>
      <c r="FU48" s="779"/>
      <c r="FV48" s="12"/>
      <c r="FW48" s="12"/>
      <c r="FX48" s="12"/>
      <c r="FY48" s="12"/>
      <c r="FZ48" s="12"/>
      <c r="GA48" s="12"/>
      <c r="GB48" s="12"/>
      <c r="GC48" s="12"/>
      <c r="GD48" s="12"/>
      <c r="GE48" s="12"/>
      <c r="GF48" s="12"/>
      <c r="GG48" s="12"/>
      <c r="GH48" s="12"/>
      <c r="GI48" s="12"/>
      <c r="GJ48" s="12"/>
      <c r="GK48" s="12"/>
      <c r="GM48" s="779"/>
      <c r="GN48" s="779"/>
      <c r="GO48" s="779"/>
      <c r="GP48" s="779"/>
      <c r="GQ48" s="779"/>
      <c r="GR48" s="779"/>
      <c r="GS48" s="12"/>
      <c r="GT48" s="12"/>
      <c r="GU48" s="12"/>
      <c r="GV48" s="12"/>
      <c r="GW48" s="12"/>
      <c r="GX48" s="12"/>
      <c r="GY48" s="12"/>
      <c r="GZ48" s="12"/>
      <c r="HA48" s="12"/>
      <c r="HB48" s="12"/>
      <c r="HC48" s="12"/>
      <c r="HD48" s="12"/>
      <c r="HE48" s="12"/>
      <c r="HF48" s="12"/>
      <c r="HH48" s="779"/>
      <c r="HI48" s="779"/>
      <c r="HJ48" s="779"/>
      <c r="HK48" s="779"/>
      <c r="HL48" s="779"/>
      <c r="HM48" s="779"/>
      <c r="HN48" s="12"/>
      <c r="HO48" s="12"/>
      <c r="HP48" s="12"/>
      <c r="HQ48" s="12"/>
      <c r="HS48" s="779"/>
      <c r="HT48" s="779"/>
      <c r="HU48" s="779"/>
      <c r="HV48" s="779"/>
      <c r="HW48" s="779"/>
      <c r="HX48" s="779"/>
      <c r="HY48" s="12"/>
      <c r="HZ48" s="12"/>
      <c r="IA48" s="12"/>
      <c r="IB48" s="12"/>
    </row>
    <row r="49" spans="1:236" ht="14.45" customHeight="1" x14ac:dyDescent="0.25">
      <c r="A49" s="47"/>
      <c r="B49" s="12"/>
      <c r="C49" s="777" t="s">
        <v>170</v>
      </c>
      <c r="D49" s="777"/>
      <c r="E49" s="777"/>
      <c r="F49" s="777"/>
      <c r="G49" s="777"/>
      <c r="H49" s="102"/>
      <c r="I49" s="13"/>
      <c r="J49" s="13"/>
      <c r="K49" s="13"/>
      <c r="L49" s="19">
        <f t="shared" si="0"/>
        <v>0</v>
      </c>
      <c r="M49" s="19">
        <f t="shared" si="1"/>
        <v>0</v>
      </c>
      <c r="N49" s="12"/>
      <c r="R49" s="776"/>
      <c r="S49" s="776"/>
      <c r="T49" s="776"/>
      <c r="U49" s="12"/>
      <c r="V49" s="12"/>
      <c r="W49" s="12"/>
      <c r="X49" s="12"/>
      <c r="Y49" s="12"/>
      <c r="Z49" s="6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Q49" s="12"/>
      <c r="DR49" s="12"/>
      <c r="DS49" s="12"/>
      <c r="DT49" s="12"/>
      <c r="DU49" s="12"/>
      <c r="DV49" s="12"/>
      <c r="DW49" s="12"/>
      <c r="DX49" s="12"/>
      <c r="DY49" s="12"/>
      <c r="DZ49" s="12"/>
      <c r="EA49" s="12"/>
      <c r="EB49" s="12"/>
      <c r="EC49" s="12"/>
      <c r="ED49" s="12"/>
      <c r="EE49" s="12"/>
      <c r="EF49" s="12"/>
      <c r="EG49" s="12"/>
      <c r="EH49" s="12"/>
      <c r="EI49" s="12"/>
      <c r="EK49" s="779"/>
      <c r="EL49" s="779"/>
      <c r="EM49" s="779"/>
      <c r="EN49" s="779"/>
      <c r="EO49" s="779"/>
      <c r="EP49" s="779"/>
      <c r="EQ49" s="12"/>
      <c r="ER49" s="12"/>
      <c r="ES49" s="12"/>
      <c r="ET49" s="12"/>
      <c r="EU49" s="12"/>
      <c r="EV49" s="12"/>
      <c r="EW49" s="12"/>
      <c r="EX49" s="12"/>
      <c r="EY49" s="12"/>
      <c r="EZ49" s="12"/>
      <c r="FA49" s="12"/>
      <c r="FB49" s="12"/>
      <c r="FC49" s="12"/>
      <c r="FD49" s="12"/>
      <c r="FE49" s="12"/>
      <c r="FF49" s="12"/>
      <c r="FG49" s="12"/>
      <c r="FH49" s="12"/>
      <c r="FI49" s="12"/>
      <c r="FJ49" s="12"/>
      <c r="FK49" s="12"/>
      <c r="FL49" s="12"/>
      <c r="FM49" s="12"/>
      <c r="FN49" s="12"/>
      <c r="FP49" s="779"/>
      <c r="FQ49" s="779"/>
      <c r="FR49" s="779"/>
      <c r="FS49" s="779"/>
      <c r="FT49" s="779"/>
      <c r="FU49" s="779"/>
      <c r="FV49" s="12"/>
      <c r="FW49" s="12"/>
      <c r="FX49" s="12"/>
      <c r="FY49" s="12"/>
      <c r="FZ49" s="12"/>
      <c r="GA49" s="12"/>
      <c r="GB49" s="12"/>
      <c r="GC49" s="12"/>
      <c r="GD49" s="12"/>
      <c r="GE49" s="12"/>
      <c r="GF49" s="12"/>
      <c r="GG49" s="12"/>
      <c r="GH49" s="12"/>
      <c r="GI49" s="12"/>
      <c r="GJ49" s="12"/>
      <c r="GK49" s="12"/>
      <c r="GM49" s="779"/>
      <c r="GN49" s="779"/>
      <c r="GO49" s="779"/>
      <c r="GP49" s="779"/>
      <c r="GQ49" s="779"/>
      <c r="GR49" s="779"/>
      <c r="GS49" s="12"/>
      <c r="GT49" s="12"/>
      <c r="GU49" s="12"/>
      <c r="GV49" s="12"/>
      <c r="GW49" s="12"/>
      <c r="GX49" s="12"/>
      <c r="GY49" s="12"/>
      <c r="GZ49" s="12"/>
      <c r="HA49" s="12"/>
      <c r="HB49" s="12"/>
      <c r="HC49" s="12"/>
      <c r="HD49" s="12"/>
      <c r="HE49" s="12"/>
      <c r="HF49" s="12"/>
      <c r="HH49" s="779"/>
      <c r="HI49" s="779"/>
      <c r="HJ49" s="779"/>
      <c r="HK49" s="779"/>
      <c r="HL49" s="779"/>
      <c r="HM49" s="779"/>
      <c r="HN49" s="12"/>
      <c r="HO49" s="12"/>
      <c r="HP49" s="12"/>
      <c r="HQ49" s="12"/>
      <c r="HS49" s="779"/>
      <c r="HT49" s="779"/>
      <c r="HU49" s="779"/>
      <c r="HV49" s="779"/>
      <c r="HW49" s="779"/>
      <c r="HX49" s="779"/>
      <c r="HY49" s="12"/>
      <c r="HZ49" s="12"/>
      <c r="IA49" s="12"/>
      <c r="IB49" s="12"/>
    </row>
    <row r="50" spans="1:236" ht="14.45" customHeight="1" x14ac:dyDescent="0.25">
      <c r="A50" s="47"/>
      <c r="B50" s="12"/>
      <c r="C50" s="777" t="s">
        <v>210</v>
      </c>
      <c r="D50" s="777"/>
      <c r="E50" s="777"/>
      <c r="F50" s="777"/>
      <c r="G50" s="777"/>
      <c r="H50" s="102"/>
      <c r="I50" s="13"/>
      <c r="J50" s="13"/>
      <c r="K50" s="13"/>
      <c r="L50" s="19">
        <f t="shared" si="0"/>
        <v>0</v>
      </c>
      <c r="M50" s="19">
        <f t="shared" si="1"/>
        <v>0</v>
      </c>
      <c r="N50" s="12"/>
      <c r="R50" s="776"/>
      <c r="S50" s="776"/>
      <c r="T50" s="776"/>
      <c r="U50" s="12"/>
      <c r="V50" s="12"/>
      <c r="W50" s="12"/>
      <c r="X50" s="12"/>
      <c r="Y50" s="12"/>
      <c r="Z50" s="6"/>
      <c r="AA50" s="779"/>
      <c r="AB50" s="779"/>
      <c r="AC50" s="779"/>
      <c r="AD50" s="779"/>
      <c r="AE50" s="779"/>
      <c r="AF50" s="779"/>
      <c r="AG50" s="12"/>
      <c r="AH50" s="12"/>
      <c r="AI50" s="12"/>
      <c r="AJ50" s="12"/>
      <c r="AL50" s="779"/>
      <c r="AM50" s="779"/>
      <c r="AN50" s="779"/>
      <c r="AO50" s="779"/>
      <c r="AP50" s="779"/>
      <c r="AQ50" s="779"/>
      <c r="AR50" s="12"/>
      <c r="AS50" s="12"/>
      <c r="AT50" s="12"/>
      <c r="AU50" s="12"/>
      <c r="AV50" s="12"/>
      <c r="AW50" s="12"/>
      <c r="AX50" s="12"/>
      <c r="AY50" s="12"/>
      <c r="AZ50" s="779"/>
      <c r="BA50" s="779"/>
      <c r="BB50" s="779"/>
      <c r="BC50" s="779"/>
      <c r="BD50" s="779"/>
      <c r="BE50" s="779"/>
      <c r="BF50" s="12"/>
      <c r="BG50" s="12"/>
      <c r="BH50" s="12"/>
      <c r="BI50" s="12"/>
      <c r="BJ50" s="12"/>
      <c r="BK50" s="12"/>
      <c r="BL50" s="779"/>
      <c r="BM50" s="779"/>
      <c r="BN50" s="779"/>
      <c r="BO50" s="779"/>
      <c r="BP50" s="779"/>
      <c r="BQ50" s="779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779"/>
      <c r="CF50" s="779"/>
      <c r="CG50" s="779"/>
      <c r="CH50" s="779"/>
      <c r="CI50" s="779"/>
      <c r="CJ50" s="779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779"/>
      <c r="CX50" s="779"/>
      <c r="CY50" s="779"/>
      <c r="CZ50" s="779"/>
      <c r="DA50" s="779"/>
      <c r="DB50" s="779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Q50" s="779"/>
      <c r="DR50" s="779"/>
      <c r="DS50" s="779"/>
      <c r="DT50" s="779"/>
      <c r="DU50" s="779"/>
      <c r="DV50" s="779"/>
      <c r="DW50" s="12"/>
      <c r="DX50" s="12"/>
      <c r="DY50" s="12"/>
      <c r="DZ50" s="12"/>
      <c r="EA50" s="12"/>
      <c r="EB50" s="12"/>
      <c r="EC50" s="12"/>
      <c r="ED50" s="12"/>
      <c r="EE50" s="12"/>
      <c r="EF50" s="12"/>
      <c r="EG50" s="12"/>
      <c r="EH50" s="12"/>
      <c r="EI50" s="12"/>
      <c r="EK50" s="779"/>
      <c r="EL50" s="779"/>
      <c r="EM50" s="779"/>
      <c r="EN50" s="779"/>
      <c r="EO50" s="779"/>
      <c r="EP50" s="779"/>
      <c r="EQ50" s="12"/>
      <c r="ER50" s="12"/>
      <c r="ES50" s="12"/>
      <c r="ET50" s="12"/>
      <c r="EU50" s="12"/>
      <c r="EV50" s="12"/>
      <c r="EW50" s="12"/>
      <c r="EX50" s="12"/>
      <c r="EY50" s="12"/>
      <c r="EZ50" s="12"/>
      <c r="FA50" s="12"/>
      <c r="FB50" s="12"/>
      <c r="FC50" s="12"/>
      <c r="FD50" s="12"/>
      <c r="FE50" s="12"/>
      <c r="FF50" s="12"/>
      <c r="FG50" s="12"/>
      <c r="FH50" s="12"/>
      <c r="FI50" s="12"/>
      <c r="FJ50" s="12"/>
      <c r="FK50" s="12"/>
      <c r="FL50" s="12"/>
      <c r="FM50" s="12"/>
      <c r="FN50" s="12"/>
      <c r="FP50" s="779"/>
      <c r="FQ50" s="779"/>
      <c r="FR50" s="779"/>
      <c r="FS50" s="779"/>
      <c r="FT50" s="779"/>
      <c r="FU50" s="779"/>
      <c r="FV50" s="12"/>
      <c r="FW50" s="12"/>
      <c r="FX50" s="12"/>
      <c r="FY50" s="12"/>
      <c r="FZ50" s="12"/>
      <c r="GA50" s="12"/>
      <c r="GB50" s="12"/>
      <c r="GC50" s="12"/>
      <c r="GD50" s="12"/>
      <c r="GE50" s="12"/>
      <c r="GF50" s="12"/>
      <c r="GG50" s="12"/>
      <c r="GH50" s="12"/>
      <c r="GI50" s="12"/>
      <c r="GJ50" s="12"/>
      <c r="GK50" s="12"/>
      <c r="GM50" s="779"/>
      <c r="GN50" s="779"/>
      <c r="GO50" s="779"/>
      <c r="GP50" s="779"/>
      <c r="GQ50" s="779"/>
      <c r="GR50" s="779"/>
      <c r="GS50" s="12"/>
      <c r="GT50" s="12"/>
      <c r="GU50" s="12"/>
      <c r="GV50" s="12"/>
      <c r="GW50" s="12"/>
      <c r="GX50" s="12"/>
      <c r="GY50" s="12"/>
      <c r="GZ50" s="12"/>
      <c r="HA50" s="12"/>
      <c r="HB50" s="12"/>
      <c r="HC50" s="12"/>
      <c r="HD50" s="12"/>
      <c r="HE50" s="12"/>
      <c r="HF50" s="12"/>
      <c r="HH50" s="779"/>
      <c r="HI50" s="779"/>
      <c r="HJ50" s="779"/>
      <c r="HK50" s="779"/>
      <c r="HL50" s="779"/>
      <c r="HM50" s="779"/>
      <c r="HN50" s="12"/>
      <c r="HO50" s="12"/>
      <c r="HP50" s="12"/>
      <c r="HQ50" s="12"/>
      <c r="HS50" s="779"/>
      <c r="HT50" s="779"/>
      <c r="HU50" s="779"/>
      <c r="HV50" s="779"/>
      <c r="HW50" s="779"/>
      <c r="HX50" s="779"/>
      <c r="HY50" s="12"/>
      <c r="HZ50" s="12"/>
      <c r="IA50" s="12"/>
      <c r="IB50" s="12"/>
    </row>
    <row r="51" spans="1:236" ht="14.45" customHeight="1" x14ac:dyDescent="0.25">
      <c r="A51" s="47"/>
      <c r="B51" s="12"/>
      <c r="C51" s="777" t="s">
        <v>211</v>
      </c>
      <c r="D51" s="777"/>
      <c r="E51" s="777"/>
      <c r="F51" s="777"/>
      <c r="G51" s="777"/>
      <c r="H51" s="102"/>
      <c r="I51" s="13"/>
      <c r="J51" s="13"/>
      <c r="K51" s="13"/>
      <c r="L51" s="19">
        <f t="shared" si="0"/>
        <v>0</v>
      </c>
      <c r="M51" s="19">
        <f t="shared" si="1"/>
        <v>0</v>
      </c>
      <c r="N51" s="12"/>
      <c r="R51" s="776"/>
      <c r="S51" s="776"/>
      <c r="T51" s="776"/>
      <c r="U51" s="12"/>
      <c r="V51" s="12"/>
      <c r="W51" s="12"/>
      <c r="X51" s="12"/>
      <c r="Y51" s="12"/>
      <c r="Z51" s="6"/>
      <c r="AA51" s="779"/>
      <c r="AB51" s="779"/>
      <c r="AC51" s="779"/>
      <c r="AD51" s="779"/>
      <c r="AE51" s="779"/>
      <c r="AF51" s="779"/>
      <c r="AG51" s="12"/>
      <c r="AH51" s="12"/>
      <c r="AI51" s="12"/>
      <c r="AJ51" s="12"/>
      <c r="AL51" s="779"/>
      <c r="AM51" s="779"/>
      <c r="AN51" s="779"/>
      <c r="AO51" s="779"/>
      <c r="AP51" s="779"/>
      <c r="AQ51" s="779"/>
      <c r="AR51" s="12"/>
      <c r="AS51" s="12"/>
      <c r="AT51" s="12"/>
      <c r="AU51" s="12"/>
      <c r="AV51" s="12"/>
      <c r="AW51" s="12"/>
      <c r="AX51" s="12"/>
      <c r="AY51" s="12"/>
      <c r="AZ51" s="779"/>
      <c r="BA51" s="779"/>
      <c r="BB51" s="779"/>
      <c r="BC51" s="779"/>
      <c r="BD51" s="779"/>
      <c r="BE51" s="779"/>
      <c r="BF51" s="12"/>
      <c r="BG51" s="12"/>
      <c r="BH51" s="12"/>
      <c r="BI51" s="12"/>
      <c r="BJ51" s="12"/>
      <c r="BK51" s="12"/>
      <c r="BL51" s="779"/>
      <c r="BM51" s="779"/>
      <c r="BN51" s="779"/>
      <c r="BO51" s="779"/>
      <c r="BP51" s="779"/>
      <c r="BQ51" s="779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779"/>
      <c r="CF51" s="779"/>
      <c r="CG51" s="779"/>
      <c r="CH51" s="779"/>
      <c r="CI51" s="779"/>
      <c r="CJ51" s="779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779"/>
      <c r="CX51" s="779"/>
      <c r="CY51" s="779"/>
      <c r="CZ51" s="779"/>
      <c r="DA51" s="779"/>
      <c r="DB51" s="779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Q51" s="779"/>
      <c r="DR51" s="779"/>
      <c r="DS51" s="779"/>
      <c r="DT51" s="779"/>
      <c r="DU51" s="779"/>
      <c r="DV51" s="779"/>
      <c r="DW51" s="12"/>
      <c r="DX51" s="12"/>
      <c r="DY51" s="12"/>
      <c r="DZ51" s="12"/>
      <c r="EA51" s="12"/>
      <c r="EB51" s="12"/>
      <c r="EC51" s="12"/>
      <c r="ED51" s="12"/>
      <c r="EE51" s="12"/>
      <c r="EF51" s="12"/>
      <c r="EG51" s="12"/>
      <c r="EH51" s="12"/>
      <c r="EI51" s="12"/>
      <c r="EK51" s="779"/>
      <c r="EL51" s="779"/>
      <c r="EM51" s="779"/>
      <c r="EN51" s="779"/>
      <c r="EO51" s="779"/>
      <c r="EP51" s="779"/>
      <c r="EQ51" s="12"/>
      <c r="ER51" s="12"/>
      <c r="ES51" s="12"/>
      <c r="ET51" s="12"/>
      <c r="EU51" s="12"/>
      <c r="EV51" s="12"/>
      <c r="EW51" s="12"/>
      <c r="EX51" s="12"/>
      <c r="EY51" s="12"/>
      <c r="EZ51" s="12"/>
      <c r="FA51" s="12"/>
      <c r="FB51" s="12"/>
      <c r="FC51" s="12"/>
      <c r="FD51" s="12"/>
      <c r="FE51" s="12"/>
      <c r="FF51" s="12"/>
      <c r="FG51" s="12"/>
      <c r="FH51" s="12"/>
      <c r="FI51" s="12"/>
      <c r="FJ51" s="12"/>
      <c r="FK51" s="12"/>
      <c r="FL51" s="12"/>
      <c r="FM51" s="12"/>
      <c r="FN51" s="12"/>
      <c r="FP51" s="779"/>
      <c r="FQ51" s="779"/>
      <c r="FR51" s="779"/>
      <c r="FS51" s="779"/>
      <c r="FT51" s="779"/>
      <c r="FU51" s="779"/>
      <c r="FV51" s="12"/>
      <c r="FW51" s="12"/>
      <c r="FX51" s="12"/>
      <c r="FY51" s="12"/>
      <c r="FZ51" s="12"/>
      <c r="GA51" s="12"/>
      <c r="GB51" s="12"/>
      <c r="GC51" s="12"/>
      <c r="GD51" s="12"/>
      <c r="GE51" s="12"/>
      <c r="GF51" s="12"/>
      <c r="GG51" s="12"/>
      <c r="GH51" s="12"/>
      <c r="GI51" s="12"/>
      <c r="GJ51" s="12"/>
      <c r="GK51" s="12"/>
      <c r="GM51" s="779"/>
      <c r="GN51" s="779"/>
      <c r="GO51" s="779"/>
      <c r="GP51" s="779"/>
      <c r="GQ51" s="779"/>
      <c r="GR51" s="779"/>
      <c r="GS51" s="12"/>
      <c r="GT51" s="12"/>
      <c r="GU51" s="12"/>
      <c r="GV51" s="12"/>
      <c r="GW51" s="12"/>
      <c r="GX51" s="12"/>
      <c r="GY51" s="12"/>
      <c r="GZ51" s="12"/>
      <c r="HA51" s="12"/>
      <c r="HB51" s="12"/>
      <c r="HC51" s="12"/>
      <c r="HD51" s="12"/>
      <c r="HE51" s="12"/>
      <c r="HF51" s="12"/>
      <c r="HH51" s="779"/>
      <c r="HI51" s="779"/>
      <c r="HJ51" s="779"/>
      <c r="HK51" s="779"/>
      <c r="HL51" s="779"/>
      <c r="HM51" s="779"/>
      <c r="HN51" s="12"/>
      <c r="HO51" s="12"/>
      <c r="HP51" s="12"/>
      <c r="HQ51" s="12"/>
      <c r="HS51" s="779"/>
      <c r="HT51" s="779"/>
      <c r="HU51" s="779"/>
      <c r="HV51" s="779"/>
      <c r="HW51" s="779"/>
      <c r="HX51" s="779"/>
      <c r="HY51" s="12"/>
      <c r="HZ51" s="12"/>
      <c r="IA51" s="12"/>
      <c r="IB51" s="12"/>
    </row>
    <row r="52" spans="1:236" ht="14.45" customHeight="1" x14ac:dyDescent="0.25">
      <c r="A52" s="47"/>
      <c r="B52" s="12"/>
      <c r="C52" s="777" t="s">
        <v>176</v>
      </c>
      <c r="D52" s="777"/>
      <c r="E52" s="777"/>
      <c r="F52" s="777"/>
      <c r="G52" s="777"/>
      <c r="H52" s="102"/>
      <c r="I52" s="13"/>
      <c r="J52" s="13"/>
      <c r="K52" s="13"/>
      <c r="L52" s="19">
        <f t="shared" si="0"/>
        <v>0</v>
      </c>
      <c r="M52" s="19">
        <f t="shared" si="1"/>
        <v>0</v>
      </c>
      <c r="N52" s="12"/>
      <c r="R52" s="776"/>
      <c r="S52" s="776"/>
      <c r="T52" s="776"/>
      <c r="U52" s="12"/>
      <c r="V52" s="12"/>
      <c r="W52" s="12"/>
      <c r="X52" s="12"/>
      <c r="Y52" s="12"/>
      <c r="Z52" s="6"/>
      <c r="AA52" s="779"/>
      <c r="AB52" s="779"/>
      <c r="AC52" s="779"/>
      <c r="AD52" s="779"/>
      <c r="AE52" s="779"/>
      <c r="AF52" s="779"/>
      <c r="AG52" s="12"/>
      <c r="AH52" s="12"/>
      <c r="AI52" s="12"/>
      <c r="AJ52" s="12"/>
      <c r="AL52" s="779"/>
      <c r="AM52" s="779"/>
      <c r="AN52" s="779"/>
      <c r="AO52" s="779"/>
      <c r="AP52" s="779"/>
      <c r="AQ52" s="779"/>
      <c r="AR52" s="12"/>
      <c r="AS52" s="12"/>
      <c r="AT52" s="12"/>
      <c r="AU52" s="12"/>
      <c r="AV52" s="12"/>
      <c r="AW52" s="12"/>
      <c r="AX52" s="12"/>
      <c r="AY52" s="12"/>
      <c r="AZ52" s="779"/>
      <c r="BA52" s="779"/>
      <c r="BB52" s="779"/>
      <c r="BC52" s="779"/>
      <c r="BD52" s="779"/>
      <c r="BE52" s="779"/>
      <c r="BF52" s="12"/>
      <c r="BG52" s="12"/>
      <c r="BH52" s="12"/>
      <c r="BI52" s="12"/>
      <c r="BJ52" s="12"/>
      <c r="BK52" s="12"/>
      <c r="BL52" s="779"/>
      <c r="BM52" s="779"/>
      <c r="BN52" s="779"/>
      <c r="BO52" s="779"/>
      <c r="BP52" s="779"/>
      <c r="BQ52" s="779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779"/>
      <c r="CF52" s="779"/>
      <c r="CG52" s="779"/>
      <c r="CH52" s="779"/>
      <c r="CI52" s="779"/>
      <c r="CJ52" s="779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779"/>
      <c r="CX52" s="779"/>
      <c r="CY52" s="779"/>
      <c r="CZ52" s="779"/>
      <c r="DA52" s="779"/>
      <c r="DB52" s="779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Q52" s="779"/>
      <c r="DR52" s="779"/>
      <c r="DS52" s="779"/>
      <c r="DT52" s="779"/>
      <c r="DU52" s="779"/>
      <c r="DV52" s="779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K52" s="779"/>
      <c r="EL52" s="779"/>
      <c r="EM52" s="779"/>
      <c r="EN52" s="779"/>
      <c r="EO52" s="779"/>
      <c r="EP52" s="779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  <c r="FH52" s="12"/>
      <c r="FI52" s="12"/>
      <c r="FJ52" s="12"/>
      <c r="FK52" s="12"/>
      <c r="FL52" s="12"/>
      <c r="FM52" s="12"/>
      <c r="FN52" s="12"/>
      <c r="FP52" s="779"/>
      <c r="FQ52" s="779"/>
      <c r="FR52" s="779"/>
      <c r="FS52" s="779"/>
      <c r="FT52" s="779"/>
      <c r="FU52" s="779"/>
      <c r="FV52" s="12"/>
      <c r="FW52" s="12"/>
      <c r="FX52" s="12"/>
      <c r="FY52" s="12"/>
      <c r="FZ52" s="12"/>
      <c r="GA52" s="12"/>
      <c r="GB52" s="12"/>
      <c r="GC52" s="12"/>
      <c r="GD52" s="12"/>
      <c r="GE52" s="12"/>
      <c r="GF52" s="12"/>
      <c r="GG52" s="12"/>
      <c r="GH52" s="12"/>
      <c r="GI52" s="12"/>
      <c r="GJ52" s="12"/>
      <c r="GK52" s="12"/>
      <c r="GM52" s="779"/>
      <c r="GN52" s="779"/>
      <c r="GO52" s="779"/>
      <c r="GP52" s="779"/>
      <c r="GQ52" s="779"/>
      <c r="GR52" s="779"/>
      <c r="GS52" s="12"/>
      <c r="GT52" s="12"/>
      <c r="GU52" s="12"/>
      <c r="GV52" s="12"/>
      <c r="GW52" s="12"/>
      <c r="GX52" s="12"/>
      <c r="GY52" s="12"/>
      <c r="GZ52" s="12"/>
      <c r="HA52" s="12"/>
      <c r="HB52" s="12"/>
      <c r="HC52" s="12"/>
      <c r="HD52" s="12"/>
      <c r="HE52" s="12"/>
      <c r="HF52" s="12"/>
      <c r="HH52" s="779"/>
      <c r="HI52" s="779"/>
      <c r="HJ52" s="779"/>
      <c r="HK52" s="779"/>
      <c r="HL52" s="779"/>
      <c r="HM52" s="779"/>
      <c r="HN52" s="12"/>
      <c r="HO52" s="12"/>
      <c r="HP52" s="12"/>
      <c r="HQ52" s="12"/>
      <c r="HS52" s="779"/>
      <c r="HT52" s="779"/>
      <c r="HU52" s="779"/>
      <c r="HV52" s="779"/>
      <c r="HW52" s="779"/>
      <c r="HX52" s="779"/>
      <c r="HY52" s="12"/>
      <c r="HZ52" s="12"/>
      <c r="IA52" s="12"/>
      <c r="IB52" s="12"/>
    </row>
    <row r="53" spans="1:236" ht="14.45" customHeight="1" x14ac:dyDescent="0.25">
      <c r="A53" s="47"/>
      <c r="B53" s="12"/>
      <c r="C53" s="777" t="s">
        <v>174</v>
      </c>
      <c r="D53" s="777"/>
      <c r="E53" s="777"/>
      <c r="F53" s="777"/>
      <c r="G53" s="777"/>
      <c r="H53" s="102"/>
      <c r="I53" s="13"/>
      <c r="J53" s="13"/>
      <c r="K53" s="13"/>
      <c r="L53" s="19">
        <f t="shared" si="0"/>
        <v>0</v>
      </c>
      <c r="M53" s="19">
        <f t="shared" si="1"/>
        <v>0</v>
      </c>
      <c r="N53" s="12"/>
      <c r="R53" s="776"/>
      <c r="S53" s="776"/>
      <c r="T53" s="776"/>
      <c r="U53" s="12"/>
      <c r="V53" s="12"/>
      <c r="W53" s="12"/>
      <c r="X53" s="12"/>
      <c r="Y53" s="12"/>
      <c r="Z53" s="6"/>
      <c r="AA53" s="779"/>
      <c r="AB53" s="779"/>
      <c r="AC53" s="779"/>
      <c r="AD53" s="779"/>
      <c r="AE53" s="779"/>
      <c r="AF53" s="779"/>
      <c r="AG53" s="12"/>
      <c r="AH53" s="12"/>
      <c r="AI53" s="12"/>
      <c r="AJ53" s="12"/>
      <c r="AL53" s="779"/>
      <c r="AM53" s="779"/>
      <c r="AN53" s="779"/>
      <c r="AO53" s="779"/>
      <c r="AP53" s="779"/>
      <c r="AQ53" s="779"/>
      <c r="AR53" s="12"/>
      <c r="AS53" s="12"/>
      <c r="AT53" s="12"/>
      <c r="AU53" s="12"/>
      <c r="AV53" s="12"/>
      <c r="AW53" s="12"/>
      <c r="AX53" s="12"/>
      <c r="AY53" s="12"/>
      <c r="AZ53" s="779"/>
      <c r="BA53" s="779"/>
      <c r="BB53" s="779"/>
      <c r="BC53" s="779"/>
      <c r="BD53" s="779"/>
      <c r="BE53" s="779"/>
      <c r="BF53" s="12"/>
      <c r="BG53" s="12"/>
      <c r="BH53" s="12"/>
      <c r="BI53" s="12"/>
      <c r="BJ53" s="12"/>
      <c r="BK53" s="12"/>
      <c r="BL53" s="779"/>
      <c r="BM53" s="779"/>
      <c r="BN53" s="779"/>
      <c r="BO53" s="779"/>
      <c r="BP53" s="779"/>
      <c r="BQ53" s="779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779"/>
      <c r="CF53" s="779"/>
      <c r="CG53" s="779"/>
      <c r="CH53" s="779"/>
      <c r="CI53" s="779"/>
      <c r="CJ53" s="779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779"/>
      <c r="CX53" s="779"/>
      <c r="CY53" s="779"/>
      <c r="CZ53" s="779"/>
      <c r="DA53" s="779"/>
      <c r="DB53" s="779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Q53" s="779"/>
      <c r="DR53" s="779"/>
      <c r="DS53" s="779"/>
      <c r="DT53" s="779"/>
      <c r="DU53" s="779"/>
      <c r="DV53" s="779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12"/>
      <c r="EI53" s="12"/>
      <c r="EK53" s="779"/>
      <c r="EL53" s="779"/>
      <c r="EM53" s="779"/>
      <c r="EN53" s="779"/>
      <c r="EO53" s="779"/>
      <c r="EP53" s="779"/>
      <c r="EQ53" s="12"/>
      <c r="ER53" s="12"/>
      <c r="ES53" s="12"/>
      <c r="ET53" s="12"/>
      <c r="EU53" s="12"/>
      <c r="EV53" s="12"/>
      <c r="EW53" s="12"/>
      <c r="EX53" s="12"/>
      <c r="EY53" s="12"/>
      <c r="EZ53" s="12"/>
      <c r="FA53" s="12"/>
      <c r="FB53" s="12"/>
      <c r="FC53" s="12"/>
      <c r="FD53" s="12"/>
      <c r="FE53" s="12"/>
      <c r="FF53" s="12"/>
      <c r="FG53" s="12"/>
      <c r="FH53" s="12"/>
      <c r="FI53" s="12"/>
      <c r="FJ53" s="12"/>
      <c r="FK53" s="12"/>
      <c r="FL53" s="12"/>
      <c r="FM53" s="12"/>
      <c r="FN53" s="12"/>
      <c r="FP53" s="779"/>
      <c r="FQ53" s="779"/>
      <c r="FR53" s="779"/>
      <c r="FS53" s="779"/>
      <c r="FT53" s="779"/>
      <c r="FU53" s="779"/>
      <c r="FV53" s="12"/>
      <c r="FW53" s="12"/>
      <c r="FX53" s="12"/>
      <c r="FY53" s="12"/>
      <c r="FZ53" s="12"/>
      <c r="GA53" s="12"/>
      <c r="GB53" s="12"/>
      <c r="GC53" s="12"/>
      <c r="GD53" s="12"/>
      <c r="GE53" s="12"/>
      <c r="GF53" s="12"/>
      <c r="GG53" s="12"/>
      <c r="GH53" s="12"/>
      <c r="GI53" s="12"/>
      <c r="GJ53" s="12"/>
      <c r="GK53" s="12"/>
      <c r="GM53" s="779"/>
      <c r="GN53" s="779"/>
      <c r="GO53" s="779"/>
      <c r="GP53" s="779"/>
      <c r="GQ53" s="779"/>
      <c r="GR53" s="779"/>
      <c r="GS53" s="12"/>
      <c r="GT53" s="12"/>
      <c r="GU53" s="12"/>
      <c r="GV53" s="12"/>
      <c r="GW53" s="12"/>
      <c r="GX53" s="12"/>
      <c r="GY53" s="12"/>
      <c r="GZ53" s="12"/>
      <c r="HA53" s="12"/>
      <c r="HB53" s="12"/>
      <c r="HC53" s="12"/>
      <c r="HD53" s="12"/>
      <c r="HE53" s="12"/>
      <c r="HF53" s="12"/>
      <c r="HH53" s="779"/>
      <c r="HI53" s="779"/>
      <c r="HJ53" s="779"/>
      <c r="HK53" s="779"/>
      <c r="HL53" s="779"/>
      <c r="HM53" s="779"/>
      <c r="HN53" s="12"/>
      <c r="HO53" s="12"/>
      <c r="HP53" s="12"/>
      <c r="HQ53" s="12"/>
      <c r="HS53" s="779"/>
      <c r="HT53" s="779"/>
      <c r="HU53" s="779"/>
      <c r="HV53" s="779"/>
      <c r="HW53" s="779"/>
      <c r="HX53" s="779"/>
      <c r="HY53" s="12"/>
      <c r="HZ53" s="12"/>
      <c r="IA53" s="12"/>
      <c r="IB53" s="12"/>
    </row>
    <row r="54" spans="1:236" ht="14.45" customHeight="1" x14ac:dyDescent="0.25">
      <c r="A54" s="47"/>
      <c r="B54" s="12"/>
      <c r="C54" s="777" t="s">
        <v>175</v>
      </c>
      <c r="D54" s="777"/>
      <c r="E54" s="777"/>
      <c r="F54" s="777"/>
      <c r="G54" s="777"/>
      <c r="H54" s="102"/>
      <c r="I54" s="13"/>
      <c r="J54" s="13"/>
      <c r="K54" s="13"/>
      <c r="L54" s="19">
        <f t="shared" si="0"/>
        <v>0</v>
      </c>
      <c r="M54" s="19">
        <f t="shared" si="1"/>
        <v>0</v>
      </c>
      <c r="N54" s="12"/>
      <c r="R54" s="776"/>
      <c r="S54" s="776"/>
      <c r="T54" s="776"/>
      <c r="U54" s="12"/>
      <c r="V54" s="12"/>
      <c r="W54" s="12"/>
      <c r="X54" s="12"/>
      <c r="Y54" s="12"/>
      <c r="Z54" s="6"/>
      <c r="AA54" s="779"/>
      <c r="AB54" s="779"/>
      <c r="AC54" s="779"/>
      <c r="AD54" s="779"/>
      <c r="AE54" s="779"/>
      <c r="AF54" s="779"/>
      <c r="AG54" s="12"/>
      <c r="AH54" s="12"/>
      <c r="AI54" s="12"/>
      <c r="AJ54" s="12"/>
      <c r="AL54" s="779"/>
      <c r="AM54" s="779"/>
      <c r="AN54" s="779"/>
      <c r="AO54" s="779"/>
      <c r="AP54" s="779"/>
      <c r="AQ54" s="779"/>
      <c r="AR54" s="12"/>
      <c r="AS54" s="12"/>
      <c r="AT54" s="12"/>
      <c r="AU54" s="12"/>
      <c r="AV54" s="12"/>
      <c r="AW54" s="12"/>
      <c r="AX54" s="12"/>
      <c r="AY54" s="12"/>
      <c r="AZ54" s="779"/>
      <c r="BA54" s="779"/>
      <c r="BB54" s="779"/>
      <c r="BC54" s="779"/>
      <c r="BD54" s="779"/>
      <c r="BE54" s="779"/>
      <c r="BF54" s="12"/>
      <c r="BG54" s="12"/>
      <c r="BH54" s="12"/>
      <c r="BI54" s="12"/>
      <c r="BJ54" s="12"/>
      <c r="BK54" s="12"/>
      <c r="BL54" s="779"/>
      <c r="BM54" s="779"/>
      <c r="BN54" s="779"/>
      <c r="BO54" s="779"/>
      <c r="BP54" s="779"/>
      <c r="BQ54" s="779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779"/>
      <c r="CF54" s="779"/>
      <c r="CG54" s="779"/>
      <c r="CH54" s="779"/>
      <c r="CI54" s="779"/>
      <c r="CJ54" s="779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779"/>
      <c r="CX54" s="779"/>
      <c r="CY54" s="779"/>
      <c r="CZ54" s="779"/>
      <c r="DA54" s="779"/>
      <c r="DB54" s="779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Q54" s="779"/>
      <c r="DR54" s="779"/>
      <c r="DS54" s="779"/>
      <c r="DT54" s="779"/>
      <c r="DU54" s="779"/>
      <c r="DV54" s="779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12"/>
      <c r="EI54" s="12"/>
      <c r="EK54" s="779"/>
      <c r="EL54" s="779"/>
      <c r="EM54" s="779"/>
      <c r="EN54" s="779"/>
      <c r="EO54" s="779"/>
      <c r="EP54" s="779"/>
      <c r="EQ54" s="12"/>
      <c r="ER54" s="12"/>
      <c r="ES54" s="12"/>
      <c r="ET54" s="12"/>
      <c r="EU54" s="12"/>
      <c r="EV54" s="12"/>
      <c r="EW54" s="12"/>
      <c r="EX54" s="12"/>
      <c r="EY54" s="12"/>
      <c r="EZ54" s="12"/>
      <c r="FA54" s="12"/>
      <c r="FB54" s="12"/>
      <c r="FC54" s="12"/>
      <c r="FD54" s="12"/>
      <c r="FE54" s="12"/>
      <c r="FF54" s="12"/>
      <c r="FG54" s="12"/>
      <c r="FH54" s="12"/>
      <c r="FI54" s="12"/>
      <c r="FJ54" s="12"/>
      <c r="FK54" s="12"/>
      <c r="FL54" s="12"/>
      <c r="FM54" s="12"/>
      <c r="FN54" s="12"/>
      <c r="FP54" s="779"/>
      <c r="FQ54" s="779"/>
      <c r="FR54" s="779"/>
      <c r="FS54" s="779"/>
      <c r="FT54" s="779"/>
      <c r="FU54" s="779"/>
      <c r="FV54" s="12"/>
      <c r="FW54" s="12"/>
      <c r="FX54" s="12"/>
      <c r="FY54" s="12"/>
      <c r="FZ54" s="12"/>
      <c r="GA54" s="12"/>
      <c r="GB54" s="12"/>
      <c r="GC54" s="12"/>
      <c r="GD54" s="12"/>
      <c r="GE54" s="12"/>
      <c r="GF54" s="12"/>
      <c r="GG54" s="12"/>
      <c r="GH54" s="12"/>
      <c r="GI54" s="12"/>
      <c r="GJ54" s="12"/>
      <c r="GK54" s="12"/>
      <c r="GM54" s="779"/>
      <c r="GN54" s="779"/>
      <c r="GO54" s="779"/>
      <c r="GP54" s="779"/>
      <c r="GQ54" s="779"/>
      <c r="GR54" s="779"/>
      <c r="GS54" s="12"/>
      <c r="GT54" s="12"/>
      <c r="GU54" s="12"/>
      <c r="GV54" s="12"/>
      <c r="GW54" s="12"/>
      <c r="GX54" s="12"/>
      <c r="GY54" s="12"/>
      <c r="GZ54" s="12"/>
      <c r="HA54" s="12"/>
      <c r="HB54" s="12"/>
      <c r="HC54" s="12"/>
      <c r="HD54" s="12"/>
      <c r="HE54" s="12"/>
      <c r="HF54" s="12"/>
      <c r="HH54" s="779"/>
      <c r="HI54" s="779"/>
      <c r="HJ54" s="779"/>
      <c r="HK54" s="779"/>
      <c r="HL54" s="779"/>
      <c r="HM54" s="779"/>
      <c r="HN54" s="12"/>
      <c r="HO54" s="12"/>
      <c r="HP54" s="12"/>
      <c r="HQ54" s="12"/>
      <c r="HS54" s="779"/>
      <c r="HT54" s="779"/>
      <c r="HU54" s="779"/>
      <c r="HV54" s="779"/>
      <c r="HW54" s="779"/>
      <c r="HX54" s="779"/>
      <c r="HY54" s="12"/>
      <c r="HZ54" s="12"/>
      <c r="IA54" s="12"/>
      <c r="IB54" s="12"/>
    </row>
    <row r="55" spans="1:236" ht="14.45" customHeight="1" x14ac:dyDescent="0.25">
      <c r="A55" s="47"/>
      <c r="B55" s="12"/>
      <c r="C55" s="777" t="s">
        <v>137</v>
      </c>
      <c r="D55" s="777"/>
      <c r="E55" s="777"/>
      <c r="F55" s="777"/>
      <c r="G55" s="777"/>
      <c r="H55" s="102"/>
      <c r="I55" s="13"/>
      <c r="J55" s="13"/>
      <c r="K55" s="13"/>
      <c r="L55" s="19">
        <f t="shared" si="0"/>
        <v>0</v>
      </c>
      <c r="M55" s="19">
        <f t="shared" si="1"/>
        <v>0</v>
      </c>
      <c r="N55" s="12"/>
      <c r="R55" s="776"/>
      <c r="S55" s="776"/>
      <c r="T55" s="776"/>
      <c r="U55" s="12"/>
      <c r="V55" s="12"/>
      <c r="W55" s="12"/>
      <c r="X55" s="12"/>
      <c r="Y55" s="12"/>
      <c r="Z55" s="6"/>
      <c r="AA55" s="779"/>
      <c r="AB55" s="779"/>
      <c r="AC55" s="779"/>
      <c r="AD55" s="779"/>
      <c r="AE55" s="779"/>
      <c r="AF55" s="779"/>
      <c r="AG55" s="12"/>
      <c r="AH55" s="12"/>
      <c r="AI55" s="12"/>
      <c r="AJ55" s="12"/>
      <c r="AL55" s="779"/>
      <c r="AM55" s="779"/>
      <c r="AN55" s="779"/>
      <c r="AO55" s="779"/>
      <c r="AP55" s="779"/>
      <c r="AQ55" s="779"/>
      <c r="AR55" s="12"/>
      <c r="AS55" s="12"/>
      <c r="AT55" s="12"/>
      <c r="AU55" s="12"/>
      <c r="AV55" s="12"/>
      <c r="AW55" s="12"/>
      <c r="AX55" s="12"/>
      <c r="AY55" s="12"/>
      <c r="AZ55" s="779"/>
      <c r="BA55" s="779"/>
      <c r="BB55" s="779"/>
      <c r="BC55" s="779"/>
      <c r="BD55" s="779"/>
      <c r="BE55" s="779"/>
      <c r="BF55" s="12"/>
      <c r="BG55" s="12"/>
      <c r="BH55" s="12"/>
      <c r="BI55" s="12"/>
      <c r="BJ55" s="12"/>
      <c r="BK55" s="12"/>
      <c r="BL55" s="779"/>
      <c r="BM55" s="779"/>
      <c r="BN55" s="779"/>
      <c r="BO55" s="779"/>
      <c r="BP55" s="779"/>
      <c r="BQ55" s="779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779"/>
      <c r="CF55" s="779"/>
      <c r="CG55" s="779"/>
      <c r="CH55" s="779"/>
      <c r="CI55" s="779"/>
      <c r="CJ55" s="779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779"/>
      <c r="CX55" s="779"/>
      <c r="CY55" s="779"/>
      <c r="CZ55" s="779"/>
      <c r="DA55" s="779"/>
      <c r="DB55" s="779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Q55" s="779"/>
      <c r="DR55" s="779"/>
      <c r="DS55" s="779"/>
      <c r="DT55" s="779"/>
      <c r="DU55" s="779"/>
      <c r="DV55" s="779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  <c r="EH55" s="12"/>
      <c r="EI55" s="12"/>
      <c r="EK55" s="779"/>
      <c r="EL55" s="779"/>
      <c r="EM55" s="779"/>
      <c r="EN55" s="779"/>
      <c r="EO55" s="779"/>
      <c r="EP55" s="779"/>
      <c r="EQ55" s="12"/>
      <c r="ER55" s="12"/>
      <c r="ES55" s="12"/>
      <c r="ET55" s="12"/>
      <c r="EU55" s="12"/>
      <c r="EV55" s="12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  <c r="FH55" s="12"/>
      <c r="FI55" s="12"/>
      <c r="FJ55" s="12"/>
      <c r="FK55" s="12"/>
      <c r="FL55" s="12"/>
      <c r="FM55" s="12"/>
      <c r="FN55" s="12"/>
      <c r="FP55" s="779"/>
      <c r="FQ55" s="779"/>
      <c r="FR55" s="779"/>
      <c r="FS55" s="779"/>
      <c r="FT55" s="779"/>
      <c r="FU55" s="779"/>
      <c r="FV55" s="12"/>
      <c r="FW55" s="12"/>
      <c r="FX55" s="12"/>
      <c r="FY55" s="12"/>
      <c r="FZ55" s="12"/>
      <c r="GA55" s="12"/>
      <c r="GB55" s="12"/>
      <c r="GC55" s="12"/>
      <c r="GD55" s="12"/>
      <c r="GE55" s="12"/>
      <c r="GF55" s="12"/>
      <c r="GG55" s="12"/>
      <c r="GH55" s="12"/>
      <c r="GI55" s="12"/>
      <c r="GJ55" s="12"/>
      <c r="GK55" s="12"/>
      <c r="GM55" s="779"/>
      <c r="GN55" s="779"/>
      <c r="GO55" s="779"/>
      <c r="GP55" s="779"/>
      <c r="GQ55" s="779"/>
      <c r="GR55" s="779"/>
      <c r="GS55" s="12"/>
      <c r="GT55" s="12"/>
      <c r="GU55" s="12"/>
      <c r="GV55" s="12"/>
      <c r="GW55" s="12"/>
      <c r="GX55" s="12"/>
      <c r="GY55" s="12"/>
      <c r="GZ55" s="12"/>
      <c r="HA55" s="12"/>
      <c r="HB55" s="12"/>
      <c r="HC55" s="12"/>
      <c r="HD55" s="12"/>
      <c r="HE55" s="12"/>
      <c r="HF55" s="12"/>
      <c r="HH55" s="779"/>
      <c r="HI55" s="779"/>
      <c r="HJ55" s="779"/>
      <c r="HK55" s="779"/>
      <c r="HL55" s="779"/>
      <c r="HM55" s="779"/>
      <c r="HN55" s="12"/>
      <c r="HO55" s="12"/>
      <c r="HP55" s="12"/>
      <c r="HQ55" s="12"/>
      <c r="HS55" s="779"/>
      <c r="HT55" s="779"/>
      <c r="HU55" s="779"/>
      <c r="HV55" s="779"/>
      <c r="HW55" s="779"/>
      <c r="HX55" s="779"/>
      <c r="HY55" s="12"/>
      <c r="HZ55" s="12"/>
      <c r="IA55" s="12"/>
      <c r="IB55" s="12"/>
    </row>
    <row r="56" spans="1:236" ht="14.45" customHeight="1" x14ac:dyDescent="0.25">
      <c r="A56" s="47"/>
      <c r="B56" s="12"/>
      <c r="C56" s="777" t="s">
        <v>138</v>
      </c>
      <c r="D56" s="777"/>
      <c r="E56" s="777"/>
      <c r="F56" s="777"/>
      <c r="G56" s="777"/>
      <c r="H56" s="102"/>
      <c r="I56" s="13"/>
      <c r="J56" s="13"/>
      <c r="K56" s="13"/>
      <c r="L56" s="19">
        <f t="shared" si="0"/>
        <v>0</v>
      </c>
      <c r="M56" s="19">
        <f t="shared" si="1"/>
        <v>0</v>
      </c>
      <c r="N56" s="12"/>
      <c r="R56" s="776"/>
      <c r="S56" s="776"/>
      <c r="T56" s="776"/>
      <c r="U56" s="12"/>
      <c r="V56" s="12"/>
      <c r="W56" s="12"/>
      <c r="X56" s="12"/>
      <c r="Y56" s="12"/>
      <c r="Z56" s="6"/>
      <c r="AA56" s="779"/>
      <c r="AB56" s="779"/>
      <c r="AC56" s="779"/>
      <c r="AD56" s="779"/>
      <c r="AE56" s="779"/>
      <c r="AF56" s="779"/>
      <c r="AG56" s="12"/>
      <c r="AH56" s="12"/>
      <c r="AI56" s="12"/>
      <c r="AJ56" s="12"/>
      <c r="AL56" s="779"/>
      <c r="AM56" s="779"/>
      <c r="AN56" s="779"/>
      <c r="AO56" s="779"/>
      <c r="AP56" s="779"/>
      <c r="AQ56" s="779"/>
      <c r="AR56" s="12"/>
      <c r="AS56" s="12"/>
      <c r="AT56" s="12"/>
      <c r="AU56" s="12"/>
      <c r="AV56" s="12"/>
      <c r="AW56" s="12"/>
      <c r="AX56" s="12"/>
      <c r="AY56" s="12"/>
      <c r="AZ56" s="779"/>
      <c r="BA56" s="779"/>
      <c r="BB56" s="779"/>
      <c r="BC56" s="779"/>
      <c r="BD56" s="779"/>
      <c r="BE56" s="779"/>
      <c r="BF56" s="12"/>
      <c r="BG56" s="12"/>
      <c r="BH56" s="12"/>
      <c r="BI56" s="12"/>
      <c r="BJ56" s="12"/>
      <c r="BK56" s="12"/>
      <c r="BL56" s="779"/>
      <c r="BM56" s="779"/>
      <c r="BN56" s="779"/>
      <c r="BO56" s="779"/>
      <c r="BP56" s="779"/>
      <c r="BQ56" s="779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779"/>
      <c r="CF56" s="779"/>
      <c r="CG56" s="779"/>
      <c r="CH56" s="779"/>
      <c r="CI56" s="779"/>
      <c r="CJ56" s="779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779"/>
      <c r="CX56" s="779"/>
      <c r="CY56" s="779"/>
      <c r="CZ56" s="779"/>
      <c r="DA56" s="779"/>
      <c r="DB56" s="779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Q56" s="779"/>
      <c r="DR56" s="779"/>
      <c r="DS56" s="779"/>
      <c r="DT56" s="779"/>
      <c r="DU56" s="779"/>
      <c r="DV56" s="779"/>
      <c r="DW56" s="12"/>
      <c r="DX56" s="12"/>
      <c r="DY56" s="12"/>
      <c r="DZ56" s="12"/>
      <c r="EA56" s="12"/>
      <c r="EB56" s="12"/>
      <c r="EC56" s="12"/>
      <c r="ED56" s="12"/>
      <c r="EE56" s="12"/>
      <c r="EF56" s="12"/>
      <c r="EG56" s="12"/>
      <c r="EH56" s="12"/>
      <c r="EI56" s="12"/>
      <c r="EK56" s="779"/>
      <c r="EL56" s="779"/>
      <c r="EM56" s="779"/>
      <c r="EN56" s="779"/>
      <c r="EO56" s="779"/>
      <c r="EP56" s="779"/>
      <c r="EQ56" s="12"/>
      <c r="ER56" s="12"/>
      <c r="ES56" s="12"/>
      <c r="ET56" s="12"/>
      <c r="EU56" s="12"/>
      <c r="EV56" s="12"/>
      <c r="EW56" s="12"/>
      <c r="EX56" s="12"/>
      <c r="EY56" s="12"/>
      <c r="EZ56" s="12"/>
      <c r="FA56" s="12"/>
      <c r="FB56" s="12"/>
      <c r="FC56" s="12"/>
      <c r="FD56" s="12"/>
      <c r="FE56" s="12"/>
      <c r="FF56" s="12"/>
      <c r="FG56" s="12"/>
      <c r="FH56" s="12"/>
      <c r="FI56" s="12"/>
      <c r="FJ56" s="12"/>
      <c r="FK56" s="12"/>
      <c r="FL56" s="12"/>
      <c r="FM56" s="12"/>
      <c r="FN56" s="12"/>
      <c r="FP56" s="779"/>
      <c r="FQ56" s="779"/>
      <c r="FR56" s="779"/>
      <c r="FS56" s="779"/>
      <c r="FT56" s="779"/>
      <c r="FU56" s="779"/>
      <c r="FV56" s="12"/>
      <c r="FW56" s="12"/>
      <c r="FX56" s="12"/>
      <c r="FY56" s="12"/>
      <c r="FZ56" s="12"/>
      <c r="GA56" s="12"/>
      <c r="GB56" s="12"/>
      <c r="GC56" s="12"/>
      <c r="GD56" s="12"/>
      <c r="GE56" s="12"/>
      <c r="GF56" s="12"/>
      <c r="GG56" s="12"/>
      <c r="GH56" s="12"/>
      <c r="GI56" s="12"/>
      <c r="GJ56" s="12"/>
      <c r="GK56" s="12"/>
      <c r="GM56" s="779"/>
      <c r="GN56" s="779"/>
      <c r="GO56" s="779"/>
      <c r="GP56" s="779"/>
      <c r="GQ56" s="779"/>
      <c r="GR56" s="779"/>
      <c r="GS56" s="12"/>
      <c r="GT56" s="12"/>
      <c r="GU56" s="12"/>
      <c r="GV56" s="12"/>
      <c r="GW56" s="12"/>
      <c r="GX56" s="12"/>
      <c r="GY56" s="12"/>
      <c r="GZ56" s="12"/>
      <c r="HA56" s="12"/>
      <c r="HB56" s="12"/>
      <c r="HC56" s="12"/>
      <c r="HD56" s="12"/>
      <c r="HE56" s="12"/>
      <c r="HF56" s="12"/>
      <c r="HH56" s="779"/>
      <c r="HI56" s="779"/>
      <c r="HJ56" s="779"/>
      <c r="HK56" s="779"/>
      <c r="HL56" s="779"/>
      <c r="HM56" s="779"/>
      <c r="HN56" s="12"/>
      <c r="HO56" s="12"/>
      <c r="HP56" s="12"/>
      <c r="HQ56" s="12"/>
      <c r="HS56" s="779"/>
      <c r="HT56" s="779"/>
      <c r="HU56" s="779"/>
      <c r="HV56" s="779"/>
      <c r="HW56" s="779"/>
      <c r="HX56" s="779"/>
      <c r="HY56" s="12"/>
      <c r="HZ56" s="12"/>
      <c r="IA56" s="12"/>
      <c r="IB56" s="12"/>
    </row>
    <row r="57" spans="1:236" ht="14.45" customHeight="1" x14ac:dyDescent="0.25">
      <c r="A57" s="47"/>
      <c r="B57" s="12"/>
      <c r="C57" s="777" t="s">
        <v>165</v>
      </c>
      <c r="D57" s="777"/>
      <c r="E57" s="777"/>
      <c r="F57" s="777"/>
      <c r="G57" s="777"/>
      <c r="H57" s="102"/>
      <c r="I57" s="13"/>
      <c r="J57" s="13"/>
      <c r="K57" s="13"/>
      <c r="L57" s="19">
        <f t="shared" si="0"/>
        <v>0</v>
      </c>
      <c r="M57" s="19">
        <f t="shared" si="1"/>
        <v>0</v>
      </c>
      <c r="N57" s="12"/>
      <c r="R57" s="776"/>
      <c r="S57" s="776"/>
      <c r="T57" s="776"/>
      <c r="U57" s="12"/>
      <c r="V57" s="12"/>
      <c r="W57" s="12"/>
      <c r="X57" s="12"/>
      <c r="Y57" s="12"/>
      <c r="Z57" s="6"/>
      <c r="AA57" s="779"/>
      <c r="AB57" s="779"/>
      <c r="AC57" s="779"/>
      <c r="AD57" s="779"/>
      <c r="AE57" s="779"/>
      <c r="AF57" s="779"/>
      <c r="AG57" s="12"/>
      <c r="AH57" s="12"/>
      <c r="AI57" s="12"/>
      <c r="AJ57" s="12"/>
      <c r="AL57" s="779"/>
      <c r="AM57" s="779"/>
      <c r="AN57" s="779"/>
      <c r="AO57" s="779"/>
      <c r="AP57" s="779"/>
      <c r="AQ57" s="779"/>
      <c r="AR57" s="12"/>
      <c r="AS57" s="12"/>
      <c r="AT57" s="12"/>
      <c r="AU57" s="12"/>
      <c r="AV57" s="12"/>
      <c r="AW57" s="12"/>
      <c r="AX57" s="12"/>
      <c r="AY57" s="12"/>
      <c r="AZ57" s="779"/>
      <c r="BA57" s="779"/>
      <c r="BB57" s="779"/>
      <c r="BC57" s="779"/>
      <c r="BD57" s="779"/>
      <c r="BE57" s="779"/>
      <c r="BF57" s="12"/>
      <c r="BG57" s="12"/>
      <c r="BH57" s="12"/>
      <c r="BI57" s="12"/>
      <c r="BJ57" s="12"/>
      <c r="BK57" s="12"/>
      <c r="BL57" s="779"/>
      <c r="BM57" s="779"/>
      <c r="BN57" s="779"/>
      <c r="BO57" s="779"/>
      <c r="BP57" s="779"/>
      <c r="BQ57" s="779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779"/>
      <c r="CF57" s="779"/>
      <c r="CG57" s="779"/>
      <c r="CH57" s="779"/>
      <c r="CI57" s="779"/>
      <c r="CJ57" s="779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779"/>
      <c r="CX57" s="779"/>
      <c r="CY57" s="779"/>
      <c r="CZ57" s="779"/>
      <c r="DA57" s="779"/>
      <c r="DB57" s="779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Q57" s="779"/>
      <c r="DR57" s="779"/>
      <c r="DS57" s="779"/>
      <c r="DT57" s="779"/>
      <c r="DU57" s="779"/>
      <c r="DV57" s="779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G57" s="12"/>
      <c r="EH57" s="12"/>
      <c r="EI57" s="12"/>
      <c r="EK57" s="779"/>
      <c r="EL57" s="779"/>
      <c r="EM57" s="779"/>
      <c r="EN57" s="779"/>
      <c r="EO57" s="779"/>
      <c r="EP57" s="779"/>
      <c r="EQ57" s="12"/>
      <c r="ER57" s="12"/>
      <c r="ES57" s="12"/>
      <c r="ET57" s="12"/>
      <c r="EU57" s="12"/>
      <c r="EV57" s="12"/>
      <c r="EW57" s="12"/>
      <c r="EX57" s="12"/>
      <c r="EY57" s="12"/>
      <c r="EZ57" s="12"/>
      <c r="FA57" s="12"/>
      <c r="FB57" s="12"/>
      <c r="FC57" s="12"/>
      <c r="FD57" s="12"/>
      <c r="FE57" s="12"/>
      <c r="FF57" s="12"/>
      <c r="FG57" s="12"/>
      <c r="FH57" s="12"/>
      <c r="FI57" s="12"/>
      <c r="FJ57" s="12"/>
      <c r="FK57" s="12"/>
      <c r="FL57" s="12"/>
      <c r="FM57" s="12"/>
      <c r="FN57" s="12"/>
      <c r="FP57" s="779"/>
      <c r="FQ57" s="779"/>
      <c r="FR57" s="779"/>
      <c r="FS57" s="779"/>
      <c r="FT57" s="779"/>
      <c r="FU57" s="779"/>
      <c r="FV57" s="12"/>
      <c r="FW57" s="12"/>
      <c r="FX57" s="12"/>
      <c r="FY57" s="12"/>
      <c r="FZ57" s="12"/>
      <c r="GA57" s="12"/>
      <c r="GB57" s="12"/>
      <c r="GC57" s="12"/>
      <c r="GD57" s="12"/>
      <c r="GE57" s="12"/>
      <c r="GF57" s="12"/>
      <c r="GG57" s="12"/>
      <c r="GH57" s="12"/>
      <c r="GI57" s="12"/>
      <c r="GJ57" s="12"/>
      <c r="GK57" s="12"/>
      <c r="GM57" s="779"/>
      <c r="GN57" s="779"/>
      <c r="GO57" s="779"/>
      <c r="GP57" s="779"/>
      <c r="GQ57" s="779"/>
      <c r="GR57" s="779"/>
      <c r="GS57" s="12"/>
      <c r="GT57" s="12"/>
      <c r="GU57" s="12"/>
      <c r="GV57" s="12"/>
      <c r="GW57" s="12"/>
      <c r="GX57" s="12"/>
      <c r="GY57" s="12"/>
      <c r="GZ57" s="12"/>
      <c r="HA57" s="12"/>
      <c r="HB57" s="12"/>
      <c r="HC57" s="12"/>
      <c r="HD57" s="12"/>
      <c r="HE57" s="12"/>
      <c r="HF57" s="12"/>
      <c r="HH57" s="779"/>
      <c r="HI57" s="779"/>
      <c r="HJ57" s="779"/>
      <c r="HK57" s="779"/>
      <c r="HL57" s="779"/>
      <c r="HM57" s="779"/>
      <c r="HN57" s="12"/>
      <c r="HO57" s="12"/>
      <c r="HP57" s="12"/>
      <c r="HQ57" s="12"/>
      <c r="HS57" s="779"/>
      <c r="HT57" s="779"/>
      <c r="HU57" s="779"/>
      <c r="HV57" s="779"/>
      <c r="HW57" s="779"/>
      <c r="HX57" s="779"/>
      <c r="HY57" s="12"/>
      <c r="HZ57" s="12"/>
      <c r="IA57" s="12"/>
      <c r="IB57" s="12"/>
    </row>
    <row r="58" spans="1:236" ht="14.45" customHeight="1" x14ac:dyDescent="0.25">
      <c r="A58" s="47"/>
      <c r="B58" s="12"/>
      <c r="C58" s="777" t="s">
        <v>125</v>
      </c>
      <c r="D58" s="777"/>
      <c r="E58" s="777"/>
      <c r="F58" s="777"/>
      <c r="G58" s="777"/>
      <c r="H58" s="102"/>
      <c r="I58" s="13"/>
      <c r="J58" s="13"/>
      <c r="K58" s="13"/>
      <c r="L58" s="19">
        <f t="shared" si="0"/>
        <v>0</v>
      </c>
      <c r="M58" s="19">
        <f t="shared" si="1"/>
        <v>0</v>
      </c>
      <c r="N58" s="12"/>
      <c r="R58" s="776"/>
      <c r="S58" s="776"/>
      <c r="T58" s="776"/>
      <c r="U58" s="12"/>
      <c r="V58" s="12"/>
      <c r="W58" s="12"/>
      <c r="X58" s="12"/>
      <c r="Y58" s="12"/>
      <c r="Z58" s="6"/>
      <c r="AA58" s="779"/>
      <c r="AB58" s="779"/>
      <c r="AC58" s="779"/>
      <c r="AD58" s="779"/>
      <c r="AE58" s="779"/>
      <c r="AF58" s="779"/>
      <c r="AG58" s="12"/>
      <c r="AH58" s="12"/>
      <c r="AI58" s="12"/>
      <c r="AJ58" s="12"/>
      <c r="AL58" s="779"/>
      <c r="AM58" s="779"/>
      <c r="AN58" s="779"/>
      <c r="AO58" s="779"/>
      <c r="AP58" s="779"/>
      <c r="AQ58" s="779"/>
      <c r="AR58" s="12"/>
      <c r="AS58" s="12"/>
      <c r="AT58" s="12"/>
      <c r="AU58" s="12"/>
      <c r="AV58" s="12"/>
      <c r="AW58" s="12"/>
      <c r="AX58" s="12"/>
      <c r="AY58" s="12"/>
      <c r="AZ58" s="779"/>
      <c r="BA58" s="779"/>
      <c r="BB58" s="779"/>
      <c r="BC58" s="779"/>
      <c r="BD58" s="779"/>
      <c r="BE58" s="779"/>
      <c r="BF58" s="12"/>
      <c r="BG58" s="12"/>
      <c r="BH58" s="12"/>
      <c r="BI58" s="12"/>
      <c r="BJ58" s="12"/>
      <c r="BK58" s="12"/>
      <c r="BL58" s="779"/>
      <c r="BM58" s="779"/>
      <c r="BN58" s="779"/>
      <c r="BO58" s="779"/>
      <c r="BP58" s="779"/>
      <c r="BQ58" s="779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779"/>
      <c r="CF58" s="779"/>
      <c r="CG58" s="779"/>
      <c r="CH58" s="779"/>
      <c r="CI58" s="779"/>
      <c r="CJ58" s="779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779"/>
      <c r="CX58" s="779"/>
      <c r="CY58" s="779"/>
      <c r="CZ58" s="779"/>
      <c r="DA58" s="779"/>
      <c r="DB58" s="779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Q58" s="779"/>
      <c r="DR58" s="779"/>
      <c r="DS58" s="779"/>
      <c r="DT58" s="779"/>
      <c r="DU58" s="779"/>
      <c r="DV58" s="779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  <c r="EH58" s="12"/>
      <c r="EI58" s="12"/>
      <c r="EK58" s="779"/>
      <c r="EL58" s="779"/>
      <c r="EM58" s="779"/>
      <c r="EN58" s="779"/>
      <c r="EO58" s="779"/>
      <c r="EP58" s="779"/>
      <c r="EQ58" s="12"/>
      <c r="ER58" s="12"/>
      <c r="ES58" s="12"/>
      <c r="ET58" s="12"/>
      <c r="EU58" s="12"/>
      <c r="EV58" s="12"/>
      <c r="EW58" s="12"/>
      <c r="EX58" s="12"/>
      <c r="EY58" s="12"/>
      <c r="EZ58" s="12"/>
      <c r="FA58" s="12"/>
      <c r="FB58" s="12"/>
      <c r="FC58" s="12"/>
      <c r="FD58" s="12"/>
      <c r="FE58" s="12"/>
      <c r="FF58" s="12"/>
      <c r="FG58" s="12"/>
      <c r="FH58" s="12"/>
      <c r="FI58" s="12"/>
      <c r="FJ58" s="12"/>
      <c r="FK58" s="12"/>
      <c r="FL58" s="12"/>
      <c r="FM58" s="12"/>
      <c r="FN58" s="12"/>
      <c r="FP58" s="779"/>
      <c r="FQ58" s="779"/>
      <c r="FR58" s="779"/>
      <c r="FS58" s="779"/>
      <c r="FT58" s="779"/>
      <c r="FU58" s="779"/>
      <c r="FV58" s="12"/>
      <c r="FW58" s="12"/>
      <c r="FX58" s="12"/>
      <c r="FY58" s="12"/>
      <c r="FZ58" s="12"/>
      <c r="GA58" s="12"/>
      <c r="GB58" s="12"/>
      <c r="GC58" s="12"/>
      <c r="GD58" s="12"/>
      <c r="GE58" s="12"/>
      <c r="GF58" s="12"/>
      <c r="GG58" s="12"/>
      <c r="GH58" s="12"/>
      <c r="GI58" s="12"/>
      <c r="GJ58" s="12"/>
      <c r="GK58" s="12"/>
      <c r="GM58" s="779"/>
      <c r="GN58" s="779"/>
      <c r="GO58" s="779"/>
      <c r="GP58" s="779"/>
      <c r="GQ58" s="779"/>
      <c r="GR58" s="779"/>
      <c r="GS58" s="12"/>
      <c r="GT58" s="12"/>
      <c r="GU58" s="12"/>
      <c r="GV58" s="12"/>
      <c r="GW58" s="12"/>
      <c r="GX58" s="12"/>
      <c r="GY58" s="12"/>
      <c r="GZ58" s="12"/>
      <c r="HA58" s="12"/>
      <c r="HB58" s="12"/>
      <c r="HC58" s="12"/>
      <c r="HD58" s="12"/>
      <c r="HE58" s="12"/>
      <c r="HF58" s="12"/>
      <c r="HH58" s="779"/>
      <c r="HI58" s="779"/>
      <c r="HJ58" s="779"/>
      <c r="HK58" s="779"/>
      <c r="HL58" s="779"/>
      <c r="HM58" s="779"/>
      <c r="HN58" s="12"/>
      <c r="HO58" s="12"/>
      <c r="HP58" s="12"/>
      <c r="HQ58" s="12"/>
      <c r="HS58" s="779"/>
      <c r="HT58" s="779"/>
      <c r="HU58" s="779"/>
      <c r="HV58" s="779"/>
      <c r="HW58" s="779"/>
      <c r="HX58" s="779"/>
      <c r="HY58" s="12"/>
      <c r="HZ58" s="12"/>
      <c r="IA58" s="12"/>
      <c r="IB58" s="12"/>
    </row>
    <row r="59" spans="1:236" ht="14.45" customHeight="1" x14ac:dyDescent="0.25">
      <c r="A59" s="47"/>
      <c r="B59" s="12"/>
      <c r="C59" s="777" t="s">
        <v>126</v>
      </c>
      <c r="D59" s="777"/>
      <c r="E59" s="777"/>
      <c r="F59" s="777"/>
      <c r="G59" s="777"/>
      <c r="H59" s="102"/>
      <c r="I59" s="13"/>
      <c r="J59" s="13"/>
      <c r="K59" s="13"/>
      <c r="L59" s="19">
        <f t="shared" si="0"/>
        <v>0</v>
      </c>
      <c r="M59" s="19">
        <f t="shared" si="1"/>
        <v>0</v>
      </c>
      <c r="N59" s="12"/>
      <c r="R59" s="776"/>
      <c r="S59" s="776"/>
      <c r="T59" s="776"/>
      <c r="U59" s="12"/>
      <c r="V59" s="12"/>
      <c r="W59" s="12"/>
      <c r="X59" s="12"/>
      <c r="Y59" s="12"/>
      <c r="Z59" s="6"/>
      <c r="AA59" s="779"/>
      <c r="AB59" s="779"/>
      <c r="AC59" s="779"/>
      <c r="AD59" s="779"/>
      <c r="AE59" s="779"/>
      <c r="AF59" s="779"/>
      <c r="AG59" s="12"/>
      <c r="AH59" s="12"/>
      <c r="AI59" s="12"/>
      <c r="AJ59" s="12"/>
      <c r="AL59" s="779"/>
      <c r="AM59" s="779"/>
      <c r="AN59" s="779"/>
      <c r="AO59" s="779"/>
      <c r="AP59" s="779"/>
      <c r="AQ59" s="779"/>
      <c r="AR59" s="12"/>
      <c r="AS59" s="12"/>
      <c r="AT59" s="12"/>
      <c r="AU59" s="12"/>
      <c r="AV59" s="12"/>
      <c r="AW59" s="12"/>
      <c r="AX59" s="12"/>
      <c r="AY59" s="12"/>
      <c r="AZ59" s="779"/>
      <c r="BA59" s="779"/>
      <c r="BB59" s="779"/>
      <c r="BC59" s="779"/>
      <c r="BD59" s="779"/>
      <c r="BE59" s="779"/>
      <c r="BF59" s="12"/>
      <c r="BG59" s="12"/>
      <c r="BH59" s="12"/>
      <c r="BI59" s="12"/>
      <c r="BJ59" s="12"/>
      <c r="BK59" s="12"/>
      <c r="BL59" s="779"/>
      <c r="BM59" s="779"/>
      <c r="BN59" s="779"/>
      <c r="BO59" s="779"/>
      <c r="BP59" s="779"/>
      <c r="BQ59" s="779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779"/>
      <c r="CF59" s="779"/>
      <c r="CG59" s="779"/>
      <c r="CH59" s="779"/>
      <c r="CI59" s="779"/>
      <c r="CJ59" s="779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779"/>
      <c r="CX59" s="779"/>
      <c r="CY59" s="779"/>
      <c r="CZ59" s="779"/>
      <c r="DA59" s="779"/>
      <c r="DB59" s="779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Q59" s="779"/>
      <c r="DR59" s="779"/>
      <c r="DS59" s="779"/>
      <c r="DT59" s="779"/>
      <c r="DU59" s="779"/>
      <c r="DV59" s="779"/>
      <c r="DW59" s="12"/>
      <c r="DX59" s="12"/>
      <c r="DY59" s="12"/>
      <c r="DZ59" s="12"/>
      <c r="EA59" s="12"/>
      <c r="EB59" s="12"/>
      <c r="EC59" s="12"/>
      <c r="ED59" s="12"/>
      <c r="EE59" s="12"/>
      <c r="EF59" s="12"/>
      <c r="EG59" s="12"/>
      <c r="EH59" s="12"/>
      <c r="EI59" s="12"/>
      <c r="EK59" s="779"/>
      <c r="EL59" s="779"/>
      <c r="EM59" s="779"/>
      <c r="EN59" s="779"/>
      <c r="EO59" s="779"/>
      <c r="EP59" s="779"/>
      <c r="EQ59" s="12"/>
      <c r="ER59" s="12"/>
      <c r="ES59" s="12"/>
      <c r="ET59" s="12"/>
      <c r="EU59" s="12"/>
      <c r="EV59" s="12"/>
      <c r="EW59" s="12"/>
      <c r="EX59" s="12"/>
      <c r="EY59" s="12"/>
      <c r="EZ59" s="12"/>
      <c r="FA59" s="12"/>
      <c r="FB59" s="12"/>
      <c r="FC59" s="12"/>
      <c r="FD59" s="12"/>
      <c r="FE59" s="12"/>
      <c r="FF59" s="12"/>
      <c r="FG59" s="12"/>
      <c r="FH59" s="12"/>
      <c r="FI59" s="12"/>
      <c r="FJ59" s="12"/>
      <c r="FK59" s="12"/>
      <c r="FL59" s="12"/>
      <c r="FM59" s="12"/>
      <c r="FN59" s="12"/>
      <c r="FP59" s="779"/>
      <c r="FQ59" s="779"/>
      <c r="FR59" s="779"/>
      <c r="FS59" s="779"/>
      <c r="FT59" s="779"/>
      <c r="FU59" s="779"/>
      <c r="FV59" s="12"/>
      <c r="FW59" s="12"/>
      <c r="FX59" s="12"/>
      <c r="FY59" s="12"/>
      <c r="FZ59" s="12"/>
      <c r="GA59" s="12"/>
      <c r="GB59" s="12"/>
      <c r="GC59" s="12"/>
      <c r="GD59" s="12"/>
      <c r="GE59" s="12"/>
      <c r="GF59" s="12"/>
      <c r="GG59" s="12"/>
      <c r="GH59" s="12"/>
      <c r="GI59" s="12"/>
      <c r="GJ59" s="12"/>
      <c r="GK59" s="12"/>
      <c r="GM59" s="779"/>
      <c r="GN59" s="779"/>
      <c r="GO59" s="779"/>
      <c r="GP59" s="779"/>
      <c r="GQ59" s="779"/>
      <c r="GR59" s="779"/>
      <c r="GS59" s="12"/>
      <c r="GT59" s="12"/>
      <c r="GU59" s="12"/>
      <c r="GV59" s="12"/>
      <c r="GW59" s="12"/>
      <c r="GX59" s="12"/>
      <c r="GY59" s="12"/>
      <c r="GZ59" s="12"/>
      <c r="HA59" s="12"/>
      <c r="HB59" s="12"/>
      <c r="HC59" s="12"/>
      <c r="HD59" s="12"/>
      <c r="HE59" s="12"/>
      <c r="HF59" s="12"/>
      <c r="HH59" s="779"/>
      <c r="HI59" s="779"/>
      <c r="HJ59" s="779"/>
      <c r="HK59" s="779"/>
      <c r="HL59" s="779"/>
      <c r="HM59" s="779"/>
      <c r="HN59" s="12"/>
      <c r="HO59" s="12"/>
      <c r="HP59" s="12"/>
      <c r="HQ59" s="12"/>
      <c r="HS59" s="779"/>
      <c r="HT59" s="779"/>
      <c r="HU59" s="779"/>
      <c r="HV59" s="779"/>
      <c r="HW59" s="779"/>
      <c r="HX59" s="779"/>
      <c r="HY59" s="12"/>
      <c r="HZ59" s="12"/>
      <c r="IA59" s="12"/>
      <c r="IB59" s="12"/>
    </row>
    <row r="60" spans="1:236" ht="14.45" customHeight="1" x14ac:dyDescent="0.25">
      <c r="A60" s="47"/>
      <c r="B60" s="12"/>
      <c r="C60" s="777" t="s">
        <v>160</v>
      </c>
      <c r="D60" s="777"/>
      <c r="E60" s="777"/>
      <c r="F60" s="777"/>
      <c r="G60" s="777"/>
      <c r="H60" s="102"/>
      <c r="I60" s="13"/>
      <c r="J60" s="13"/>
      <c r="K60" s="13"/>
      <c r="L60" s="19">
        <f t="shared" si="0"/>
        <v>0</v>
      </c>
      <c r="M60" s="19">
        <f t="shared" si="1"/>
        <v>0</v>
      </c>
      <c r="N60" s="12"/>
      <c r="R60" s="776"/>
      <c r="S60" s="776"/>
      <c r="T60" s="776"/>
      <c r="U60" s="12"/>
      <c r="V60" s="12"/>
      <c r="W60" s="12"/>
      <c r="X60" s="12"/>
      <c r="Y60" s="12"/>
      <c r="Z60" s="6"/>
      <c r="AA60" s="779"/>
      <c r="AB60" s="779"/>
      <c r="AC60" s="779"/>
      <c r="AD60" s="779"/>
      <c r="AE60" s="779"/>
      <c r="AF60" s="779"/>
      <c r="AG60" s="12"/>
      <c r="AH60" s="12"/>
      <c r="AI60" s="12"/>
      <c r="AJ60" s="12"/>
      <c r="AL60" s="779"/>
      <c r="AM60" s="779"/>
      <c r="AN60" s="779"/>
      <c r="AO60" s="779"/>
      <c r="AP60" s="779"/>
      <c r="AQ60" s="779"/>
      <c r="AR60" s="12"/>
      <c r="AS60" s="12"/>
      <c r="AT60" s="12"/>
      <c r="AU60" s="12"/>
      <c r="AV60" s="12"/>
      <c r="AW60" s="12"/>
      <c r="AX60" s="12"/>
      <c r="AY60" s="12"/>
      <c r="AZ60" s="779"/>
      <c r="BA60" s="779"/>
      <c r="BB60" s="779"/>
      <c r="BC60" s="779"/>
      <c r="BD60" s="779"/>
      <c r="BE60" s="779"/>
      <c r="BF60" s="12"/>
      <c r="BG60" s="12"/>
      <c r="BH60" s="12"/>
      <c r="BI60" s="12"/>
      <c r="BJ60" s="12"/>
      <c r="BK60" s="12"/>
      <c r="BL60" s="779"/>
      <c r="BM60" s="779"/>
      <c r="BN60" s="779"/>
      <c r="BO60" s="779"/>
      <c r="BP60" s="779"/>
      <c r="BQ60" s="779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779"/>
      <c r="CF60" s="779"/>
      <c r="CG60" s="779"/>
      <c r="CH60" s="779"/>
      <c r="CI60" s="779"/>
      <c r="CJ60" s="779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779"/>
      <c r="CX60" s="779"/>
      <c r="CY60" s="779"/>
      <c r="CZ60" s="779"/>
      <c r="DA60" s="779"/>
      <c r="DB60" s="779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Q60" s="779"/>
      <c r="DR60" s="779"/>
      <c r="DS60" s="779"/>
      <c r="DT60" s="779"/>
      <c r="DU60" s="779"/>
      <c r="DV60" s="779"/>
      <c r="DW60" s="12"/>
      <c r="DX60" s="12"/>
      <c r="DY60" s="12"/>
      <c r="DZ60" s="12"/>
      <c r="EA60" s="12"/>
      <c r="EB60" s="12"/>
      <c r="EC60" s="12"/>
      <c r="ED60" s="12"/>
      <c r="EE60" s="12"/>
      <c r="EF60" s="12"/>
      <c r="EG60" s="12"/>
      <c r="EH60" s="12"/>
      <c r="EI60" s="12"/>
      <c r="EK60" s="779"/>
      <c r="EL60" s="779"/>
      <c r="EM60" s="779"/>
      <c r="EN60" s="779"/>
      <c r="EO60" s="779"/>
      <c r="EP60" s="779"/>
      <c r="EQ60" s="12"/>
      <c r="ER60" s="12"/>
      <c r="ES60" s="12"/>
      <c r="ET60" s="12"/>
      <c r="EU60" s="12"/>
      <c r="EV60" s="12"/>
      <c r="EW60" s="12"/>
      <c r="EX60" s="12"/>
      <c r="EY60" s="12"/>
      <c r="EZ60" s="12"/>
      <c r="FA60" s="12"/>
      <c r="FB60" s="12"/>
      <c r="FC60" s="12"/>
      <c r="FD60" s="12"/>
      <c r="FE60" s="12"/>
      <c r="FF60" s="12"/>
      <c r="FG60" s="12"/>
      <c r="FH60" s="12"/>
      <c r="FI60" s="12"/>
      <c r="FJ60" s="12"/>
      <c r="FK60" s="12"/>
      <c r="FL60" s="12"/>
      <c r="FM60" s="12"/>
      <c r="FN60" s="12"/>
      <c r="FP60" s="779"/>
      <c r="FQ60" s="779"/>
      <c r="FR60" s="779"/>
      <c r="FS60" s="779"/>
      <c r="FT60" s="779"/>
      <c r="FU60" s="779"/>
      <c r="FV60" s="12"/>
      <c r="FW60" s="12"/>
      <c r="FX60" s="12"/>
      <c r="FY60" s="12"/>
      <c r="FZ60" s="12"/>
      <c r="GA60" s="12"/>
      <c r="GB60" s="12"/>
      <c r="GC60" s="12"/>
      <c r="GD60" s="12"/>
      <c r="GE60" s="12"/>
      <c r="GF60" s="12"/>
      <c r="GG60" s="12"/>
      <c r="GH60" s="12"/>
      <c r="GI60" s="12"/>
      <c r="GJ60" s="12"/>
      <c r="GK60" s="12"/>
      <c r="GM60" s="779"/>
      <c r="GN60" s="779"/>
      <c r="GO60" s="779"/>
      <c r="GP60" s="779"/>
      <c r="GQ60" s="779"/>
      <c r="GR60" s="779"/>
      <c r="GS60" s="12"/>
      <c r="GT60" s="12"/>
      <c r="GU60" s="12"/>
      <c r="GV60" s="12"/>
      <c r="GW60" s="12"/>
      <c r="GX60" s="12"/>
      <c r="GY60" s="12"/>
      <c r="GZ60" s="12"/>
      <c r="HA60" s="12"/>
      <c r="HB60" s="12"/>
      <c r="HC60" s="12"/>
      <c r="HD60" s="12"/>
      <c r="HE60" s="12"/>
      <c r="HF60" s="12"/>
      <c r="HH60" s="779"/>
      <c r="HI60" s="779"/>
      <c r="HJ60" s="779"/>
      <c r="HK60" s="779"/>
      <c r="HL60" s="779"/>
      <c r="HM60" s="779"/>
      <c r="HN60" s="12"/>
      <c r="HO60" s="12"/>
      <c r="HP60" s="12"/>
      <c r="HQ60" s="12"/>
      <c r="HS60" s="779"/>
      <c r="HT60" s="779"/>
      <c r="HU60" s="779"/>
      <c r="HV60" s="779"/>
      <c r="HW60" s="779"/>
      <c r="HX60" s="779"/>
      <c r="HY60" s="12"/>
      <c r="HZ60" s="12"/>
      <c r="IA60" s="12"/>
      <c r="IB60" s="12"/>
    </row>
    <row r="61" spans="1:236" ht="14.45" customHeight="1" x14ac:dyDescent="0.25">
      <c r="A61" s="47"/>
      <c r="B61" s="12"/>
      <c r="C61" s="777" t="s">
        <v>161</v>
      </c>
      <c r="D61" s="777"/>
      <c r="E61" s="777"/>
      <c r="F61" s="777"/>
      <c r="G61" s="777"/>
      <c r="H61" s="102"/>
      <c r="I61" s="13"/>
      <c r="J61" s="13"/>
      <c r="K61" s="13"/>
      <c r="L61" s="19">
        <f t="shared" si="0"/>
        <v>0</v>
      </c>
      <c r="M61" s="19">
        <f t="shared" si="1"/>
        <v>0</v>
      </c>
      <c r="N61" s="12"/>
      <c r="R61" s="776"/>
      <c r="S61" s="776"/>
      <c r="T61" s="776"/>
      <c r="U61" s="12"/>
      <c r="V61" s="12"/>
      <c r="W61" s="12"/>
      <c r="X61" s="12"/>
      <c r="Y61" s="12"/>
      <c r="Z61" s="6"/>
      <c r="AA61" s="779"/>
      <c r="AB61" s="779"/>
      <c r="AC61" s="779"/>
      <c r="AD61" s="779"/>
      <c r="AE61" s="779"/>
      <c r="AF61" s="779"/>
      <c r="AG61" s="12"/>
      <c r="AH61" s="12"/>
      <c r="AI61" s="12"/>
      <c r="AJ61" s="12"/>
      <c r="AL61" s="779"/>
      <c r="AM61" s="779"/>
      <c r="AN61" s="779"/>
      <c r="AO61" s="779"/>
      <c r="AP61" s="779"/>
      <c r="AQ61" s="779"/>
      <c r="AR61" s="12"/>
      <c r="AS61" s="12"/>
      <c r="AT61" s="12"/>
      <c r="AU61" s="12"/>
      <c r="AV61" s="12"/>
      <c r="AW61" s="12"/>
      <c r="AX61" s="12"/>
      <c r="AY61" s="12"/>
      <c r="AZ61" s="779"/>
      <c r="BA61" s="779"/>
      <c r="BB61" s="779"/>
      <c r="BC61" s="779"/>
      <c r="BD61" s="779"/>
      <c r="BE61" s="779"/>
      <c r="BF61" s="12"/>
      <c r="BG61" s="12"/>
      <c r="BH61" s="12"/>
      <c r="BI61" s="12"/>
      <c r="BJ61" s="12"/>
      <c r="BK61" s="12"/>
      <c r="BL61" s="779"/>
      <c r="BM61" s="779"/>
      <c r="BN61" s="779"/>
      <c r="BO61" s="779"/>
      <c r="BP61" s="779"/>
      <c r="BQ61" s="779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779"/>
      <c r="CF61" s="779"/>
      <c r="CG61" s="779"/>
      <c r="CH61" s="779"/>
      <c r="CI61" s="779"/>
      <c r="CJ61" s="779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779"/>
      <c r="CX61" s="779"/>
      <c r="CY61" s="779"/>
      <c r="CZ61" s="779"/>
      <c r="DA61" s="779"/>
      <c r="DB61" s="779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Q61" s="779"/>
      <c r="DR61" s="779"/>
      <c r="DS61" s="779"/>
      <c r="DT61" s="779"/>
      <c r="DU61" s="779"/>
      <c r="DV61" s="779"/>
      <c r="DW61" s="12"/>
      <c r="DX61" s="12"/>
      <c r="DY61" s="12"/>
      <c r="DZ61" s="12"/>
      <c r="EA61" s="12"/>
      <c r="EB61" s="12"/>
      <c r="EC61" s="12"/>
      <c r="ED61" s="12"/>
      <c r="EE61" s="12"/>
      <c r="EF61" s="12"/>
      <c r="EG61" s="12"/>
      <c r="EH61" s="12"/>
      <c r="EI61" s="12"/>
      <c r="EK61" s="779"/>
      <c r="EL61" s="779"/>
      <c r="EM61" s="779"/>
      <c r="EN61" s="779"/>
      <c r="EO61" s="779"/>
      <c r="EP61" s="779"/>
      <c r="EQ61" s="12"/>
      <c r="ER61" s="12"/>
      <c r="ES61" s="12"/>
      <c r="ET61" s="12"/>
      <c r="EU61" s="12"/>
      <c r="EV61" s="12"/>
      <c r="EW61" s="12"/>
      <c r="EX61" s="12"/>
      <c r="EY61" s="12"/>
      <c r="EZ61" s="12"/>
      <c r="FA61" s="12"/>
      <c r="FB61" s="12"/>
      <c r="FC61" s="12"/>
      <c r="FD61" s="12"/>
      <c r="FE61" s="12"/>
      <c r="FF61" s="12"/>
      <c r="FG61" s="12"/>
      <c r="FH61" s="12"/>
      <c r="FI61" s="12"/>
      <c r="FJ61" s="12"/>
      <c r="FK61" s="12"/>
      <c r="FL61" s="12"/>
      <c r="FM61" s="12"/>
      <c r="FN61" s="12"/>
      <c r="FP61" s="779"/>
      <c r="FQ61" s="779"/>
      <c r="FR61" s="779"/>
      <c r="FS61" s="779"/>
      <c r="FT61" s="779"/>
      <c r="FU61" s="779"/>
      <c r="FV61" s="12"/>
      <c r="FW61" s="12"/>
      <c r="FX61" s="12"/>
      <c r="FY61" s="12"/>
      <c r="FZ61" s="12"/>
      <c r="GA61" s="12"/>
      <c r="GB61" s="12"/>
      <c r="GC61" s="12"/>
      <c r="GD61" s="12"/>
      <c r="GE61" s="12"/>
      <c r="GF61" s="12"/>
      <c r="GG61" s="12"/>
      <c r="GH61" s="12"/>
      <c r="GI61" s="12"/>
      <c r="GJ61" s="12"/>
      <c r="GK61" s="12"/>
      <c r="GM61" s="779"/>
      <c r="GN61" s="779"/>
      <c r="GO61" s="779"/>
      <c r="GP61" s="779"/>
      <c r="GQ61" s="779"/>
      <c r="GR61" s="779"/>
      <c r="GS61" s="12"/>
      <c r="GT61" s="12"/>
      <c r="GU61" s="12"/>
      <c r="GV61" s="12"/>
      <c r="GW61" s="12"/>
      <c r="GX61" s="12"/>
      <c r="GY61" s="12"/>
      <c r="GZ61" s="12"/>
      <c r="HA61" s="12"/>
      <c r="HB61" s="12"/>
      <c r="HC61" s="12"/>
      <c r="HD61" s="12"/>
      <c r="HE61" s="12"/>
      <c r="HF61" s="12"/>
      <c r="HH61" s="779"/>
      <c r="HI61" s="779"/>
      <c r="HJ61" s="779"/>
      <c r="HK61" s="779"/>
      <c r="HL61" s="779"/>
      <c r="HM61" s="779"/>
      <c r="HN61" s="12"/>
      <c r="HO61" s="12"/>
      <c r="HP61" s="12"/>
      <c r="HQ61" s="12"/>
      <c r="HS61" s="779"/>
      <c r="HT61" s="779"/>
      <c r="HU61" s="779"/>
      <c r="HV61" s="779"/>
      <c r="HW61" s="779"/>
      <c r="HX61" s="779"/>
      <c r="HY61" s="12"/>
      <c r="HZ61" s="12"/>
      <c r="IA61" s="12"/>
      <c r="IB61" s="12"/>
    </row>
    <row r="62" spans="1:236" ht="14.45" customHeight="1" x14ac:dyDescent="0.25">
      <c r="A62" s="47"/>
      <c r="B62" s="12"/>
      <c r="C62" s="777" t="s">
        <v>162</v>
      </c>
      <c r="D62" s="777"/>
      <c r="E62" s="777"/>
      <c r="F62" s="777"/>
      <c r="G62" s="777"/>
      <c r="H62" s="102"/>
      <c r="I62" s="13"/>
      <c r="J62" s="13"/>
      <c r="K62" s="13"/>
      <c r="L62" s="19">
        <f t="shared" si="0"/>
        <v>0</v>
      </c>
      <c r="M62" s="19">
        <f t="shared" si="1"/>
        <v>0</v>
      </c>
      <c r="N62" s="12"/>
      <c r="R62" s="776"/>
      <c r="S62" s="776"/>
      <c r="T62" s="776"/>
      <c r="U62" s="12"/>
      <c r="V62" s="12"/>
      <c r="W62" s="12"/>
      <c r="X62" s="12"/>
      <c r="Y62" s="12"/>
      <c r="Z62" s="6"/>
      <c r="AA62" s="779"/>
      <c r="AB62" s="779"/>
      <c r="AC62" s="779"/>
      <c r="AD62" s="779"/>
      <c r="AE62" s="779"/>
      <c r="AF62" s="779"/>
      <c r="AG62" s="12"/>
      <c r="AH62" s="12"/>
      <c r="AI62" s="12"/>
      <c r="AJ62" s="12"/>
      <c r="AL62" s="779"/>
      <c r="AM62" s="779"/>
      <c r="AN62" s="779"/>
      <c r="AO62" s="779"/>
      <c r="AP62" s="779"/>
      <c r="AQ62" s="779"/>
      <c r="AR62" s="12"/>
      <c r="AS62" s="12"/>
      <c r="AT62" s="12"/>
      <c r="AU62" s="12"/>
      <c r="AV62" s="12"/>
      <c r="AW62" s="12"/>
      <c r="AX62" s="12"/>
      <c r="AY62" s="12"/>
      <c r="AZ62" s="779"/>
      <c r="BA62" s="779"/>
      <c r="BB62" s="779"/>
      <c r="BC62" s="779"/>
      <c r="BD62" s="779"/>
      <c r="BE62" s="779"/>
      <c r="BF62" s="12"/>
      <c r="BG62" s="12"/>
      <c r="BH62" s="12"/>
      <c r="BI62" s="12"/>
      <c r="BJ62" s="12"/>
      <c r="BK62" s="12"/>
      <c r="BL62" s="779"/>
      <c r="BM62" s="779"/>
      <c r="BN62" s="779"/>
      <c r="BO62" s="779"/>
      <c r="BP62" s="779"/>
      <c r="BQ62" s="779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779"/>
      <c r="CF62" s="779"/>
      <c r="CG62" s="779"/>
      <c r="CH62" s="779"/>
      <c r="CI62" s="779"/>
      <c r="CJ62" s="779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779"/>
      <c r="CX62" s="779"/>
      <c r="CY62" s="779"/>
      <c r="CZ62" s="779"/>
      <c r="DA62" s="779"/>
      <c r="DB62" s="779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Q62" s="779"/>
      <c r="DR62" s="779"/>
      <c r="DS62" s="779"/>
      <c r="DT62" s="779"/>
      <c r="DU62" s="779"/>
      <c r="DV62" s="779"/>
      <c r="DW62" s="12"/>
      <c r="DX62" s="12"/>
      <c r="DY62" s="12"/>
      <c r="DZ62" s="12"/>
      <c r="EA62" s="12"/>
      <c r="EB62" s="12"/>
      <c r="EC62" s="12"/>
      <c r="ED62" s="12"/>
      <c r="EE62" s="12"/>
      <c r="EF62" s="12"/>
      <c r="EG62" s="12"/>
      <c r="EH62" s="12"/>
      <c r="EI62" s="12"/>
      <c r="EK62" s="779"/>
      <c r="EL62" s="779"/>
      <c r="EM62" s="779"/>
      <c r="EN62" s="779"/>
      <c r="EO62" s="779"/>
      <c r="EP62" s="779"/>
      <c r="EQ62" s="12"/>
      <c r="ER62" s="12"/>
      <c r="ES62" s="12"/>
      <c r="ET62" s="12"/>
      <c r="EU62" s="12"/>
      <c r="EV62" s="12"/>
      <c r="EW62" s="12"/>
      <c r="EX62" s="12"/>
      <c r="EY62" s="12"/>
      <c r="EZ62" s="12"/>
      <c r="FA62" s="12"/>
      <c r="FB62" s="12"/>
      <c r="FC62" s="12"/>
      <c r="FD62" s="12"/>
      <c r="FE62" s="12"/>
      <c r="FF62" s="12"/>
      <c r="FG62" s="12"/>
      <c r="FH62" s="12"/>
      <c r="FI62" s="12"/>
      <c r="FJ62" s="12"/>
      <c r="FK62" s="12"/>
      <c r="FL62" s="12"/>
      <c r="FM62" s="12"/>
      <c r="FN62" s="12"/>
      <c r="FP62" s="779"/>
      <c r="FQ62" s="779"/>
      <c r="FR62" s="779"/>
      <c r="FS62" s="779"/>
      <c r="FT62" s="779"/>
      <c r="FU62" s="779"/>
      <c r="FV62" s="12"/>
      <c r="FW62" s="12"/>
      <c r="FX62" s="12"/>
      <c r="FY62" s="12"/>
      <c r="FZ62" s="12"/>
      <c r="GA62" s="12"/>
      <c r="GB62" s="12"/>
      <c r="GC62" s="12"/>
      <c r="GD62" s="12"/>
      <c r="GE62" s="12"/>
      <c r="GF62" s="12"/>
      <c r="GG62" s="12"/>
      <c r="GH62" s="12"/>
      <c r="GI62" s="12"/>
      <c r="GJ62" s="12"/>
      <c r="GK62" s="12"/>
      <c r="GM62" s="779"/>
      <c r="GN62" s="779"/>
      <c r="GO62" s="779"/>
      <c r="GP62" s="779"/>
      <c r="GQ62" s="779"/>
      <c r="GR62" s="779"/>
      <c r="GS62" s="12"/>
      <c r="GT62" s="12"/>
      <c r="GU62" s="12"/>
      <c r="GV62" s="12"/>
      <c r="GW62" s="12"/>
      <c r="GX62" s="12"/>
      <c r="GY62" s="12"/>
      <c r="GZ62" s="12"/>
      <c r="HA62" s="12"/>
      <c r="HB62" s="12"/>
      <c r="HC62" s="12"/>
      <c r="HD62" s="12"/>
      <c r="HE62" s="12"/>
      <c r="HF62" s="12"/>
      <c r="HH62" s="779"/>
      <c r="HI62" s="779"/>
      <c r="HJ62" s="779"/>
      <c r="HK62" s="779"/>
      <c r="HL62" s="779"/>
      <c r="HM62" s="779"/>
      <c r="HN62" s="12"/>
      <c r="HO62" s="12"/>
      <c r="HP62" s="12"/>
      <c r="HQ62" s="12"/>
      <c r="HS62" s="779"/>
      <c r="HT62" s="779"/>
      <c r="HU62" s="779"/>
      <c r="HV62" s="779"/>
      <c r="HW62" s="779"/>
      <c r="HX62" s="779"/>
      <c r="HY62" s="12"/>
      <c r="HZ62" s="12"/>
      <c r="IA62" s="12"/>
      <c r="IB62" s="12"/>
    </row>
    <row r="63" spans="1:236" ht="14.45" customHeight="1" x14ac:dyDescent="0.25">
      <c r="A63" s="47"/>
      <c r="B63" s="12"/>
      <c r="C63" s="777" t="s">
        <v>157</v>
      </c>
      <c r="D63" s="777"/>
      <c r="E63" s="777"/>
      <c r="F63" s="777"/>
      <c r="G63" s="777"/>
      <c r="H63" s="102"/>
      <c r="I63" s="13"/>
      <c r="J63" s="13"/>
      <c r="K63" s="13"/>
      <c r="L63" s="19">
        <f t="shared" si="0"/>
        <v>0</v>
      </c>
      <c r="M63" s="19">
        <f t="shared" si="1"/>
        <v>0</v>
      </c>
      <c r="N63" s="12"/>
      <c r="R63" s="776"/>
      <c r="S63" s="776"/>
      <c r="T63" s="776"/>
      <c r="U63" s="12"/>
      <c r="V63" s="12"/>
      <c r="W63" s="12"/>
      <c r="X63" s="12"/>
      <c r="Y63" s="12"/>
      <c r="Z63" s="6"/>
      <c r="AA63" s="779"/>
      <c r="AB63" s="779"/>
      <c r="AC63" s="779"/>
      <c r="AD63" s="779"/>
      <c r="AE63" s="779"/>
      <c r="AF63" s="779"/>
      <c r="AG63" s="12"/>
      <c r="AH63" s="12"/>
      <c r="AI63" s="12"/>
      <c r="AJ63" s="12"/>
      <c r="AL63" s="779"/>
      <c r="AM63" s="779"/>
      <c r="AN63" s="779"/>
      <c r="AO63" s="779"/>
      <c r="AP63" s="779"/>
      <c r="AQ63" s="779"/>
      <c r="AR63" s="12"/>
      <c r="AS63" s="12"/>
      <c r="AT63" s="12"/>
      <c r="AU63" s="12"/>
      <c r="AV63" s="12"/>
      <c r="AW63" s="12"/>
      <c r="AX63" s="12"/>
      <c r="AY63" s="12"/>
      <c r="AZ63" s="779"/>
      <c r="BA63" s="779"/>
      <c r="BB63" s="779"/>
      <c r="BC63" s="779"/>
      <c r="BD63" s="779"/>
      <c r="BE63" s="779"/>
      <c r="BF63" s="12"/>
      <c r="BG63" s="12"/>
      <c r="BH63" s="12"/>
      <c r="BI63" s="12"/>
      <c r="BJ63" s="12"/>
      <c r="BK63" s="12"/>
      <c r="BL63" s="779"/>
      <c r="BM63" s="779"/>
      <c r="BN63" s="779"/>
      <c r="BO63" s="779"/>
      <c r="BP63" s="779"/>
      <c r="BQ63" s="779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779"/>
      <c r="CF63" s="779"/>
      <c r="CG63" s="779"/>
      <c r="CH63" s="779"/>
      <c r="CI63" s="779"/>
      <c r="CJ63" s="779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779"/>
      <c r="CX63" s="779"/>
      <c r="CY63" s="779"/>
      <c r="CZ63" s="779"/>
      <c r="DA63" s="779"/>
      <c r="DB63" s="779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Q63" s="779"/>
      <c r="DR63" s="779"/>
      <c r="DS63" s="779"/>
      <c r="DT63" s="779"/>
      <c r="DU63" s="779"/>
      <c r="DV63" s="779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G63" s="12"/>
      <c r="EH63" s="12"/>
      <c r="EI63" s="12"/>
      <c r="EK63" s="779"/>
      <c r="EL63" s="779"/>
      <c r="EM63" s="779"/>
      <c r="EN63" s="779"/>
      <c r="EO63" s="779"/>
      <c r="EP63" s="779"/>
      <c r="EQ63" s="12"/>
      <c r="ER63" s="12"/>
      <c r="ES63" s="12"/>
      <c r="ET63" s="12"/>
      <c r="EU63" s="12"/>
      <c r="EV63" s="12"/>
      <c r="EW63" s="12"/>
      <c r="EX63" s="12"/>
      <c r="EY63" s="12"/>
      <c r="EZ63" s="12"/>
      <c r="FA63" s="12"/>
      <c r="FB63" s="12"/>
      <c r="FC63" s="12"/>
      <c r="FD63" s="12"/>
      <c r="FE63" s="12"/>
      <c r="FF63" s="12"/>
      <c r="FG63" s="12"/>
      <c r="FH63" s="12"/>
      <c r="FI63" s="12"/>
      <c r="FJ63" s="12"/>
      <c r="FK63" s="12"/>
      <c r="FL63" s="12"/>
      <c r="FM63" s="12"/>
      <c r="FN63" s="12"/>
      <c r="FP63" s="779"/>
      <c r="FQ63" s="779"/>
      <c r="FR63" s="779"/>
      <c r="FS63" s="779"/>
      <c r="FT63" s="779"/>
      <c r="FU63" s="779"/>
      <c r="FV63" s="12"/>
      <c r="FW63" s="12"/>
      <c r="FX63" s="12"/>
      <c r="FY63" s="12"/>
      <c r="FZ63" s="12"/>
      <c r="GA63" s="12"/>
      <c r="GB63" s="12"/>
      <c r="GC63" s="12"/>
      <c r="GD63" s="12"/>
      <c r="GE63" s="12"/>
      <c r="GF63" s="12"/>
      <c r="GG63" s="12"/>
      <c r="GH63" s="12"/>
      <c r="GI63" s="12"/>
      <c r="GJ63" s="12"/>
      <c r="GK63" s="12"/>
      <c r="GM63" s="779"/>
      <c r="GN63" s="779"/>
      <c r="GO63" s="779"/>
      <c r="GP63" s="779"/>
      <c r="GQ63" s="779"/>
      <c r="GR63" s="779"/>
      <c r="GS63" s="12"/>
      <c r="GT63" s="12"/>
      <c r="GU63" s="12"/>
      <c r="GV63" s="12"/>
      <c r="GW63" s="12"/>
      <c r="GX63" s="12"/>
      <c r="GY63" s="12"/>
      <c r="GZ63" s="12"/>
      <c r="HA63" s="12"/>
      <c r="HB63" s="12"/>
      <c r="HC63" s="12"/>
      <c r="HD63" s="12"/>
      <c r="HE63" s="12"/>
      <c r="HF63" s="12"/>
      <c r="HH63" s="779"/>
      <c r="HI63" s="779"/>
      <c r="HJ63" s="779"/>
      <c r="HK63" s="779"/>
      <c r="HL63" s="779"/>
      <c r="HM63" s="779"/>
      <c r="HN63" s="12"/>
      <c r="HO63" s="12"/>
      <c r="HP63" s="12"/>
      <c r="HQ63" s="12"/>
      <c r="HS63" s="779"/>
      <c r="HT63" s="779"/>
      <c r="HU63" s="779"/>
      <c r="HV63" s="779"/>
      <c r="HW63" s="779"/>
      <c r="HX63" s="779"/>
      <c r="HY63" s="12"/>
      <c r="HZ63" s="12"/>
      <c r="IA63" s="12"/>
      <c r="IB63" s="12"/>
    </row>
    <row r="64" spans="1:236" ht="14.45" customHeight="1" x14ac:dyDescent="0.25">
      <c r="A64" s="47"/>
      <c r="B64" s="12"/>
      <c r="C64" s="777" t="s">
        <v>159</v>
      </c>
      <c r="D64" s="777"/>
      <c r="E64" s="777"/>
      <c r="F64" s="777"/>
      <c r="G64" s="777"/>
      <c r="H64" s="102"/>
      <c r="I64" s="13"/>
      <c r="J64" s="13"/>
      <c r="K64" s="13"/>
      <c r="L64" s="19">
        <f t="shared" si="0"/>
        <v>0</v>
      </c>
      <c r="M64" s="19">
        <f t="shared" si="1"/>
        <v>0</v>
      </c>
      <c r="N64" s="12"/>
      <c r="R64" s="776"/>
      <c r="S64" s="776"/>
      <c r="T64" s="776"/>
      <c r="U64" s="12"/>
      <c r="V64" s="12"/>
      <c r="W64" s="12"/>
      <c r="X64" s="12"/>
      <c r="Y64" s="12"/>
      <c r="Z64" s="6"/>
      <c r="AA64" s="779"/>
      <c r="AB64" s="779"/>
      <c r="AC64" s="779"/>
      <c r="AD64" s="779"/>
      <c r="AE64" s="779"/>
      <c r="AF64" s="779"/>
      <c r="AG64" s="12"/>
      <c r="AH64" s="12"/>
      <c r="AI64" s="12"/>
      <c r="AJ64" s="12"/>
      <c r="AL64" s="779"/>
      <c r="AM64" s="779"/>
      <c r="AN64" s="779"/>
      <c r="AO64" s="779"/>
      <c r="AP64" s="779"/>
      <c r="AQ64" s="779"/>
      <c r="AR64" s="12"/>
      <c r="AS64" s="12"/>
      <c r="AT64" s="12"/>
      <c r="AU64" s="12"/>
      <c r="AV64" s="12"/>
      <c r="AW64" s="12"/>
      <c r="AX64" s="12"/>
      <c r="AY64" s="12"/>
      <c r="AZ64" s="779"/>
      <c r="BA64" s="779"/>
      <c r="BB64" s="779"/>
      <c r="BC64" s="779"/>
      <c r="BD64" s="779"/>
      <c r="BE64" s="779"/>
      <c r="BF64" s="12"/>
      <c r="BG64" s="12"/>
      <c r="BH64" s="12"/>
      <c r="BI64" s="12"/>
      <c r="BJ64" s="12"/>
      <c r="BK64" s="12"/>
      <c r="BL64" s="779"/>
      <c r="BM64" s="779"/>
      <c r="BN64" s="779"/>
      <c r="BO64" s="779"/>
      <c r="BP64" s="779"/>
      <c r="BQ64" s="779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779"/>
      <c r="CF64" s="779"/>
      <c r="CG64" s="779"/>
      <c r="CH64" s="779"/>
      <c r="CI64" s="779"/>
      <c r="CJ64" s="779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779"/>
      <c r="CX64" s="779"/>
      <c r="CY64" s="779"/>
      <c r="CZ64" s="779"/>
      <c r="DA64" s="779"/>
      <c r="DB64" s="779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Q64" s="779"/>
      <c r="DR64" s="779"/>
      <c r="DS64" s="779"/>
      <c r="DT64" s="779"/>
      <c r="DU64" s="779"/>
      <c r="DV64" s="779"/>
      <c r="DW64" s="12"/>
      <c r="DX64" s="12"/>
      <c r="DY64" s="12"/>
      <c r="DZ64" s="12"/>
      <c r="EA64" s="12"/>
      <c r="EB64" s="12"/>
      <c r="EC64" s="12"/>
      <c r="ED64" s="12"/>
      <c r="EE64" s="12"/>
      <c r="EF64" s="12"/>
      <c r="EG64" s="12"/>
      <c r="EH64" s="12"/>
      <c r="EI64" s="12"/>
      <c r="EK64" s="779"/>
      <c r="EL64" s="779"/>
      <c r="EM64" s="779"/>
      <c r="EN64" s="779"/>
      <c r="EO64" s="779"/>
      <c r="EP64" s="779"/>
      <c r="EQ64" s="12"/>
      <c r="ER64" s="12"/>
      <c r="ES64" s="12"/>
      <c r="ET64" s="12"/>
      <c r="EU64" s="12"/>
      <c r="EV64" s="12"/>
      <c r="EW64" s="12"/>
      <c r="EX64" s="12"/>
      <c r="EY64" s="12"/>
      <c r="EZ64" s="12"/>
      <c r="FA64" s="12"/>
      <c r="FB64" s="12"/>
      <c r="FC64" s="12"/>
      <c r="FD64" s="12"/>
      <c r="FE64" s="12"/>
      <c r="FF64" s="12"/>
      <c r="FG64" s="12"/>
      <c r="FH64" s="12"/>
      <c r="FI64" s="12"/>
      <c r="FJ64" s="12"/>
      <c r="FK64" s="12"/>
      <c r="FL64" s="12"/>
      <c r="FM64" s="12"/>
      <c r="FN64" s="12"/>
      <c r="FP64" s="779"/>
      <c r="FQ64" s="779"/>
      <c r="FR64" s="779"/>
      <c r="FS64" s="779"/>
      <c r="FT64" s="779"/>
      <c r="FU64" s="779"/>
      <c r="FV64" s="12"/>
      <c r="FW64" s="12"/>
      <c r="FX64" s="12"/>
      <c r="FY64" s="12"/>
      <c r="FZ64" s="12"/>
      <c r="GA64" s="12"/>
      <c r="GB64" s="12"/>
      <c r="GC64" s="12"/>
      <c r="GD64" s="12"/>
      <c r="GE64" s="12"/>
      <c r="GF64" s="12"/>
      <c r="GG64" s="12"/>
      <c r="GH64" s="12"/>
      <c r="GI64" s="12"/>
      <c r="GJ64" s="12"/>
      <c r="GK64" s="12"/>
      <c r="GM64" s="779"/>
      <c r="GN64" s="779"/>
      <c r="GO64" s="779"/>
      <c r="GP64" s="779"/>
      <c r="GQ64" s="779"/>
      <c r="GR64" s="779"/>
      <c r="GS64" s="12"/>
      <c r="GT64" s="12"/>
      <c r="GU64" s="12"/>
      <c r="GV64" s="12"/>
      <c r="GW64" s="12"/>
      <c r="GX64" s="12"/>
      <c r="GY64" s="12"/>
      <c r="GZ64" s="12"/>
      <c r="HA64" s="12"/>
      <c r="HB64" s="12"/>
      <c r="HC64" s="12"/>
      <c r="HD64" s="12"/>
      <c r="HE64" s="12"/>
      <c r="HF64" s="12"/>
      <c r="HH64" s="779"/>
      <c r="HI64" s="779"/>
      <c r="HJ64" s="779"/>
      <c r="HK64" s="779"/>
      <c r="HL64" s="779"/>
      <c r="HM64" s="779"/>
      <c r="HN64" s="12"/>
      <c r="HO64" s="12"/>
      <c r="HP64" s="12"/>
      <c r="HQ64" s="12"/>
      <c r="HS64" s="779"/>
      <c r="HT64" s="779"/>
      <c r="HU64" s="779"/>
      <c r="HV64" s="779"/>
      <c r="HW64" s="779"/>
      <c r="HX64" s="779"/>
      <c r="HY64" s="12"/>
      <c r="HZ64" s="12"/>
      <c r="IA64" s="12"/>
      <c r="IB64" s="12"/>
    </row>
    <row r="65" spans="1:236" ht="14.45" customHeight="1" x14ac:dyDescent="0.25">
      <c r="A65" s="47"/>
      <c r="B65" s="12"/>
      <c r="C65" s="777" t="s">
        <v>156</v>
      </c>
      <c r="D65" s="777"/>
      <c r="E65" s="777"/>
      <c r="F65" s="777"/>
      <c r="G65" s="777"/>
      <c r="H65" s="102"/>
      <c r="I65" s="13"/>
      <c r="J65" s="13"/>
      <c r="K65" s="13"/>
      <c r="L65" s="19">
        <f t="shared" si="0"/>
        <v>0</v>
      </c>
      <c r="M65" s="19">
        <f t="shared" si="1"/>
        <v>0</v>
      </c>
      <c r="N65" s="12"/>
      <c r="R65" s="776"/>
      <c r="S65" s="776"/>
      <c r="T65" s="776"/>
      <c r="U65" s="12"/>
      <c r="V65" s="12"/>
      <c r="W65" s="12"/>
      <c r="X65" s="12"/>
      <c r="Y65" s="12"/>
      <c r="Z65" s="6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Q65" s="12"/>
      <c r="DR65" s="12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12"/>
      <c r="EK65" s="779"/>
      <c r="EL65" s="779"/>
      <c r="EM65" s="779"/>
      <c r="EN65" s="779"/>
      <c r="EO65" s="779"/>
      <c r="EP65" s="779"/>
      <c r="EQ65" s="12"/>
      <c r="ER65" s="12"/>
      <c r="ES65" s="12"/>
      <c r="ET65" s="12"/>
      <c r="EU65" s="12"/>
      <c r="EV65" s="12"/>
      <c r="EW65" s="12"/>
      <c r="EX65" s="12"/>
      <c r="EY65" s="12"/>
      <c r="EZ65" s="12"/>
      <c r="FA65" s="12"/>
      <c r="FB65" s="12"/>
      <c r="FC65" s="12"/>
      <c r="FD65" s="12"/>
      <c r="FE65" s="12"/>
      <c r="FF65" s="12"/>
      <c r="FG65" s="12"/>
      <c r="FH65" s="12"/>
      <c r="FI65" s="12"/>
      <c r="FJ65" s="12"/>
      <c r="FK65" s="12"/>
      <c r="FL65" s="12"/>
      <c r="FM65" s="12"/>
      <c r="FN65" s="12"/>
      <c r="FP65" s="779"/>
      <c r="FQ65" s="779"/>
      <c r="FR65" s="779"/>
      <c r="FS65" s="779"/>
      <c r="FT65" s="779"/>
      <c r="FU65" s="779"/>
      <c r="FV65" s="12"/>
      <c r="FW65" s="12"/>
      <c r="FX65" s="12"/>
      <c r="FY65" s="12"/>
      <c r="FZ65" s="12"/>
      <c r="GA65" s="12"/>
      <c r="GB65" s="12"/>
      <c r="GC65" s="12"/>
      <c r="GD65" s="12"/>
      <c r="GE65" s="12"/>
      <c r="GF65" s="12"/>
      <c r="GG65" s="12"/>
      <c r="GH65" s="12"/>
      <c r="GI65" s="12"/>
      <c r="GJ65" s="12"/>
      <c r="GK65" s="12"/>
      <c r="GM65" s="779"/>
      <c r="GN65" s="779"/>
      <c r="GO65" s="779"/>
      <c r="GP65" s="779"/>
      <c r="GQ65" s="779"/>
      <c r="GR65" s="779"/>
      <c r="GS65" s="12"/>
      <c r="GT65" s="12"/>
      <c r="GU65" s="12"/>
      <c r="GV65" s="12"/>
      <c r="GW65" s="12"/>
      <c r="GX65" s="12"/>
      <c r="GY65" s="12"/>
      <c r="GZ65" s="12"/>
      <c r="HA65" s="12"/>
      <c r="HB65" s="12"/>
      <c r="HC65" s="12"/>
      <c r="HD65" s="12"/>
      <c r="HE65" s="12"/>
      <c r="HF65" s="12"/>
      <c r="HH65" s="779"/>
      <c r="HI65" s="779"/>
      <c r="HJ65" s="779"/>
      <c r="HK65" s="779"/>
      <c r="HL65" s="779"/>
      <c r="HM65" s="779"/>
      <c r="HN65" s="12"/>
      <c r="HO65" s="12"/>
      <c r="HP65" s="12"/>
      <c r="HQ65" s="12"/>
      <c r="HS65" s="779"/>
      <c r="HT65" s="779"/>
      <c r="HU65" s="779"/>
      <c r="HV65" s="779"/>
      <c r="HW65" s="779"/>
      <c r="HX65" s="779"/>
      <c r="HY65" s="12"/>
      <c r="HZ65" s="12"/>
      <c r="IA65" s="12"/>
      <c r="IB65" s="12"/>
    </row>
    <row r="66" spans="1:236" ht="14.45" customHeight="1" x14ac:dyDescent="0.25">
      <c r="A66" s="47"/>
      <c r="B66" s="12"/>
      <c r="C66" s="777" t="s">
        <v>158</v>
      </c>
      <c r="D66" s="777"/>
      <c r="E66" s="777"/>
      <c r="F66" s="777"/>
      <c r="G66" s="777"/>
      <c r="H66" s="102">
        <v>8</v>
      </c>
      <c r="I66" s="13"/>
      <c r="J66" s="13">
        <v>36</v>
      </c>
      <c r="K66" s="13"/>
      <c r="L66" s="19">
        <f t="shared" si="0"/>
        <v>36</v>
      </c>
      <c r="M66" s="19">
        <f t="shared" si="1"/>
        <v>288</v>
      </c>
      <c r="N66" s="12"/>
      <c r="R66" s="776"/>
      <c r="S66" s="776"/>
      <c r="T66" s="776"/>
      <c r="U66" s="12"/>
      <c r="V66" s="12"/>
      <c r="W66" s="12"/>
      <c r="X66" s="12"/>
      <c r="Y66" s="12"/>
      <c r="Z66" s="6"/>
      <c r="AA66" s="779"/>
      <c r="AB66" s="779"/>
      <c r="AC66" s="779"/>
      <c r="AD66" s="779"/>
      <c r="AE66" s="779"/>
      <c r="AF66" s="779"/>
      <c r="AG66" s="12"/>
      <c r="AH66" s="12"/>
      <c r="AI66" s="12"/>
      <c r="AJ66" s="12"/>
      <c r="AL66" s="779"/>
      <c r="AM66" s="779"/>
      <c r="AN66" s="779"/>
      <c r="AO66" s="779"/>
      <c r="AP66" s="779"/>
      <c r="AQ66" s="779"/>
      <c r="AR66" s="12"/>
      <c r="AS66" s="12"/>
      <c r="AT66" s="12"/>
      <c r="AU66" s="12"/>
      <c r="AV66" s="12"/>
      <c r="AW66" s="12"/>
      <c r="AX66" s="12"/>
      <c r="AY66" s="12"/>
      <c r="AZ66" s="779"/>
      <c r="BA66" s="779"/>
      <c r="BB66" s="779"/>
      <c r="BC66" s="779"/>
      <c r="BD66" s="779"/>
      <c r="BE66" s="779"/>
      <c r="BF66" s="12"/>
      <c r="BG66" s="12"/>
      <c r="BH66" s="12"/>
      <c r="BI66" s="12"/>
      <c r="BJ66" s="12"/>
      <c r="BK66" s="12"/>
      <c r="BL66" s="779"/>
      <c r="BM66" s="779"/>
      <c r="BN66" s="779"/>
      <c r="BO66" s="779"/>
      <c r="BP66" s="779"/>
      <c r="BQ66" s="779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779"/>
      <c r="CF66" s="779"/>
      <c r="CG66" s="779"/>
      <c r="CH66" s="779"/>
      <c r="CI66" s="779"/>
      <c r="CJ66" s="779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779"/>
      <c r="CX66" s="779"/>
      <c r="CY66" s="779"/>
      <c r="CZ66" s="779"/>
      <c r="DA66" s="779"/>
      <c r="DB66" s="779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Q66" s="779"/>
      <c r="DR66" s="779"/>
      <c r="DS66" s="779"/>
      <c r="DT66" s="779"/>
      <c r="DU66" s="779"/>
      <c r="DV66" s="779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12"/>
      <c r="EI66" s="12"/>
      <c r="EK66" s="779"/>
      <c r="EL66" s="779"/>
      <c r="EM66" s="779"/>
      <c r="EN66" s="779"/>
      <c r="EO66" s="779"/>
      <c r="EP66" s="779"/>
      <c r="EQ66" s="12"/>
      <c r="ER66" s="12"/>
      <c r="ES66" s="12"/>
      <c r="ET66" s="12"/>
      <c r="EU66" s="12"/>
      <c r="EV66" s="12"/>
      <c r="EW66" s="12"/>
      <c r="EX66" s="12"/>
      <c r="EY66" s="12"/>
      <c r="EZ66" s="12"/>
      <c r="FA66" s="12"/>
      <c r="FB66" s="12"/>
      <c r="FC66" s="12"/>
      <c r="FD66" s="12"/>
      <c r="FE66" s="12"/>
      <c r="FF66" s="12"/>
      <c r="FG66" s="12"/>
      <c r="FH66" s="12"/>
      <c r="FI66" s="12"/>
      <c r="FJ66" s="12"/>
      <c r="FK66" s="12"/>
      <c r="FL66" s="12"/>
      <c r="FM66" s="12"/>
      <c r="FN66" s="12"/>
      <c r="FP66" s="779"/>
      <c r="FQ66" s="779"/>
      <c r="FR66" s="779"/>
      <c r="FS66" s="779"/>
      <c r="FT66" s="779"/>
      <c r="FU66" s="779"/>
      <c r="FV66" s="12"/>
      <c r="FW66" s="12"/>
      <c r="FX66" s="12"/>
      <c r="FY66" s="12"/>
      <c r="FZ66" s="12"/>
      <c r="GA66" s="12"/>
      <c r="GB66" s="12"/>
      <c r="GC66" s="12"/>
      <c r="GD66" s="12"/>
      <c r="GE66" s="12"/>
      <c r="GF66" s="12"/>
      <c r="GG66" s="12"/>
      <c r="GH66" s="12"/>
      <c r="GI66" s="12"/>
      <c r="GJ66" s="12"/>
      <c r="GK66" s="12"/>
      <c r="GM66" s="779"/>
      <c r="GN66" s="779"/>
      <c r="GO66" s="779"/>
      <c r="GP66" s="779"/>
      <c r="GQ66" s="779"/>
      <c r="GR66" s="779"/>
      <c r="GS66" s="12"/>
      <c r="GT66" s="12"/>
      <c r="GU66" s="12"/>
      <c r="GV66" s="12"/>
      <c r="GW66" s="12"/>
      <c r="GX66" s="12"/>
      <c r="GY66" s="12"/>
      <c r="GZ66" s="12"/>
      <c r="HA66" s="12"/>
      <c r="HB66" s="12"/>
      <c r="HC66" s="12"/>
      <c r="HD66" s="12"/>
      <c r="HE66" s="12"/>
      <c r="HF66" s="12"/>
      <c r="HH66" s="779"/>
      <c r="HI66" s="779"/>
      <c r="HJ66" s="779"/>
      <c r="HK66" s="779"/>
      <c r="HL66" s="779"/>
      <c r="HM66" s="779"/>
      <c r="HN66" s="12"/>
      <c r="HO66" s="12"/>
      <c r="HP66" s="12"/>
      <c r="HQ66" s="12"/>
      <c r="HS66" s="779"/>
      <c r="HT66" s="779"/>
      <c r="HU66" s="779"/>
      <c r="HV66" s="779"/>
      <c r="HW66" s="779"/>
      <c r="HX66" s="779"/>
      <c r="HY66" s="12"/>
      <c r="HZ66" s="12"/>
      <c r="IA66" s="12"/>
      <c r="IB66" s="12"/>
    </row>
    <row r="67" spans="1:236" ht="14.45" customHeight="1" x14ac:dyDescent="0.25">
      <c r="A67" s="47"/>
      <c r="B67" s="12"/>
      <c r="C67" s="777" t="s">
        <v>163</v>
      </c>
      <c r="D67" s="777"/>
      <c r="E67" s="777"/>
      <c r="F67" s="777"/>
      <c r="G67" s="777"/>
      <c r="H67" s="102"/>
      <c r="I67" s="13"/>
      <c r="J67" s="13"/>
      <c r="K67" s="13"/>
      <c r="L67" s="19">
        <f t="shared" si="0"/>
        <v>0</v>
      </c>
      <c r="M67" s="19">
        <f t="shared" si="1"/>
        <v>0</v>
      </c>
      <c r="N67" s="12"/>
      <c r="R67" s="776"/>
      <c r="S67" s="776"/>
      <c r="T67" s="776"/>
      <c r="U67" s="12"/>
      <c r="V67" s="12"/>
      <c r="W67" s="12"/>
      <c r="X67" s="12"/>
      <c r="Y67" s="12"/>
      <c r="Z67" s="6"/>
      <c r="AA67" s="779"/>
      <c r="AB67" s="779"/>
      <c r="AC67" s="779"/>
      <c r="AD67" s="779"/>
      <c r="AE67" s="779"/>
      <c r="AF67" s="779"/>
      <c r="AG67" s="12"/>
      <c r="AH67" s="12"/>
      <c r="AI67" s="12"/>
      <c r="AJ67" s="12"/>
      <c r="AL67" s="779"/>
      <c r="AM67" s="779"/>
      <c r="AN67" s="779"/>
      <c r="AO67" s="779"/>
      <c r="AP67" s="779"/>
      <c r="AQ67" s="779"/>
      <c r="AR67" s="12"/>
      <c r="AS67" s="12"/>
      <c r="AT67" s="12"/>
      <c r="AU67" s="12"/>
      <c r="AV67" s="12"/>
      <c r="AW67" s="12"/>
      <c r="AX67" s="12"/>
      <c r="AY67" s="12"/>
      <c r="AZ67" s="779"/>
      <c r="BA67" s="779"/>
      <c r="BB67" s="779"/>
      <c r="BC67" s="779"/>
      <c r="BD67" s="779"/>
      <c r="BE67" s="779"/>
      <c r="BF67" s="12"/>
      <c r="BG67" s="12"/>
      <c r="BH67" s="12"/>
      <c r="BI67" s="12"/>
      <c r="BJ67" s="12"/>
      <c r="BK67" s="12"/>
      <c r="BL67" s="779"/>
      <c r="BM67" s="779"/>
      <c r="BN67" s="779"/>
      <c r="BO67" s="779"/>
      <c r="BP67" s="779"/>
      <c r="BQ67" s="779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779"/>
      <c r="CF67" s="779"/>
      <c r="CG67" s="779"/>
      <c r="CH67" s="779"/>
      <c r="CI67" s="779"/>
      <c r="CJ67" s="779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  <c r="CW67" s="779"/>
      <c r="CX67" s="779"/>
      <c r="CY67" s="779"/>
      <c r="CZ67" s="779"/>
      <c r="DA67" s="779"/>
      <c r="DB67" s="779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Q67" s="779"/>
      <c r="DR67" s="779"/>
      <c r="DS67" s="779"/>
      <c r="DT67" s="779"/>
      <c r="DU67" s="779"/>
      <c r="DV67" s="779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G67" s="12"/>
      <c r="EH67" s="12"/>
      <c r="EI67" s="12"/>
      <c r="EK67" s="779"/>
      <c r="EL67" s="779"/>
      <c r="EM67" s="779"/>
      <c r="EN67" s="779"/>
      <c r="EO67" s="779"/>
      <c r="EP67" s="779"/>
      <c r="EQ67" s="12"/>
      <c r="ER67" s="12"/>
      <c r="ES67" s="12"/>
      <c r="ET67" s="12"/>
      <c r="EU67" s="12"/>
      <c r="EV67" s="12"/>
      <c r="EW67" s="12"/>
      <c r="EX67" s="12"/>
      <c r="EY67" s="12"/>
      <c r="EZ67" s="12"/>
      <c r="FA67" s="12"/>
      <c r="FB67" s="12"/>
      <c r="FC67" s="12"/>
      <c r="FD67" s="12"/>
      <c r="FE67" s="12"/>
      <c r="FF67" s="12"/>
      <c r="FG67" s="12"/>
      <c r="FH67" s="12"/>
      <c r="FI67" s="12"/>
      <c r="FJ67" s="12"/>
      <c r="FK67" s="12"/>
      <c r="FL67" s="12"/>
      <c r="FM67" s="12"/>
      <c r="FN67" s="12"/>
      <c r="FP67" s="779"/>
      <c r="FQ67" s="779"/>
      <c r="FR67" s="779"/>
      <c r="FS67" s="779"/>
      <c r="FT67" s="779"/>
      <c r="FU67" s="779"/>
      <c r="FV67" s="12"/>
      <c r="FW67" s="12"/>
      <c r="FX67" s="12"/>
      <c r="FY67" s="12"/>
      <c r="FZ67" s="12"/>
      <c r="GA67" s="12"/>
      <c r="GB67" s="12"/>
      <c r="GC67" s="12"/>
      <c r="GD67" s="12"/>
      <c r="GE67" s="12"/>
      <c r="GF67" s="12"/>
      <c r="GG67" s="12"/>
      <c r="GH67" s="12"/>
      <c r="GI67" s="12"/>
      <c r="GJ67" s="12"/>
      <c r="GK67" s="12"/>
      <c r="GM67" s="779"/>
      <c r="GN67" s="779"/>
      <c r="GO67" s="779"/>
      <c r="GP67" s="779"/>
      <c r="GQ67" s="779"/>
      <c r="GR67" s="779"/>
      <c r="GS67" s="12"/>
      <c r="GT67" s="12"/>
      <c r="GU67" s="12"/>
      <c r="GV67" s="12"/>
      <c r="GW67" s="12"/>
      <c r="GX67" s="12"/>
      <c r="GY67" s="12"/>
      <c r="GZ67" s="12"/>
      <c r="HA67" s="12"/>
      <c r="HB67" s="12"/>
      <c r="HC67" s="12"/>
      <c r="HD67" s="12"/>
      <c r="HE67" s="12"/>
      <c r="HF67" s="12"/>
      <c r="HH67" s="779"/>
      <c r="HI67" s="779"/>
      <c r="HJ67" s="779"/>
      <c r="HK67" s="779"/>
      <c r="HL67" s="779"/>
      <c r="HM67" s="779"/>
      <c r="HN67" s="12"/>
      <c r="HO67" s="12"/>
      <c r="HP67" s="12"/>
      <c r="HQ67" s="12"/>
      <c r="HS67" s="779"/>
      <c r="HT67" s="779"/>
      <c r="HU67" s="779"/>
      <c r="HV67" s="779"/>
      <c r="HW67" s="779"/>
      <c r="HX67" s="779"/>
      <c r="HY67" s="12"/>
      <c r="HZ67" s="12"/>
      <c r="IA67" s="12"/>
      <c r="IB67" s="12"/>
    </row>
    <row r="68" spans="1:236" ht="14.45" customHeight="1" x14ac:dyDescent="0.25">
      <c r="A68" s="47"/>
      <c r="B68" s="12"/>
      <c r="C68" s="777" t="s">
        <v>164</v>
      </c>
      <c r="D68" s="777"/>
      <c r="E68" s="777"/>
      <c r="F68" s="777"/>
      <c r="G68" s="777"/>
      <c r="H68" s="102"/>
      <c r="I68" s="13"/>
      <c r="J68" s="13"/>
      <c r="K68" s="13"/>
      <c r="L68" s="19">
        <f t="shared" si="0"/>
        <v>0</v>
      </c>
      <c r="M68" s="19">
        <f t="shared" si="1"/>
        <v>0</v>
      </c>
      <c r="N68" s="12"/>
      <c r="R68" s="776"/>
      <c r="S68" s="776"/>
      <c r="T68" s="776"/>
      <c r="U68" s="12"/>
      <c r="V68" s="12"/>
      <c r="W68" s="12"/>
      <c r="X68" s="12"/>
      <c r="Y68" s="12"/>
      <c r="Z68" s="6"/>
      <c r="AA68" s="779"/>
      <c r="AB68" s="779"/>
      <c r="AC68" s="779"/>
      <c r="AD68" s="779"/>
      <c r="AE68" s="779"/>
      <c r="AF68" s="779"/>
      <c r="AG68" s="12"/>
      <c r="AH68" s="12"/>
      <c r="AI68" s="12"/>
      <c r="AJ68" s="12"/>
      <c r="AL68" s="779"/>
      <c r="AM68" s="779"/>
      <c r="AN68" s="779"/>
      <c r="AO68" s="779"/>
      <c r="AP68" s="779"/>
      <c r="AQ68" s="779"/>
      <c r="AR68" s="12"/>
      <c r="AS68" s="12"/>
      <c r="AT68" s="12"/>
      <c r="AU68" s="12"/>
      <c r="AV68" s="12"/>
      <c r="AW68" s="12"/>
      <c r="AX68" s="12"/>
      <c r="AY68" s="12"/>
      <c r="AZ68" s="779"/>
      <c r="BA68" s="779"/>
      <c r="BB68" s="779"/>
      <c r="BC68" s="779"/>
      <c r="BD68" s="779"/>
      <c r="BE68" s="779"/>
      <c r="BF68" s="12"/>
      <c r="BG68" s="12"/>
      <c r="BH68" s="12"/>
      <c r="BI68" s="12"/>
      <c r="BJ68" s="12"/>
      <c r="BK68" s="12"/>
      <c r="BL68" s="779"/>
      <c r="BM68" s="779"/>
      <c r="BN68" s="779"/>
      <c r="BO68" s="779"/>
      <c r="BP68" s="779"/>
      <c r="BQ68" s="779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5"/>
      <c r="CE68" s="779"/>
      <c r="CF68" s="779"/>
      <c r="CG68" s="779"/>
      <c r="CH68" s="779"/>
      <c r="CI68" s="779"/>
      <c r="CJ68" s="779"/>
      <c r="CK68" s="12"/>
      <c r="CL68" s="12"/>
      <c r="CM68" s="12"/>
      <c r="CN68" s="12"/>
      <c r="CO68" s="12"/>
      <c r="CP68" s="12"/>
      <c r="CQ68" s="12"/>
      <c r="CR68" s="12"/>
      <c r="CS68" s="12"/>
      <c r="CT68" s="12"/>
      <c r="CU68" s="12"/>
      <c r="CV68" s="12"/>
      <c r="CW68" s="779"/>
      <c r="CX68" s="779"/>
      <c r="CY68" s="779"/>
      <c r="CZ68" s="779"/>
      <c r="DA68" s="779"/>
      <c r="DB68" s="779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Q68" s="779"/>
      <c r="DR68" s="779"/>
      <c r="DS68" s="779"/>
      <c r="DT68" s="779"/>
      <c r="DU68" s="779"/>
      <c r="DV68" s="779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G68" s="12"/>
      <c r="EH68" s="12"/>
      <c r="EI68" s="12"/>
      <c r="EK68" s="779"/>
      <c r="EL68" s="779"/>
      <c r="EM68" s="779"/>
      <c r="EN68" s="779"/>
      <c r="EO68" s="779"/>
      <c r="EP68" s="779"/>
      <c r="EQ68" s="12"/>
      <c r="ER68" s="12"/>
      <c r="ES68" s="12"/>
      <c r="ET68" s="12"/>
      <c r="EU68" s="12"/>
      <c r="EV68" s="12"/>
      <c r="EW68" s="12"/>
      <c r="EX68" s="12"/>
      <c r="EY68" s="12"/>
      <c r="EZ68" s="12"/>
      <c r="FA68" s="12"/>
      <c r="FB68" s="12"/>
      <c r="FC68" s="12"/>
      <c r="FD68" s="12"/>
      <c r="FE68" s="12"/>
      <c r="FF68" s="12"/>
      <c r="FG68" s="12"/>
      <c r="FH68" s="12"/>
      <c r="FI68" s="12"/>
      <c r="FJ68" s="12"/>
      <c r="FK68" s="12"/>
      <c r="FL68" s="12"/>
      <c r="FM68" s="12"/>
      <c r="FN68" s="12"/>
      <c r="FP68" s="779"/>
      <c r="FQ68" s="779"/>
      <c r="FR68" s="779"/>
      <c r="FS68" s="779"/>
      <c r="FT68" s="779"/>
      <c r="FU68" s="779"/>
      <c r="FV68" s="12"/>
      <c r="FW68" s="12"/>
      <c r="FX68" s="12"/>
      <c r="FY68" s="12"/>
      <c r="FZ68" s="12"/>
      <c r="GA68" s="12"/>
      <c r="GB68" s="12"/>
      <c r="GC68" s="12"/>
      <c r="GD68" s="12"/>
      <c r="GE68" s="12"/>
      <c r="GF68" s="12"/>
      <c r="GG68" s="12"/>
      <c r="GH68" s="12"/>
      <c r="GI68" s="12"/>
      <c r="GJ68" s="12"/>
      <c r="GK68" s="12"/>
      <c r="GM68" s="779"/>
      <c r="GN68" s="779"/>
      <c r="GO68" s="779"/>
      <c r="GP68" s="779"/>
      <c r="GQ68" s="779"/>
      <c r="GR68" s="779"/>
      <c r="GS68" s="12"/>
      <c r="GT68" s="12"/>
      <c r="GU68" s="12"/>
      <c r="GV68" s="12"/>
      <c r="GW68" s="12"/>
      <c r="GX68" s="12"/>
      <c r="GY68" s="12"/>
      <c r="GZ68" s="12"/>
      <c r="HA68" s="12"/>
      <c r="HB68" s="12"/>
      <c r="HC68" s="12"/>
      <c r="HD68" s="12"/>
      <c r="HE68" s="12"/>
      <c r="HF68" s="12"/>
      <c r="HH68" s="779"/>
      <c r="HI68" s="779"/>
      <c r="HJ68" s="779"/>
      <c r="HK68" s="779"/>
      <c r="HL68" s="779"/>
      <c r="HM68" s="779"/>
      <c r="HN68" s="12"/>
      <c r="HO68" s="12"/>
      <c r="HP68" s="12"/>
      <c r="HQ68" s="12"/>
      <c r="HS68" s="779"/>
      <c r="HT68" s="779"/>
      <c r="HU68" s="779"/>
      <c r="HV68" s="779"/>
      <c r="HW68" s="779"/>
      <c r="HX68" s="779"/>
      <c r="HY68" s="12"/>
      <c r="HZ68" s="12"/>
      <c r="IA68" s="12"/>
      <c r="IB68" s="12"/>
    </row>
    <row r="69" spans="1:236" ht="14.45" customHeight="1" x14ac:dyDescent="0.25">
      <c r="A69" s="47"/>
      <c r="B69" s="12"/>
      <c r="C69" s="777" t="s">
        <v>118</v>
      </c>
      <c r="D69" s="777"/>
      <c r="E69" s="777"/>
      <c r="F69" s="777"/>
      <c r="G69" s="777"/>
      <c r="H69" s="102"/>
      <c r="I69" s="13"/>
      <c r="J69" s="13"/>
      <c r="K69" s="13"/>
      <c r="L69" s="19">
        <f t="shared" si="0"/>
        <v>0</v>
      </c>
      <c r="M69" s="19">
        <f t="shared" si="1"/>
        <v>0</v>
      </c>
      <c r="N69" s="12"/>
      <c r="R69" s="776"/>
      <c r="S69" s="776"/>
      <c r="T69" s="776"/>
      <c r="U69" s="12"/>
      <c r="V69" s="12"/>
      <c r="W69" s="12"/>
      <c r="X69" s="12"/>
      <c r="Y69" s="12"/>
      <c r="Z69" s="6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5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Q69" s="12"/>
      <c r="DR69" s="12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/>
      <c r="ED69" s="12"/>
      <c r="EE69" s="12"/>
      <c r="EF69" s="12"/>
      <c r="EG69" s="12"/>
      <c r="EH69" s="12"/>
      <c r="EI69" s="12"/>
      <c r="EK69" s="779"/>
      <c r="EL69" s="779"/>
      <c r="EM69" s="779"/>
      <c r="EN69" s="779"/>
      <c r="EO69" s="779"/>
      <c r="EP69" s="779"/>
      <c r="EQ69" s="12"/>
      <c r="ER69" s="12"/>
      <c r="ES69" s="12"/>
      <c r="ET69" s="12"/>
      <c r="EU69" s="12"/>
      <c r="EV69" s="12"/>
      <c r="EW69" s="12"/>
      <c r="EX69" s="12"/>
      <c r="EY69" s="12"/>
      <c r="EZ69" s="12"/>
      <c r="FA69" s="12"/>
      <c r="FB69" s="12"/>
      <c r="FC69" s="12"/>
      <c r="FD69" s="12"/>
      <c r="FE69" s="12"/>
      <c r="FF69" s="12"/>
      <c r="FG69" s="12"/>
      <c r="FH69" s="12"/>
      <c r="FI69" s="12"/>
      <c r="FJ69" s="12"/>
      <c r="FK69" s="12"/>
      <c r="FL69" s="12"/>
      <c r="FM69" s="12"/>
      <c r="FN69" s="12"/>
      <c r="FP69" s="779"/>
      <c r="FQ69" s="779"/>
      <c r="FR69" s="779"/>
      <c r="FS69" s="779"/>
      <c r="FT69" s="779"/>
      <c r="FU69" s="779"/>
      <c r="FV69" s="12"/>
      <c r="FW69" s="12"/>
      <c r="FX69" s="12"/>
      <c r="FY69" s="12"/>
      <c r="FZ69" s="12"/>
      <c r="GA69" s="12"/>
      <c r="GB69" s="12"/>
      <c r="GC69" s="12"/>
      <c r="GD69" s="12"/>
      <c r="GE69" s="12"/>
      <c r="GF69" s="12"/>
      <c r="GG69" s="12"/>
      <c r="GH69" s="12"/>
      <c r="GI69" s="12"/>
      <c r="GJ69" s="12"/>
      <c r="GK69" s="12"/>
      <c r="GM69" s="779"/>
      <c r="GN69" s="779"/>
      <c r="GO69" s="779"/>
      <c r="GP69" s="779"/>
      <c r="GQ69" s="779"/>
      <c r="GR69" s="779"/>
      <c r="GS69" s="12"/>
      <c r="GT69" s="12"/>
      <c r="GU69" s="12"/>
      <c r="GV69" s="12"/>
      <c r="GW69" s="12"/>
      <c r="GX69" s="12"/>
      <c r="GY69" s="12"/>
      <c r="GZ69" s="12"/>
      <c r="HA69" s="12"/>
      <c r="HB69" s="12"/>
      <c r="HC69" s="12"/>
      <c r="HD69" s="12"/>
      <c r="HE69" s="12"/>
      <c r="HF69" s="12"/>
      <c r="HH69" s="779"/>
      <c r="HI69" s="779"/>
      <c r="HJ69" s="779"/>
      <c r="HK69" s="779"/>
      <c r="HL69" s="779"/>
      <c r="HM69" s="779"/>
      <c r="HN69" s="12"/>
      <c r="HO69" s="12"/>
      <c r="HP69" s="12"/>
      <c r="HQ69" s="12"/>
      <c r="HS69" s="779"/>
      <c r="HT69" s="779"/>
      <c r="HU69" s="779"/>
      <c r="HV69" s="779"/>
      <c r="HW69" s="779"/>
      <c r="HX69" s="779"/>
      <c r="HY69" s="12"/>
      <c r="HZ69" s="12"/>
      <c r="IA69" s="12"/>
      <c r="IB69" s="12"/>
    </row>
    <row r="70" spans="1:236" ht="14.45" customHeight="1" x14ac:dyDescent="0.25">
      <c r="A70" s="47"/>
      <c r="B70" s="12"/>
      <c r="C70" s="14"/>
      <c r="D70" s="14"/>
      <c r="E70" s="14"/>
      <c r="F70" s="14"/>
      <c r="G70" s="14"/>
      <c r="H70" s="14"/>
      <c r="I70" s="27">
        <f>SUM(I71:I132)</f>
        <v>250.7</v>
      </c>
      <c r="J70" s="27">
        <f>SUM(J71:J132)</f>
        <v>288</v>
      </c>
      <c r="K70" s="27">
        <f>SUM(K71:K132)</f>
        <v>0</v>
      </c>
      <c r="L70" s="14"/>
      <c r="M70" s="27">
        <f>SUM(M8:M69)</f>
        <v>538.70000000000005</v>
      </c>
      <c r="N70" s="12"/>
      <c r="R70" s="776"/>
      <c r="S70" s="776"/>
      <c r="T70" s="776"/>
      <c r="U70" s="12"/>
      <c r="V70" s="5"/>
      <c r="W70" s="12"/>
      <c r="X70" s="12"/>
      <c r="Y70" s="10"/>
      <c r="Z70" s="6"/>
      <c r="AA70" s="12"/>
      <c r="AB70" s="12"/>
      <c r="AC70" s="12"/>
      <c r="AD70" s="12"/>
      <c r="AE70" s="12"/>
      <c r="AF70" s="12"/>
      <c r="AG70" s="12"/>
      <c r="AH70" s="5"/>
      <c r="AI70" s="12"/>
      <c r="AJ70" s="17"/>
      <c r="AL70" s="12"/>
      <c r="AM70" s="12"/>
      <c r="AN70" s="12"/>
      <c r="AO70" s="12"/>
      <c r="AP70" s="12"/>
      <c r="AQ70" s="12"/>
      <c r="AR70" s="12"/>
      <c r="AS70" s="5"/>
      <c r="AT70" s="5"/>
      <c r="AU70" s="5"/>
      <c r="AV70" s="5"/>
      <c r="AW70" s="12"/>
      <c r="AX70" s="17"/>
      <c r="AY70" s="5"/>
      <c r="AZ70" s="12"/>
      <c r="BA70" s="12"/>
      <c r="BB70" s="12"/>
      <c r="BC70" s="12"/>
      <c r="BD70" s="12"/>
      <c r="BE70" s="12"/>
      <c r="BF70" s="12"/>
      <c r="BG70" s="5"/>
      <c r="BH70" s="5"/>
      <c r="BI70" s="12"/>
      <c r="BJ70" s="17"/>
      <c r="BK70" s="5"/>
      <c r="BL70" s="788"/>
      <c r="BM70" s="788"/>
      <c r="BN70" s="788"/>
      <c r="BO70" s="788"/>
      <c r="BP70" s="788"/>
      <c r="BQ70" s="788"/>
      <c r="BR70" s="12"/>
      <c r="BS70" s="5"/>
      <c r="BT70" s="5"/>
      <c r="BU70" s="5"/>
      <c r="BV70" s="5"/>
      <c r="BW70" s="5"/>
      <c r="BX70" s="5"/>
      <c r="BY70" s="5"/>
      <c r="BZ70" s="5"/>
      <c r="CA70" s="5"/>
      <c r="CB70" s="12"/>
      <c r="CC70" s="17"/>
      <c r="CE70" s="788"/>
      <c r="CF70" s="788"/>
      <c r="CG70" s="788"/>
      <c r="CH70" s="788"/>
      <c r="CI70" s="788"/>
      <c r="CJ70" s="788"/>
      <c r="CK70" s="12"/>
      <c r="CL70" s="5"/>
      <c r="CM70" s="5"/>
      <c r="CN70" s="5"/>
      <c r="CO70" s="5"/>
      <c r="CP70" s="5"/>
      <c r="CQ70" s="5"/>
      <c r="CR70" s="5"/>
      <c r="CS70" s="130"/>
      <c r="CT70" s="12"/>
      <c r="CU70" s="17"/>
      <c r="CV70" s="130"/>
      <c r="CW70" s="12"/>
      <c r="CX70" s="12"/>
      <c r="CY70" s="12"/>
      <c r="CZ70" s="12"/>
      <c r="DA70" s="12"/>
      <c r="DB70" s="12"/>
      <c r="DC70" s="12"/>
      <c r="DD70" s="130"/>
      <c r="DE70" s="130"/>
      <c r="DF70" s="130"/>
      <c r="DG70" s="130"/>
      <c r="DH70" s="130"/>
      <c r="DI70" s="130"/>
      <c r="DJ70" s="130"/>
      <c r="DK70" s="130"/>
      <c r="DL70" s="130"/>
      <c r="DM70" s="130"/>
      <c r="DN70" s="12"/>
      <c r="DO70" s="17"/>
      <c r="EH70" s="12"/>
      <c r="EI70" s="17"/>
      <c r="FM70" s="12"/>
      <c r="FN70" s="17"/>
      <c r="GJ70" s="12"/>
      <c r="GK70" s="17"/>
      <c r="GT70" s="103"/>
      <c r="GU70" s="103"/>
      <c r="GV70" s="103"/>
      <c r="GW70" s="103"/>
      <c r="GX70" s="103"/>
      <c r="GY70" s="103"/>
      <c r="GZ70" s="103"/>
      <c r="HA70" s="103"/>
      <c r="HB70" s="103"/>
      <c r="HC70" s="103"/>
      <c r="HD70" s="103"/>
      <c r="HE70" s="12"/>
      <c r="HF70" s="17"/>
      <c r="HO70" s="103"/>
      <c r="HP70" s="12"/>
      <c r="HQ70" s="17"/>
      <c r="HZ70" s="103"/>
      <c r="IA70" s="12"/>
      <c r="IB70" s="17"/>
    </row>
    <row r="71" spans="1:236" ht="14.45" hidden="1" customHeight="1" x14ac:dyDescent="0.25">
      <c r="A71" s="47"/>
      <c r="B71" s="12"/>
      <c r="C71" s="14"/>
      <c r="D71" s="14"/>
      <c r="E71" s="14"/>
      <c r="F71" s="14"/>
      <c r="G71" s="14"/>
      <c r="H71" s="14"/>
      <c r="I71" s="14">
        <f>I8*$H8</f>
        <v>0</v>
      </c>
      <c r="J71" s="14">
        <f>J8*$H8</f>
        <v>0</v>
      </c>
      <c r="K71" s="14">
        <f>K8*$H8</f>
        <v>0</v>
      </c>
      <c r="L71" s="14"/>
      <c r="M71" s="150"/>
      <c r="N71" s="12"/>
      <c r="R71" s="108"/>
      <c r="S71" s="108"/>
      <c r="T71" s="108"/>
      <c r="U71" s="12"/>
      <c r="V71" s="5"/>
      <c r="W71" s="12"/>
      <c r="X71" s="12"/>
      <c r="Y71" s="10"/>
      <c r="Z71" s="6"/>
      <c r="AA71" s="12"/>
      <c r="AB71" s="12"/>
      <c r="AC71" s="12"/>
      <c r="AD71" s="12"/>
      <c r="AE71" s="12"/>
      <c r="AF71" s="12"/>
      <c r="AG71" s="12"/>
      <c r="AH71" s="5"/>
      <c r="AI71" s="12"/>
      <c r="AJ71" s="17"/>
      <c r="AL71" s="12"/>
      <c r="AM71" s="12"/>
      <c r="AN71" s="12"/>
      <c r="AO71" s="12"/>
      <c r="AP71" s="12"/>
      <c r="AQ71" s="12"/>
      <c r="AR71" s="12"/>
      <c r="AS71" s="5"/>
      <c r="AT71" s="5"/>
      <c r="AU71" s="5"/>
      <c r="AV71" s="5"/>
      <c r="AW71" s="12"/>
      <c r="AX71" s="17"/>
      <c r="AY71" s="5"/>
      <c r="AZ71" s="12"/>
      <c r="BA71" s="12"/>
      <c r="BB71" s="12"/>
      <c r="BC71" s="12"/>
      <c r="BD71" s="12"/>
      <c r="BE71" s="12"/>
      <c r="BF71" s="12"/>
      <c r="BG71" s="5"/>
      <c r="BH71" s="5"/>
      <c r="BI71" s="12"/>
      <c r="BJ71" s="17"/>
      <c r="BK71" s="5"/>
      <c r="BL71" s="143"/>
      <c r="BM71" s="143"/>
      <c r="BN71" s="143"/>
      <c r="BO71" s="143"/>
      <c r="BP71" s="143"/>
      <c r="BQ71" s="143"/>
      <c r="BR71" s="12"/>
      <c r="BS71" s="5"/>
      <c r="BT71" s="5"/>
      <c r="BU71" s="5"/>
      <c r="BV71" s="5"/>
      <c r="BW71" s="5"/>
      <c r="BX71" s="5"/>
      <c r="BY71" s="5"/>
      <c r="BZ71" s="5"/>
      <c r="CA71" s="5"/>
      <c r="CB71" s="12"/>
      <c r="CC71" s="17"/>
      <c r="CE71" s="143"/>
      <c r="CF71" s="143"/>
      <c r="CG71" s="143"/>
      <c r="CH71" s="143"/>
      <c r="CI71" s="143"/>
      <c r="CJ71" s="143"/>
      <c r="CK71" s="12"/>
      <c r="CL71" s="5"/>
      <c r="CM71" s="5"/>
      <c r="CN71" s="5"/>
      <c r="CO71" s="5"/>
      <c r="CP71" s="5"/>
      <c r="CQ71" s="5"/>
      <c r="CR71" s="5"/>
      <c r="CS71" s="130"/>
      <c r="CT71" s="12"/>
      <c r="CU71" s="17"/>
      <c r="CV71" s="130"/>
      <c r="CW71" s="12"/>
      <c r="CX71" s="12"/>
      <c r="CY71" s="12"/>
      <c r="CZ71" s="12"/>
      <c r="DA71" s="12"/>
      <c r="DB71" s="12"/>
      <c r="DC71" s="12"/>
      <c r="DD71" s="130"/>
      <c r="DE71" s="130"/>
      <c r="DF71" s="130"/>
      <c r="DG71" s="130"/>
      <c r="DH71" s="130"/>
      <c r="DI71" s="130"/>
      <c r="DJ71" s="130"/>
      <c r="DK71" s="130"/>
      <c r="DL71" s="130"/>
      <c r="DM71" s="130"/>
      <c r="DN71" s="12"/>
      <c r="DO71" s="17"/>
      <c r="EH71" s="12"/>
      <c r="EI71" s="17"/>
      <c r="FM71" s="12"/>
      <c r="FN71" s="17"/>
      <c r="GJ71" s="12"/>
      <c r="GK71" s="17"/>
      <c r="GT71" s="103"/>
      <c r="GU71" s="103"/>
      <c r="GV71" s="103"/>
      <c r="GW71" s="103"/>
      <c r="GX71" s="103"/>
      <c r="GY71" s="103"/>
      <c r="GZ71" s="103"/>
      <c r="HA71" s="103"/>
      <c r="HB71" s="103"/>
      <c r="HC71" s="103"/>
      <c r="HD71" s="103"/>
      <c r="HE71" s="12"/>
      <c r="HF71" s="17"/>
      <c r="HO71" s="103"/>
      <c r="HP71" s="12"/>
      <c r="HQ71" s="17"/>
      <c r="HZ71" s="103"/>
      <c r="IA71" s="12"/>
      <c r="IB71" s="17"/>
    </row>
    <row r="72" spans="1:236" ht="14.45" hidden="1" customHeight="1" x14ac:dyDescent="0.25">
      <c r="A72" s="47"/>
      <c r="B72" s="12"/>
      <c r="C72" s="14"/>
      <c r="D72" s="14"/>
      <c r="E72" s="14"/>
      <c r="F72" s="14"/>
      <c r="G72" s="14"/>
      <c r="H72" s="14"/>
      <c r="I72" s="14">
        <f t="shared" ref="I72:K132" si="2">I9*$H9</f>
        <v>0</v>
      </c>
      <c r="J72" s="14">
        <f t="shared" si="2"/>
        <v>0</v>
      </c>
      <c r="K72" s="14">
        <f t="shared" si="2"/>
        <v>0</v>
      </c>
      <c r="L72" s="14"/>
      <c r="M72" s="150"/>
      <c r="N72" s="12"/>
      <c r="R72" s="108"/>
      <c r="S72" s="108"/>
      <c r="T72" s="108"/>
      <c r="U72" s="12"/>
      <c r="V72" s="5"/>
      <c r="W72" s="12"/>
      <c r="X72" s="12"/>
      <c r="Y72" s="10"/>
      <c r="Z72" s="6"/>
      <c r="AA72" s="12"/>
      <c r="AB72" s="12"/>
      <c r="AC72" s="12"/>
      <c r="AD72" s="12"/>
      <c r="AE72" s="12"/>
      <c r="AF72" s="12"/>
      <c r="AG72" s="12"/>
      <c r="AH72" s="5"/>
      <c r="AI72" s="12"/>
      <c r="AJ72" s="17"/>
      <c r="AL72" s="12"/>
      <c r="AM72" s="12"/>
      <c r="AN72" s="12"/>
      <c r="AO72" s="12"/>
      <c r="AP72" s="12"/>
      <c r="AQ72" s="12"/>
      <c r="AR72" s="12"/>
      <c r="AS72" s="5"/>
      <c r="AT72" s="5"/>
      <c r="AU72" s="5"/>
      <c r="AV72" s="5"/>
      <c r="AW72" s="12"/>
      <c r="AX72" s="17"/>
      <c r="AY72" s="5"/>
      <c r="AZ72" s="12"/>
      <c r="BA72" s="12"/>
      <c r="BB72" s="12"/>
      <c r="BC72" s="12"/>
      <c r="BD72" s="12"/>
      <c r="BE72" s="12"/>
      <c r="BF72" s="12"/>
      <c r="BG72" s="5"/>
      <c r="BH72" s="5"/>
      <c r="BI72" s="12"/>
      <c r="BJ72" s="17"/>
      <c r="BK72" s="5"/>
      <c r="BL72" s="143"/>
      <c r="BM72" s="143"/>
      <c r="BN72" s="143"/>
      <c r="BO72" s="143"/>
      <c r="BP72" s="143"/>
      <c r="BQ72" s="143"/>
      <c r="BR72" s="12"/>
      <c r="BS72" s="5"/>
      <c r="BT72" s="5"/>
      <c r="BU72" s="5"/>
      <c r="BV72" s="5"/>
      <c r="BW72" s="5"/>
      <c r="BX72" s="5"/>
      <c r="BY72" s="5"/>
      <c r="BZ72" s="5"/>
      <c r="CA72" s="5"/>
      <c r="CB72" s="12"/>
      <c r="CC72" s="17"/>
      <c r="CE72" s="143"/>
      <c r="CF72" s="143"/>
      <c r="CG72" s="143"/>
      <c r="CH72" s="143"/>
      <c r="CI72" s="143"/>
      <c r="CJ72" s="143"/>
      <c r="CK72" s="12"/>
      <c r="CL72" s="5"/>
      <c r="CM72" s="5"/>
      <c r="CN72" s="5"/>
      <c r="CO72" s="5"/>
      <c r="CP72" s="5"/>
      <c r="CQ72" s="5"/>
      <c r="CR72" s="5"/>
      <c r="CS72" s="130"/>
      <c r="CT72" s="12"/>
      <c r="CU72" s="17"/>
      <c r="CV72" s="130"/>
      <c r="CW72" s="12"/>
      <c r="CX72" s="12"/>
      <c r="CY72" s="12"/>
      <c r="CZ72" s="12"/>
      <c r="DA72" s="12"/>
      <c r="DB72" s="12"/>
      <c r="DC72" s="12"/>
      <c r="DD72" s="130"/>
      <c r="DE72" s="130"/>
      <c r="DF72" s="130"/>
      <c r="DG72" s="130"/>
      <c r="DH72" s="130"/>
      <c r="DI72" s="130"/>
      <c r="DJ72" s="130"/>
      <c r="DK72" s="130"/>
      <c r="DL72" s="130"/>
      <c r="DM72" s="130"/>
      <c r="DN72" s="12"/>
      <c r="DO72" s="17"/>
      <c r="EH72" s="12"/>
      <c r="EI72" s="17"/>
      <c r="FM72" s="12"/>
      <c r="FN72" s="17"/>
      <c r="GJ72" s="12"/>
      <c r="GK72" s="17"/>
      <c r="GT72" s="103"/>
      <c r="GU72" s="103"/>
      <c r="GV72" s="103"/>
      <c r="GW72" s="103"/>
      <c r="GX72" s="103"/>
      <c r="GY72" s="103"/>
      <c r="GZ72" s="103"/>
      <c r="HA72" s="103"/>
      <c r="HB72" s="103"/>
      <c r="HC72" s="103"/>
      <c r="HD72" s="103"/>
      <c r="HE72" s="12"/>
      <c r="HF72" s="17"/>
      <c r="HO72" s="103"/>
      <c r="HP72" s="12"/>
      <c r="HQ72" s="17"/>
      <c r="HZ72" s="103"/>
      <c r="IA72" s="12"/>
      <c r="IB72" s="17"/>
    </row>
    <row r="73" spans="1:236" ht="14.45" hidden="1" customHeight="1" x14ac:dyDescent="0.25">
      <c r="A73" s="47"/>
      <c r="B73" s="12"/>
      <c r="C73" s="14"/>
      <c r="D73" s="14"/>
      <c r="E73" s="14"/>
      <c r="F73" s="14"/>
      <c r="G73" s="14"/>
      <c r="H73" s="14"/>
      <c r="I73" s="14">
        <f t="shared" si="2"/>
        <v>0</v>
      </c>
      <c r="J73" s="14">
        <f t="shared" si="2"/>
        <v>0</v>
      </c>
      <c r="K73" s="14">
        <f t="shared" si="2"/>
        <v>0</v>
      </c>
      <c r="L73" s="14"/>
      <c r="M73" s="150"/>
      <c r="N73" s="12"/>
      <c r="R73" s="108"/>
      <c r="S73" s="108"/>
      <c r="T73" s="108"/>
      <c r="U73" s="12"/>
      <c r="V73" s="5"/>
      <c r="W73" s="12"/>
      <c r="X73" s="12"/>
      <c r="Y73" s="10"/>
      <c r="Z73" s="6"/>
      <c r="AA73" s="12"/>
      <c r="AB73" s="12"/>
      <c r="AC73" s="12"/>
      <c r="AD73" s="12"/>
      <c r="AE73" s="12"/>
      <c r="AF73" s="12"/>
      <c r="AG73" s="12"/>
      <c r="AH73" s="5"/>
      <c r="AI73" s="12"/>
      <c r="AJ73" s="17"/>
      <c r="AL73" s="12"/>
      <c r="AM73" s="12"/>
      <c r="AN73" s="12"/>
      <c r="AO73" s="12"/>
      <c r="AP73" s="12"/>
      <c r="AQ73" s="12"/>
      <c r="AR73" s="12"/>
      <c r="AS73" s="5"/>
      <c r="AT73" s="5"/>
      <c r="AU73" s="5"/>
      <c r="AV73" s="5"/>
      <c r="AW73" s="12"/>
      <c r="AX73" s="17"/>
      <c r="AY73" s="5"/>
      <c r="AZ73" s="12"/>
      <c r="BA73" s="12"/>
      <c r="BB73" s="12"/>
      <c r="BC73" s="12"/>
      <c r="BD73" s="12"/>
      <c r="BE73" s="12"/>
      <c r="BF73" s="12"/>
      <c r="BG73" s="5"/>
      <c r="BH73" s="5"/>
      <c r="BI73" s="12"/>
      <c r="BJ73" s="17"/>
      <c r="BK73" s="5"/>
      <c r="BL73" s="143"/>
      <c r="BM73" s="143"/>
      <c r="BN73" s="143"/>
      <c r="BO73" s="143"/>
      <c r="BP73" s="143"/>
      <c r="BQ73" s="143"/>
      <c r="BR73" s="12"/>
      <c r="BS73" s="5"/>
      <c r="BT73" s="5"/>
      <c r="BU73" s="5"/>
      <c r="BV73" s="5"/>
      <c r="BW73" s="5"/>
      <c r="BX73" s="5"/>
      <c r="BY73" s="5"/>
      <c r="BZ73" s="5"/>
      <c r="CA73" s="5"/>
      <c r="CB73" s="12"/>
      <c r="CC73" s="17"/>
      <c r="CE73" s="143"/>
      <c r="CF73" s="143"/>
      <c r="CG73" s="143"/>
      <c r="CH73" s="143"/>
      <c r="CI73" s="143"/>
      <c r="CJ73" s="143"/>
      <c r="CK73" s="12"/>
      <c r="CL73" s="5"/>
      <c r="CM73" s="5"/>
      <c r="CN73" s="5"/>
      <c r="CO73" s="5"/>
      <c r="CP73" s="5"/>
      <c r="CQ73" s="5"/>
      <c r="CR73" s="5"/>
      <c r="CS73" s="130"/>
      <c r="CT73" s="12"/>
      <c r="CU73" s="17"/>
      <c r="CV73" s="130"/>
      <c r="CW73" s="12"/>
      <c r="CX73" s="12"/>
      <c r="CY73" s="12"/>
      <c r="CZ73" s="12"/>
      <c r="DA73" s="12"/>
      <c r="DB73" s="12"/>
      <c r="DC73" s="12"/>
      <c r="DD73" s="130"/>
      <c r="DE73" s="130"/>
      <c r="DF73" s="130"/>
      <c r="DG73" s="130"/>
      <c r="DH73" s="130"/>
      <c r="DI73" s="130"/>
      <c r="DJ73" s="130"/>
      <c r="DK73" s="130"/>
      <c r="DL73" s="130"/>
      <c r="DM73" s="130"/>
      <c r="DN73" s="12"/>
      <c r="DO73" s="17"/>
      <c r="EH73" s="12"/>
      <c r="EI73" s="17"/>
      <c r="FM73" s="12"/>
      <c r="FN73" s="17"/>
      <c r="GJ73" s="12"/>
      <c r="GK73" s="17"/>
      <c r="GT73" s="103"/>
      <c r="GU73" s="103"/>
      <c r="GV73" s="103"/>
      <c r="GW73" s="103"/>
      <c r="GX73" s="103"/>
      <c r="GY73" s="103"/>
      <c r="GZ73" s="103"/>
      <c r="HA73" s="103"/>
      <c r="HB73" s="103"/>
      <c r="HC73" s="103"/>
      <c r="HD73" s="103"/>
      <c r="HE73" s="12"/>
      <c r="HF73" s="17"/>
      <c r="HO73" s="103"/>
      <c r="HP73" s="12"/>
      <c r="HQ73" s="17"/>
      <c r="HZ73" s="103"/>
      <c r="IA73" s="12"/>
      <c r="IB73" s="17"/>
    </row>
    <row r="74" spans="1:236" ht="14.45" hidden="1" customHeight="1" x14ac:dyDescent="0.25">
      <c r="A74" s="47"/>
      <c r="B74" s="12"/>
      <c r="C74" s="14"/>
      <c r="D74" s="14"/>
      <c r="E74" s="14"/>
      <c r="F74" s="14"/>
      <c r="G74" s="14"/>
      <c r="H74" s="14"/>
      <c r="I74" s="14">
        <f t="shared" si="2"/>
        <v>0</v>
      </c>
      <c r="J74" s="14">
        <f t="shared" si="2"/>
        <v>0</v>
      </c>
      <c r="K74" s="14">
        <f t="shared" si="2"/>
        <v>0</v>
      </c>
      <c r="L74" s="14"/>
      <c r="M74" s="150"/>
      <c r="N74" s="12"/>
      <c r="R74" s="108"/>
      <c r="S74" s="108"/>
      <c r="T74" s="108"/>
      <c r="U74" s="12"/>
      <c r="V74" s="5"/>
      <c r="W74" s="12"/>
      <c r="X74" s="12"/>
      <c r="Y74" s="10"/>
      <c r="Z74" s="6"/>
      <c r="AA74" s="12"/>
      <c r="AB74" s="12"/>
      <c r="AC74" s="12"/>
      <c r="AD74" s="12"/>
      <c r="AE74" s="12"/>
      <c r="AF74" s="12"/>
      <c r="AG74" s="12"/>
      <c r="AH74" s="5"/>
      <c r="AI74" s="12"/>
      <c r="AJ74" s="17"/>
      <c r="AL74" s="12"/>
      <c r="AM74" s="12"/>
      <c r="AN74" s="12"/>
      <c r="AO74" s="12"/>
      <c r="AP74" s="12"/>
      <c r="AQ74" s="12"/>
      <c r="AR74" s="12"/>
      <c r="AS74" s="5"/>
      <c r="AT74" s="5"/>
      <c r="AU74" s="5"/>
      <c r="AV74" s="5"/>
      <c r="AW74" s="12"/>
      <c r="AX74" s="17"/>
      <c r="AY74" s="5"/>
      <c r="AZ74" s="12"/>
      <c r="BA74" s="12"/>
      <c r="BB74" s="12"/>
      <c r="BC74" s="12"/>
      <c r="BD74" s="12"/>
      <c r="BE74" s="12"/>
      <c r="BF74" s="12"/>
      <c r="BG74" s="5"/>
      <c r="BH74" s="5"/>
      <c r="BI74" s="12"/>
      <c r="BJ74" s="17"/>
      <c r="BK74" s="5"/>
      <c r="BL74" s="143"/>
      <c r="BM74" s="143"/>
      <c r="BN74" s="143"/>
      <c r="BO74" s="143"/>
      <c r="BP74" s="143"/>
      <c r="BQ74" s="143"/>
      <c r="BR74" s="12"/>
      <c r="BS74" s="5"/>
      <c r="BT74" s="5"/>
      <c r="BU74" s="5"/>
      <c r="BV74" s="5"/>
      <c r="BW74" s="5"/>
      <c r="BX74" s="5"/>
      <c r="BY74" s="5"/>
      <c r="BZ74" s="5"/>
      <c r="CA74" s="5"/>
      <c r="CB74" s="12"/>
      <c r="CC74" s="17"/>
      <c r="CE74" s="143"/>
      <c r="CF74" s="143"/>
      <c r="CG74" s="143"/>
      <c r="CH74" s="143"/>
      <c r="CI74" s="143"/>
      <c r="CJ74" s="143"/>
      <c r="CK74" s="12"/>
      <c r="CL74" s="5"/>
      <c r="CM74" s="5"/>
      <c r="CN74" s="5"/>
      <c r="CO74" s="5"/>
      <c r="CP74" s="5"/>
      <c r="CQ74" s="5"/>
      <c r="CR74" s="5"/>
      <c r="CS74" s="130"/>
      <c r="CT74" s="12"/>
      <c r="CU74" s="17"/>
      <c r="CV74" s="130"/>
      <c r="CW74" s="12"/>
      <c r="CX74" s="12"/>
      <c r="CY74" s="12"/>
      <c r="CZ74" s="12"/>
      <c r="DA74" s="12"/>
      <c r="DB74" s="12"/>
      <c r="DC74" s="12"/>
      <c r="DD74" s="130"/>
      <c r="DE74" s="130"/>
      <c r="DF74" s="130"/>
      <c r="DG74" s="130"/>
      <c r="DH74" s="130"/>
      <c r="DI74" s="130"/>
      <c r="DJ74" s="130"/>
      <c r="DK74" s="130"/>
      <c r="DL74" s="130"/>
      <c r="DM74" s="130"/>
      <c r="DN74" s="12"/>
      <c r="DO74" s="17"/>
      <c r="EH74" s="12"/>
      <c r="EI74" s="17"/>
      <c r="FM74" s="12"/>
      <c r="FN74" s="17"/>
      <c r="GJ74" s="12"/>
      <c r="GK74" s="17"/>
      <c r="GT74" s="103"/>
      <c r="GU74" s="103"/>
      <c r="GV74" s="103"/>
      <c r="GW74" s="103"/>
      <c r="GX74" s="103"/>
      <c r="GY74" s="103"/>
      <c r="GZ74" s="103"/>
      <c r="HA74" s="103"/>
      <c r="HB74" s="103"/>
      <c r="HC74" s="103"/>
      <c r="HD74" s="103"/>
      <c r="HE74" s="12"/>
      <c r="HF74" s="17"/>
      <c r="HO74" s="103"/>
      <c r="HP74" s="12"/>
      <c r="HQ74" s="17"/>
      <c r="HZ74" s="103"/>
      <c r="IA74" s="12"/>
      <c r="IB74" s="17"/>
    </row>
    <row r="75" spans="1:236" ht="14.45" hidden="1" customHeight="1" x14ac:dyDescent="0.25">
      <c r="A75" s="47"/>
      <c r="B75" s="12"/>
      <c r="C75" s="14"/>
      <c r="D75" s="14"/>
      <c r="E75" s="14"/>
      <c r="F75" s="14"/>
      <c r="G75" s="14"/>
      <c r="H75" s="14"/>
      <c r="I75" s="14">
        <f t="shared" si="2"/>
        <v>0</v>
      </c>
      <c r="J75" s="14">
        <f t="shared" si="2"/>
        <v>0</v>
      </c>
      <c r="K75" s="14">
        <f t="shared" si="2"/>
        <v>0</v>
      </c>
      <c r="L75" s="14"/>
      <c r="M75" s="150"/>
      <c r="N75" s="12"/>
      <c r="R75" s="108"/>
      <c r="S75" s="108"/>
      <c r="T75" s="108"/>
      <c r="U75" s="12"/>
      <c r="V75" s="5"/>
      <c r="W75" s="12"/>
      <c r="X75" s="12"/>
      <c r="Y75" s="10"/>
      <c r="Z75" s="6"/>
      <c r="AA75" s="12"/>
      <c r="AB75" s="12"/>
      <c r="AC75" s="12"/>
      <c r="AD75" s="12"/>
      <c r="AE75" s="12"/>
      <c r="AF75" s="12"/>
      <c r="AG75" s="12"/>
      <c r="AH75" s="5"/>
      <c r="AI75" s="12"/>
      <c r="AJ75" s="17"/>
      <c r="AL75" s="12"/>
      <c r="AM75" s="12"/>
      <c r="AN75" s="12"/>
      <c r="AO75" s="12"/>
      <c r="AP75" s="12"/>
      <c r="AQ75" s="12"/>
      <c r="AR75" s="12"/>
      <c r="AS75" s="5"/>
      <c r="AT75" s="5"/>
      <c r="AU75" s="5"/>
      <c r="AV75" s="5"/>
      <c r="AW75" s="12"/>
      <c r="AX75" s="17"/>
      <c r="AY75" s="5"/>
      <c r="AZ75" s="12"/>
      <c r="BA75" s="12"/>
      <c r="BB75" s="12"/>
      <c r="BC75" s="12"/>
      <c r="BD75" s="12"/>
      <c r="BE75" s="12"/>
      <c r="BF75" s="12"/>
      <c r="BG75" s="5"/>
      <c r="BH75" s="5"/>
      <c r="BI75" s="12"/>
      <c r="BJ75" s="17"/>
      <c r="BK75" s="5"/>
      <c r="BL75" s="143"/>
      <c r="BM75" s="143"/>
      <c r="BN75" s="143"/>
      <c r="BO75" s="143"/>
      <c r="BP75" s="143"/>
      <c r="BQ75" s="143"/>
      <c r="BR75" s="12"/>
      <c r="BS75" s="5"/>
      <c r="BT75" s="5"/>
      <c r="BU75" s="5"/>
      <c r="BV75" s="5"/>
      <c r="BW75" s="5"/>
      <c r="BX75" s="5"/>
      <c r="BY75" s="5"/>
      <c r="BZ75" s="5"/>
      <c r="CA75" s="5"/>
      <c r="CB75" s="12"/>
      <c r="CC75" s="17"/>
      <c r="CE75" s="143"/>
      <c r="CF75" s="143"/>
      <c r="CG75" s="143"/>
      <c r="CH75" s="143"/>
      <c r="CI75" s="143"/>
      <c r="CJ75" s="143"/>
      <c r="CK75" s="12"/>
      <c r="CL75" s="5"/>
      <c r="CM75" s="5"/>
      <c r="CN75" s="5"/>
      <c r="CO75" s="5"/>
      <c r="CP75" s="5"/>
      <c r="CQ75" s="5"/>
      <c r="CR75" s="5"/>
      <c r="CS75" s="130"/>
      <c r="CT75" s="12"/>
      <c r="CU75" s="17"/>
      <c r="CV75" s="130"/>
      <c r="CW75" s="12"/>
      <c r="CX75" s="12"/>
      <c r="CY75" s="12"/>
      <c r="CZ75" s="12"/>
      <c r="DA75" s="12"/>
      <c r="DB75" s="12"/>
      <c r="DC75" s="12"/>
      <c r="DD75" s="130"/>
      <c r="DE75" s="130"/>
      <c r="DF75" s="130"/>
      <c r="DG75" s="130"/>
      <c r="DH75" s="130"/>
      <c r="DI75" s="130"/>
      <c r="DJ75" s="130"/>
      <c r="DK75" s="130"/>
      <c r="DL75" s="130"/>
      <c r="DM75" s="130"/>
      <c r="DN75" s="12"/>
      <c r="DO75" s="17"/>
      <c r="EH75" s="12"/>
      <c r="EI75" s="17"/>
      <c r="FM75" s="12"/>
      <c r="FN75" s="17"/>
      <c r="GJ75" s="12"/>
      <c r="GK75" s="17"/>
      <c r="GT75" s="103"/>
      <c r="GU75" s="103"/>
      <c r="GV75" s="103"/>
      <c r="GW75" s="103"/>
      <c r="GX75" s="103"/>
      <c r="GY75" s="103"/>
      <c r="GZ75" s="103"/>
      <c r="HA75" s="103"/>
      <c r="HB75" s="103"/>
      <c r="HC75" s="103"/>
      <c r="HD75" s="103"/>
      <c r="HE75" s="12"/>
      <c r="HF75" s="17"/>
      <c r="HO75" s="103"/>
      <c r="HP75" s="12"/>
      <c r="HQ75" s="17"/>
      <c r="HZ75" s="103"/>
      <c r="IA75" s="12"/>
      <c r="IB75" s="17"/>
    </row>
    <row r="76" spans="1:236" ht="14.45" hidden="1" customHeight="1" x14ac:dyDescent="0.25">
      <c r="A76" s="47"/>
      <c r="B76" s="12"/>
      <c r="C76" s="14"/>
      <c r="D76" s="14"/>
      <c r="E76" s="14"/>
      <c r="F76" s="14"/>
      <c r="G76" s="14"/>
      <c r="H76" s="14"/>
      <c r="I76" s="14">
        <f t="shared" si="2"/>
        <v>0</v>
      </c>
      <c r="J76" s="14">
        <f t="shared" si="2"/>
        <v>0</v>
      </c>
      <c r="K76" s="14">
        <f t="shared" si="2"/>
        <v>0</v>
      </c>
      <c r="L76" s="14"/>
      <c r="M76" s="150"/>
      <c r="N76" s="12"/>
      <c r="R76" s="108"/>
      <c r="S76" s="108"/>
      <c r="T76" s="108"/>
      <c r="U76" s="12"/>
      <c r="V76" s="5"/>
      <c r="W76" s="12"/>
      <c r="X76" s="12"/>
      <c r="Y76" s="10"/>
      <c r="Z76" s="6"/>
      <c r="AA76" s="12"/>
      <c r="AB76" s="12"/>
      <c r="AC76" s="12"/>
      <c r="AD76" s="12"/>
      <c r="AE76" s="12"/>
      <c r="AF76" s="12"/>
      <c r="AG76" s="12"/>
      <c r="AH76" s="5"/>
      <c r="AI76" s="12"/>
      <c r="AJ76" s="17"/>
      <c r="AL76" s="12"/>
      <c r="AM76" s="12"/>
      <c r="AN76" s="12"/>
      <c r="AO76" s="12"/>
      <c r="AP76" s="12"/>
      <c r="AQ76" s="12"/>
      <c r="AR76" s="12"/>
      <c r="AS76" s="5"/>
      <c r="AT76" s="5"/>
      <c r="AU76" s="5"/>
      <c r="AV76" s="5"/>
      <c r="AW76" s="12"/>
      <c r="AX76" s="17"/>
      <c r="AY76" s="5"/>
      <c r="AZ76" s="12"/>
      <c r="BA76" s="12"/>
      <c r="BB76" s="12"/>
      <c r="BC76" s="12"/>
      <c r="BD76" s="12"/>
      <c r="BE76" s="12"/>
      <c r="BF76" s="12"/>
      <c r="BG76" s="5"/>
      <c r="BH76" s="5"/>
      <c r="BI76" s="12"/>
      <c r="BJ76" s="17"/>
      <c r="BK76" s="5"/>
      <c r="BL76" s="143"/>
      <c r="BM76" s="143"/>
      <c r="BN76" s="143"/>
      <c r="BO76" s="143"/>
      <c r="BP76" s="143"/>
      <c r="BQ76" s="143"/>
      <c r="BR76" s="12"/>
      <c r="BS76" s="5"/>
      <c r="BT76" s="5"/>
      <c r="BU76" s="5"/>
      <c r="BV76" s="5"/>
      <c r="BW76" s="5"/>
      <c r="BX76" s="5"/>
      <c r="BY76" s="5"/>
      <c r="BZ76" s="5"/>
      <c r="CA76" s="5"/>
      <c r="CB76" s="12"/>
      <c r="CC76" s="17"/>
      <c r="CE76" s="143"/>
      <c r="CF76" s="143"/>
      <c r="CG76" s="143"/>
      <c r="CH76" s="143"/>
      <c r="CI76" s="143"/>
      <c r="CJ76" s="143"/>
      <c r="CK76" s="12"/>
      <c r="CL76" s="5"/>
      <c r="CM76" s="5"/>
      <c r="CN76" s="5"/>
      <c r="CO76" s="5"/>
      <c r="CP76" s="5"/>
      <c r="CQ76" s="5"/>
      <c r="CR76" s="5"/>
      <c r="CS76" s="130"/>
      <c r="CT76" s="12"/>
      <c r="CU76" s="17"/>
      <c r="CV76" s="130"/>
      <c r="CW76" s="12"/>
      <c r="CX76" s="12"/>
      <c r="CY76" s="12"/>
      <c r="CZ76" s="12"/>
      <c r="DA76" s="12"/>
      <c r="DB76" s="12"/>
      <c r="DC76" s="12"/>
      <c r="DD76" s="130"/>
      <c r="DE76" s="130"/>
      <c r="DF76" s="130"/>
      <c r="DG76" s="130"/>
      <c r="DH76" s="130"/>
      <c r="DI76" s="130"/>
      <c r="DJ76" s="130"/>
      <c r="DK76" s="130"/>
      <c r="DL76" s="130"/>
      <c r="DM76" s="130"/>
      <c r="DN76" s="12"/>
      <c r="DO76" s="17"/>
      <c r="EH76" s="12"/>
      <c r="EI76" s="17"/>
      <c r="FM76" s="12"/>
      <c r="FN76" s="17"/>
      <c r="GJ76" s="12"/>
      <c r="GK76" s="17"/>
      <c r="GT76" s="103"/>
      <c r="GU76" s="103"/>
      <c r="GV76" s="103"/>
      <c r="GW76" s="103"/>
      <c r="GX76" s="103"/>
      <c r="GY76" s="103"/>
      <c r="GZ76" s="103"/>
      <c r="HA76" s="103"/>
      <c r="HB76" s="103"/>
      <c r="HC76" s="103"/>
      <c r="HD76" s="103"/>
      <c r="HE76" s="12"/>
      <c r="HF76" s="17"/>
      <c r="HO76" s="103"/>
      <c r="HP76" s="12"/>
      <c r="HQ76" s="17"/>
      <c r="HZ76" s="103"/>
      <c r="IA76" s="12"/>
      <c r="IB76" s="17"/>
    </row>
    <row r="77" spans="1:236" ht="14.45" hidden="1" customHeight="1" x14ac:dyDescent="0.25">
      <c r="A77" s="47"/>
      <c r="B77" s="12"/>
      <c r="C77" s="14"/>
      <c r="D77" s="14"/>
      <c r="E77" s="14"/>
      <c r="F77" s="14"/>
      <c r="G77" s="14"/>
      <c r="H77" s="14"/>
      <c r="I77" s="14">
        <f t="shared" si="2"/>
        <v>0</v>
      </c>
      <c r="J77" s="14">
        <f t="shared" si="2"/>
        <v>0</v>
      </c>
      <c r="K77" s="14">
        <f t="shared" si="2"/>
        <v>0</v>
      </c>
      <c r="L77" s="14"/>
      <c r="M77" s="150"/>
      <c r="N77" s="12"/>
      <c r="R77" s="108"/>
      <c r="S77" s="108"/>
      <c r="T77" s="108"/>
      <c r="U77" s="12"/>
      <c r="V77" s="5"/>
      <c r="W77" s="12"/>
      <c r="X77" s="12"/>
      <c r="Y77" s="10"/>
      <c r="Z77" s="6"/>
      <c r="AA77" s="12"/>
      <c r="AB77" s="12"/>
      <c r="AC77" s="12"/>
      <c r="AD77" s="12"/>
      <c r="AE77" s="12"/>
      <c r="AF77" s="12"/>
      <c r="AG77" s="12"/>
      <c r="AH77" s="5"/>
      <c r="AI77" s="12"/>
      <c r="AJ77" s="17"/>
      <c r="AL77" s="12"/>
      <c r="AM77" s="12"/>
      <c r="AN77" s="12"/>
      <c r="AO77" s="12"/>
      <c r="AP77" s="12"/>
      <c r="AQ77" s="12"/>
      <c r="AR77" s="12"/>
      <c r="AS77" s="5"/>
      <c r="AT77" s="5"/>
      <c r="AU77" s="5"/>
      <c r="AV77" s="5"/>
      <c r="AW77" s="12"/>
      <c r="AX77" s="17"/>
      <c r="AY77" s="5"/>
      <c r="AZ77" s="12"/>
      <c r="BA77" s="12"/>
      <c r="BB77" s="12"/>
      <c r="BC77" s="12"/>
      <c r="BD77" s="12"/>
      <c r="BE77" s="12"/>
      <c r="BF77" s="12"/>
      <c r="BG77" s="5"/>
      <c r="BH77" s="5"/>
      <c r="BI77" s="12"/>
      <c r="BJ77" s="17"/>
      <c r="BK77" s="5"/>
      <c r="BL77" s="143"/>
      <c r="BM77" s="143"/>
      <c r="BN77" s="143"/>
      <c r="BO77" s="143"/>
      <c r="BP77" s="143"/>
      <c r="BQ77" s="143"/>
      <c r="BR77" s="12"/>
      <c r="BS77" s="5"/>
      <c r="BT77" s="5"/>
      <c r="BU77" s="5"/>
      <c r="BV77" s="5"/>
      <c r="BW77" s="5"/>
      <c r="BX77" s="5"/>
      <c r="BY77" s="5"/>
      <c r="BZ77" s="5"/>
      <c r="CA77" s="5"/>
      <c r="CB77" s="12"/>
      <c r="CC77" s="17"/>
      <c r="CE77" s="143"/>
      <c r="CF77" s="143"/>
      <c r="CG77" s="143"/>
      <c r="CH77" s="143"/>
      <c r="CI77" s="143"/>
      <c r="CJ77" s="143"/>
      <c r="CK77" s="12"/>
      <c r="CL77" s="5"/>
      <c r="CM77" s="5"/>
      <c r="CN77" s="5"/>
      <c r="CO77" s="5"/>
      <c r="CP77" s="5"/>
      <c r="CQ77" s="5"/>
      <c r="CR77" s="5"/>
      <c r="CS77" s="130"/>
      <c r="CT77" s="12"/>
      <c r="CU77" s="17"/>
      <c r="CV77" s="130"/>
      <c r="CW77" s="12"/>
      <c r="CX77" s="12"/>
      <c r="CY77" s="12"/>
      <c r="CZ77" s="12"/>
      <c r="DA77" s="12"/>
      <c r="DB77" s="12"/>
      <c r="DC77" s="12"/>
      <c r="DD77" s="130"/>
      <c r="DE77" s="130"/>
      <c r="DF77" s="130"/>
      <c r="DG77" s="130"/>
      <c r="DH77" s="130"/>
      <c r="DI77" s="130"/>
      <c r="DJ77" s="130"/>
      <c r="DK77" s="130"/>
      <c r="DL77" s="130"/>
      <c r="DM77" s="130"/>
      <c r="DN77" s="12"/>
      <c r="DO77" s="17"/>
      <c r="EH77" s="12"/>
      <c r="EI77" s="17"/>
      <c r="FM77" s="12"/>
      <c r="FN77" s="17"/>
      <c r="GJ77" s="12"/>
      <c r="GK77" s="17"/>
      <c r="GT77" s="103"/>
      <c r="GU77" s="103"/>
      <c r="GV77" s="103"/>
      <c r="GW77" s="103"/>
      <c r="GX77" s="103"/>
      <c r="GY77" s="103"/>
      <c r="GZ77" s="103"/>
      <c r="HA77" s="103"/>
      <c r="HB77" s="103"/>
      <c r="HC77" s="103"/>
      <c r="HD77" s="103"/>
      <c r="HE77" s="12"/>
      <c r="HF77" s="17"/>
      <c r="HO77" s="103"/>
      <c r="HP77" s="12"/>
      <c r="HQ77" s="17"/>
      <c r="HZ77" s="103"/>
      <c r="IA77" s="12"/>
      <c r="IB77" s="17"/>
    </row>
    <row r="78" spans="1:236" ht="14.45" hidden="1" customHeight="1" x14ac:dyDescent="0.25">
      <c r="A78" s="47"/>
      <c r="B78" s="12"/>
      <c r="C78" s="14"/>
      <c r="D78" s="14"/>
      <c r="E78" s="14"/>
      <c r="F78" s="14"/>
      <c r="G78" s="14"/>
      <c r="H78" s="14"/>
      <c r="I78" s="14">
        <f t="shared" si="2"/>
        <v>0</v>
      </c>
      <c r="J78" s="14">
        <f t="shared" si="2"/>
        <v>0</v>
      </c>
      <c r="K78" s="14">
        <f t="shared" si="2"/>
        <v>0</v>
      </c>
      <c r="L78" s="14"/>
      <c r="M78" s="150"/>
      <c r="N78" s="12"/>
      <c r="R78" s="108"/>
      <c r="S78" s="108"/>
      <c r="T78" s="108"/>
      <c r="U78" s="12"/>
      <c r="V78" s="5"/>
      <c r="W78" s="12"/>
      <c r="X78" s="12"/>
      <c r="Y78" s="10"/>
      <c r="Z78" s="6"/>
      <c r="AA78" s="12"/>
      <c r="AB78" s="12"/>
      <c r="AC78" s="12"/>
      <c r="AD78" s="12"/>
      <c r="AE78" s="12"/>
      <c r="AF78" s="12"/>
      <c r="AG78" s="12"/>
      <c r="AH78" s="5"/>
      <c r="AI78" s="12"/>
      <c r="AJ78" s="17"/>
      <c r="AL78" s="12"/>
      <c r="AM78" s="12"/>
      <c r="AN78" s="12"/>
      <c r="AO78" s="12"/>
      <c r="AP78" s="12"/>
      <c r="AQ78" s="12"/>
      <c r="AR78" s="12"/>
      <c r="AS78" s="5"/>
      <c r="AT78" s="5"/>
      <c r="AU78" s="5"/>
      <c r="AV78" s="5"/>
      <c r="AW78" s="12"/>
      <c r="AX78" s="17"/>
      <c r="AY78" s="5"/>
      <c r="AZ78" s="12"/>
      <c r="BA78" s="12"/>
      <c r="BB78" s="12"/>
      <c r="BC78" s="12"/>
      <c r="BD78" s="12"/>
      <c r="BE78" s="12"/>
      <c r="BF78" s="12"/>
      <c r="BG78" s="5"/>
      <c r="BH78" s="5"/>
      <c r="BI78" s="12"/>
      <c r="BJ78" s="17"/>
      <c r="BK78" s="5"/>
      <c r="BL78" s="143"/>
      <c r="BM78" s="143"/>
      <c r="BN78" s="143"/>
      <c r="BO78" s="143"/>
      <c r="BP78" s="143"/>
      <c r="BQ78" s="143"/>
      <c r="BR78" s="12"/>
      <c r="BS78" s="5"/>
      <c r="BT78" s="5"/>
      <c r="BU78" s="5"/>
      <c r="BV78" s="5"/>
      <c r="BW78" s="5"/>
      <c r="BX78" s="5"/>
      <c r="BY78" s="5"/>
      <c r="BZ78" s="5"/>
      <c r="CA78" s="5"/>
      <c r="CB78" s="12"/>
      <c r="CC78" s="17"/>
      <c r="CE78" s="143"/>
      <c r="CF78" s="143"/>
      <c r="CG78" s="143"/>
      <c r="CH78" s="143"/>
      <c r="CI78" s="143"/>
      <c r="CJ78" s="143"/>
      <c r="CK78" s="12"/>
      <c r="CL78" s="5"/>
      <c r="CM78" s="5"/>
      <c r="CN78" s="5"/>
      <c r="CO78" s="5"/>
      <c r="CP78" s="5"/>
      <c r="CQ78" s="5"/>
      <c r="CR78" s="5"/>
      <c r="CS78" s="130"/>
      <c r="CT78" s="12"/>
      <c r="CU78" s="17"/>
      <c r="CV78" s="130"/>
      <c r="CW78" s="12"/>
      <c r="CX78" s="12"/>
      <c r="CY78" s="12"/>
      <c r="CZ78" s="12"/>
      <c r="DA78" s="12"/>
      <c r="DB78" s="12"/>
      <c r="DC78" s="12"/>
      <c r="DD78" s="130"/>
      <c r="DE78" s="130"/>
      <c r="DF78" s="130"/>
      <c r="DG78" s="130"/>
      <c r="DH78" s="130"/>
      <c r="DI78" s="130"/>
      <c r="DJ78" s="130"/>
      <c r="DK78" s="130"/>
      <c r="DL78" s="130"/>
      <c r="DM78" s="130"/>
      <c r="DN78" s="12"/>
      <c r="DO78" s="17"/>
      <c r="EH78" s="12"/>
      <c r="EI78" s="17"/>
      <c r="FM78" s="12"/>
      <c r="FN78" s="17"/>
      <c r="GJ78" s="12"/>
      <c r="GK78" s="17"/>
      <c r="GT78" s="103"/>
      <c r="GU78" s="103"/>
      <c r="GV78" s="103"/>
      <c r="GW78" s="103"/>
      <c r="GX78" s="103"/>
      <c r="GY78" s="103"/>
      <c r="GZ78" s="103"/>
      <c r="HA78" s="103"/>
      <c r="HB78" s="103"/>
      <c r="HC78" s="103"/>
      <c r="HD78" s="103"/>
      <c r="HE78" s="12"/>
      <c r="HF78" s="17"/>
      <c r="HO78" s="103"/>
      <c r="HP78" s="12"/>
      <c r="HQ78" s="17"/>
      <c r="HZ78" s="103"/>
      <c r="IA78" s="12"/>
      <c r="IB78" s="17"/>
    </row>
    <row r="79" spans="1:236" ht="14.45" hidden="1" customHeight="1" x14ac:dyDescent="0.25">
      <c r="A79" s="47"/>
      <c r="B79" s="12"/>
      <c r="C79" s="14"/>
      <c r="D79" s="14"/>
      <c r="E79" s="14"/>
      <c r="F79" s="14"/>
      <c r="G79" s="14"/>
      <c r="H79" s="14"/>
      <c r="I79" s="14">
        <f t="shared" si="2"/>
        <v>0</v>
      </c>
      <c r="J79" s="14">
        <f t="shared" si="2"/>
        <v>0</v>
      </c>
      <c r="K79" s="14">
        <f t="shared" si="2"/>
        <v>0</v>
      </c>
      <c r="L79" s="14"/>
      <c r="M79" s="150"/>
      <c r="N79" s="12"/>
      <c r="R79" s="108"/>
      <c r="S79" s="108"/>
      <c r="T79" s="108"/>
      <c r="U79" s="12"/>
      <c r="V79" s="5"/>
      <c r="W79" s="12"/>
      <c r="X79" s="12"/>
      <c r="Y79" s="10"/>
      <c r="Z79" s="6"/>
      <c r="AA79" s="12"/>
      <c r="AB79" s="12"/>
      <c r="AC79" s="12"/>
      <c r="AD79" s="12"/>
      <c r="AE79" s="12"/>
      <c r="AF79" s="12"/>
      <c r="AG79" s="12"/>
      <c r="AH79" s="5"/>
      <c r="AI79" s="12"/>
      <c r="AJ79" s="17"/>
      <c r="AL79" s="12"/>
      <c r="AM79" s="12"/>
      <c r="AN79" s="12"/>
      <c r="AO79" s="12"/>
      <c r="AP79" s="12"/>
      <c r="AQ79" s="12"/>
      <c r="AR79" s="12"/>
      <c r="AS79" s="5"/>
      <c r="AT79" s="5"/>
      <c r="AU79" s="5"/>
      <c r="AV79" s="5"/>
      <c r="AW79" s="12"/>
      <c r="AX79" s="17"/>
      <c r="AY79" s="5"/>
      <c r="AZ79" s="12"/>
      <c r="BA79" s="12"/>
      <c r="BB79" s="12"/>
      <c r="BC79" s="12"/>
      <c r="BD79" s="12"/>
      <c r="BE79" s="12"/>
      <c r="BF79" s="12"/>
      <c r="BG79" s="5"/>
      <c r="BH79" s="5"/>
      <c r="BI79" s="12"/>
      <c r="BJ79" s="17"/>
      <c r="BK79" s="5"/>
      <c r="BL79" s="143"/>
      <c r="BM79" s="143"/>
      <c r="BN79" s="143"/>
      <c r="BO79" s="143"/>
      <c r="BP79" s="143"/>
      <c r="BQ79" s="143"/>
      <c r="BR79" s="12"/>
      <c r="BS79" s="5"/>
      <c r="BT79" s="5"/>
      <c r="BU79" s="5"/>
      <c r="BV79" s="5"/>
      <c r="BW79" s="5"/>
      <c r="BX79" s="5"/>
      <c r="BY79" s="5"/>
      <c r="BZ79" s="5"/>
      <c r="CA79" s="5"/>
      <c r="CB79" s="12"/>
      <c r="CC79" s="17"/>
      <c r="CE79" s="143"/>
      <c r="CF79" s="143"/>
      <c r="CG79" s="143"/>
      <c r="CH79" s="143"/>
      <c r="CI79" s="143"/>
      <c r="CJ79" s="143"/>
      <c r="CK79" s="12"/>
      <c r="CL79" s="5"/>
      <c r="CM79" s="5"/>
      <c r="CN79" s="5"/>
      <c r="CO79" s="5"/>
      <c r="CP79" s="5"/>
      <c r="CQ79" s="5"/>
      <c r="CR79" s="5"/>
      <c r="CS79" s="130"/>
      <c r="CT79" s="12"/>
      <c r="CU79" s="17"/>
      <c r="CV79" s="130"/>
      <c r="CW79" s="12"/>
      <c r="CX79" s="12"/>
      <c r="CY79" s="12"/>
      <c r="CZ79" s="12"/>
      <c r="DA79" s="12"/>
      <c r="DB79" s="12"/>
      <c r="DC79" s="12"/>
      <c r="DD79" s="130"/>
      <c r="DE79" s="130"/>
      <c r="DF79" s="130"/>
      <c r="DG79" s="130"/>
      <c r="DH79" s="130"/>
      <c r="DI79" s="130"/>
      <c r="DJ79" s="130"/>
      <c r="DK79" s="130"/>
      <c r="DL79" s="130"/>
      <c r="DM79" s="130"/>
      <c r="DN79" s="12"/>
      <c r="DO79" s="17"/>
      <c r="EH79" s="12"/>
      <c r="EI79" s="17"/>
      <c r="FM79" s="12"/>
      <c r="FN79" s="17"/>
      <c r="GJ79" s="12"/>
      <c r="GK79" s="17"/>
      <c r="GT79" s="103"/>
      <c r="GU79" s="103"/>
      <c r="GV79" s="103"/>
      <c r="GW79" s="103"/>
      <c r="GX79" s="103"/>
      <c r="GY79" s="103"/>
      <c r="GZ79" s="103"/>
      <c r="HA79" s="103"/>
      <c r="HB79" s="103"/>
      <c r="HC79" s="103"/>
      <c r="HD79" s="103"/>
      <c r="HE79" s="12"/>
      <c r="HF79" s="17"/>
      <c r="HO79" s="103"/>
      <c r="HP79" s="12"/>
      <c r="HQ79" s="17"/>
      <c r="HZ79" s="103"/>
      <c r="IA79" s="12"/>
      <c r="IB79" s="17"/>
    </row>
    <row r="80" spans="1:236" ht="14.45" hidden="1" customHeight="1" x14ac:dyDescent="0.25">
      <c r="A80" s="47"/>
      <c r="B80" s="12"/>
      <c r="C80" s="14"/>
      <c r="D80" s="14"/>
      <c r="E80" s="14"/>
      <c r="F80" s="14"/>
      <c r="G80" s="14"/>
      <c r="H80" s="14"/>
      <c r="I80" s="14">
        <f t="shared" si="2"/>
        <v>0</v>
      </c>
      <c r="J80" s="14">
        <f t="shared" si="2"/>
        <v>0</v>
      </c>
      <c r="K80" s="14">
        <f t="shared" si="2"/>
        <v>0</v>
      </c>
      <c r="L80" s="14"/>
      <c r="M80" s="150"/>
      <c r="N80" s="12"/>
      <c r="R80" s="108"/>
      <c r="S80" s="108"/>
      <c r="T80" s="108"/>
      <c r="U80" s="12"/>
      <c r="V80" s="5"/>
      <c r="W80" s="12"/>
      <c r="X80" s="12"/>
      <c r="Y80" s="10"/>
      <c r="Z80" s="6"/>
      <c r="AA80" s="12"/>
      <c r="AB80" s="12"/>
      <c r="AC80" s="12"/>
      <c r="AD80" s="12"/>
      <c r="AE80" s="12"/>
      <c r="AF80" s="12"/>
      <c r="AG80" s="12"/>
      <c r="AH80" s="5"/>
      <c r="AI80" s="12"/>
      <c r="AJ80" s="17"/>
      <c r="AL80" s="12"/>
      <c r="AM80" s="12"/>
      <c r="AN80" s="12"/>
      <c r="AO80" s="12"/>
      <c r="AP80" s="12"/>
      <c r="AQ80" s="12"/>
      <c r="AR80" s="12"/>
      <c r="AS80" s="5"/>
      <c r="AT80" s="5"/>
      <c r="AU80" s="5"/>
      <c r="AV80" s="5"/>
      <c r="AW80" s="12"/>
      <c r="AX80" s="17"/>
      <c r="AY80" s="5"/>
      <c r="AZ80" s="12"/>
      <c r="BA80" s="12"/>
      <c r="BB80" s="12"/>
      <c r="BC80" s="12"/>
      <c r="BD80" s="12"/>
      <c r="BE80" s="12"/>
      <c r="BF80" s="12"/>
      <c r="BG80" s="5"/>
      <c r="BH80" s="5"/>
      <c r="BI80" s="12"/>
      <c r="BJ80" s="17"/>
      <c r="BK80" s="5"/>
      <c r="BL80" s="143"/>
      <c r="BM80" s="143"/>
      <c r="BN80" s="143"/>
      <c r="BO80" s="143"/>
      <c r="BP80" s="143"/>
      <c r="BQ80" s="143"/>
      <c r="BR80" s="12"/>
      <c r="BS80" s="5"/>
      <c r="BT80" s="5"/>
      <c r="BU80" s="5"/>
      <c r="BV80" s="5"/>
      <c r="BW80" s="5"/>
      <c r="BX80" s="5"/>
      <c r="BY80" s="5"/>
      <c r="BZ80" s="5"/>
      <c r="CA80" s="5"/>
      <c r="CB80" s="12"/>
      <c r="CC80" s="17"/>
      <c r="CE80" s="143"/>
      <c r="CF80" s="143"/>
      <c r="CG80" s="143"/>
      <c r="CH80" s="143"/>
      <c r="CI80" s="143"/>
      <c r="CJ80" s="143"/>
      <c r="CK80" s="12"/>
      <c r="CL80" s="5"/>
      <c r="CM80" s="5"/>
      <c r="CN80" s="5"/>
      <c r="CO80" s="5"/>
      <c r="CP80" s="5"/>
      <c r="CQ80" s="5"/>
      <c r="CR80" s="5"/>
      <c r="CS80" s="130"/>
      <c r="CT80" s="12"/>
      <c r="CU80" s="17"/>
      <c r="CV80" s="130"/>
      <c r="CW80" s="12"/>
      <c r="CX80" s="12"/>
      <c r="CY80" s="12"/>
      <c r="CZ80" s="12"/>
      <c r="DA80" s="12"/>
      <c r="DB80" s="12"/>
      <c r="DC80" s="12"/>
      <c r="DD80" s="130"/>
      <c r="DE80" s="130"/>
      <c r="DF80" s="130"/>
      <c r="DG80" s="130"/>
      <c r="DH80" s="130"/>
      <c r="DI80" s="130"/>
      <c r="DJ80" s="130"/>
      <c r="DK80" s="130"/>
      <c r="DL80" s="130"/>
      <c r="DM80" s="130"/>
      <c r="DN80" s="12"/>
      <c r="DO80" s="17"/>
      <c r="EH80" s="12"/>
      <c r="EI80" s="17"/>
      <c r="FM80" s="12"/>
      <c r="FN80" s="17"/>
      <c r="GJ80" s="12"/>
      <c r="GK80" s="17"/>
      <c r="GT80" s="103"/>
      <c r="GU80" s="103"/>
      <c r="GV80" s="103"/>
      <c r="GW80" s="103"/>
      <c r="GX80" s="103"/>
      <c r="GY80" s="103"/>
      <c r="GZ80" s="103"/>
      <c r="HA80" s="103"/>
      <c r="HB80" s="103"/>
      <c r="HC80" s="103"/>
      <c r="HD80" s="103"/>
      <c r="HE80" s="12"/>
      <c r="HF80" s="17"/>
      <c r="HO80" s="103"/>
      <c r="HP80" s="12"/>
      <c r="HQ80" s="17"/>
      <c r="HZ80" s="103"/>
      <c r="IA80" s="12"/>
      <c r="IB80" s="17"/>
    </row>
    <row r="81" spans="1:236" ht="14.45" hidden="1" customHeight="1" x14ac:dyDescent="0.25">
      <c r="A81" s="47"/>
      <c r="B81" s="12"/>
      <c r="C81" s="14"/>
      <c r="D81" s="14"/>
      <c r="E81" s="14"/>
      <c r="F81" s="14"/>
      <c r="G81" s="14"/>
      <c r="H81" s="14"/>
      <c r="I81" s="14">
        <f t="shared" si="2"/>
        <v>0</v>
      </c>
      <c r="J81" s="14">
        <f t="shared" si="2"/>
        <v>0</v>
      </c>
      <c r="K81" s="14">
        <f t="shared" si="2"/>
        <v>0</v>
      </c>
      <c r="L81" s="14"/>
      <c r="M81" s="150"/>
      <c r="N81" s="12"/>
      <c r="R81" s="108"/>
      <c r="S81" s="108"/>
      <c r="T81" s="108"/>
      <c r="U81" s="12"/>
      <c r="V81" s="5"/>
      <c r="W81" s="12"/>
      <c r="X81" s="12"/>
      <c r="Y81" s="10"/>
      <c r="Z81" s="6"/>
      <c r="AA81" s="12"/>
      <c r="AB81" s="12"/>
      <c r="AC81" s="12"/>
      <c r="AD81" s="12"/>
      <c r="AE81" s="12"/>
      <c r="AF81" s="12"/>
      <c r="AG81" s="12"/>
      <c r="AH81" s="5"/>
      <c r="AI81" s="12"/>
      <c r="AJ81" s="17"/>
      <c r="AL81" s="12"/>
      <c r="AM81" s="12"/>
      <c r="AN81" s="12"/>
      <c r="AO81" s="12"/>
      <c r="AP81" s="12"/>
      <c r="AQ81" s="12"/>
      <c r="AR81" s="12"/>
      <c r="AS81" s="5"/>
      <c r="AT81" s="5"/>
      <c r="AU81" s="5"/>
      <c r="AV81" s="5"/>
      <c r="AW81" s="12"/>
      <c r="AX81" s="17"/>
      <c r="AY81" s="5"/>
      <c r="AZ81" s="12"/>
      <c r="BA81" s="12"/>
      <c r="BB81" s="12"/>
      <c r="BC81" s="12"/>
      <c r="BD81" s="12"/>
      <c r="BE81" s="12"/>
      <c r="BF81" s="12"/>
      <c r="BG81" s="5"/>
      <c r="BH81" s="5"/>
      <c r="BI81" s="12"/>
      <c r="BJ81" s="17"/>
      <c r="BK81" s="5"/>
      <c r="BL81" s="143"/>
      <c r="BM81" s="143"/>
      <c r="BN81" s="143"/>
      <c r="BO81" s="143"/>
      <c r="BP81" s="143"/>
      <c r="BQ81" s="143"/>
      <c r="BR81" s="12"/>
      <c r="BS81" s="5"/>
      <c r="BT81" s="5"/>
      <c r="BU81" s="5"/>
      <c r="BV81" s="5"/>
      <c r="BW81" s="5"/>
      <c r="BX81" s="5"/>
      <c r="BY81" s="5"/>
      <c r="BZ81" s="5"/>
      <c r="CA81" s="5"/>
      <c r="CB81" s="12"/>
      <c r="CC81" s="17"/>
      <c r="CE81" s="143"/>
      <c r="CF81" s="143"/>
      <c r="CG81" s="143"/>
      <c r="CH81" s="143"/>
      <c r="CI81" s="143"/>
      <c r="CJ81" s="143"/>
      <c r="CK81" s="12"/>
      <c r="CL81" s="5"/>
      <c r="CM81" s="5"/>
      <c r="CN81" s="5"/>
      <c r="CO81" s="5"/>
      <c r="CP81" s="5"/>
      <c r="CQ81" s="5"/>
      <c r="CR81" s="5"/>
      <c r="CS81" s="130"/>
      <c r="CT81" s="12"/>
      <c r="CU81" s="17"/>
      <c r="CV81" s="130"/>
      <c r="CW81" s="12"/>
      <c r="CX81" s="12"/>
      <c r="CY81" s="12"/>
      <c r="CZ81" s="12"/>
      <c r="DA81" s="12"/>
      <c r="DB81" s="12"/>
      <c r="DC81" s="12"/>
      <c r="DD81" s="130"/>
      <c r="DE81" s="130"/>
      <c r="DF81" s="130"/>
      <c r="DG81" s="130"/>
      <c r="DH81" s="130"/>
      <c r="DI81" s="130"/>
      <c r="DJ81" s="130"/>
      <c r="DK81" s="130"/>
      <c r="DL81" s="130"/>
      <c r="DM81" s="130"/>
      <c r="DN81" s="12"/>
      <c r="DO81" s="17"/>
      <c r="EH81" s="12"/>
      <c r="EI81" s="17"/>
      <c r="FM81" s="12"/>
      <c r="FN81" s="17"/>
      <c r="GJ81" s="12"/>
      <c r="GK81" s="17"/>
      <c r="GT81" s="103"/>
      <c r="GU81" s="103"/>
      <c r="GV81" s="103"/>
      <c r="GW81" s="103"/>
      <c r="GX81" s="103"/>
      <c r="GY81" s="103"/>
      <c r="GZ81" s="103"/>
      <c r="HA81" s="103"/>
      <c r="HB81" s="103"/>
      <c r="HC81" s="103"/>
      <c r="HD81" s="103"/>
      <c r="HE81" s="12"/>
      <c r="HF81" s="17"/>
      <c r="HO81" s="103"/>
      <c r="HP81" s="12"/>
      <c r="HQ81" s="17"/>
      <c r="HZ81" s="103"/>
      <c r="IA81" s="12"/>
      <c r="IB81" s="17"/>
    </row>
    <row r="82" spans="1:236" ht="14.45" hidden="1" customHeight="1" x14ac:dyDescent="0.25">
      <c r="A82" s="47"/>
      <c r="B82" s="12"/>
      <c r="C82" s="14"/>
      <c r="D82" s="14"/>
      <c r="E82" s="14"/>
      <c r="F82" s="14"/>
      <c r="G82" s="14"/>
      <c r="H82" s="14"/>
      <c r="I82" s="14">
        <f t="shared" si="2"/>
        <v>0</v>
      </c>
      <c r="J82" s="14">
        <f t="shared" si="2"/>
        <v>0</v>
      </c>
      <c r="K82" s="14">
        <f t="shared" si="2"/>
        <v>0</v>
      </c>
      <c r="L82" s="14"/>
      <c r="M82" s="150"/>
      <c r="N82" s="12"/>
      <c r="R82" s="108"/>
      <c r="S82" s="108"/>
      <c r="T82" s="108"/>
      <c r="U82" s="12"/>
      <c r="V82" s="5"/>
      <c r="W82" s="12"/>
      <c r="X82" s="12"/>
      <c r="Y82" s="10"/>
      <c r="Z82" s="6"/>
      <c r="AA82" s="12"/>
      <c r="AB82" s="12"/>
      <c r="AC82" s="12"/>
      <c r="AD82" s="12"/>
      <c r="AE82" s="12"/>
      <c r="AF82" s="12"/>
      <c r="AG82" s="12"/>
      <c r="AH82" s="5"/>
      <c r="AI82" s="12"/>
      <c r="AJ82" s="17"/>
      <c r="AL82" s="12"/>
      <c r="AM82" s="12"/>
      <c r="AN82" s="12"/>
      <c r="AO82" s="12"/>
      <c r="AP82" s="12"/>
      <c r="AQ82" s="12"/>
      <c r="AR82" s="12"/>
      <c r="AS82" s="5"/>
      <c r="AT82" s="5"/>
      <c r="AU82" s="5"/>
      <c r="AV82" s="5"/>
      <c r="AW82" s="12"/>
      <c r="AX82" s="17"/>
      <c r="AY82" s="5"/>
      <c r="AZ82" s="12"/>
      <c r="BA82" s="12"/>
      <c r="BB82" s="12"/>
      <c r="BC82" s="12"/>
      <c r="BD82" s="12"/>
      <c r="BE82" s="12"/>
      <c r="BF82" s="12"/>
      <c r="BG82" s="5"/>
      <c r="BH82" s="5"/>
      <c r="BI82" s="12"/>
      <c r="BJ82" s="17"/>
      <c r="BK82" s="5"/>
      <c r="BL82" s="143"/>
      <c r="BM82" s="143"/>
      <c r="BN82" s="143"/>
      <c r="BO82" s="143"/>
      <c r="BP82" s="143"/>
      <c r="BQ82" s="143"/>
      <c r="BR82" s="12"/>
      <c r="BS82" s="5"/>
      <c r="BT82" s="5"/>
      <c r="BU82" s="5"/>
      <c r="BV82" s="5"/>
      <c r="BW82" s="5"/>
      <c r="BX82" s="5"/>
      <c r="BY82" s="5"/>
      <c r="BZ82" s="5"/>
      <c r="CA82" s="5"/>
      <c r="CB82" s="12"/>
      <c r="CC82" s="17"/>
      <c r="CE82" s="143"/>
      <c r="CF82" s="143"/>
      <c r="CG82" s="143"/>
      <c r="CH82" s="143"/>
      <c r="CI82" s="143"/>
      <c r="CJ82" s="143"/>
      <c r="CK82" s="12"/>
      <c r="CL82" s="5"/>
      <c r="CM82" s="5"/>
      <c r="CN82" s="5"/>
      <c r="CO82" s="5"/>
      <c r="CP82" s="5"/>
      <c r="CQ82" s="5"/>
      <c r="CR82" s="5"/>
      <c r="CS82" s="130"/>
      <c r="CT82" s="12"/>
      <c r="CU82" s="17"/>
      <c r="CV82" s="130"/>
      <c r="CW82" s="12"/>
      <c r="CX82" s="12"/>
      <c r="CY82" s="12"/>
      <c r="CZ82" s="12"/>
      <c r="DA82" s="12"/>
      <c r="DB82" s="12"/>
      <c r="DC82" s="12"/>
      <c r="DD82" s="130"/>
      <c r="DE82" s="130"/>
      <c r="DF82" s="130"/>
      <c r="DG82" s="130"/>
      <c r="DH82" s="130"/>
      <c r="DI82" s="130"/>
      <c r="DJ82" s="130"/>
      <c r="DK82" s="130"/>
      <c r="DL82" s="130"/>
      <c r="DM82" s="130"/>
      <c r="DN82" s="12"/>
      <c r="DO82" s="17"/>
      <c r="EH82" s="12"/>
      <c r="EI82" s="17"/>
      <c r="FM82" s="12"/>
      <c r="FN82" s="17"/>
      <c r="GJ82" s="12"/>
      <c r="GK82" s="17"/>
      <c r="GT82" s="103"/>
      <c r="GU82" s="103"/>
      <c r="GV82" s="103"/>
      <c r="GW82" s="103"/>
      <c r="GX82" s="103"/>
      <c r="GY82" s="103"/>
      <c r="GZ82" s="103"/>
      <c r="HA82" s="103"/>
      <c r="HB82" s="103"/>
      <c r="HC82" s="103"/>
      <c r="HD82" s="103"/>
      <c r="HE82" s="12"/>
      <c r="HF82" s="17"/>
      <c r="HO82" s="103"/>
      <c r="HP82" s="12"/>
      <c r="HQ82" s="17"/>
      <c r="HZ82" s="103"/>
      <c r="IA82" s="12"/>
      <c r="IB82" s="17"/>
    </row>
    <row r="83" spans="1:236" ht="14.45" hidden="1" customHeight="1" x14ac:dyDescent="0.25">
      <c r="A83" s="47"/>
      <c r="B83" s="12"/>
      <c r="C83" s="14"/>
      <c r="D83" s="14"/>
      <c r="E83" s="14"/>
      <c r="F83" s="14"/>
      <c r="G83" s="14"/>
      <c r="H83" s="14"/>
      <c r="I83" s="14">
        <f t="shared" si="2"/>
        <v>0</v>
      </c>
      <c r="J83" s="14">
        <f t="shared" si="2"/>
        <v>0</v>
      </c>
      <c r="K83" s="14">
        <f t="shared" si="2"/>
        <v>0</v>
      </c>
      <c r="L83" s="14"/>
      <c r="M83" s="150"/>
      <c r="N83" s="12"/>
      <c r="R83" s="108"/>
      <c r="S83" s="108"/>
      <c r="T83" s="108"/>
      <c r="U83" s="12"/>
      <c r="V83" s="5"/>
      <c r="W83" s="12"/>
      <c r="X83" s="12"/>
      <c r="Y83" s="10"/>
      <c r="Z83" s="6"/>
      <c r="AA83" s="12"/>
      <c r="AB83" s="12"/>
      <c r="AC83" s="12"/>
      <c r="AD83" s="12"/>
      <c r="AE83" s="12"/>
      <c r="AF83" s="12"/>
      <c r="AG83" s="12"/>
      <c r="AH83" s="5"/>
      <c r="AI83" s="12"/>
      <c r="AJ83" s="17"/>
      <c r="AL83" s="12"/>
      <c r="AM83" s="12"/>
      <c r="AN83" s="12"/>
      <c r="AO83" s="12"/>
      <c r="AP83" s="12"/>
      <c r="AQ83" s="12"/>
      <c r="AR83" s="12"/>
      <c r="AS83" s="5"/>
      <c r="AT83" s="5"/>
      <c r="AU83" s="5"/>
      <c r="AV83" s="5"/>
      <c r="AW83" s="12"/>
      <c r="AX83" s="17"/>
      <c r="AY83" s="5"/>
      <c r="AZ83" s="12"/>
      <c r="BA83" s="12"/>
      <c r="BB83" s="12"/>
      <c r="BC83" s="12"/>
      <c r="BD83" s="12"/>
      <c r="BE83" s="12"/>
      <c r="BF83" s="12"/>
      <c r="BG83" s="5"/>
      <c r="BH83" s="5"/>
      <c r="BI83" s="12"/>
      <c r="BJ83" s="17"/>
      <c r="BK83" s="5"/>
      <c r="BL83" s="143"/>
      <c r="BM83" s="143"/>
      <c r="BN83" s="143"/>
      <c r="BO83" s="143"/>
      <c r="BP83" s="143"/>
      <c r="BQ83" s="143"/>
      <c r="BR83" s="12"/>
      <c r="BS83" s="5"/>
      <c r="BT83" s="5"/>
      <c r="BU83" s="5"/>
      <c r="BV83" s="5"/>
      <c r="BW83" s="5"/>
      <c r="BX83" s="5"/>
      <c r="BY83" s="5"/>
      <c r="BZ83" s="5"/>
      <c r="CA83" s="5"/>
      <c r="CB83" s="12"/>
      <c r="CC83" s="17"/>
      <c r="CE83" s="143"/>
      <c r="CF83" s="143"/>
      <c r="CG83" s="143"/>
      <c r="CH83" s="143"/>
      <c r="CI83" s="143"/>
      <c r="CJ83" s="143"/>
      <c r="CK83" s="12"/>
      <c r="CL83" s="5"/>
      <c r="CM83" s="5"/>
      <c r="CN83" s="5"/>
      <c r="CO83" s="5"/>
      <c r="CP83" s="5"/>
      <c r="CQ83" s="5"/>
      <c r="CR83" s="5"/>
      <c r="CS83" s="130"/>
      <c r="CT83" s="12"/>
      <c r="CU83" s="17"/>
      <c r="CV83" s="130"/>
      <c r="CW83" s="12"/>
      <c r="CX83" s="12"/>
      <c r="CY83" s="12"/>
      <c r="CZ83" s="12"/>
      <c r="DA83" s="12"/>
      <c r="DB83" s="12"/>
      <c r="DC83" s="12"/>
      <c r="DD83" s="130"/>
      <c r="DE83" s="130"/>
      <c r="DF83" s="130"/>
      <c r="DG83" s="130"/>
      <c r="DH83" s="130"/>
      <c r="DI83" s="130"/>
      <c r="DJ83" s="130"/>
      <c r="DK83" s="130"/>
      <c r="DL83" s="130"/>
      <c r="DM83" s="130"/>
      <c r="DN83" s="12"/>
      <c r="DO83" s="17"/>
      <c r="EH83" s="12"/>
      <c r="EI83" s="17"/>
      <c r="FM83" s="12"/>
      <c r="FN83" s="17"/>
      <c r="GJ83" s="12"/>
      <c r="GK83" s="17"/>
      <c r="GT83" s="103"/>
      <c r="GU83" s="103"/>
      <c r="GV83" s="103"/>
      <c r="GW83" s="103"/>
      <c r="GX83" s="103"/>
      <c r="GY83" s="103"/>
      <c r="GZ83" s="103"/>
      <c r="HA83" s="103"/>
      <c r="HB83" s="103"/>
      <c r="HC83" s="103"/>
      <c r="HD83" s="103"/>
      <c r="HE83" s="12"/>
      <c r="HF83" s="17"/>
      <c r="HO83" s="103"/>
      <c r="HP83" s="12"/>
      <c r="HQ83" s="17"/>
      <c r="HZ83" s="103"/>
      <c r="IA83" s="12"/>
      <c r="IB83" s="17"/>
    </row>
    <row r="84" spans="1:236" ht="14.45" hidden="1" customHeight="1" x14ac:dyDescent="0.25">
      <c r="A84" s="47"/>
      <c r="B84" s="12"/>
      <c r="C84" s="14"/>
      <c r="D84" s="14"/>
      <c r="E84" s="14"/>
      <c r="F84" s="14"/>
      <c r="G84" s="14"/>
      <c r="H84" s="14"/>
      <c r="I84" s="14">
        <f t="shared" si="2"/>
        <v>0</v>
      </c>
      <c r="J84" s="14">
        <f t="shared" si="2"/>
        <v>0</v>
      </c>
      <c r="K84" s="14">
        <f t="shared" si="2"/>
        <v>0</v>
      </c>
      <c r="L84" s="14"/>
      <c r="M84" s="150"/>
      <c r="N84" s="12"/>
      <c r="R84" s="108"/>
      <c r="S84" s="108"/>
      <c r="T84" s="108"/>
      <c r="U84" s="12"/>
      <c r="V84" s="5"/>
      <c r="W84" s="12"/>
      <c r="X84" s="12"/>
      <c r="Y84" s="10"/>
      <c r="Z84" s="6"/>
      <c r="AA84" s="12"/>
      <c r="AB84" s="12"/>
      <c r="AC84" s="12"/>
      <c r="AD84" s="12"/>
      <c r="AE84" s="12"/>
      <c r="AF84" s="12"/>
      <c r="AG84" s="12"/>
      <c r="AH84" s="5"/>
      <c r="AI84" s="12"/>
      <c r="AJ84" s="17"/>
      <c r="AL84" s="12"/>
      <c r="AM84" s="12"/>
      <c r="AN84" s="12"/>
      <c r="AO84" s="12"/>
      <c r="AP84" s="12"/>
      <c r="AQ84" s="12"/>
      <c r="AR84" s="12"/>
      <c r="AS84" s="5"/>
      <c r="AT84" s="5"/>
      <c r="AU84" s="5"/>
      <c r="AV84" s="5"/>
      <c r="AW84" s="12"/>
      <c r="AX84" s="17"/>
      <c r="AY84" s="5"/>
      <c r="AZ84" s="12"/>
      <c r="BA84" s="12"/>
      <c r="BB84" s="12"/>
      <c r="BC84" s="12"/>
      <c r="BD84" s="12"/>
      <c r="BE84" s="12"/>
      <c r="BF84" s="12"/>
      <c r="BG84" s="5"/>
      <c r="BH84" s="5"/>
      <c r="BI84" s="12"/>
      <c r="BJ84" s="17"/>
      <c r="BK84" s="5"/>
      <c r="BL84" s="143"/>
      <c r="BM84" s="143"/>
      <c r="BN84" s="143"/>
      <c r="BO84" s="143"/>
      <c r="BP84" s="143"/>
      <c r="BQ84" s="143"/>
      <c r="BR84" s="12"/>
      <c r="BS84" s="5"/>
      <c r="BT84" s="5"/>
      <c r="BU84" s="5"/>
      <c r="BV84" s="5"/>
      <c r="BW84" s="5"/>
      <c r="BX84" s="5"/>
      <c r="BY84" s="5"/>
      <c r="BZ84" s="5"/>
      <c r="CA84" s="5"/>
      <c r="CB84" s="12"/>
      <c r="CC84" s="17"/>
      <c r="CE84" s="143"/>
      <c r="CF84" s="143"/>
      <c r="CG84" s="143"/>
      <c r="CH84" s="143"/>
      <c r="CI84" s="143"/>
      <c r="CJ84" s="143"/>
      <c r="CK84" s="12"/>
      <c r="CL84" s="5"/>
      <c r="CM84" s="5"/>
      <c r="CN84" s="5"/>
      <c r="CO84" s="5"/>
      <c r="CP84" s="5"/>
      <c r="CQ84" s="5"/>
      <c r="CR84" s="5"/>
      <c r="CS84" s="130"/>
      <c r="CT84" s="12"/>
      <c r="CU84" s="17"/>
      <c r="CV84" s="130"/>
      <c r="CW84" s="12"/>
      <c r="CX84" s="12"/>
      <c r="CY84" s="12"/>
      <c r="CZ84" s="12"/>
      <c r="DA84" s="12"/>
      <c r="DB84" s="12"/>
      <c r="DC84" s="12"/>
      <c r="DD84" s="130"/>
      <c r="DE84" s="130"/>
      <c r="DF84" s="130"/>
      <c r="DG84" s="130"/>
      <c r="DH84" s="130"/>
      <c r="DI84" s="130"/>
      <c r="DJ84" s="130"/>
      <c r="DK84" s="130"/>
      <c r="DL84" s="130"/>
      <c r="DM84" s="130"/>
      <c r="DN84" s="12"/>
      <c r="DO84" s="17"/>
      <c r="EH84" s="12"/>
      <c r="EI84" s="17"/>
      <c r="FM84" s="12"/>
      <c r="FN84" s="17"/>
      <c r="GJ84" s="12"/>
      <c r="GK84" s="17"/>
      <c r="GT84" s="103"/>
      <c r="GU84" s="103"/>
      <c r="GV84" s="103"/>
      <c r="GW84" s="103"/>
      <c r="GX84" s="103"/>
      <c r="GY84" s="103"/>
      <c r="GZ84" s="103"/>
      <c r="HA84" s="103"/>
      <c r="HB84" s="103"/>
      <c r="HC84" s="103"/>
      <c r="HD84" s="103"/>
      <c r="HE84" s="12"/>
      <c r="HF84" s="17"/>
      <c r="HO84" s="103"/>
      <c r="HP84" s="12"/>
      <c r="HQ84" s="17"/>
      <c r="HZ84" s="103"/>
      <c r="IA84" s="12"/>
      <c r="IB84" s="17"/>
    </row>
    <row r="85" spans="1:236" ht="14.45" hidden="1" customHeight="1" x14ac:dyDescent="0.25">
      <c r="A85" s="47"/>
      <c r="B85" s="12"/>
      <c r="C85" s="14"/>
      <c r="D85" s="14"/>
      <c r="E85" s="14"/>
      <c r="F85" s="14"/>
      <c r="G85" s="14"/>
      <c r="H85" s="14"/>
      <c r="I85" s="14">
        <f t="shared" si="2"/>
        <v>0</v>
      </c>
      <c r="J85" s="14">
        <f t="shared" si="2"/>
        <v>0</v>
      </c>
      <c r="K85" s="14">
        <f t="shared" si="2"/>
        <v>0</v>
      </c>
      <c r="L85" s="14"/>
      <c r="M85" s="150"/>
      <c r="N85" s="12"/>
      <c r="R85" s="108"/>
      <c r="S85" s="108"/>
      <c r="T85" s="108"/>
      <c r="U85" s="12"/>
      <c r="V85" s="5"/>
      <c r="W85" s="12"/>
      <c r="X85" s="12"/>
      <c r="Y85" s="10"/>
      <c r="Z85" s="6"/>
      <c r="AA85" s="12"/>
      <c r="AB85" s="12"/>
      <c r="AC85" s="12"/>
      <c r="AD85" s="12"/>
      <c r="AE85" s="12"/>
      <c r="AF85" s="12"/>
      <c r="AG85" s="12"/>
      <c r="AH85" s="5"/>
      <c r="AI85" s="12"/>
      <c r="AJ85" s="17"/>
      <c r="AL85" s="12"/>
      <c r="AM85" s="12"/>
      <c r="AN85" s="12"/>
      <c r="AO85" s="12"/>
      <c r="AP85" s="12"/>
      <c r="AQ85" s="12"/>
      <c r="AR85" s="12"/>
      <c r="AS85" s="5"/>
      <c r="AT85" s="5"/>
      <c r="AU85" s="5"/>
      <c r="AV85" s="5"/>
      <c r="AW85" s="12"/>
      <c r="AX85" s="17"/>
      <c r="AY85" s="5"/>
      <c r="AZ85" s="12"/>
      <c r="BA85" s="12"/>
      <c r="BB85" s="12"/>
      <c r="BC85" s="12"/>
      <c r="BD85" s="12"/>
      <c r="BE85" s="12"/>
      <c r="BF85" s="12"/>
      <c r="BG85" s="5"/>
      <c r="BH85" s="5"/>
      <c r="BI85" s="12"/>
      <c r="BJ85" s="17"/>
      <c r="BK85" s="5"/>
      <c r="BL85" s="143"/>
      <c r="BM85" s="143"/>
      <c r="BN85" s="143"/>
      <c r="BO85" s="143"/>
      <c r="BP85" s="143"/>
      <c r="BQ85" s="143"/>
      <c r="BR85" s="12"/>
      <c r="BS85" s="5"/>
      <c r="BT85" s="5"/>
      <c r="BU85" s="5"/>
      <c r="BV85" s="5"/>
      <c r="BW85" s="5"/>
      <c r="BX85" s="5"/>
      <c r="BY85" s="5"/>
      <c r="BZ85" s="5"/>
      <c r="CA85" s="5"/>
      <c r="CB85" s="12"/>
      <c r="CC85" s="17"/>
      <c r="CE85" s="143"/>
      <c r="CF85" s="143"/>
      <c r="CG85" s="143"/>
      <c r="CH85" s="143"/>
      <c r="CI85" s="143"/>
      <c r="CJ85" s="143"/>
      <c r="CK85" s="12"/>
      <c r="CL85" s="5"/>
      <c r="CM85" s="5"/>
      <c r="CN85" s="5"/>
      <c r="CO85" s="5"/>
      <c r="CP85" s="5"/>
      <c r="CQ85" s="5"/>
      <c r="CR85" s="5"/>
      <c r="CS85" s="130"/>
      <c r="CT85" s="12"/>
      <c r="CU85" s="17"/>
      <c r="CV85" s="130"/>
      <c r="CW85" s="12"/>
      <c r="CX85" s="12"/>
      <c r="CY85" s="12"/>
      <c r="CZ85" s="12"/>
      <c r="DA85" s="12"/>
      <c r="DB85" s="12"/>
      <c r="DC85" s="12"/>
      <c r="DD85" s="130"/>
      <c r="DE85" s="130"/>
      <c r="DF85" s="130"/>
      <c r="DG85" s="130"/>
      <c r="DH85" s="130"/>
      <c r="DI85" s="130"/>
      <c r="DJ85" s="130"/>
      <c r="DK85" s="130"/>
      <c r="DL85" s="130"/>
      <c r="DM85" s="130"/>
      <c r="DN85" s="12"/>
      <c r="DO85" s="17"/>
      <c r="EH85" s="12"/>
      <c r="EI85" s="17"/>
      <c r="FM85" s="12"/>
      <c r="FN85" s="17"/>
      <c r="GJ85" s="12"/>
      <c r="GK85" s="17"/>
      <c r="GT85" s="103"/>
      <c r="GU85" s="103"/>
      <c r="GV85" s="103"/>
      <c r="GW85" s="103"/>
      <c r="GX85" s="103"/>
      <c r="GY85" s="103"/>
      <c r="GZ85" s="103"/>
      <c r="HA85" s="103"/>
      <c r="HB85" s="103"/>
      <c r="HC85" s="103"/>
      <c r="HD85" s="103"/>
      <c r="HE85" s="12"/>
      <c r="HF85" s="17"/>
      <c r="HO85" s="103"/>
      <c r="HP85" s="12"/>
      <c r="HQ85" s="17"/>
      <c r="HZ85" s="103"/>
      <c r="IA85" s="12"/>
      <c r="IB85" s="17"/>
    </row>
    <row r="86" spans="1:236" ht="14.45" hidden="1" customHeight="1" x14ac:dyDescent="0.25">
      <c r="A86" s="47"/>
      <c r="B86" s="12"/>
      <c r="C86" s="14"/>
      <c r="D86" s="14"/>
      <c r="E86" s="14"/>
      <c r="F86" s="14"/>
      <c r="G86" s="14"/>
      <c r="H86" s="14"/>
      <c r="I86" s="14">
        <f t="shared" si="2"/>
        <v>0</v>
      </c>
      <c r="J86" s="14">
        <f t="shared" si="2"/>
        <v>0</v>
      </c>
      <c r="K86" s="14">
        <f t="shared" si="2"/>
        <v>0</v>
      </c>
      <c r="L86" s="14"/>
      <c r="M86" s="150"/>
      <c r="N86" s="12"/>
      <c r="R86" s="108"/>
      <c r="S86" s="108"/>
      <c r="T86" s="108"/>
      <c r="U86" s="12"/>
      <c r="V86" s="5"/>
      <c r="W86" s="12"/>
      <c r="X86" s="12"/>
      <c r="Y86" s="10"/>
      <c r="Z86" s="6"/>
      <c r="AA86" s="12"/>
      <c r="AB86" s="12"/>
      <c r="AC86" s="12"/>
      <c r="AD86" s="12"/>
      <c r="AE86" s="12"/>
      <c r="AF86" s="12"/>
      <c r="AG86" s="12"/>
      <c r="AH86" s="5"/>
      <c r="AI86" s="12"/>
      <c r="AJ86" s="17"/>
      <c r="AL86" s="12"/>
      <c r="AM86" s="12"/>
      <c r="AN86" s="12"/>
      <c r="AO86" s="12"/>
      <c r="AP86" s="12"/>
      <c r="AQ86" s="12"/>
      <c r="AR86" s="12"/>
      <c r="AS86" s="5"/>
      <c r="AT86" s="5"/>
      <c r="AU86" s="5"/>
      <c r="AV86" s="5"/>
      <c r="AW86" s="12"/>
      <c r="AX86" s="17"/>
      <c r="AY86" s="5"/>
      <c r="AZ86" s="12"/>
      <c r="BA86" s="12"/>
      <c r="BB86" s="12"/>
      <c r="BC86" s="12"/>
      <c r="BD86" s="12"/>
      <c r="BE86" s="12"/>
      <c r="BF86" s="12"/>
      <c r="BG86" s="5"/>
      <c r="BH86" s="5"/>
      <c r="BI86" s="12"/>
      <c r="BJ86" s="17"/>
      <c r="BK86" s="5"/>
      <c r="BL86" s="143"/>
      <c r="BM86" s="143"/>
      <c r="BN86" s="143"/>
      <c r="BO86" s="143"/>
      <c r="BP86" s="143"/>
      <c r="BQ86" s="143"/>
      <c r="BR86" s="12"/>
      <c r="BS86" s="5"/>
      <c r="BT86" s="5"/>
      <c r="BU86" s="5"/>
      <c r="BV86" s="5"/>
      <c r="BW86" s="5"/>
      <c r="BX86" s="5"/>
      <c r="BY86" s="5"/>
      <c r="BZ86" s="5"/>
      <c r="CA86" s="5"/>
      <c r="CB86" s="12"/>
      <c r="CC86" s="17"/>
      <c r="CE86" s="143"/>
      <c r="CF86" s="143"/>
      <c r="CG86" s="143"/>
      <c r="CH86" s="143"/>
      <c r="CI86" s="143"/>
      <c r="CJ86" s="143"/>
      <c r="CK86" s="12"/>
      <c r="CL86" s="5"/>
      <c r="CM86" s="5"/>
      <c r="CN86" s="5"/>
      <c r="CO86" s="5"/>
      <c r="CP86" s="5"/>
      <c r="CQ86" s="5"/>
      <c r="CR86" s="5"/>
      <c r="CS86" s="130"/>
      <c r="CT86" s="12"/>
      <c r="CU86" s="17"/>
      <c r="CV86" s="130"/>
      <c r="CW86" s="12"/>
      <c r="CX86" s="12"/>
      <c r="CY86" s="12"/>
      <c r="CZ86" s="12"/>
      <c r="DA86" s="12"/>
      <c r="DB86" s="12"/>
      <c r="DC86" s="12"/>
      <c r="DD86" s="130"/>
      <c r="DE86" s="130"/>
      <c r="DF86" s="130"/>
      <c r="DG86" s="130"/>
      <c r="DH86" s="130"/>
      <c r="DI86" s="130"/>
      <c r="DJ86" s="130"/>
      <c r="DK86" s="130"/>
      <c r="DL86" s="130"/>
      <c r="DM86" s="130"/>
      <c r="DN86" s="12"/>
      <c r="DO86" s="17"/>
      <c r="EH86" s="12"/>
      <c r="EI86" s="17"/>
      <c r="FM86" s="12"/>
      <c r="FN86" s="17"/>
      <c r="GJ86" s="12"/>
      <c r="GK86" s="17"/>
      <c r="GT86" s="103"/>
      <c r="GU86" s="103"/>
      <c r="GV86" s="103"/>
      <c r="GW86" s="103"/>
      <c r="GX86" s="103"/>
      <c r="GY86" s="103"/>
      <c r="GZ86" s="103"/>
      <c r="HA86" s="103"/>
      <c r="HB86" s="103"/>
      <c r="HC86" s="103"/>
      <c r="HD86" s="103"/>
      <c r="HE86" s="12"/>
      <c r="HF86" s="17"/>
      <c r="HO86" s="103"/>
      <c r="HP86" s="12"/>
      <c r="HQ86" s="17"/>
      <c r="HZ86" s="103"/>
      <c r="IA86" s="12"/>
      <c r="IB86" s="17"/>
    </row>
    <row r="87" spans="1:236" ht="14.45" hidden="1" customHeight="1" x14ac:dyDescent="0.25">
      <c r="A87" s="47"/>
      <c r="B87" s="12"/>
      <c r="C87" s="14"/>
      <c r="D87" s="14"/>
      <c r="E87" s="14"/>
      <c r="F87" s="14"/>
      <c r="G87" s="14"/>
      <c r="H87" s="14"/>
      <c r="I87" s="14">
        <f t="shared" si="2"/>
        <v>0</v>
      </c>
      <c r="J87" s="14">
        <f t="shared" si="2"/>
        <v>0</v>
      </c>
      <c r="K87" s="14">
        <f t="shared" si="2"/>
        <v>0</v>
      </c>
      <c r="L87" s="14"/>
      <c r="M87" s="150"/>
      <c r="N87" s="12"/>
      <c r="R87" s="108"/>
      <c r="S87" s="108"/>
      <c r="T87" s="108"/>
      <c r="U87" s="12"/>
      <c r="V87" s="5"/>
      <c r="W87" s="12"/>
      <c r="X87" s="12"/>
      <c r="Y87" s="10"/>
      <c r="Z87" s="6"/>
      <c r="AA87" s="12"/>
      <c r="AB87" s="12"/>
      <c r="AC87" s="12"/>
      <c r="AD87" s="12"/>
      <c r="AE87" s="12"/>
      <c r="AF87" s="12"/>
      <c r="AG87" s="12"/>
      <c r="AH87" s="5"/>
      <c r="AI87" s="12"/>
      <c r="AJ87" s="17"/>
      <c r="AL87" s="12"/>
      <c r="AM87" s="12"/>
      <c r="AN87" s="12"/>
      <c r="AO87" s="12"/>
      <c r="AP87" s="12"/>
      <c r="AQ87" s="12"/>
      <c r="AR87" s="12"/>
      <c r="AS87" s="5"/>
      <c r="AT87" s="5"/>
      <c r="AU87" s="5"/>
      <c r="AV87" s="5"/>
      <c r="AW87" s="12"/>
      <c r="AX87" s="17"/>
      <c r="AY87" s="5"/>
      <c r="AZ87" s="12"/>
      <c r="BA87" s="12"/>
      <c r="BB87" s="12"/>
      <c r="BC87" s="12"/>
      <c r="BD87" s="12"/>
      <c r="BE87" s="12"/>
      <c r="BF87" s="12"/>
      <c r="BG87" s="5"/>
      <c r="BH87" s="5"/>
      <c r="BI87" s="12"/>
      <c r="BJ87" s="17"/>
      <c r="BK87" s="5"/>
      <c r="BL87" s="143"/>
      <c r="BM87" s="143"/>
      <c r="BN87" s="143"/>
      <c r="BO87" s="143"/>
      <c r="BP87" s="143"/>
      <c r="BQ87" s="143"/>
      <c r="BR87" s="12"/>
      <c r="BS87" s="5"/>
      <c r="BT87" s="5"/>
      <c r="BU87" s="5"/>
      <c r="BV87" s="5"/>
      <c r="BW87" s="5"/>
      <c r="BX87" s="5"/>
      <c r="BY87" s="5"/>
      <c r="BZ87" s="5"/>
      <c r="CA87" s="5"/>
      <c r="CB87" s="12"/>
      <c r="CC87" s="17"/>
      <c r="CE87" s="143"/>
      <c r="CF87" s="143"/>
      <c r="CG87" s="143"/>
      <c r="CH87" s="143"/>
      <c r="CI87" s="143"/>
      <c r="CJ87" s="143"/>
      <c r="CK87" s="12"/>
      <c r="CL87" s="5"/>
      <c r="CM87" s="5"/>
      <c r="CN87" s="5"/>
      <c r="CO87" s="5"/>
      <c r="CP87" s="5"/>
      <c r="CQ87" s="5"/>
      <c r="CR87" s="5"/>
      <c r="CS87" s="130"/>
      <c r="CT87" s="12"/>
      <c r="CU87" s="17"/>
      <c r="CV87" s="130"/>
      <c r="CW87" s="12"/>
      <c r="CX87" s="12"/>
      <c r="CY87" s="12"/>
      <c r="CZ87" s="12"/>
      <c r="DA87" s="12"/>
      <c r="DB87" s="12"/>
      <c r="DC87" s="12"/>
      <c r="DD87" s="130"/>
      <c r="DE87" s="130"/>
      <c r="DF87" s="130"/>
      <c r="DG87" s="130"/>
      <c r="DH87" s="130"/>
      <c r="DI87" s="130"/>
      <c r="DJ87" s="130"/>
      <c r="DK87" s="130"/>
      <c r="DL87" s="130"/>
      <c r="DM87" s="130"/>
      <c r="DN87" s="12"/>
      <c r="DO87" s="17"/>
      <c r="EH87" s="12"/>
      <c r="EI87" s="17"/>
      <c r="FM87" s="12"/>
      <c r="FN87" s="17"/>
      <c r="GJ87" s="12"/>
      <c r="GK87" s="17"/>
      <c r="GT87" s="103"/>
      <c r="GU87" s="103"/>
      <c r="GV87" s="103"/>
      <c r="GW87" s="103"/>
      <c r="GX87" s="103"/>
      <c r="GY87" s="103"/>
      <c r="GZ87" s="103"/>
      <c r="HA87" s="103"/>
      <c r="HB87" s="103"/>
      <c r="HC87" s="103"/>
      <c r="HD87" s="103"/>
      <c r="HE87" s="12"/>
      <c r="HF87" s="17"/>
      <c r="HO87" s="103"/>
      <c r="HP87" s="12"/>
      <c r="HQ87" s="17"/>
      <c r="HZ87" s="103"/>
      <c r="IA87" s="12"/>
      <c r="IB87" s="17"/>
    </row>
    <row r="88" spans="1:236" ht="14.45" hidden="1" customHeight="1" x14ac:dyDescent="0.25">
      <c r="A88" s="47"/>
      <c r="B88" s="12"/>
      <c r="C88" s="14"/>
      <c r="D88" s="14"/>
      <c r="E88" s="14"/>
      <c r="F88" s="14"/>
      <c r="G88" s="14"/>
      <c r="H88" s="14"/>
      <c r="I88" s="14">
        <f t="shared" si="2"/>
        <v>0</v>
      </c>
      <c r="J88" s="14">
        <f t="shared" si="2"/>
        <v>0</v>
      </c>
      <c r="K88" s="14">
        <f t="shared" si="2"/>
        <v>0</v>
      </c>
      <c r="L88" s="14"/>
      <c r="M88" s="150"/>
      <c r="N88" s="12"/>
      <c r="R88" s="108"/>
      <c r="S88" s="108"/>
      <c r="T88" s="108"/>
      <c r="U88" s="12"/>
      <c r="V88" s="5"/>
      <c r="W88" s="12"/>
      <c r="X88" s="12"/>
      <c r="Y88" s="10"/>
      <c r="Z88" s="6"/>
      <c r="AA88" s="12"/>
      <c r="AB88" s="12"/>
      <c r="AC88" s="12"/>
      <c r="AD88" s="12"/>
      <c r="AE88" s="12"/>
      <c r="AF88" s="12"/>
      <c r="AG88" s="12"/>
      <c r="AH88" s="5"/>
      <c r="AI88" s="12"/>
      <c r="AJ88" s="17"/>
      <c r="AL88" s="12"/>
      <c r="AM88" s="12"/>
      <c r="AN88" s="12"/>
      <c r="AO88" s="12"/>
      <c r="AP88" s="12"/>
      <c r="AQ88" s="12"/>
      <c r="AR88" s="12"/>
      <c r="AS88" s="5"/>
      <c r="AT88" s="5"/>
      <c r="AU88" s="5"/>
      <c r="AV88" s="5"/>
      <c r="AW88" s="12"/>
      <c r="AX88" s="17"/>
      <c r="AY88" s="5"/>
      <c r="AZ88" s="12"/>
      <c r="BA88" s="12"/>
      <c r="BB88" s="12"/>
      <c r="BC88" s="12"/>
      <c r="BD88" s="12"/>
      <c r="BE88" s="12"/>
      <c r="BF88" s="12"/>
      <c r="BG88" s="5"/>
      <c r="BH88" s="5"/>
      <c r="BI88" s="12"/>
      <c r="BJ88" s="17"/>
      <c r="BK88" s="5"/>
      <c r="BL88" s="143"/>
      <c r="BM88" s="143"/>
      <c r="BN88" s="143"/>
      <c r="BO88" s="143"/>
      <c r="BP88" s="143"/>
      <c r="BQ88" s="143"/>
      <c r="BR88" s="12"/>
      <c r="BS88" s="5"/>
      <c r="BT88" s="5"/>
      <c r="BU88" s="5"/>
      <c r="BV88" s="5"/>
      <c r="BW88" s="5"/>
      <c r="BX88" s="5"/>
      <c r="BY88" s="5"/>
      <c r="BZ88" s="5"/>
      <c r="CA88" s="5"/>
      <c r="CB88" s="12"/>
      <c r="CC88" s="17"/>
      <c r="CE88" s="143"/>
      <c r="CF88" s="143"/>
      <c r="CG88" s="143"/>
      <c r="CH88" s="143"/>
      <c r="CI88" s="143"/>
      <c r="CJ88" s="143"/>
      <c r="CK88" s="12"/>
      <c r="CL88" s="5"/>
      <c r="CM88" s="5"/>
      <c r="CN88" s="5"/>
      <c r="CO88" s="5"/>
      <c r="CP88" s="5"/>
      <c r="CQ88" s="5"/>
      <c r="CR88" s="5"/>
      <c r="CS88" s="130"/>
      <c r="CT88" s="12"/>
      <c r="CU88" s="17"/>
      <c r="CV88" s="130"/>
      <c r="CW88" s="12"/>
      <c r="CX88" s="12"/>
      <c r="CY88" s="12"/>
      <c r="CZ88" s="12"/>
      <c r="DA88" s="12"/>
      <c r="DB88" s="12"/>
      <c r="DC88" s="12"/>
      <c r="DD88" s="130"/>
      <c r="DE88" s="130"/>
      <c r="DF88" s="130"/>
      <c r="DG88" s="130"/>
      <c r="DH88" s="130"/>
      <c r="DI88" s="130"/>
      <c r="DJ88" s="130"/>
      <c r="DK88" s="130"/>
      <c r="DL88" s="130"/>
      <c r="DM88" s="130"/>
      <c r="DN88" s="12"/>
      <c r="DO88" s="17"/>
      <c r="EH88" s="12"/>
      <c r="EI88" s="17"/>
      <c r="FM88" s="12"/>
      <c r="FN88" s="17"/>
      <c r="GJ88" s="12"/>
      <c r="GK88" s="17"/>
      <c r="GT88" s="103"/>
      <c r="GU88" s="103"/>
      <c r="GV88" s="103"/>
      <c r="GW88" s="103"/>
      <c r="GX88" s="103"/>
      <c r="GY88" s="103"/>
      <c r="GZ88" s="103"/>
      <c r="HA88" s="103"/>
      <c r="HB88" s="103"/>
      <c r="HC88" s="103"/>
      <c r="HD88" s="103"/>
      <c r="HE88" s="12"/>
      <c r="HF88" s="17"/>
      <c r="HO88" s="103"/>
      <c r="HP88" s="12"/>
      <c r="HQ88" s="17"/>
      <c r="HZ88" s="103"/>
      <c r="IA88" s="12"/>
      <c r="IB88" s="17"/>
    </row>
    <row r="89" spans="1:236" ht="14.45" hidden="1" customHeight="1" x14ac:dyDescent="0.25">
      <c r="A89" s="47"/>
      <c r="B89" s="12"/>
      <c r="C89" s="14"/>
      <c r="D89" s="14"/>
      <c r="E89" s="14"/>
      <c r="F89" s="14"/>
      <c r="G89" s="14"/>
      <c r="H89" s="14"/>
      <c r="I89" s="14">
        <f t="shared" si="2"/>
        <v>0</v>
      </c>
      <c r="J89" s="14">
        <f t="shared" si="2"/>
        <v>0</v>
      </c>
      <c r="K89" s="14">
        <f t="shared" si="2"/>
        <v>0</v>
      </c>
      <c r="L89" s="14"/>
      <c r="M89" s="150"/>
      <c r="N89" s="12"/>
      <c r="R89" s="108"/>
      <c r="S89" s="108"/>
      <c r="T89" s="108"/>
      <c r="U89" s="12"/>
      <c r="V89" s="5"/>
      <c r="W89" s="12"/>
      <c r="X89" s="12"/>
      <c r="Y89" s="10"/>
      <c r="Z89" s="6"/>
      <c r="AA89" s="12"/>
      <c r="AB89" s="12"/>
      <c r="AC89" s="12"/>
      <c r="AD89" s="12"/>
      <c r="AE89" s="12"/>
      <c r="AF89" s="12"/>
      <c r="AG89" s="12"/>
      <c r="AH89" s="5"/>
      <c r="AI89" s="12"/>
      <c r="AJ89" s="17"/>
      <c r="AL89" s="12"/>
      <c r="AM89" s="12"/>
      <c r="AN89" s="12"/>
      <c r="AO89" s="12"/>
      <c r="AP89" s="12"/>
      <c r="AQ89" s="12"/>
      <c r="AR89" s="12"/>
      <c r="AS89" s="5"/>
      <c r="AT89" s="5"/>
      <c r="AU89" s="5"/>
      <c r="AV89" s="5"/>
      <c r="AW89" s="12"/>
      <c r="AX89" s="17"/>
      <c r="AY89" s="5"/>
      <c r="AZ89" s="12"/>
      <c r="BA89" s="12"/>
      <c r="BB89" s="12"/>
      <c r="BC89" s="12"/>
      <c r="BD89" s="12"/>
      <c r="BE89" s="12"/>
      <c r="BF89" s="12"/>
      <c r="BG89" s="5"/>
      <c r="BH89" s="5"/>
      <c r="BI89" s="12"/>
      <c r="BJ89" s="17"/>
      <c r="BK89" s="5"/>
      <c r="BL89" s="143"/>
      <c r="BM89" s="143"/>
      <c r="BN89" s="143"/>
      <c r="BO89" s="143"/>
      <c r="BP89" s="143"/>
      <c r="BQ89" s="143"/>
      <c r="BR89" s="12"/>
      <c r="BS89" s="5"/>
      <c r="BT89" s="5"/>
      <c r="BU89" s="5"/>
      <c r="BV89" s="5"/>
      <c r="BW89" s="5"/>
      <c r="BX89" s="5"/>
      <c r="BY89" s="5"/>
      <c r="BZ89" s="5"/>
      <c r="CA89" s="5"/>
      <c r="CB89" s="12"/>
      <c r="CC89" s="17"/>
      <c r="CE89" s="143"/>
      <c r="CF89" s="143"/>
      <c r="CG89" s="143"/>
      <c r="CH89" s="143"/>
      <c r="CI89" s="143"/>
      <c r="CJ89" s="143"/>
      <c r="CK89" s="12"/>
      <c r="CL89" s="5"/>
      <c r="CM89" s="5"/>
      <c r="CN89" s="5"/>
      <c r="CO89" s="5"/>
      <c r="CP89" s="5"/>
      <c r="CQ89" s="5"/>
      <c r="CR89" s="5"/>
      <c r="CS89" s="130"/>
      <c r="CT89" s="12"/>
      <c r="CU89" s="17"/>
      <c r="CV89" s="130"/>
      <c r="CW89" s="12"/>
      <c r="CX89" s="12"/>
      <c r="CY89" s="12"/>
      <c r="CZ89" s="12"/>
      <c r="DA89" s="12"/>
      <c r="DB89" s="12"/>
      <c r="DC89" s="12"/>
      <c r="DD89" s="130"/>
      <c r="DE89" s="130"/>
      <c r="DF89" s="130"/>
      <c r="DG89" s="130"/>
      <c r="DH89" s="130"/>
      <c r="DI89" s="130"/>
      <c r="DJ89" s="130"/>
      <c r="DK89" s="130"/>
      <c r="DL89" s="130"/>
      <c r="DM89" s="130"/>
      <c r="DN89" s="12"/>
      <c r="DO89" s="17"/>
      <c r="EH89" s="12"/>
      <c r="EI89" s="17"/>
      <c r="FM89" s="12"/>
      <c r="FN89" s="17"/>
      <c r="GJ89" s="12"/>
      <c r="GK89" s="17"/>
      <c r="GT89" s="103"/>
      <c r="GU89" s="103"/>
      <c r="GV89" s="103"/>
      <c r="GW89" s="103"/>
      <c r="GX89" s="103"/>
      <c r="GY89" s="103"/>
      <c r="GZ89" s="103"/>
      <c r="HA89" s="103"/>
      <c r="HB89" s="103"/>
      <c r="HC89" s="103"/>
      <c r="HD89" s="103"/>
      <c r="HE89" s="12"/>
      <c r="HF89" s="17"/>
      <c r="HO89" s="103"/>
      <c r="HP89" s="12"/>
      <c r="HQ89" s="17"/>
      <c r="HZ89" s="103"/>
      <c r="IA89" s="12"/>
      <c r="IB89" s="17"/>
    </row>
    <row r="90" spans="1:236" ht="14.45" hidden="1" customHeight="1" x14ac:dyDescent="0.25">
      <c r="A90" s="47"/>
      <c r="B90" s="12"/>
      <c r="C90" s="14"/>
      <c r="D90" s="14"/>
      <c r="E90" s="14"/>
      <c r="F90" s="14"/>
      <c r="G90" s="14"/>
      <c r="H90" s="14"/>
      <c r="I90" s="14">
        <f t="shared" si="2"/>
        <v>0</v>
      </c>
      <c r="J90" s="14">
        <f t="shared" si="2"/>
        <v>0</v>
      </c>
      <c r="K90" s="14">
        <f t="shared" si="2"/>
        <v>0</v>
      </c>
      <c r="L90" s="14"/>
      <c r="M90" s="150"/>
      <c r="N90" s="12"/>
      <c r="R90" s="108"/>
      <c r="S90" s="108"/>
      <c r="T90" s="108"/>
      <c r="U90" s="12"/>
      <c r="V90" s="5"/>
      <c r="W90" s="12"/>
      <c r="X90" s="12"/>
      <c r="Y90" s="10"/>
      <c r="Z90" s="6"/>
      <c r="AA90" s="12"/>
      <c r="AB90" s="12"/>
      <c r="AC90" s="12"/>
      <c r="AD90" s="12"/>
      <c r="AE90" s="12"/>
      <c r="AF90" s="12"/>
      <c r="AG90" s="12"/>
      <c r="AH90" s="5"/>
      <c r="AI90" s="12"/>
      <c r="AJ90" s="17"/>
      <c r="AL90" s="12"/>
      <c r="AM90" s="12"/>
      <c r="AN90" s="12"/>
      <c r="AO90" s="12"/>
      <c r="AP90" s="12"/>
      <c r="AQ90" s="12"/>
      <c r="AR90" s="12"/>
      <c r="AS90" s="5"/>
      <c r="AT90" s="5"/>
      <c r="AU90" s="5"/>
      <c r="AV90" s="5"/>
      <c r="AW90" s="12"/>
      <c r="AX90" s="17"/>
      <c r="AY90" s="5"/>
      <c r="AZ90" s="12"/>
      <c r="BA90" s="12"/>
      <c r="BB90" s="12"/>
      <c r="BC90" s="12"/>
      <c r="BD90" s="12"/>
      <c r="BE90" s="12"/>
      <c r="BF90" s="12"/>
      <c r="BG90" s="5"/>
      <c r="BH90" s="5"/>
      <c r="BI90" s="12"/>
      <c r="BJ90" s="17"/>
      <c r="BK90" s="5"/>
      <c r="BL90" s="143"/>
      <c r="BM90" s="143"/>
      <c r="BN90" s="143"/>
      <c r="BO90" s="143"/>
      <c r="BP90" s="143"/>
      <c r="BQ90" s="143"/>
      <c r="BR90" s="12"/>
      <c r="BS90" s="5"/>
      <c r="BT90" s="5"/>
      <c r="BU90" s="5"/>
      <c r="BV90" s="5"/>
      <c r="BW90" s="5"/>
      <c r="BX90" s="5"/>
      <c r="BY90" s="5"/>
      <c r="BZ90" s="5"/>
      <c r="CA90" s="5"/>
      <c r="CB90" s="12"/>
      <c r="CC90" s="17"/>
      <c r="CE90" s="143"/>
      <c r="CF90" s="143"/>
      <c r="CG90" s="143"/>
      <c r="CH90" s="143"/>
      <c r="CI90" s="143"/>
      <c r="CJ90" s="143"/>
      <c r="CK90" s="12"/>
      <c r="CL90" s="5"/>
      <c r="CM90" s="5"/>
      <c r="CN90" s="5"/>
      <c r="CO90" s="5"/>
      <c r="CP90" s="5"/>
      <c r="CQ90" s="5"/>
      <c r="CR90" s="5"/>
      <c r="CS90" s="130"/>
      <c r="CT90" s="12"/>
      <c r="CU90" s="17"/>
      <c r="CV90" s="130"/>
      <c r="CW90" s="12"/>
      <c r="CX90" s="12"/>
      <c r="CY90" s="12"/>
      <c r="CZ90" s="12"/>
      <c r="DA90" s="12"/>
      <c r="DB90" s="12"/>
      <c r="DC90" s="12"/>
      <c r="DD90" s="130"/>
      <c r="DE90" s="130"/>
      <c r="DF90" s="130"/>
      <c r="DG90" s="130"/>
      <c r="DH90" s="130"/>
      <c r="DI90" s="130"/>
      <c r="DJ90" s="130"/>
      <c r="DK90" s="130"/>
      <c r="DL90" s="130"/>
      <c r="DM90" s="130"/>
      <c r="DN90" s="12"/>
      <c r="DO90" s="17"/>
      <c r="EH90" s="12"/>
      <c r="EI90" s="17"/>
      <c r="FM90" s="12"/>
      <c r="FN90" s="17"/>
      <c r="GJ90" s="12"/>
      <c r="GK90" s="17"/>
      <c r="GT90" s="103"/>
      <c r="GU90" s="103"/>
      <c r="GV90" s="103"/>
      <c r="GW90" s="103"/>
      <c r="GX90" s="103"/>
      <c r="GY90" s="103"/>
      <c r="GZ90" s="103"/>
      <c r="HA90" s="103"/>
      <c r="HB90" s="103"/>
      <c r="HC90" s="103"/>
      <c r="HD90" s="103"/>
      <c r="HE90" s="12"/>
      <c r="HF90" s="17"/>
      <c r="HO90" s="103"/>
      <c r="HP90" s="12"/>
      <c r="HQ90" s="17"/>
      <c r="HZ90" s="103"/>
      <c r="IA90" s="12"/>
      <c r="IB90" s="17"/>
    </row>
    <row r="91" spans="1:236" ht="14.45" hidden="1" customHeight="1" x14ac:dyDescent="0.25">
      <c r="A91" s="47"/>
      <c r="B91" s="12"/>
      <c r="C91" s="14"/>
      <c r="D91" s="14"/>
      <c r="E91" s="14"/>
      <c r="F91" s="14"/>
      <c r="G91" s="14"/>
      <c r="H91" s="14"/>
      <c r="I91" s="14">
        <f t="shared" si="2"/>
        <v>0</v>
      </c>
      <c r="J91" s="14">
        <f t="shared" si="2"/>
        <v>0</v>
      </c>
      <c r="K91" s="14">
        <f t="shared" si="2"/>
        <v>0</v>
      </c>
      <c r="L91" s="14"/>
      <c r="M91" s="150"/>
      <c r="N91" s="12"/>
      <c r="R91" s="108"/>
      <c r="S91" s="108"/>
      <c r="T91" s="108"/>
      <c r="U91" s="12"/>
      <c r="V91" s="5"/>
      <c r="W91" s="12"/>
      <c r="X91" s="12"/>
      <c r="Y91" s="10"/>
      <c r="Z91" s="6"/>
      <c r="AA91" s="12"/>
      <c r="AB91" s="12"/>
      <c r="AC91" s="12"/>
      <c r="AD91" s="12"/>
      <c r="AE91" s="12"/>
      <c r="AF91" s="12"/>
      <c r="AG91" s="12"/>
      <c r="AH91" s="5"/>
      <c r="AI91" s="12"/>
      <c r="AJ91" s="17"/>
      <c r="AL91" s="12"/>
      <c r="AM91" s="12"/>
      <c r="AN91" s="12"/>
      <c r="AO91" s="12"/>
      <c r="AP91" s="12"/>
      <c r="AQ91" s="12"/>
      <c r="AR91" s="12"/>
      <c r="AS91" s="5"/>
      <c r="AT91" s="5"/>
      <c r="AU91" s="5"/>
      <c r="AV91" s="5"/>
      <c r="AW91" s="12"/>
      <c r="AX91" s="17"/>
      <c r="AY91" s="5"/>
      <c r="AZ91" s="12"/>
      <c r="BA91" s="12"/>
      <c r="BB91" s="12"/>
      <c r="BC91" s="12"/>
      <c r="BD91" s="12"/>
      <c r="BE91" s="12"/>
      <c r="BF91" s="12"/>
      <c r="BG91" s="5"/>
      <c r="BH91" s="5"/>
      <c r="BI91" s="12"/>
      <c r="BJ91" s="17"/>
      <c r="BK91" s="5"/>
      <c r="BL91" s="143"/>
      <c r="BM91" s="143"/>
      <c r="BN91" s="143"/>
      <c r="BO91" s="143"/>
      <c r="BP91" s="143"/>
      <c r="BQ91" s="143"/>
      <c r="BR91" s="12"/>
      <c r="BS91" s="5"/>
      <c r="BT91" s="5"/>
      <c r="BU91" s="5"/>
      <c r="BV91" s="5"/>
      <c r="BW91" s="5"/>
      <c r="BX91" s="5"/>
      <c r="BY91" s="5"/>
      <c r="BZ91" s="5"/>
      <c r="CA91" s="5"/>
      <c r="CB91" s="12"/>
      <c r="CC91" s="17"/>
      <c r="CE91" s="143"/>
      <c r="CF91" s="143"/>
      <c r="CG91" s="143"/>
      <c r="CH91" s="143"/>
      <c r="CI91" s="143"/>
      <c r="CJ91" s="143"/>
      <c r="CK91" s="12"/>
      <c r="CL91" s="5"/>
      <c r="CM91" s="5"/>
      <c r="CN91" s="5"/>
      <c r="CO91" s="5"/>
      <c r="CP91" s="5"/>
      <c r="CQ91" s="5"/>
      <c r="CR91" s="5"/>
      <c r="CS91" s="130"/>
      <c r="CT91" s="12"/>
      <c r="CU91" s="17"/>
      <c r="CV91" s="130"/>
      <c r="CW91" s="12"/>
      <c r="CX91" s="12"/>
      <c r="CY91" s="12"/>
      <c r="CZ91" s="12"/>
      <c r="DA91" s="12"/>
      <c r="DB91" s="12"/>
      <c r="DC91" s="12"/>
      <c r="DD91" s="130"/>
      <c r="DE91" s="130"/>
      <c r="DF91" s="130"/>
      <c r="DG91" s="130"/>
      <c r="DH91" s="130"/>
      <c r="DI91" s="130"/>
      <c r="DJ91" s="130"/>
      <c r="DK91" s="130"/>
      <c r="DL91" s="130"/>
      <c r="DM91" s="130"/>
      <c r="DN91" s="12"/>
      <c r="DO91" s="17"/>
      <c r="EH91" s="12"/>
      <c r="EI91" s="17"/>
      <c r="FM91" s="12"/>
      <c r="FN91" s="17"/>
      <c r="GJ91" s="12"/>
      <c r="GK91" s="17"/>
      <c r="GT91" s="103"/>
      <c r="GU91" s="103"/>
      <c r="GV91" s="103"/>
      <c r="GW91" s="103"/>
      <c r="GX91" s="103"/>
      <c r="GY91" s="103"/>
      <c r="GZ91" s="103"/>
      <c r="HA91" s="103"/>
      <c r="HB91" s="103"/>
      <c r="HC91" s="103"/>
      <c r="HD91" s="103"/>
      <c r="HE91" s="12"/>
      <c r="HF91" s="17"/>
      <c r="HO91" s="103"/>
      <c r="HP91" s="12"/>
      <c r="HQ91" s="17"/>
      <c r="HZ91" s="103"/>
      <c r="IA91" s="12"/>
      <c r="IB91" s="17"/>
    </row>
    <row r="92" spans="1:236" ht="14.45" hidden="1" customHeight="1" x14ac:dyDescent="0.25">
      <c r="A92" s="47"/>
      <c r="B92" s="12"/>
      <c r="C92" s="14"/>
      <c r="D92" s="14"/>
      <c r="E92" s="14"/>
      <c r="F92" s="14"/>
      <c r="G92" s="14"/>
      <c r="H92" s="14"/>
      <c r="I92" s="14">
        <f t="shared" si="2"/>
        <v>0</v>
      </c>
      <c r="J92" s="14">
        <f t="shared" si="2"/>
        <v>0</v>
      </c>
      <c r="K92" s="14">
        <f t="shared" si="2"/>
        <v>0</v>
      </c>
      <c r="L92" s="14"/>
      <c r="M92" s="150"/>
      <c r="N92" s="12"/>
      <c r="R92" s="108"/>
      <c r="S92" s="108"/>
      <c r="T92" s="108"/>
      <c r="U92" s="12"/>
      <c r="V92" s="5"/>
      <c r="W92" s="12"/>
      <c r="X92" s="12"/>
      <c r="Y92" s="10"/>
      <c r="Z92" s="6"/>
      <c r="AA92" s="12"/>
      <c r="AB92" s="12"/>
      <c r="AC92" s="12"/>
      <c r="AD92" s="12"/>
      <c r="AE92" s="12"/>
      <c r="AF92" s="12"/>
      <c r="AG92" s="12"/>
      <c r="AH92" s="5"/>
      <c r="AI92" s="12"/>
      <c r="AJ92" s="17"/>
      <c r="AL92" s="12"/>
      <c r="AM92" s="12"/>
      <c r="AN92" s="12"/>
      <c r="AO92" s="12"/>
      <c r="AP92" s="12"/>
      <c r="AQ92" s="12"/>
      <c r="AR92" s="12"/>
      <c r="AS92" s="5"/>
      <c r="AT92" s="5"/>
      <c r="AU92" s="5"/>
      <c r="AV92" s="5"/>
      <c r="AW92" s="12"/>
      <c r="AX92" s="17"/>
      <c r="AY92" s="5"/>
      <c r="AZ92" s="12"/>
      <c r="BA92" s="12"/>
      <c r="BB92" s="12"/>
      <c r="BC92" s="12"/>
      <c r="BD92" s="12"/>
      <c r="BE92" s="12"/>
      <c r="BF92" s="12"/>
      <c r="BG92" s="5"/>
      <c r="BH92" s="5"/>
      <c r="BI92" s="12"/>
      <c r="BJ92" s="17"/>
      <c r="BK92" s="5"/>
      <c r="BL92" s="143"/>
      <c r="BM92" s="143"/>
      <c r="BN92" s="143"/>
      <c r="BO92" s="143"/>
      <c r="BP92" s="143"/>
      <c r="BQ92" s="143"/>
      <c r="BR92" s="12"/>
      <c r="BS92" s="5"/>
      <c r="BT92" s="5"/>
      <c r="BU92" s="5"/>
      <c r="BV92" s="5"/>
      <c r="BW92" s="5"/>
      <c r="BX92" s="5"/>
      <c r="BY92" s="5"/>
      <c r="BZ92" s="5"/>
      <c r="CA92" s="5"/>
      <c r="CB92" s="12"/>
      <c r="CC92" s="17"/>
      <c r="CE92" s="143"/>
      <c r="CF92" s="143"/>
      <c r="CG92" s="143"/>
      <c r="CH92" s="143"/>
      <c r="CI92" s="143"/>
      <c r="CJ92" s="143"/>
      <c r="CK92" s="12"/>
      <c r="CL92" s="5"/>
      <c r="CM92" s="5"/>
      <c r="CN92" s="5"/>
      <c r="CO92" s="5"/>
      <c r="CP92" s="5"/>
      <c r="CQ92" s="5"/>
      <c r="CR92" s="5"/>
      <c r="CS92" s="130"/>
      <c r="CT92" s="12"/>
      <c r="CU92" s="17"/>
      <c r="CV92" s="130"/>
      <c r="CW92" s="12"/>
      <c r="CX92" s="12"/>
      <c r="CY92" s="12"/>
      <c r="CZ92" s="12"/>
      <c r="DA92" s="12"/>
      <c r="DB92" s="12"/>
      <c r="DC92" s="12"/>
      <c r="DD92" s="130"/>
      <c r="DE92" s="130"/>
      <c r="DF92" s="130"/>
      <c r="DG92" s="130"/>
      <c r="DH92" s="130"/>
      <c r="DI92" s="130"/>
      <c r="DJ92" s="130"/>
      <c r="DK92" s="130"/>
      <c r="DL92" s="130"/>
      <c r="DM92" s="130"/>
      <c r="DN92" s="12"/>
      <c r="DO92" s="17"/>
      <c r="EH92" s="12"/>
      <c r="EI92" s="17"/>
      <c r="FM92" s="12"/>
      <c r="FN92" s="17"/>
      <c r="GJ92" s="12"/>
      <c r="GK92" s="17"/>
      <c r="GT92" s="103"/>
      <c r="GU92" s="103"/>
      <c r="GV92" s="103"/>
      <c r="GW92" s="103"/>
      <c r="GX92" s="103"/>
      <c r="GY92" s="103"/>
      <c r="GZ92" s="103"/>
      <c r="HA92" s="103"/>
      <c r="HB92" s="103"/>
      <c r="HC92" s="103"/>
      <c r="HD92" s="103"/>
      <c r="HE92" s="12"/>
      <c r="HF92" s="17"/>
      <c r="HO92" s="103"/>
      <c r="HP92" s="12"/>
      <c r="HQ92" s="17"/>
      <c r="HZ92" s="103"/>
      <c r="IA92" s="12"/>
      <c r="IB92" s="17"/>
    </row>
    <row r="93" spans="1:236" ht="14.45" hidden="1" customHeight="1" x14ac:dyDescent="0.25">
      <c r="A93" s="47"/>
      <c r="B93" s="12"/>
      <c r="C93" s="14"/>
      <c r="D93" s="14"/>
      <c r="E93" s="14"/>
      <c r="F93" s="14"/>
      <c r="G93" s="14"/>
      <c r="H93" s="14"/>
      <c r="I93" s="14">
        <f t="shared" si="2"/>
        <v>0</v>
      </c>
      <c r="J93" s="14">
        <f t="shared" si="2"/>
        <v>0</v>
      </c>
      <c r="K93" s="14">
        <f t="shared" si="2"/>
        <v>0</v>
      </c>
      <c r="L93" s="14"/>
      <c r="M93" s="150"/>
      <c r="N93" s="12"/>
      <c r="R93" s="108"/>
      <c r="S93" s="108"/>
      <c r="T93" s="108"/>
      <c r="U93" s="12"/>
      <c r="V93" s="5"/>
      <c r="W93" s="12"/>
      <c r="X93" s="12"/>
      <c r="Y93" s="10"/>
      <c r="Z93" s="6"/>
      <c r="AA93" s="12"/>
      <c r="AB93" s="12"/>
      <c r="AC93" s="12"/>
      <c r="AD93" s="12"/>
      <c r="AE93" s="12"/>
      <c r="AF93" s="12"/>
      <c r="AG93" s="12"/>
      <c r="AH93" s="5"/>
      <c r="AI93" s="12"/>
      <c r="AJ93" s="17"/>
      <c r="AL93" s="12"/>
      <c r="AM93" s="12"/>
      <c r="AN93" s="12"/>
      <c r="AO93" s="12"/>
      <c r="AP93" s="12"/>
      <c r="AQ93" s="12"/>
      <c r="AR93" s="12"/>
      <c r="AS93" s="5"/>
      <c r="AT93" s="5"/>
      <c r="AU93" s="5"/>
      <c r="AV93" s="5"/>
      <c r="AW93" s="12"/>
      <c r="AX93" s="17"/>
      <c r="AY93" s="5"/>
      <c r="AZ93" s="12"/>
      <c r="BA93" s="12"/>
      <c r="BB93" s="12"/>
      <c r="BC93" s="12"/>
      <c r="BD93" s="12"/>
      <c r="BE93" s="12"/>
      <c r="BF93" s="12"/>
      <c r="BG93" s="5"/>
      <c r="BH93" s="5"/>
      <c r="BI93" s="12"/>
      <c r="BJ93" s="17"/>
      <c r="BK93" s="5"/>
      <c r="BL93" s="143"/>
      <c r="BM93" s="143"/>
      <c r="BN93" s="143"/>
      <c r="BO93" s="143"/>
      <c r="BP93" s="143"/>
      <c r="BQ93" s="143"/>
      <c r="BR93" s="12"/>
      <c r="BS93" s="5"/>
      <c r="BT93" s="5"/>
      <c r="BU93" s="5"/>
      <c r="BV93" s="5"/>
      <c r="BW93" s="5"/>
      <c r="BX93" s="5"/>
      <c r="BY93" s="5"/>
      <c r="BZ93" s="5"/>
      <c r="CA93" s="5"/>
      <c r="CB93" s="12"/>
      <c r="CC93" s="17"/>
      <c r="CE93" s="143"/>
      <c r="CF93" s="143"/>
      <c r="CG93" s="143"/>
      <c r="CH93" s="143"/>
      <c r="CI93" s="143"/>
      <c r="CJ93" s="143"/>
      <c r="CK93" s="12"/>
      <c r="CL93" s="5"/>
      <c r="CM93" s="5"/>
      <c r="CN93" s="5"/>
      <c r="CO93" s="5"/>
      <c r="CP93" s="5"/>
      <c r="CQ93" s="5"/>
      <c r="CR93" s="5"/>
      <c r="CS93" s="130"/>
      <c r="CT93" s="12"/>
      <c r="CU93" s="17"/>
      <c r="CV93" s="130"/>
      <c r="CW93" s="12"/>
      <c r="CX93" s="12"/>
      <c r="CY93" s="12"/>
      <c r="CZ93" s="12"/>
      <c r="DA93" s="12"/>
      <c r="DB93" s="12"/>
      <c r="DC93" s="12"/>
      <c r="DD93" s="130"/>
      <c r="DE93" s="130"/>
      <c r="DF93" s="130"/>
      <c r="DG93" s="130"/>
      <c r="DH93" s="130"/>
      <c r="DI93" s="130"/>
      <c r="DJ93" s="130"/>
      <c r="DK93" s="130"/>
      <c r="DL93" s="130"/>
      <c r="DM93" s="130"/>
      <c r="DN93" s="12"/>
      <c r="DO93" s="17"/>
      <c r="EH93" s="12"/>
      <c r="EI93" s="17"/>
      <c r="FM93" s="12"/>
      <c r="FN93" s="17"/>
      <c r="GJ93" s="12"/>
      <c r="GK93" s="17"/>
      <c r="GT93" s="103"/>
      <c r="GU93" s="103"/>
      <c r="GV93" s="103"/>
      <c r="GW93" s="103"/>
      <c r="GX93" s="103"/>
      <c r="GY93" s="103"/>
      <c r="GZ93" s="103"/>
      <c r="HA93" s="103"/>
      <c r="HB93" s="103"/>
      <c r="HC93" s="103"/>
      <c r="HD93" s="103"/>
      <c r="HE93" s="12"/>
      <c r="HF93" s="17"/>
      <c r="HO93" s="103"/>
      <c r="HP93" s="12"/>
      <c r="HQ93" s="17"/>
      <c r="HZ93" s="103"/>
      <c r="IA93" s="12"/>
      <c r="IB93" s="17"/>
    </row>
    <row r="94" spans="1:236" ht="14.45" hidden="1" customHeight="1" x14ac:dyDescent="0.25">
      <c r="A94" s="47"/>
      <c r="B94" s="12"/>
      <c r="C94" s="14"/>
      <c r="D94" s="14"/>
      <c r="E94" s="14"/>
      <c r="F94" s="14"/>
      <c r="G94" s="14"/>
      <c r="H94" s="14"/>
      <c r="I94" s="14">
        <f t="shared" si="2"/>
        <v>0</v>
      </c>
      <c r="J94" s="14">
        <f t="shared" si="2"/>
        <v>0</v>
      </c>
      <c r="K94" s="14">
        <f t="shared" si="2"/>
        <v>0</v>
      </c>
      <c r="L94" s="14"/>
      <c r="M94" s="150"/>
      <c r="N94" s="12"/>
      <c r="R94" s="108"/>
      <c r="S94" s="108"/>
      <c r="T94" s="108"/>
      <c r="U94" s="12"/>
      <c r="V94" s="5"/>
      <c r="W94" s="12"/>
      <c r="X94" s="12"/>
      <c r="Y94" s="10"/>
      <c r="Z94" s="6"/>
      <c r="AA94" s="12"/>
      <c r="AB94" s="12"/>
      <c r="AC94" s="12"/>
      <c r="AD94" s="12"/>
      <c r="AE94" s="12"/>
      <c r="AF94" s="12"/>
      <c r="AG94" s="12"/>
      <c r="AH94" s="5"/>
      <c r="AI94" s="12"/>
      <c r="AJ94" s="17"/>
      <c r="AL94" s="12"/>
      <c r="AM94" s="12"/>
      <c r="AN94" s="12"/>
      <c r="AO94" s="12"/>
      <c r="AP94" s="12"/>
      <c r="AQ94" s="12"/>
      <c r="AR94" s="12"/>
      <c r="AS94" s="5"/>
      <c r="AT94" s="5"/>
      <c r="AU94" s="5"/>
      <c r="AV94" s="5"/>
      <c r="AW94" s="12"/>
      <c r="AX94" s="17"/>
      <c r="AY94" s="5"/>
      <c r="AZ94" s="12"/>
      <c r="BA94" s="12"/>
      <c r="BB94" s="12"/>
      <c r="BC94" s="12"/>
      <c r="BD94" s="12"/>
      <c r="BE94" s="12"/>
      <c r="BF94" s="12"/>
      <c r="BG94" s="5"/>
      <c r="BH94" s="5"/>
      <c r="BI94" s="12"/>
      <c r="BJ94" s="17"/>
      <c r="BK94" s="5"/>
      <c r="BL94" s="143"/>
      <c r="BM94" s="143"/>
      <c r="BN94" s="143"/>
      <c r="BO94" s="143"/>
      <c r="BP94" s="143"/>
      <c r="BQ94" s="143"/>
      <c r="BR94" s="12"/>
      <c r="BS94" s="5"/>
      <c r="BT94" s="5"/>
      <c r="BU94" s="5"/>
      <c r="BV94" s="5"/>
      <c r="BW94" s="5"/>
      <c r="BX94" s="5"/>
      <c r="BY94" s="5"/>
      <c r="BZ94" s="5"/>
      <c r="CA94" s="5"/>
      <c r="CB94" s="12"/>
      <c r="CC94" s="17"/>
      <c r="CE94" s="143"/>
      <c r="CF94" s="143"/>
      <c r="CG94" s="143"/>
      <c r="CH94" s="143"/>
      <c r="CI94" s="143"/>
      <c r="CJ94" s="143"/>
      <c r="CK94" s="12"/>
      <c r="CL94" s="5"/>
      <c r="CM94" s="5"/>
      <c r="CN94" s="5"/>
      <c r="CO94" s="5"/>
      <c r="CP94" s="5"/>
      <c r="CQ94" s="5"/>
      <c r="CR94" s="5"/>
      <c r="CS94" s="130"/>
      <c r="CT94" s="12"/>
      <c r="CU94" s="17"/>
      <c r="CV94" s="130"/>
      <c r="CW94" s="12"/>
      <c r="CX94" s="12"/>
      <c r="CY94" s="12"/>
      <c r="CZ94" s="12"/>
      <c r="DA94" s="12"/>
      <c r="DB94" s="12"/>
      <c r="DC94" s="12"/>
      <c r="DD94" s="130"/>
      <c r="DE94" s="130"/>
      <c r="DF94" s="130"/>
      <c r="DG94" s="130"/>
      <c r="DH94" s="130"/>
      <c r="DI94" s="130"/>
      <c r="DJ94" s="130"/>
      <c r="DK94" s="130"/>
      <c r="DL94" s="130"/>
      <c r="DM94" s="130"/>
      <c r="DN94" s="12"/>
      <c r="DO94" s="17"/>
      <c r="EH94" s="12"/>
      <c r="EI94" s="17"/>
      <c r="FM94" s="12"/>
      <c r="FN94" s="17"/>
      <c r="GJ94" s="12"/>
      <c r="GK94" s="17"/>
      <c r="GT94" s="103"/>
      <c r="GU94" s="103"/>
      <c r="GV94" s="103"/>
      <c r="GW94" s="103"/>
      <c r="GX94" s="103"/>
      <c r="GY94" s="103"/>
      <c r="GZ94" s="103"/>
      <c r="HA94" s="103"/>
      <c r="HB94" s="103"/>
      <c r="HC94" s="103"/>
      <c r="HD94" s="103"/>
      <c r="HE94" s="12"/>
      <c r="HF94" s="17"/>
      <c r="HO94" s="103"/>
      <c r="HP94" s="12"/>
      <c r="HQ94" s="17"/>
      <c r="HZ94" s="103"/>
      <c r="IA94" s="12"/>
      <c r="IB94" s="17"/>
    </row>
    <row r="95" spans="1:236" ht="14.45" hidden="1" customHeight="1" x14ac:dyDescent="0.25">
      <c r="A95" s="47"/>
      <c r="B95" s="12"/>
      <c r="C95" s="14"/>
      <c r="D95" s="14"/>
      <c r="E95" s="14"/>
      <c r="F95" s="14"/>
      <c r="G95" s="14"/>
      <c r="H95" s="14"/>
      <c r="I95" s="14">
        <f t="shared" si="2"/>
        <v>0</v>
      </c>
      <c r="J95" s="14">
        <f t="shared" si="2"/>
        <v>0</v>
      </c>
      <c r="K95" s="14">
        <f t="shared" si="2"/>
        <v>0</v>
      </c>
      <c r="L95" s="14"/>
      <c r="M95" s="150"/>
      <c r="N95" s="12"/>
      <c r="R95" s="108"/>
      <c r="S95" s="108"/>
      <c r="T95" s="108"/>
      <c r="U95" s="12"/>
      <c r="V95" s="5"/>
      <c r="W95" s="12"/>
      <c r="X95" s="12"/>
      <c r="Y95" s="10"/>
      <c r="Z95" s="6"/>
      <c r="AA95" s="12"/>
      <c r="AB95" s="12"/>
      <c r="AC95" s="12"/>
      <c r="AD95" s="12"/>
      <c r="AE95" s="12"/>
      <c r="AF95" s="12"/>
      <c r="AG95" s="12"/>
      <c r="AH95" s="5"/>
      <c r="AI95" s="12"/>
      <c r="AJ95" s="17"/>
      <c r="AL95" s="12"/>
      <c r="AM95" s="12"/>
      <c r="AN95" s="12"/>
      <c r="AO95" s="12"/>
      <c r="AP95" s="12"/>
      <c r="AQ95" s="12"/>
      <c r="AR95" s="12"/>
      <c r="AS95" s="5"/>
      <c r="AT95" s="5"/>
      <c r="AU95" s="5"/>
      <c r="AV95" s="5"/>
      <c r="AW95" s="12"/>
      <c r="AX95" s="17"/>
      <c r="AY95" s="5"/>
      <c r="AZ95" s="12"/>
      <c r="BA95" s="12"/>
      <c r="BB95" s="12"/>
      <c r="BC95" s="12"/>
      <c r="BD95" s="12"/>
      <c r="BE95" s="12"/>
      <c r="BF95" s="12"/>
      <c r="BG95" s="5"/>
      <c r="BH95" s="5"/>
      <c r="BI95" s="12"/>
      <c r="BJ95" s="17"/>
      <c r="BK95" s="5"/>
      <c r="BL95" s="143"/>
      <c r="BM95" s="143"/>
      <c r="BN95" s="143"/>
      <c r="BO95" s="143"/>
      <c r="BP95" s="143"/>
      <c r="BQ95" s="143"/>
      <c r="BR95" s="12"/>
      <c r="BS95" s="5"/>
      <c r="BT95" s="5"/>
      <c r="BU95" s="5"/>
      <c r="BV95" s="5"/>
      <c r="BW95" s="5"/>
      <c r="BX95" s="5"/>
      <c r="BY95" s="5"/>
      <c r="BZ95" s="5"/>
      <c r="CA95" s="5"/>
      <c r="CB95" s="12"/>
      <c r="CC95" s="17"/>
      <c r="CE95" s="143"/>
      <c r="CF95" s="143"/>
      <c r="CG95" s="143"/>
      <c r="CH95" s="143"/>
      <c r="CI95" s="143"/>
      <c r="CJ95" s="143"/>
      <c r="CK95" s="12"/>
      <c r="CL95" s="5"/>
      <c r="CM95" s="5"/>
      <c r="CN95" s="5"/>
      <c r="CO95" s="5"/>
      <c r="CP95" s="5"/>
      <c r="CQ95" s="5"/>
      <c r="CR95" s="5"/>
      <c r="CS95" s="130"/>
      <c r="CT95" s="12"/>
      <c r="CU95" s="17"/>
      <c r="CV95" s="130"/>
      <c r="CW95" s="12"/>
      <c r="CX95" s="12"/>
      <c r="CY95" s="12"/>
      <c r="CZ95" s="12"/>
      <c r="DA95" s="12"/>
      <c r="DB95" s="12"/>
      <c r="DC95" s="12"/>
      <c r="DD95" s="130"/>
      <c r="DE95" s="130"/>
      <c r="DF95" s="130"/>
      <c r="DG95" s="130"/>
      <c r="DH95" s="130"/>
      <c r="DI95" s="130"/>
      <c r="DJ95" s="130"/>
      <c r="DK95" s="130"/>
      <c r="DL95" s="130"/>
      <c r="DM95" s="130"/>
      <c r="DN95" s="12"/>
      <c r="DO95" s="17"/>
      <c r="EH95" s="12"/>
      <c r="EI95" s="17"/>
      <c r="FM95" s="12"/>
      <c r="FN95" s="17"/>
      <c r="GJ95" s="12"/>
      <c r="GK95" s="17"/>
      <c r="GT95" s="103"/>
      <c r="GU95" s="103"/>
      <c r="GV95" s="103"/>
      <c r="GW95" s="103"/>
      <c r="GX95" s="103"/>
      <c r="GY95" s="103"/>
      <c r="GZ95" s="103"/>
      <c r="HA95" s="103"/>
      <c r="HB95" s="103"/>
      <c r="HC95" s="103"/>
      <c r="HD95" s="103"/>
      <c r="HE95" s="12"/>
      <c r="HF95" s="17"/>
      <c r="HO95" s="103"/>
      <c r="HP95" s="12"/>
      <c r="HQ95" s="17"/>
      <c r="HZ95" s="103"/>
      <c r="IA95" s="12"/>
      <c r="IB95" s="17"/>
    </row>
    <row r="96" spans="1:236" ht="14.45" hidden="1" customHeight="1" x14ac:dyDescent="0.25">
      <c r="A96" s="47"/>
      <c r="B96" s="12"/>
      <c r="C96" s="14"/>
      <c r="D96" s="14"/>
      <c r="E96" s="14"/>
      <c r="F96" s="14"/>
      <c r="G96" s="14"/>
      <c r="H96" s="14"/>
      <c r="I96" s="14">
        <f t="shared" si="2"/>
        <v>0</v>
      </c>
      <c r="J96" s="14">
        <f t="shared" si="2"/>
        <v>0</v>
      </c>
      <c r="K96" s="14">
        <f t="shared" si="2"/>
        <v>0</v>
      </c>
      <c r="L96" s="14"/>
      <c r="M96" s="150"/>
      <c r="N96" s="12"/>
      <c r="R96" s="108"/>
      <c r="S96" s="108"/>
      <c r="T96" s="108"/>
      <c r="U96" s="12"/>
      <c r="V96" s="5"/>
      <c r="W96" s="12"/>
      <c r="X96" s="12"/>
      <c r="Y96" s="10"/>
      <c r="Z96" s="6"/>
      <c r="AA96" s="12"/>
      <c r="AB96" s="12"/>
      <c r="AC96" s="12"/>
      <c r="AD96" s="12"/>
      <c r="AE96" s="12"/>
      <c r="AF96" s="12"/>
      <c r="AG96" s="12"/>
      <c r="AH96" s="5"/>
      <c r="AI96" s="12"/>
      <c r="AJ96" s="17"/>
      <c r="AL96" s="12"/>
      <c r="AM96" s="12"/>
      <c r="AN96" s="12"/>
      <c r="AO96" s="12"/>
      <c r="AP96" s="12"/>
      <c r="AQ96" s="12"/>
      <c r="AR96" s="12"/>
      <c r="AS96" s="5"/>
      <c r="AT96" s="5"/>
      <c r="AU96" s="5"/>
      <c r="AV96" s="5"/>
      <c r="AW96" s="12"/>
      <c r="AX96" s="17"/>
      <c r="AY96" s="5"/>
      <c r="AZ96" s="12"/>
      <c r="BA96" s="12"/>
      <c r="BB96" s="12"/>
      <c r="BC96" s="12"/>
      <c r="BD96" s="12"/>
      <c r="BE96" s="12"/>
      <c r="BF96" s="12"/>
      <c r="BG96" s="5"/>
      <c r="BH96" s="5"/>
      <c r="BI96" s="12"/>
      <c r="BJ96" s="17"/>
      <c r="BK96" s="5"/>
      <c r="BL96" s="143"/>
      <c r="BM96" s="143"/>
      <c r="BN96" s="143"/>
      <c r="BO96" s="143"/>
      <c r="BP96" s="143"/>
      <c r="BQ96" s="143"/>
      <c r="BR96" s="12"/>
      <c r="BS96" s="5"/>
      <c r="BT96" s="5"/>
      <c r="BU96" s="5"/>
      <c r="BV96" s="5"/>
      <c r="BW96" s="5"/>
      <c r="BX96" s="5"/>
      <c r="BY96" s="5"/>
      <c r="BZ96" s="5"/>
      <c r="CA96" s="5"/>
      <c r="CB96" s="12"/>
      <c r="CC96" s="17"/>
      <c r="CE96" s="143"/>
      <c r="CF96" s="143"/>
      <c r="CG96" s="143"/>
      <c r="CH96" s="143"/>
      <c r="CI96" s="143"/>
      <c r="CJ96" s="143"/>
      <c r="CK96" s="12"/>
      <c r="CL96" s="5"/>
      <c r="CM96" s="5"/>
      <c r="CN96" s="5"/>
      <c r="CO96" s="5"/>
      <c r="CP96" s="5"/>
      <c r="CQ96" s="5"/>
      <c r="CR96" s="5"/>
      <c r="CS96" s="130"/>
      <c r="CT96" s="12"/>
      <c r="CU96" s="17"/>
      <c r="CV96" s="130"/>
      <c r="CW96" s="12"/>
      <c r="CX96" s="12"/>
      <c r="CY96" s="12"/>
      <c r="CZ96" s="12"/>
      <c r="DA96" s="12"/>
      <c r="DB96" s="12"/>
      <c r="DC96" s="12"/>
      <c r="DD96" s="130"/>
      <c r="DE96" s="130"/>
      <c r="DF96" s="130"/>
      <c r="DG96" s="130"/>
      <c r="DH96" s="130"/>
      <c r="DI96" s="130"/>
      <c r="DJ96" s="130"/>
      <c r="DK96" s="130"/>
      <c r="DL96" s="130"/>
      <c r="DM96" s="130"/>
      <c r="DN96" s="12"/>
      <c r="DO96" s="17"/>
      <c r="EH96" s="12"/>
      <c r="EI96" s="17"/>
      <c r="FM96" s="12"/>
      <c r="FN96" s="17"/>
      <c r="GJ96" s="12"/>
      <c r="GK96" s="17"/>
      <c r="GT96" s="103"/>
      <c r="GU96" s="103"/>
      <c r="GV96" s="103"/>
      <c r="GW96" s="103"/>
      <c r="GX96" s="103"/>
      <c r="GY96" s="103"/>
      <c r="GZ96" s="103"/>
      <c r="HA96" s="103"/>
      <c r="HB96" s="103"/>
      <c r="HC96" s="103"/>
      <c r="HD96" s="103"/>
      <c r="HE96" s="12"/>
      <c r="HF96" s="17"/>
      <c r="HO96" s="103"/>
      <c r="HP96" s="12"/>
      <c r="HQ96" s="17"/>
      <c r="HZ96" s="103"/>
      <c r="IA96" s="12"/>
      <c r="IB96" s="17"/>
    </row>
    <row r="97" spans="1:236" ht="14.45" hidden="1" customHeight="1" x14ac:dyDescent="0.25">
      <c r="A97" s="47"/>
      <c r="B97" s="12"/>
      <c r="C97" s="14"/>
      <c r="D97" s="14"/>
      <c r="E97" s="14"/>
      <c r="F97" s="14"/>
      <c r="G97" s="14"/>
      <c r="H97" s="14"/>
      <c r="I97" s="14">
        <f t="shared" si="2"/>
        <v>0</v>
      </c>
      <c r="J97" s="14">
        <f t="shared" si="2"/>
        <v>0</v>
      </c>
      <c r="K97" s="14">
        <f t="shared" si="2"/>
        <v>0</v>
      </c>
      <c r="L97" s="14"/>
      <c r="M97" s="150"/>
      <c r="N97" s="12"/>
      <c r="R97" s="108"/>
      <c r="S97" s="108"/>
      <c r="T97" s="108"/>
      <c r="U97" s="12"/>
      <c r="V97" s="5"/>
      <c r="W97" s="12"/>
      <c r="X97" s="12"/>
      <c r="Y97" s="10"/>
      <c r="Z97" s="6"/>
      <c r="AA97" s="12"/>
      <c r="AB97" s="12"/>
      <c r="AC97" s="12"/>
      <c r="AD97" s="12"/>
      <c r="AE97" s="12"/>
      <c r="AF97" s="12"/>
      <c r="AG97" s="12"/>
      <c r="AH97" s="5"/>
      <c r="AI97" s="12"/>
      <c r="AJ97" s="17"/>
      <c r="AL97" s="12"/>
      <c r="AM97" s="12"/>
      <c r="AN97" s="12"/>
      <c r="AO97" s="12"/>
      <c r="AP97" s="12"/>
      <c r="AQ97" s="12"/>
      <c r="AR97" s="12"/>
      <c r="AS97" s="5"/>
      <c r="AT97" s="5"/>
      <c r="AU97" s="5"/>
      <c r="AV97" s="5"/>
      <c r="AW97" s="12"/>
      <c r="AX97" s="17"/>
      <c r="AY97" s="5"/>
      <c r="AZ97" s="12"/>
      <c r="BA97" s="12"/>
      <c r="BB97" s="12"/>
      <c r="BC97" s="12"/>
      <c r="BD97" s="12"/>
      <c r="BE97" s="12"/>
      <c r="BF97" s="12"/>
      <c r="BG97" s="5"/>
      <c r="BH97" s="5"/>
      <c r="BI97" s="12"/>
      <c r="BJ97" s="17"/>
      <c r="BK97" s="5"/>
      <c r="BL97" s="143"/>
      <c r="BM97" s="143"/>
      <c r="BN97" s="143"/>
      <c r="BO97" s="143"/>
      <c r="BP97" s="143"/>
      <c r="BQ97" s="143"/>
      <c r="BR97" s="12"/>
      <c r="BS97" s="5"/>
      <c r="BT97" s="5"/>
      <c r="BU97" s="5"/>
      <c r="BV97" s="5"/>
      <c r="BW97" s="5"/>
      <c r="BX97" s="5"/>
      <c r="BY97" s="5"/>
      <c r="BZ97" s="5"/>
      <c r="CA97" s="5"/>
      <c r="CB97" s="12"/>
      <c r="CC97" s="17"/>
      <c r="CE97" s="143"/>
      <c r="CF97" s="143"/>
      <c r="CG97" s="143"/>
      <c r="CH97" s="143"/>
      <c r="CI97" s="143"/>
      <c r="CJ97" s="143"/>
      <c r="CK97" s="12"/>
      <c r="CL97" s="5"/>
      <c r="CM97" s="5"/>
      <c r="CN97" s="5"/>
      <c r="CO97" s="5"/>
      <c r="CP97" s="5"/>
      <c r="CQ97" s="5"/>
      <c r="CR97" s="5"/>
      <c r="CS97" s="130"/>
      <c r="CT97" s="12"/>
      <c r="CU97" s="17"/>
      <c r="CV97" s="130"/>
      <c r="CW97" s="12"/>
      <c r="CX97" s="12"/>
      <c r="CY97" s="12"/>
      <c r="CZ97" s="12"/>
      <c r="DA97" s="12"/>
      <c r="DB97" s="12"/>
      <c r="DC97" s="12"/>
      <c r="DD97" s="130"/>
      <c r="DE97" s="130"/>
      <c r="DF97" s="130"/>
      <c r="DG97" s="130"/>
      <c r="DH97" s="130"/>
      <c r="DI97" s="130"/>
      <c r="DJ97" s="130"/>
      <c r="DK97" s="130"/>
      <c r="DL97" s="130"/>
      <c r="DM97" s="130"/>
      <c r="DN97" s="12"/>
      <c r="DO97" s="17"/>
      <c r="EH97" s="12"/>
      <c r="EI97" s="17"/>
      <c r="FM97" s="12"/>
      <c r="FN97" s="17"/>
      <c r="GJ97" s="12"/>
      <c r="GK97" s="17"/>
      <c r="GT97" s="103"/>
      <c r="GU97" s="103"/>
      <c r="GV97" s="103"/>
      <c r="GW97" s="103"/>
      <c r="GX97" s="103"/>
      <c r="GY97" s="103"/>
      <c r="GZ97" s="103"/>
      <c r="HA97" s="103"/>
      <c r="HB97" s="103"/>
      <c r="HC97" s="103"/>
      <c r="HD97" s="103"/>
      <c r="HE97" s="12"/>
      <c r="HF97" s="17"/>
      <c r="HO97" s="103"/>
      <c r="HP97" s="12"/>
      <c r="HQ97" s="17"/>
      <c r="HZ97" s="103"/>
      <c r="IA97" s="12"/>
      <c r="IB97" s="17"/>
    </row>
    <row r="98" spans="1:236" ht="14.45" hidden="1" customHeight="1" x14ac:dyDescent="0.25">
      <c r="A98" s="47"/>
      <c r="B98" s="12"/>
      <c r="C98" s="14"/>
      <c r="D98" s="14"/>
      <c r="E98" s="14"/>
      <c r="F98" s="14"/>
      <c r="G98" s="14"/>
      <c r="H98" s="14"/>
      <c r="I98" s="14">
        <f t="shared" si="2"/>
        <v>0</v>
      </c>
      <c r="J98" s="14">
        <f t="shared" si="2"/>
        <v>0</v>
      </c>
      <c r="K98" s="14">
        <f t="shared" si="2"/>
        <v>0</v>
      </c>
      <c r="L98" s="14"/>
      <c r="M98" s="150"/>
      <c r="N98" s="12"/>
      <c r="R98" s="108"/>
      <c r="S98" s="108"/>
      <c r="T98" s="108"/>
      <c r="U98" s="12"/>
      <c r="V98" s="5"/>
      <c r="W98" s="12"/>
      <c r="X98" s="12"/>
      <c r="Y98" s="10"/>
      <c r="Z98" s="6"/>
      <c r="AA98" s="12"/>
      <c r="AB98" s="12"/>
      <c r="AC98" s="12"/>
      <c r="AD98" s="12"/>
      <c r="AE98" s="12"/>
      <c r="AF98" s="12"/>
      <c r="AG98" s="12"/>
      <c r="AH98" s="5"/>
      <c r="AI98" s="12"/>
      <c r="AJ98" s="17"/>
      <c r="AL98" s="12"/>
      <c r="AM98" s="12"/>
      <c r="AN98" s="12"/>
      <c r="AO98" s="12"/>
      <c r="AP98" s="12"/>
      <c r="AQ98" s="12"/>
      <c r="AR98" s="12"/>
      <c r="AS98" s="5"/>
      <c r="AT98" s="5"/>
      <c r="AU98" s="5"/>
      <c r="AV98" s="5"/>
      <c r="AW98" s="12"/>
      <c r="AX98" s="17"/>
      <c r="AY98" s="5"/>
      <c r="AZ98" s="12"/>
      <c r="BA98" s="12"/>
      <c r="BB98" s="12"/>
      <c r="BC98" s="12"/>
      <c r="BD98" s="12"/>
      <c r="BE98" s="12"/>
      <c r="BF98" s="12"/>
      <c r="BG98" s="5"/>
      <c r="BH98" s="5"/>
      <c r="BI98" s="12"/>
      <c r="BJ98" s="17"/>
      <c r="BK98" s="5"/>
      <c r="BL98" s="143"/>
      <c r="BM98" s="143"/>
      <c r="BN98" s="143"/>
      <c r="BO98" s="143"/>
      <c r="BP98" s="143"/>
      <c r="BQ98" s="143"/>
      <c r="BR98" s="12"/>
      <c r="BS98" s="5"/>
      <c r="BT98" s="5"/>
      <c r="BU98" s="5"/>
      <c r="BV98" s="5"/>
      <c r="BW98" s="5"/>
      <c r="BX98" s="5"/>
      <c r="BY98" s="5"/>
      <c r="BZ98" s="5"/>
      <c r="CA98" s="5"/>
      <c r="CB98" s="12"/>
      <c r="CC98" s="17"/>
      <c r="CE98" s="143"/>
      <c r="CF98" s="143"/>
      <c r="CG98" s="143"/>
      <c r="CH98" s="143"/>
      <c r="CI98" s="143"/>
      <c r="CJ98" s="143"/>
      <c r="CK98" s="12"/>
      <c r="CL98" s="5"/>
      <c r="CM98" s="5"/>
      <c r="CN98" s="5"/>
      <c r="CO98" s="5"/>
      <c r="CP98" s="5"/>
      <c r="CQ98" s="5"/>
      <c r="CR98" s="5"/>
      <c r="CS98" s="130"/>
      <c r="CT98" s="12"/>
      <c r="CU98" s="17"/>
      <c r="CV98" s="130"/>
      <c r="CW98" s="12"/>
      <c r="CX98" s="12"/>
      <c r="CY98" s="12"/>
      <c r="CZ98" s="12"/>
      <c r="DA98" s="12"/>
      <c r="DB98" s="12"/>
      <c r="DC98" s="12"/>
      <c r="DD98" s="130"/>
      <c r="DE98" s="130"/>
      <c r="DF98" s="130"/>
      <c r="DG98" s="130"/>
      <c r="DH98" s="130"/>
      <c r="DI98" s="130"/>
      <c r="DJ98" s="130"/>
      <c r="DK98" s="130"/>
      <c r="DL98" s="130"/>
      <c r="DM98" s="130"/>
      <c r="DN98" s="12"/>
      <c r="DO98" s="17"/>
      <c r="EH98" s="12"/>
      <c r="EI98" s="17"/>
      <c r="FM98" s="12"/>
      <c r="FN98" s="17"/>
      <c r="GJ98" s="12"/>
      <c r="GK98" s="17"/>
      <c r="GT98" s="103"/>
      <c r="GU98" s="103"/>
      <c r="GV98" s="103"/>
      <c r="GW98" s="103"/>
      <c r="GX98" s="103"/>
      <c r="GY98" s="103"/>
      <c r="GZ98" s="103"/>
      <c r="HA98" s="103"/>
      <c r="HB98" s="103"/>
      <c r="HC98" s="103"/>
      <c r="HD98" s="103"/>
      <c r="HE98" s="12"/>
      <c r="HF98" s="17"/>
      <c r="HO98" s="103"/>
      <c r="HP98" s="12"/>
      <c r="HQ98" s="17"/>
      <c r="HZ98" s="103"/>
      <c r="IA98" s="12"/>
      <c r="IB98" s="17"/>
    </row>
    <row r="99" spans="1:236" ht="14.45" hidden="1" customHeight="1" x14ac:dyDescent="0.25">
      <c r="A99" s="47"/>
      <c r="B99" s="12"/>
      <c r="C99" s="14"/>
      <c r="D99" s="14"/>
      <c r="E99" s="14"/>
      <c r="F99" s="14"/>
      <c r="G99" s="14"/>
      <c r="H99" s="14"/>
      <c r="I99" s="14">
        <f t="shared" si="2"/>
        <v>68.25</v>
      </c>
      <c r="J99" s="14">
        <f t="shared" si="2"/>
        <v>0</v>
      </c>
      <c r="K99" s="14">
        <f t="shared" si="2"/>
        <v>0</v>
      </c>
      <c r="L99" s="14"/>
      <c r="M99" s="150"/>
      <c r="N99" s="12"/>
      <c r="R99" s="108"/>
      <c r="S99" s="108"/>
      <c r="T99" s="108"/>
      <c r="U99" s="12"/>
      <c r="V99" s="5"/>
      <c r="W99" s="12"/>
      <c r="X99" s="12"/>
      <c r="Y99" s="10"/>
      <c r="Z99" s="6"/>
      <c r="AA99" s="12"/>
      <c r="AB99" s="12"/>
      <c r="AC99" s="12"/>
      <c r="AD99" s="12"/>
      <c r="AE99" s="12"/>
      <c r="AF99" s="12"/>
      <c r="AG99" s="12"/>
      <c r="AH99" s="5"/>
      <c r="AI99" s="12"/>
      <c r="AJ99" s="17"/>
      <c r="AL99" s="12"/>
      <c r="AM99" s="12"/>
      <c r="AN99" s="12"/>
      <c r="AO99" s="12"/>
      <c r="AP99" s="12"/>
      <c r="AQ99" s="12"/>
      <c r="AR99" s="12"/>
      <c r="AS99" s="5"/>
      <c r="AT99" s="5"/>
      <c r="AU99" s="5"/>
      <c r="AV99" s="5"/>
      <c r="AW99" s="12"/>
      <c r="AX99" s="17"/>
      <c r="AY99" s="5"/>
      <c r="AZ99" s="12"/>
      <c r="BA99" s="12"/>
      <c r="BB99" s="12"/>
      <c r="BC99" s="12"/>
      <c r="BD99" s="12"/>
      <c r="BE99" s="12"/>
      <c r="BF99" s="12"/>
      <c r="BG99" s="5"/>
      <c r="BH99" s="5"/>
      <c r="BI99" s="12"/>
      <c r="BJ99" s="17"/>
      <c r="BK99" s="5"/>
      <c r="BL99" s="143"/>
      <c r="BM99" s="143"/>
      <c r="BN99" s="143"/>
      <c r="BO99" s="143"/>
      <c r="BP99" s="143"/>
      <c r="BQ99" s="143"/>
      <c r="BR99" s="12"/>
      <c r="BS99" s="5"/>
      <c r="BT99" s="5"/>
      <c r="BU99" s="5"/>
      <c r="BV99" s="5"/>
      <c r="BW99" s="5"/>
      <c r="BX99" s="5"/>
      <c r="BY99" s="5"/>
      <c r="BZ99" s="5"/>
      <c r="CA99" s="5"/>
      <c r="CB99" s="12"/>
      <c r="CC99" s="17"/>
      <c r="CE99" s="143"/>
      <c r="CF99" s="143"/>
      <c r="CG99" s="143"/>
      <c r="CH99" s="143"/>
      <c r="CI99" s="143"/>
      <c r="CJ99" s="143"/>
      <c r="CK99" s="12"/>
      <c r="CL99" s="5"/>
      <c r="CM99" s="5"/>
      <c r="CN99" s="5"/>
      <c r="CO99" s="5"/>
      <c r="CP99" s="5"/>
      <c r="CQ99" s="5"/>
      <c r="CR99" s="5"/>
      <c r="CS99" s="130"/>
      <c r="CT99" s="12"/>
      <c r="CU99" s="17"/>
      <c r="CV99" s="130"/>
      <c r="CW99" s="12"/>
      <c r="CX99" s="12"/>
      <c r="CY99" s="12"/>
      <c r="CZ99" s="12"/>
      <c r="DA99" s="12"/>
      <c r="DB99" s="12"/>
      <c r="DC99" s="12"/>
      <c r="DD99" s="130"/>
      <c r="DE99" s="130"/>
      <c r="DF99" s="130"/>
      <c r="DG99" s="130"/>
      <c r="DH99" s="130"/>
      <c r="DI99" s="130"/>
      <c r="DJ99" s="130"/>
      <c r="DK99" s="130"/>
      <c r="DL99" s="130"/>
      <c r="DM99" s="130"/>
      <c r="DN99" s="12"/>
      <c r="DO99" s="17"/>
      <c r="EH99" s="12"/>
      <c r="EI99" s="17"/>
      <c r="FM99" s="12"/>
      <c r="FN99" s="17"/>
      <c r="GJ99" s="12"/>
      <c r="GK99" s="17"/>
      <c r="GT99" s="103"/>
      <c r="GU99" s="103"/>
      <c r="GV99" s="103"/>
      <c r="GW99" s="103"/>
      <c r="GX99" s="103"/>
      <c r="GY99" s="103"/>
      <c r="GZ99" s="103"/>
      <c r="HA99" s="103"/>
      <c r="HB99" s="103"/>
      <c r="HC99" s="103"/>
      <c r="HD99" s="103"/>
      <c r="HE99" s="12"/>
      <c r="HF99" s="17"/>
      <c r="HO99" s="103"/>
      <c r="HP99" s="12"/>
      <c r="HQ99" s="17"/>
      <c r="HZ99" s="103"/>
      <c r="IA99" s="12"/>
      <c r="IB99" s="17"/>
    </row>
    <row r="100" spans="1:236" ht="14.45" hidden="1" customHeight="1" x14ac:dyDescent="0.25">
      <c r="A100" s="47"/>
      <c r="B100" s="12"/>
      <c r="C100" s="14"/>
      <c r="D100" s="14"/>
      <c r="E100" s="14"/>
      <c r="F100" s="14"/>
      <c r="G100" s="14"/>
      <c r="H100" s="14"/>
      <c r="I100" s="14">
        <f t="shared" si="2"/>
        <v>88.949999999999989</v>
      </c>
      <c r="J100" s="14">
        <f t="shared" si="2"/>
        <v>0</v>
      </c>
      <c r="K100" s="14">
        <f t="shared" si="2"/>
        <v>0</v>
      </c>
      <c r="L100" s="14"/>
      <c r="M100" s="150"/>
      <c r="N100" s="12"/>
      <c r="R100" s="108"/>
      <c r="S100" s="108"/>
      <c r="T100" s="108"/>
      <c r="U100" s="12"/>
      <c r="V100" s="5"/>
      <c r="W100" s="12"/>
      <c r="X100" s="12"/>
      <c r="Y100" s="10"/>
      <c r="Z100" s="6"/>
      <c r="AA100" s="12"/>
      <c r="AB100" s="12"/>
      <c r="AC100" s="12"/>
      <c r="AD100" s="12"/>
      <c r="AE100" s="12"/>
      <c r="AF100" s="12"/>
      <c r="AG100" s="12"/>
      <c r="AH100" s="5"/>
      <c r="AI100" s="12"/>
      <c r="AJ100" s="17"/>
      <c r="AL100" s="12"/>
      <c r="AM100" s="12"/>
      <c r="AN100" s="12"/>
      <c r="AO100" s="12"/>
      <c r="AP100" s="12"/>
      <c r="AQ100" s="12"/>
      <c r="AR100" s="12"/>
      <c r="AS100" s="5"/>
      <c r="AT100" s="5"/>
      <c r="AU100" s="5"/>
      <c r="AV100" s="5"/>
      <c r="AW100" s="12"/>
      <c r="AX100" s="17"/>
      <c r="AY100" s="5"/>
      <c r="AZ100" s="12"/>
      <c r="BA100" s="12"/>
      <c r="BB100" s="12"/>
      <c r="BC100" s="12"/>
      <c r="BD100" s="12"/>
      <c r="BE100" s="12"/>
      <c r="BF100" s="12"/>
      <c r="BG100" s="5"/>
      <c r="BH100" s="5"/>
      <c r="BI100" s="12"/>
      <c r="BJ100" s="17"/>
      <c r="BK100" s="5"/>
      <c r="BL100" s="143"/>
      <c r="BM100" s="143"/>
      <c r="BN100" s="143"/>
      <c r="BO100" s="143"/>
      <c r="BP100" s="143"/>
      <c r="BQ100" s="143"/>
      <c r="BR100" s="12"/>
      <c r="BS100" s="5"/>
      <c r="BT100" s="5"/>
      <c r="BU100" s="5"/>
      <c r="BV100" s="5"/>
      <c r="BW100" s="5"/>
      <c r="BX100" s="5"/>
      <c r="BY100" s="5"/>
      <c r="BZ100" s="5"/>
      <c r="CA100" s="5"/>
      <c r="CB100" s="12"/>
      <c r="CC100" s="17"/>
      <c r="CE100" s="143"/>
      <c r="CF100" s="143"/>
      <c r="CG100" s="143"/>
      <c r="CH100" s="143"/>
      <c r="CI100" s="143"/>
      <c r="CJ100" s="143"/>
      <c r="CK100" s="12"/>
      <c r="CL100" s="5"/>
      <c r="CM100" s="5"/>
      <c r="CN100" s="5"/>
      <c r="CO100" s="5"/>
      <c r="CP100" s="5"/>
      <c r="CQ100" s="5"/>
      <c r="CR100" s="5"/>
      <c r="CS100" s="130"/>
      <c r="CT100" s="12"/>
      <c r="CU100" s="17"/>
      <c r="CV100" s="130"/>
      <c r="CW100" s="12"/>
      <c r="CX100" s="12"/>
      <c r="CY100" s="12"/>
      <c r="CZ100" s="12"/>
      <c r="DA100" s="12"/>
      <c r="DB100" s="12"/>
      <c r="DC100" s="12"/>
      <c r="DD100" s="130"/>
      <c r="DE100" s="130"/>
      <c r="DF100" s="130"/>
      <c r="DG100" s="130"/>
      <c r="DH100" s="130"/>
      <c r="DI100" s="130"/>
      <c r="DJ100" s="130"/>
      <c r="DK100" s="130"/>
      <c r="DL100" s="130"/>
      <c r="DM100" s="130"/>
      <c r="DN100" s="12"/>
      <c r="DO100" s="17"/>
      <c r="EH100" s="12"/>
      <c r="EI100" s="17"/>
      <c r="FM100" s="12"/>
      <c r="FN100" s="17"/>
      <c r="GJ100" s="12"/>
      <c r="GK100" s="17"/>
      <c r="GT100" s="103"/>
      <c r="GU100" s="103"/>
      <c r="GV100" s="103"/>
      <c r="GW100" s="103"/>
      <c r="GX100" s="103"/>
      <c r="GY100" s="103"/>
      <c r="GZ100" s="103"/>
      <c r="HA100" s="103"/>
      <c r="HB100" s="103"/>
      <c r="HC100" s="103"/>
      <c r="HD100" s="103"/>
      <c r="HE100" s="12"/>
      <c r="HF100" s="17"/>
      <c r="HO100" s="103"/>
      <c r="HP100" s="12"/>
      <c r="HQ100" s="17"/>
      <c r="HZ100" s="103"/>
      <c r="IA100" s="12"/>
      <c r="IB100" s="17"/>
    </row>
    <row r="101" spans="1:236" ht="14.45" hidden="1" customHeight="1" x14ac:dyDescent="0.25">
      <c r="A101" s="47"/>
      <c r="B101" s="12"/>
      <c r="C101" s="14"/>
      <c r="D101" s="14"/>
      <c r="E101" s="14"/>
      <c r="F101" s="14"/>
      <c r="G101" s="14"/>
      <c r="H101" s="14"/>
      <c r="I101" s="14">
        <f t="shared" si="2"/>
        <v>0</v>
      </c>
      <c r="J101" s="14">
        <f t="shared" si="2"/>
        <v>0</v>
      </c>
      <c r="K101" s="14">
        <f t="shared" si="2"/>
        <v>0</v>
      </c>
      <c r="L101" s="14"/>
      <c r="M101" s="150"/>
      <c r="N101" s="12"/>
      <c r="R101" s="108"/>
      <c r="S101" s="108"/>
      <c r="T101" s="108"/>
      <c r="U101" s="12"/>
      <c r="V101" s="5"/>
      <c r="W101" s="12"/>
      <c r="X101" s="12"/>
      <c r="Y101" s="10"/>
      <c r="Z101" s="6"/>
      <c r="AA101" s="12"/>
      <c r="AB101" s="12"/>
      <c r="AC101" s="12"/>
      <c r="AD101" s="12"/>
      <c r="AE101" s="12"/>
      <c r="AF101" s="12"/>
      <c r="AG101" s="12"/>
      <c r="AH101" s="5"/>
      <c r="AI101" s="12"/>
      <c r="AJ101" s="17"/>
      <c r="AL101" s="12"/>
      <c r="AM101" s="12"/>
      <c r="AN101" s="12"/>
      <c r="AO101" s="12"/>
      <c r="AP101" s="12"/>
      <c r="AQ101" s="12"/>
      <c r="AR101" s="12"/>
      <c r="AS101" s="5"/>
      <c r="AT101" s="5"/>
      <c r="AU101" s="5"/>
      <c r="AV101" s="5"/>
      <c r="AW101" s="12"/>
      <c r="AX101" s="17"/>
      <c r="AY101" s="5"/>
      <c r="AZ101" s="12"/>
      <c r="BA101" s="12"/>
      <c r="BB101" s="12"/>
      <c r="BC101" s="12"/>
      <c r="BD101" s="12"/>
      <c r="BE101" s="12"/>
      <c r="BF101" s="12"/>
      <c r="BG101" s="5"/>
      <c r="BH101" s="5"/>
      <c r="BI101" s="12"/>
      <c r="BJ101" s="17"/>
      <c r="BK101" s="5"/>
      <c r="BL101" s="143"/>
      <c r="BM101" s="143"/>
      <c r="BN101" s="143"/>
      <c r="BO101" s="143"/>
      <c r="BP101" s="143"/>
      <c r="BQ101" s="143"/>
      <c r="BR101" s="12"/>
      <c r="BS101" s="5"/>
      <c r="BT101" s="5"/>
      <c r="BU101" s="5"/>
      <c r="BV101" s="5"/>
      <c r="BW101" s="5"/>
      <c r="BX101" s="5"/>
      <c r="BY101" s="5"/>
      <c r="BZ101" s="5"/>
      <c r="CA101" s="5"/>
      <c r="CB101" s="12"/>
      <c r="CC101" s="17"/>
      <c r="CE101" s="143"/>
      <c r="CF101" s="143"/>
      <c r="CG101" s="143"/>
      <c r="CH101" s="143"/>
      <c r="CI101" s="143"/>
      <c r="CJ101" s="143"/>
      <c r="CK101" s="12"/>
      <c r="CL101" s="5"/>
      <c r="CM101" s="5"/>
      <c r="CN101" s="5"/>
      <c r="CO101" s="5"/>
      <c r="CP101" s="5"/>
      <c r="CQ101" s="5"/>
      <c r="CR101" s="5"/>
      <c r="CS101" s="130"/>
      <c r="CT101" s="12"/>
      <c r="CU101" s="17"/>
      <c r="CV101" s="130"/>
      <c r="CW101" s="12"/>
      <c r="CX101" s="12"/>
      <c r="CY101" s="12"/>
      <c r="CZ101" s="12"/>
      <c r="DA101" s="12"/>
      <c r="DB101" s="12"/>
      <c r="DC101" s="12"/>
      <c r="DD101" s="130"/>
      <c r="DE101" s="130"/>
      <c r="DF101" s="130"/>
      <c r="DG101" s="130"/>
      <c r="DH101" s="130"/>
      <c r="DI101" s="130"/>
      <c r="DJ101" s="130"/>
      <c r="DK101" s="130"/>
      <c r="DL101" s="130"/>
      <c r="DM101" s="130"/>
      <c r="DN101" s="12"/>
      <c r="DO101" s="17"/>
      <c r="EH101" s="12"/>
      <c r="EI101" s="17"/>
      <c r="FM101" s="12"/>
      <c r="FN101" s="17"/>
      <c r="GJ101" s="12"/>
      <c r="GK101" s="17"/>
      <c r="GT101" s="103"/>
      <c r="GU101" s="103"/>
      <c r="GV101" s="103"/>
      <c r="GW101" s="103"/>
      <c r="GX101" s="103"/>
      <c r="GY101" s="103"/>
      <c r="GZ101" s="103"/>
      <c r="HA101" s="103"/>
      <c r="HB101" s="103"/>
      <c r="HC101" s="103"/>
      <c r="HD101" s="103"/>
      <c r="HE101" s="12"/>
      <c r="HF101" s="17"/>
      <c r="HO101" s="103"/>
      <c r="HP101" s="12"/>
      <c r="HQ101" s="17"/>
      <c r="HZ101" s="103"/>
      <c r="IA101" s="12"/>
      <c r="IB101" s="17"/>
    </row>
    <row r="102" spans="1:236" ht="14.45" hidden="1" customHeight="1" x14ac:dyDescent="0.25">
      <c r="A102" s="47"/>
      <c r="B102" s="12"/>
      <c r="C102" s="14"/>
      <c r="D102" s="14"/>
      <c r="E102" s="14"/>
      <c r="F102" s="14"/>
      <c r="G102" s="14"/>
      <c r="H102" s="14"/>
      <c r="I102" s="14">
        <f t="shared" si="2"/>
        <v>0</v>
      </c>
      <c r="J102" s="14">
        <f t="shared" si="2"/>
        <v>0</v>
      </c>
      <c r="K102" s="14">
        <f t="shared" si="2"/>
        <v>0</v>
      </c>
      <c r="L102" s="14"/>
      <c r="M102" s="150"/>
      <c r="N102" s="12"/>
      <c r="R102" s="108"/>
      <c r="S102" s="108"/>
      <c r="T102" s="108"/>
      <c r="U102" s="12"/>
      <c r="V102" s="5"/>
      <c r="W102" s="12"/>
      <c r="X102" s="12"/>
      <c r="Y102" s="10"/>
      <c r="Z102" s="6"/>
      <c r="AA102" s="12"/>
      <c r="AB102" s="12"/>
      <c r="AC102" s="12"/>
      <c r="AD102" s="12"/>
      <c r="AE102" s="12"/>
      <c r="AF102" s="12"/>
      <c r="AG102" s="12"/>
      <c r="AH102" s="5"/>
      <c r="AI102" s="12"/>
      <c r="AJ102" s="17"/>
      <c r="AL102" s="12"/>
      <c r="AM102" s="12"/>
      <c r="AN102" s="12"/>
      <c r="AO102" s="12"/>
      <c r="AP102" s="12"/>
      <c r="AQ102" s="12"/>
      <c r="AR102" s="12"/>
      <c r="AS102" s="5"/>
      <c r="AT102" s="5"/>
      <c r="AU102" s="5"/>
      <c r="AV102" s="5"/>
      <c r="AW102" s="12"/>
      <c r="AX102" s="17"/>
      <c r="AY102" s="5"/>
      <c r="AZ102" s="12"/>
      <c r="BA102" s="12"/>
      <c r="BB102" s="12"/>
      <c r="BC102" s="12"/>
      <c r="BD102" s="12"/>
      <c r="BE102" s="12"/>
      <c r="BF102" s="12"/>
      <c r="BG102" s="5"/>
      <c r="BH102" s="5"/>
      <c r="BI102" s="12"/>
      <c r="BJ102" s="17"/>
      <c r="BK102" s="5"/>
      <c r="BL102" s="143"/>
      <c r="BM102" s="143"/>
      <c r="BN102" s="143"/>
      <c r="BO102" s="143"/>
      <c r="BP102" s="143"/>
      <c r="BQ102" s="143"/>
      <c r="BR102" s="12"/>
      <c r="BS102" s="5"/>
      <c r="BT102" s="5"/>
      <c r="BU102" s="5"/>
      <c r="BV102" s="5"/>
      <c r="BW102" s="5"/>
      <c r="BX102" s="5"/>
      <c r="BY102" s="5"/>
      <c r="BZ102" s="5"/>
      <c r="CA102" s="5"/>
      <c r="CB102" s="12"/>
      <c r="CC102" s="17"/>
      <c r="CE102" s="143"/>
      <c r="CF102" s="143"/>
      <c r="CG102" s="143"/>
      <c r="CH102" s="143"/>
      <c r="CI102" s="143"/>
      <c r="CJ102" s="143"/>
      <c r="CK102" s="12"/>
      <c r="CL102" s="5"/>
      <c r="CM102" s="5"/>
      <c r="CN102" s="5"/>
      <c r="CO102" s="5"/>
      <c r="CP102" s="5"/>
      <c r="CQ102" s="5"/>
      <c r="CR102" s="5"/>
      <c r="CS102" s="130"/>
      <c r="CT102" s="12"/>
      <c r="CU102" s="17"/>
      <c r="CV102" s="130"/>
      <c r="CW102" s="12"/>
      <c r="CX102" s="12"/>
      <c r="CY102" s="12"/>
      <c r="CZ102" s="12"/>
      <c r="DA102" s="12"/>
      <c r="DB102" s="12"/>
      <c r="DC102" s="12"/>
      <c r="DD102" s="130"/>
      <c r="DE102" s="130"/>
      <c r="DF102" s="130"/>
      <c r="DG102" s="130"/>
      <c r="DH102" s="130"/>
      <c r="DI102" s="130"/>
      <c r="DJ102" s="130"/>
      <c r="DK102" s="130"/>
      <c r="DL102" s="130"/>
      <c r="DM102" s="130"/>
      <c r="DN102" s="12"/>
      <c r="DO102" s="17"/>
      <c r="EH102" s="12"/>
      <c r="EI102" s="17"/>
      <c r="FM102" s="12"/>
      <c r="FN102" s="17"/>
      <c r="GJ102" s="12"/>
      <c r="GK102" s="17"/>
      <c r="GT102" s="103"/>
      <c r="GU102" s="103"/>
      <c r="GV102" s="103"/>
      <c r="GW102" s="103"/>
      <c r="GX102" s="103"/>
      <c r="GY102" s="103"/>
      <c r="GZ102" s="103"/>
      <c r="HA102" s="103"/>
      <c r="HB102" s="103"/>
      <c r="HC102" s="103"/>
      <c r="HD102" s="103"/>
      <c r="HE102" s="12"/>
      <c r="HF102" s="17"/>
      <c r="HO102" s="103"/>
      <c r="HP102" s="12"/>
      <c r="HQ102" s="17"/>
      <c r="HZ102" s="103"/>
      <c r="IA102" s="12"/>
      <c r="IB102" s="17"/>
    </row>
    <row r="103" spans="1:236" ht="14.45" hidden="1" customHeight="1" x14ac:dyDescent="0.25">
      <c r="A103" s="47"/>
      <c r="B103" s="12"/>
      <c r="C103" s="14"/>
      <c r="D103" s="14"/>
      <c r="E103" s="14"/>
      <c r="F103" s="14"/>
      <c r="G103" s="14"/>
      <c r="H103" s="14"/>
      <c r="I103" s="14">
        <f t="shared" si="2"/>
        <v>55.4</v>
      </c>
      <c r="J103" s="14">
        <f t="shared" si="2"/>
        <v>0</v>
      </c>
      <c r="K103" s="14">
        <f t="shared" si="2"/>
        <v>0</v>
      </c>
      <c r="L103" s="14"/>
      <c r="M103" s="150"/>
      <c r="N103" s="12"/>
      <c r="R103" s="108"/>
      <c r="S103" s="108"/>
      <c r="T103" s="108"/>
      <c r="U103" s="12"/>
      <c r="V103" s="5"/>
      <c r="W103" s="12"/>
      <c r="X103" s="12"/>
      <c r="Y103" s="10"/>
      <c r="Z103" s="6"/>
      <c r="AA103" s="12"/>
      <c r="AB103" s="12"/>
      <c r="AC103" s="12"/>
      <c r="AD103" s="12"/>
      <c r="AE103" s="12"/>
      <c r="AF103" s="12"/>
      <c r="AG103" s="12"/>
      <c r="AH103" s="5"/>
      <c r="AI103" s="12"/>
      <c r="AJ103" s="17"/>
      <c r="AL103" s="12"/>
      <c r="AM103" s="12"/>
      <c r="AN103" s="12"/>
      <c r="AO103" s="12"/>
      <c r="AP103" s="12"/>
      <c r="AQ103" s="12"/>
      <c r="AR103" s="12"/>
      <c r="AS103" s="5"/>
      <c r="AT103" s="5"/>
      <c r="AU103" s="5"/>
      <c r="AV103" s="5"/>
      <c r="AW103" s="12"/>
      <c r="AX103" s="17"/>
      <c r="AY103" s="5"/>
      <c r="AZ103" s="12"/>
      <c r="BA103" s="12"/>
      <c r="BB103" s="12"/>
      <c r="BC103" s="12"/>
      <c r="BD103" s="12"/>
      <c r="BE103" s="12"/>
      <c r="BF103" s="12"/>
      <c r="BG103" s="5"/>
      <c r="BH103" s="5"/>
      <c r="BI103" s="12"/>
      <c r="BJ103" s="17"/>
      <c r="BK103" s="5"/>
      <c r="BL103" s="143"/>
      <c r="BM103" s="143"/>
      <c r="BN103" s="143"/>
      <c r="BO103" s="143"/>
      <c r="BP103" s="143"/>
      <c r="BQ103" s="143"/>
      <c r="BR103" s="12"/>
      <c r="BS103" s="5"/>
      <c r="BT103" s="5"/>
      <c r="BU103" s="5"/>
      <c r="BV103" s="5"/>
      <c r="BW103" s="5"/>
      <c r="BX103" s="5"/>
      <c r="BY103" s="5"/>
      <c r="BZ103" s="5"/>
      <c r="CA103" s="5"/>
      <c r="CB103" s="12"/>
      <c r="CC103" s="17"/>
      <c r="CE103" s="143"/>
      <c r="CF103" s="143"/>
      <c r="CG103" s="143"/>
      <c r="CH103" s="143"/>
      <c r="CI103" s="143"/>
      <c r="CJ103" s="143"/>
      <c r="CK103" s="12"/>
      <c r="CL103" s="5"/>
      <c r="CM103" s="5"/>
      <c r="CN103" s="5"/>
      <c r="CO103" s="5"/>
      <c r="CP103" s="5"/>
      <c r="CQ103" s="5"/>
      <c r="CR103" s="5"/>
      <c r="CS103" s="130"/>
      <c r="CT103" s="12"/>
      <c r="CU103" s="17"/>
      <c r="CV103" s="130"/>
      <c r="CW103" s="12"/>
      <c r="CX103" s="12"/>
      <c r="CY103" s="12"/>
      <c r="CZ103" s="12"/>
      <c r="DA103" s="12"/>
      <c r="DB103" s="12"/>
      <c r="DC103" s="12"/>
      <c r="DD103" s="130"/>
      <c r="DE103" s="130"/>
      <c r="DF103" s="130"/>
      <c r="DG103" s="130"/>
      <c r="DH103" s="130"/>
      <c r="DI103" s="130"/>
      <c r="DJ103" s="130"/>
      <c r="DK103" s="130"/>
      <c r="DL103" s="130"/>
      <c r="DM103" s="130"/>
      <c r="DN103" s="12"/>
      <c r="DO103" s="17"/>
      <c r="EH103" s="12"/>
      <c r="EI103" s="17"/>
      <c r="FM103" s="12"/>
      <c r="FN103" s="17"/>
      <c r="GJ103" s="12"/>
      <c r="GK103" s="17"/>
      <c r="GT103" s="103"/>
      <c r="GU103" s="103"/>
      <c r="GV103" s="103"/>
      <c r="GW103" s="103"/>
      <c r="GX103" s="103"/>
      <c r="GY103" s="103"/>
      <c r="GZ103" s="103"/>
      <c r="HA103" s="103"/>
      <c r="HB103" s="103"/>
      <c r="HC103" s="103"/>
      <c r="HD103" s="103"/>
      <c r="HE103" s="12"/>
      <c r="HF103" s="17"/>
      <c r="HO103" s="103"/>
      <c r="HP103" s="12"/>
      <c r="HQ103" s="17"/>
      <c r="HZ103" s="103"/>
      <c r="IA103" s="12"/>
      <c r="IB103" s="17"/>
    </row>
    <row r="104" spans="1:236" ht="14.45" hidden="1" customHeight="1" x14ac:dyDescent="0.25">
      <c r="A104" s="47"/>
      <c r="B104" s="12"/>
      <c r="C104" s="14"/>
      <c r="D104" s="14"/>
      <c r="E104" s="14"/>
      <c r="F104" s="14"/>
      <c r="G104" s="14"/>
      <c r="H104" s="14"/>
      <c r="I104" s="14">
        <f t="shared" si="2"/>
        <v>38.1</v>
      </c>
      <c r="J104" s="14">
        <f t="shared" si="2"/>
        <v>0</v>
      </c>
      <c r="K104" s="14">
        <f t="shared" si="2"/>
        <v>0</v>
      </c>
      <c r="L104" s="14"/>
      <c r="M104" s="150"/>
      <c r="N104" s="12"/>
      <c r="R104" s="108"/>
      <c r="S104" s="108"/>
      <c r="T104" s="108"/>
      <c r="U104" s="12"/>
      <c r="V104" s="5"/>
      <c r="W104" s="12"/>
      <c r="X104" s="12"/>
      <c r="Y104" s="10"/>
      <c r="Z104" s="6"/>
      <c r="AA104" s="12"/>
      <c r="AB104" s="12"/>
      <c r="AC104" s="12"/>
      <c r="AD104" s="12"/>
      <c r="AE104" s="12"/>
      <c r="AF104" s="12"/>
      <c r="AG104" s="12"/>
      <c r="AH104" s="5"/>
      <c r="AI104" s="12"/>
      <c r="AJ104" s="17"/>
      <c r="AL104" s="12"/>
      <c r="AM104" s="12"/>
      <c r="AN104" s="12"/>
      <c r="AO104" s="12"/>
      <c r="AP104" s="12"/>
      <c r="AQ104" s="12"/>
      <c r="AR104" s="12"/>
      <c r="AS104" s="5"/>
      <c r="AT104" s="5"/>
      <c r="AU104" s="5"/>
      <c r="AV104" s="5"/>
      <c r="AW104" s="12"/>
      <c r="AX104" s="17"/>
      <c r="AY104" s="5"/>
      <c r="AZ104" s="12"/>
      <c r="BA104" s="12"/>
      <c r="BB104" s="12"/>
      <c r="BC104" s="12"/>
      <c r="BD104" s="12"/>
      <c r="BE104" s="12"/>
      <c r="BF104" s="12"/>
      <c r="BG104" s="5"/>
      <c r="BH104" s="5"/>
      <c r="BI104" s="12"/>
      <c r="BJ104" s="17"/>
      <c r="BK104" s="5"/>
      <c r="BL104" s="143"/>
      <c r="BM104" s="143"/>
      <c r="BN104" s="143"/>
      <c r="BO104" s="143"/>
      <c r="BP104" s="143"/>
      <c r="BQ104" s="143"/>
      <c r="BR104" s="12"/>
      <c r="BS104" s="5"/>
      <c r="BT104" s="5"/>
      <c r="BU104" s="5"/>
      <c r="BV104" s="5"/>
      <c r="BW104" s="5"/>
      <c r="BX104" s="5"/>
      <c r="BY104" s="5"/>
      <c r="BZ104" s="5"/>
      <c r="CA104" s="5"/>
      <c r="CB104" s="12"/>
      <c r="CC104" s="17"/>
      <c r="CE104" s="143"/>
      <c r="CF104" s="143"/>
      <c r="CG104" s="143"/>
      <c r="CH104" s="143"/>
      <c r="CI104" s="143"/>
      <c r="CJ104" s="143"/>
      <c r="CK104" s="12"/>
      <c r="CL104" s="5"/>
      <c r="CM104" s="5"/>
      <c r="CN104" s="5"/>
      <c r="CO104" s="5"/>
      <c r="CP104" s="5"/>
      <c r="CQ104" s="5"/>
      <c r="CR104" s="5"/>
      <c r="CS104" s="130"/>
      <c r="CT104" s="12"/>
      <c r="CU104" s="17"/>
      <c r="CV104" s="130"/>
      <c r="CW104" s="12"/>
      <c r="CX104" s="12"/>
      <c r="CY104" s="12"/>
      <c r="CZ104" s="12"/>
      <c r="DA104" s="12"/>
      <c r="DB104" s="12"/>
      <c r="DC104" s="12"/>
      <c r="DD104" s="130"/>
      <c r="DE104" s="130"/>
      <c r="DF104" s="130"/>
      <c r="DG104" s="130"/>
      <c r="DH104" s="130"/>
      <c r="DI104" s="130"/>
      <c r="DJ104" s="130"/>
      <c r="DK104" s="130"/>
      <c r="DL104" s="130"/>
      <c r="DM104" s="130"/>
      <c r="DN104" s="12"/>
      <c r="DO104" s="17"/>
      <c r="EH104" s="12"/>
      <c r="EI104" s="17"/>
      <c r="FM104" s="12"/>
      <c r="FN104" s="17"/>
      <c r="GJ104" s="12"/>
      <c r="GK104" s="17"/>
      <c r="GT104" s="103"/>
      <c r="GU104" s="103"/>
      <c r="GV104" s="103"/>
      <c r="GW104" s="103"/>
      <c r="GX104" s="103"/>
      <c r="GY104" s="103"/>
      <c r="GZ104" s="103"/>
      <c r="HA104" s="103"/>
      <c r="HB104" s="103"/>
      <c r="HC104" s="103"/>
      <c r="HD104" s="103"/>
      <c r="HE104" s="12"/>
      <c r="HF104" s="17"/>
      <c r="HO104" s="103"/>
      <c r="HP104" s="12"/>
      <c r="HQ104" s="17"/>
      <c r="HZ104" s="103"/>
      <c r="IA104" s="12"/>
      <c r="IB104" s="17"/>
    </row>
    <row r="105" spans="1:236" ht="14.45" hidden="1" customHeight="1" x14ac:dyDescent="0.25">
      <c r="A105" s="47"/>
      <c r="B105" s="12"/>
      <c r="C105" s="14"/>
      <c r="D105" s="14"/>
      <c r="E105" s="14"/>
      <c r="F105" s="14"/>
      <c r="G105" s="14"/>
      <c r="H105" s="14"/>
      <c r="I105" s="14">
        <f t="shared" si="2"/>
        <v>0</v>
      </c>
      <c r="J105" s="14">
        <f t="shared" si="2"/>
        <v>0</v>
      </c>
      <c r="K105" s="14">
        <f t="shared" si="2"/>
        <v>0</v>
      </c>
      <c r="L105" s="14"/>
      <c r="M105" s="150"/>
      <c r="N105" s="12"/>
      <c r="R105" s="108"/>
      <c r="S105" s="108"/>
      <c r="T105" s="108"/>
      <c r="U105" s="12"/>
      <c r="V105" s="5"/>
      <c r="W105" s="12"/>
      <c r="X105" s="12"/>
      <c r="Y105" s="10"/>
      <c r="Z105" s="6"/>
      <c r="AA105" s="12"/>
      <c r="AB105" s="12"/>
      <c r="AC105" s="12"/>
      <c r="AD105" s="12"/>
      <c r="AE105" s="12"/>
      <c r="AF105" s="12"/>
      <c r="AG105" s="12"/>
      <c r="AH105" s="5"/>
      <c r="AI105" s="12"/>
      <c r="AJ105" s="17"/>
      <c r="AL105" s="12"/>
      <c r="AM105" s="12"/>
      <c r="AN105" s="12"/>
      <c r="AO105" s="12"/>
      <c r="AP105" s="12"/>
      <c r="AQ105" s="12"/>
      <c r="AR105" s="12"/>
      <c r="AS105" s="5"/>
      <c r="AT105" s="5"/>
      <c r="AU105" s="5"/>
      <c r="AV105" s="5"/>
      <c r="AW105" s="12"/>
      <c r="AX105" s="17"/>
      <c r="AY105" s="5"/>
      <c r="AZ105" s="12"/>
      <c r="BA105" s="12"/>
      <c r="BB105" s="12"/>
      <c r="BC105" s="12"/>
      <c r="BD105" s="12"/>
      <c r="BE105" s="12"/>
      <c r="BF105" s="12"/>
      <c r="BG105" s="5"/>
      <c r="BH105" s="5"/>
      <c r="BI105" s="12"/>
      <c r="BJ105" s="17"/>
      <c r="BK105" s="5"/>
      <c r="BL105" s="143"/>
      <c r="BM105" s="143"/>
      <c r="BN105" s="143"/>
      <c r="BO105" s="143"/>
      <c r="BP105" s="143"/>
      <c r="BQ105" s="143"/>
      <c r="BR105" s="12"/>
      <c r="BS105" s="5"/>
      <c r="BT105" s="5"/>
      <c r="BU105" s="5"/>
      <c r="BV105" s="5"/>
      <c r="BW105" s="5"/>
      <c r="BX105" s="5"/>
      <c r="BY105" s="5"/>
      <c r="BZ105" s="5"/>
      <c r="CA105" s="5"/>
      <c r="CB105" s="12"/>
      <c r="CC105" s="17"/>
      <c r="CE105" s="143"/>
      <c r="CF105" s="143"/>
      <c r="CG105" s="143"/>
      <c r="CH105" s="143"/>
      <c r="CI105" s="143"/>
      <c r="CJ105" s="143"/>
      <c r="CK105" s="12"/>
      <c r="CL105" s="5"/>
      <c r="CM105" s="5"/>
      <c r="CN105" s="5"/>
      <c r="CO105" s="5"/>
      <c r="CP105" s="5"/>
      <c r="CQ105" s="5"/>
      <c r="CR105" s="5"/>
      <c r="CS105" s="130"/>
      <c r="CT105" s="12"/>
      <c r="CU105" s="17"/>
      <c r="CV105" s="130"/>
      <c r="CW105" s="12"/>
      <c r="CX105" s="12"/>
      <c r="CY105" s="12"/>
      <c r="CZ105" s="12"/>
      <c r="DA105" s="12"/>
      <c r="DB105" s="12"/>
      <c r="DC105" s="12"/>
      <c r="DD105" s="130"/>
      <c r="DE105" s="130"/>
      <c r="DF105" s="130"/>
      <c r="DG105" s="130"/>
      <c r="DH105" s="130"/>
      <c r="DI105" s="130"/>
      <c r="DJ105" s="130"/>
      <c r="DK105" s="130"/>
      <c r="DL105" s="130"/>
      <c r="DM105" s="130"/>
      <c r="DN105" s="12"/>
      <c r="DO105" s="17"/>
      <c r="EH105" s="12"/>
      <c r="EI105" s="17"/>
      <c r="FM105" s="12"/>
      <c r="FN105" s="17"/>
      <c r="GJ105" s="12"/>
      <c r="GK105" s="17"/>
      <c r="GT105" s="103"/>
      <c r="GU105" s="103"/>
      <c r="GV105" s="103"/>
      <c r="GW105" s="103"/>
      <c r="GX105" s="103"/>
      <c r="GY105" s="103"/>
      <c r="GZ105" s="103"/>
      <c r="HA105" s="103"/>
      <c r="HB105" s="103"/>
      <c r="HC105" s="103"/>
      <c r="HD105" s="103"/>
      <c r="HE105" s="12"/>
      <c r="HF105" s="17"/>
      <c r="HO105" s="103"/>
      <c r="HP105" s="12"/>
      <c r="HQ105" s="17"/>
      <c r="HZ105" s="103"/>
      <c r="IA105" s="12"/>
      <c r="IB105" s="17"/>
    </row>
    <row r="106" spans="1:236" ht="14.45" hidden="1" customHeight="1" x14ac:dyDescent="0.25">
      <c r="A106" s="47"/>
      <c r="B106" s="12"/>
      <c r="C106" s="14"/>
      <c r="D106" s="14"/>
      <c r="E106" s="14"/>
      <c r="F106" s="14"/>
      <c r="G106" s="14"/>
      <c r="H106" s="14"/>
      <c r="I106" s="14">
        <f t="shared" si="2"/>
        <v>0</v>
      </c>
      <c r="J106" s="14">
        <f t="shared" si="2"/>
        <v>0</v>
      </c>
      <c r="K106" s="14">
        <f t="shared" si="2"/>
        <v>0</v>
      </c>
      <c r="L106" s="14"/>
      <c r="M106" s="150"/>
      <c r="N106" s="12"/>
      <c r="R106" s="108"/>
      <c r="S106" s="108"/>
      <c r="T106" s="108"/>
      <c r="U106" s="12"/>
      <c r="V106" s="5"/>
      <c r="W106" s="12"/>
      <c r="X106" s="12"/>
      <c r="Y106" s="10"/>
      <c r="Z106" s="6"/>
      <c r="AA106" s="12"/>
      <c r="AB106" s="12"/>
      <c r="AC106" s="12"/>
      <c r="AD106" s="12"/>
      <c r="AE106" s="12"/>
      <c r="AF106" s="12"/>
      <c r="AG106" s="12"/>
      <c r="AH106" s="5"/>
      <c r="AI106" s="12"/>
      <c r="AJ106" s="17"/>
      <c r="AL106" s="12"/>
      <c r="AM106" s="12"/>
      <c r="AN106" s="12"/>
      <c r="AO106" s="12"/>
      <c r="AP106" s="12"/>
      <c r="AQ106" s="12"/>
      <c r="AR106" s="12"/>
      <c r="AS106" s="5"/>
      <c r="AT106" s="5"/>
      <c r="AU106" s="5"/>
      <c r="AV106" s="5"/>
      <c r="AW106" s="12"/>
      <c r="AX106" s="17"/>
      <c r="AY106" s="5"/>
      <c r="AZ106" s="12"/>
      <c r="BA106" s="12"/>
      <c r="BB106" s="12"/>
      <c r="BC106" s="12"/>
      <c r="BD106" s="12"/>
      <c r="BE106" s="12"/>
      <c r="BF106" s="12"/>
      <c r="BG106" s="5"/>
      <c r="BH106" s="5"/>
      <c r="BI106" s="12"/>
      <c r="BJ106" s="17"/>
      <c r="BK106" s="5"/>
      <c r="BL106" s="143"/>
      <c r="BM106" s="143"/>
      <c r="BN106" s="143"/>
      <c r="BO106" s="143"/>
      <c r="BP106" s="143"/>
      <c r="BQ106" s="143"/>
      <c r="BR106" s="12"/>
      <c r="BS106" s="5"/>
      <c r="BT106" s="5"/>
      <c r="BU106" s="5"/>
      <c r="BV106" s="5"/>
      <c r="BW106" s="5"/>
      <c r="BX106" s="5"/>
      <c r="BY106" s="5"/>
      <c r="BZ106" s="5"/>
      <c r="CA106" s="5"/>
      <c r="CB106" s="12"/>
      <c r="CC106" s="17"/>
      <c r="CE106" s="143"/>
      <c r="CF106" s="143"/>
      <c r="CG106" s="143"/>
      <c r="CH106" s="143"/>
      <c r="CI106" s="143"/>
      <c r="CJ106" s="143"/>
      <c r="CK106" s="12"/>
      <c r="CL106" s="5"/>
      <c r="CM106" s="5"/>
      <c r="CN106" s="5"/>
      <c r="CO106" s="5"/>
      <c r="CP106" s="5"/>
      <c r="CQ106" s="5"/>
      <c r="CR106" s="5"/>
      <c r="CS106" s="130"/>
      <c r="CT106" s="12"/>
      <c r="CU106" s="17"/>
      <c r="CV106" s="130"/>
      <c r="CW106" s="12"/>
      <c r="CX106" s="12"/>
      <c r="CY106" s="12"/>
      <c r="CZ106" s="12"/>
      <c r="DA106" s="12"/>
      <c r="DB106" s="12"/>
      <c r="DC106" s="12"/>
      <c r="DD106" s="130"/>
      <c r="DE106" s="130"/>
      <c r="DF106" s="130"/>
      <c r="DG106" s="130"/>
      <c r="DH106" s="130"/>
      <c r="DI106" s="130"/>
      <c r="DJ106" s="130"/>
      <c r="DK106" s="130"/>
      <c r="DL106" s="130"/>
      <c r="DM106" s="130"/>
      <c r="DN106" s="12"/>
      <c r="DO106" s="17"/>
      <c r="EH106" s="12"/>
      <c r="EI106" s="17"/>
      <c r="FM106" s="12"/>
      <c r="FN106" s="17"/>
      <c r="GJ106" s="12"/>
      <c r="GK106" s="17"/>
      <c r="GT106" s="103"/>
      <c r="GU106" s="103"/>
      <c r="GV106" s="103"/>
      <c r="GW106" s="103"/>
      <c r="GX106" s="103"/>
      <c r="GY106" s="103"/>
      <c r="GZ106" s="103"/>
      <c r="HA106" s="103"/>
      <c r="HB106" s="103"/>
      <c r="HC106" s="103"/>
      <c r="HD106" s="103"/>
      <c r="HE106" s="12"/>
      <c r="HF106" s="17"/>
      <c r="HO106" s="103"/>
      <c r="HP106" s="12"/>
      <c r="HQ106" s="17"/>
      <c r="HZ106" s="103"/>
      <c r="IA106" s="12"/>
      <c r="IB106" s="17"/>
    </row>
    <row r="107" spans="1:236" ht="14.45" hidden="1" customHeight="1" x14ac:dyDescent="0.25">
      <c r="A107" s="47"/>
      <c r="B107" s="12"/>
      <c r="C107" s="14"/>
      <c r="D107" s="14"/>
      <c r="E107" s="14"/>
      <c r="F107" s="14"/>
      <c r="G107" s="14"/>
      <c r="H107" s="14"/>
      <c r="I107" s="14">
        <f t="shared" si="2"/>
        <v>0</v>
      </c>
      <c r="J107" s="14">
        <f t="shared" si="2"/>
        <v>0</v>
      </c>
      <c r="K107" s="14">
        <f t="shared" si="2"/>
        <v>0</v>
      </c>
      <c r="L107" s="14"/>
      <c r="M107" s="150"/>
      <c r="N107" s="12"/>
      <c r="R107" s="108"/>
      <c r="S107" s="108"/>
      <c r="T107" s="108"/>
      <c r="U107" s="12"/>
      <c r="V107" s="5"/>
      <c r="W107" s="12"/>
      <c r="X107" s="12"/>
      <c r="Y107" s="10"/>
      <c r="Z107" s="6"/>
      <c r="AA107" s="12"/>
      <c r="AB107" s="12"/>
      <c r="AC107" s="12"/>
      <c r="AD107" s="12"/>
      <c r="AE107" s="12"/>
      <c r="AF107" s="12"/>
      <c r="AG107" s="12"/>
      <c r="AH107" s="5"/>
      <c r="AI107" s="12"/>
      <c r="AJ107" s="17"/>
      <c r="AL107" s="12"/>
      <c r="AM107" s="12"/>
      <c r="AN107" s="12"/>
      <c r="AO107" s="12"/>
      <c r="AP107" s="12"/>
      <c r="AQ107" s="12"/>
      <c r="AR107" s="12"/>
      <c r="AS107" s="5"/>
      <c r="AT107" s="5"/>
      <c r="AU107" s="5"/>
      <c r="AV107" s="5"/>
      <c r="AW107" s="12"/>
      <c r="AX107" s="17"/>
      <c r="AY107" s="5"/>
      <c r="AZ107" s="12"/>
      <c r="BA107" s="12"/>
      <c r="BB107" s="12"/>
      <c r="BC107" s="12"/>
      <c r="BD107" s="12"/>
      <c r="BE107" s="12"/>
      <c r="BF107" s="12"/>
      <c r="BG107" s="5"/>
      <c r="BH107" s="5"/>
      <c r="BI107" s="12"/>
      <c r="BJ107" s="17"/>
      <c r="BK107" s="5"/>
      <c r="BL107" s="143"/>
      <c r="BM107" s="143"/>
      <c r="BN107" s="143"/>
      <c r="BO107" s="143"/>
      <c r="BP107" s="143"/>
      <c r="BQ107" s="143"/>
      <c r="BR107" s="12"/>
      <c r="BS107" s="5"/>
      <c r="BT107" s="5"/>
      <c r="BU107" s="5"/>
      <c r="BV107" s="5"/>
      <c r="BW107" s="5"/>
      <c r="BX107" s="5"/>
      <c r="BY107" s="5"/>
      <c r="BZ107" s="5"/>
      <c r="CA107" s="5"/>
      <c r="CB107" s="12"/>
      <c r="CC107" s="17"/>
      <c r="CE107" s="143"/>
      <c r="CF107" s="143"/>
      <c r="CG107" s="143"/>
      <c r="CH107" s="143"/>
      <c r="CI107" s="143"/>
      <c r="CJ107" s="143"/>
      <c r="CK107" s="12"/>
      <c r="CL107" s="5"/>
      <c r="CM107" s="5"/>
      <c r="CN107" s="5"/>
      <c r="CO107" s="5"/>
      <c r="CP107" s="5"/>
      <c r="CQ107" s="5"/>
      <c r="CR107" s="5"/>
      <c r="CS107" s="130"/>
      <c r="CT107" s="12"/>
      <c r="CU107" s="17"/>
      <c r="CV107" s="130"/>
      <c r="CW107" s="12"/>
      <c r="CX107" s="12"/>
      <c r="CY107" s="12"/>
      <c r="CZ107" s="12"/>
      <c r="DA107" s="12"/>
      <c r="DB107" s="12"/>
      <c r="DC107" s="12"/>
      <c r="DD107" s="130"/>
      <c r="DE107" s="130"/>
      <c r="DF107" s="130"/>
      <c r="DG107" s="130"/>
      <c r="DH107" s="130"/>
      <c r="DI107" s="130"/>
      <c r="DJ107" s="130"/>
      <c r="DK107" s="130"/>
      <c r="DL107" s="130"/>
      <c r="DM107" s="130"/>
      <c r="DN107" s="12"/>
      <c r="DO107" s="17"/>
      <c r="EH107" s="12"/>
      <c r="EI107" s="17"/>
      <c r="FM107" s="12"/>
      <c r="FN107" s="17"/>
      <c r="GJ107" s="12"/>
      <c r="GK107" s="17"/>
      <c r="GT107" s="103"/>
      <c r="GU107" s="103"/>
      <c r="GV107" s="103"/>
      <c r="GW107" s="103"/>
      <c r="GX107" s="103"/>
      <c r="GY107" s="103"/>
      <c r="GZ107" s="103"/>
      <c r="HA107" s="103"/>
      <c r="HB107" s="103"/>
      <c r="HC107" s="103"/>
      <c r="HD107" s="103"/>
      <c r="HE107" s="12"/>
      <c r="HF107" s="17"/>
      <c r="HO107" s="103"/>
      <c r="HP107" s="12"/>
      <c r="HQ107" s="17"/>
      <c r="HZ107" s="103"/>
      <c r="IA107" s="12"/>
      <c r="IB107" s="17"/>
    </row>
    <row r="108" spans="1:236" ht="14.45" hidden="1" customHeight="1" x14ac:dyDescent="0.25">
      <c r="A108" s="47"/>
      <c r="B108" s="12"/>
      <c r="C108" s="14"/>
      <c r="D108" s="14"/>
      <c r="E108" s="14"/>
      <c r="F108" s="14"/>
      <c r="G108" s="14"/>
      <c r="H108" s="14"/>
      <c r="I108" s="14">
        <f t="shared" si="2"/>
        <v>0</v>
      </c>
      <c r="J108" s="14">
        <f t="shared" si="2"/>
        <v>0</v>
      </c>
      <c r="K108" s="14">
        <f t="shared" si="2"/>
        <v>0</v>
      </c>
      <c r="L108" s="14"/>
      <c r="M108" s="150"/>
      <c r="N108" s="12"/>
      <c r="R108" s="108"/>
      <c r="S108" s="108"/>
      <c r="T108" s="108"/>
      <c r="U108" s="12"/>
      <c r="V108" s="5"/>
      <c r="W108" s="12"/>
      <c r="X108" s="12"/>
      <c r="Y108" s="10"/>
      <c r="Z108" s="6"/>
      <c r="AA108" s="12"/>
      <c r="AB108" s="12"/>
      <c r="AC108" s="12"/>
      <c r="AD108" s="12"/>
      <c r="AE108" s="12"/>
      <c r="AF108" s="12"/>
      <c r="AG108" s="12"/>
      <c r="AH108" s="5"/>
      <c r="AI108" s="12"/>
      <c r="AJ108" s="17"/>
      <c r="AL108" s="12"/>
      <c r="AM108" s="12"/>
      <c r="AN108" s="12"/>
      <c r="AO108" s="12"/>
      <c r="AP108" s="12"/>
      <c r="AQ108" s="12"/>
      <c r="AR108" s="12"/>
      <c r="AS108" s="5"/>
      <c r="AT108" s="5"/>
      <c r="AU108" s="5"/>
      <c r="AV108" s="5"/>
      <c r="AW108" s="12"/>
      <c r="AX108" s="17"/>
      <c r="AY108" s="5"/>
      <c r="AZ108" s="12"/>
      <c r="BA108" s="12"/>
      <c r="BB108" s="12"/>
      <c r="BC108" s="12"/>
      <c r="BD108" s="12"/>
      <c r="BE108" s="12"/>
      <c r="BF108" s="12"/>
      <c r="BG108" s="5"/>
      <c r="BH108" s="5"/>
      <c r="BI108" s="12"/>
      <c r="BJ108" s="17"/>
      <c r="BK108" s="5"/>
      <c r="BL108" s="143"/>
      <c r="BM108" s="143"/>
      <c r="BN108" s="143"/>
      <c r="BO108" s="143"/>
      <c r="BP108" s="143"/>
      <c r="BQ108" s="143"/>
      <c r="BR108" s="12"/>
      <c r="BS108" s="5"/>
      <c r="BT108" s="5"/>
      <c r="BU108" s="5"/>
      <c r="BV108" s="5"/>
      <c r="BW108" s="5"/>
      <c r="BX108" s="5"/>
      <c r="BY108" s="5"/>
      <c r="BZ108" s="5"/>
      <c r="CA108" s="5"/>
      <c r="CB108" s="12"/>
      <c r="CC108" s="17"/>
      <c r="CE108" s="143"/>
      <c r="CF108" s="143"/>
      <c r="CG108" s="143"/>
      <c r="CH108" s="143"/>
      <c r="CI108" s="143"/>
      <c r="CJ108" s="143"/>
      <c r="CK108" s="12"/>
      <c r="CL108" s="5"/>
      <c r="CM108" s="5"/>
      <c r="CN108" s="5"/>
      <c r="CO108" s="5"/>
      <c r="CP108" s="5"/>
      <c r="CQ108" s="5"/>
      <c r="CR108" s="5"/>
      <c r="CS108" s="130"/>
      <c r="CT108" s="12"/>
      <c r="CU108" s="17"/>
      <c r="CV108" s="130"/>
      <c r="CW108" s="12"/>
      <c r="CX108" s="12"/>
      <c r="CY108" s="12"/>
      <c r="CZ108" s="12"/>
      <c r="DA108" s="12"/>
      <c r="DB108" s="12"/>
      <c r="DC108" s="12"/>
      <c r="DD108" s="130"/>
      <c r="DE108" s="130"/>
      <c r="DF108" s="130"/>
      <c r="DG108" s="130"/>
      <c r="DH108" s="130"/>
      <c r="DI108" s="130"/>
      <c r="DJ108" s="130"/>
      <c r="DK108" s="130"/>
      <c r="DL108" s="130"/>
      <c r="DM108" s="130"/>
      <c r="DN108" s="12"/>
      <c r="DO108" s="17"/>
      <c r="EH108" s="12"/>
      <c r="EI108" s="17"/>
      <c r="FM108" s="12"/>
      <c r="FN108" s="17"/>
      <c r="GJ108" s="12"/>
      <c r="GK108" s="17"/>
      <c r="GT108" s="103"/>
      <c r="GU108" s="103"/>
      <c r="GV108" s="103"/>
      <c r="GW108" s="103"/>
      <c r="GX108" s="103"/>
      <c r="GY108" s="103"/>
      <c r="GZ108" s="103"/>
      <c r="HA108" s="103"/>
      <c r="HB108" s="103"/>
      <c r="HC108" s="103"/>
      <c r="HD108" s="103"/>
      <c r="HE108" s="12"/>
      <c r="HF108" s="17"/>
      <c r="HO108" s="103"/>
      <c r="HP108" s="12"/>
      <c r="HQ108" s="17"/>
      <c r="HZ108" s="103"/>
      <c r="IA108" s="12"/>
      <c r="IB108" s="17"/>
    </row>
    <row r="109" spans="1:236" ht="14.45" hidden="1" customHeight="1" x14ac:dyDescent="0.25">
      <c r="A109" s="47"/>
      <c r="B109" s="12"/>
      <c r="C109" s="14"/>
      <c r="D109" s="14"/>
      <c r="E109" s="14"/>
      <c r="F109" s="14"/>
      <c r="G109" s="14"/>
      <c r="H109" s="14"/>
      <c r="I109" s="14">
        <f t="shared" si="2"/>
        <v>0</v>
      </c>
      <c r="J109" s="14">
        <f t="shared" si="2"/>
        <v>0</v>
      </c>
      <c r="K109" s="14">
        <f t="shared" si="2"/>
        <v>0</v>
      </c>
      <c r="L109" s="14"/>
      <c r="M109" s="150"/>
      <c r="N109" s="12"/>
      <c r="R109" s="108"/>
      <c r="S109" s="108"/>
      <c r="T109" s="108"/>
      <c r="U109" s="12"/>
      <c r="V109" s="5"/>
      <c r="W109" s="12"/>
      <c r="X109" s="12"/>
      <c r="Y109" s="10"/>
      <c r="Z109" s="6"/>
      <c r="AA109" s="12"/>
      <c r="AB109" s="12"/>
      <c r="AC109" s="12"/>
      <c r="AD109" s="12"/>
      <c r="AE109" s="12"/>
      <c r="AF109" s="12"/>
      <c r="AG109" s="12"/>
      <c r="AH109" s="5"/>
      <c r="AI109" s="12"/>
      <c r="AJ109" s="17"/>
      <c r="AL109" s="12"/>
      <c r="AM109" s="12"/>
      <c r="AN109" s="12"/>
      <c r="AO109" s="12"/>
      <c r="AP109" s="12"/>
      <c r="AQ109" s="12"/>
      <c r="AR109" s="12"/>
      <c r="AS109" s="5"/>
      <c r="AT109" s="5"/>
      <c r="AU109" s="5"/>
      <c r="AV109" s="5"/>
      <c r="AW109" s="12"/>
      <c r="AX109" s="17"/>
      <c r="AY109" s="5"/>
      <c r="AZ109" s="12"/>
      <c r="BA109" s="12"/>
      <c r="BB109" s="12"/>
      <c r="BC109" s="12"/>
      <c r="BD109" s="12"/>
      <c r="BE109" s="12"/>
      <c r="BF109" s="12"/>
      <c r="BG109" s="5"/>
      <c r="BH109" s="5"/>
      <c r="BI109" s="12"/>
      <c r="BJ109" s="17"/>
      <c r="BK109" s="5"/>
      <c r="BL109" s="143"/>
      <c r="BM109" s="143"/>
      <c r="BN109" s="143"/>
      <c r="BO109" s="143"/>
      <c r="BP109" s="143"/>
      <c r="BQ109" s="143"/>
      <c r="BR109" s="12"/>
      <c r="BS109" s="5"/>
      <c r="BT109" s="5"/>
      <c r="BU109" s="5"/>
      <c r="BV109" s="5"/>
      <c r="BW109" s="5"/>
      <c r="BX109" s="5"/>
      <c r="BY109" s="5"/>
      <c r="BZ109" s="5"/>
      <c r="CA109" s="5"/>
      <c r="CB109" s="12"/>
      <c r="CC109" s="17"/>
      <c r="CE109" s="143"/>
      <c r="CF109" s="143"/>
      <c r="CG109" s="143"/>
      <c r="CH109" s="143"/>
      <c r="CI109" s="143"/>
      <c r="CJ109" s="143"/>
      <c r="CK109" s="12"/>
      <c r="CL109" s="5"/>
      <c r="CM109" s="5"/>
      <c r="CN109" s="5"/>
      <c r="CO109" s="5"/>
      <c r="CP109" s="5"/>
      <c r="CQ109" s="5"/>
      <c r="CR109" s="5"/>
      <c r="CS109" s="130"/>
      <c r="CT109" s="12"/>
      <c r="CU109" s="17"/>
      <c r="CV109" s="130"/>
      <c r="CW109" s="12"/>
      <c r="CX109" s="12"/>
      <c r="CY109" s="12"/>
      <c r="CZ109" s="12"/>
      <c r="DA109" s="12"/>
      <c r="DB109" s="12"/>
      <c r="DC109" s="12"/>
      <c r="DD109" s="130"/>
      <c r="DE109" s="130"/>
      <c r="DF109" s="130"/>
      <c r="DG109" s="130"/>
      <c r="DH109" s="130"/>
      <c r="DI109" s="130"/>
      <c r="DJ109" s="130"/>
      <c r="DK109" s="130"/>
      <c r="DL109" s="130"/>
      <c r="DM109" s="130"/>
      <c r="DN109" s="12"/>
      <c r="DO109" s="17"/>
      <c r="EH109" s="12"/>
      <c r="EI109" s="17"/>
      <c r="FM109" s="12"/>
      <c r="FN109" s="17"/>
      <c r="GJ109" s="12"/>
      <c r="GK109" s="17"/>
      <c r="GT109" s="103"/>
      <c r="GU109" s="103"/>
      <c r="GV109" s="103"/>
      <c r="GW109" s="103"/>
      <c r="GX109" s="103"/>
      <c r="GY109" s="103"/>
      <c r="GZ109" s="103"/>
      <c r="HA109" s="103"/>
      <c r="HB109" s="103"/>
      <c r="HC109" s="103"/>
      <c r="HD109" s="103"/>
      <c r="HE109" s="12"/>
      <c r="HF109" s="17"/>
      <c r="HO109" s="103"/>
      <c r="HP109" s="12"/>
      <c r="HQ109" s="17"/>
      <c r="HZ109" s="103"/>
      <c r="IA109" s="12"/>
      <c r="IB109" s="17"/>
    </row>
    <row r="110" spans="1:236" ht="14.45" hidden="1" customHeight="1" x14ac:dyDescent="0.25">
      <c r="A110" s="47"/>
      <c r="B110" s="12"/>
      <c r="C110" s="14"/>
      <c r="D110" s="14"/>
      <c r="E110" s="14"/>
      <c r="F110" s="14"/>
      <c r="G110" s="14"/>
      <c r="H110" s="14"/>
      <c r="I110" s="14">
        <f t="shared" si="2"/>
        <v>0</v>
      </c>
      <c r="J110" s="14">
        <f t="shared" si="2"/>
        <v>0</v>
      </c>
      <c r="K110" s="14">
        <f t="shared" si="2"/>
        <v>0</v>
      </c>
      <c r="L110" s="14"/>
      <c r="M110" s="150"/>
      <c r="N110" s="12"/>
      <c r="R110" s="108"/>
      <c r="S110" s="108"/>
      <c r="T110" s="108"/>
      <c r="U110" s="12"/>
      <c r="V110" s="5"/>
      <c r="W110" s="12"/>
      <c r="X110" s="12"/>
      <c r="Y110" s="10"/>
      <c r="Z110" s="6"/>
      <c r="AA110" s="12"/>
      <c r="AB110" s="12"/>
      <c r="AC110" s="12"/>
      <c r="AD110" s="12"/>
      <c r="AE110" s="12"/>
      <c r="AF110" s="12"/>
      <c r="AG110" s="12"/>
      <c r="AH110" s="5"/>
      <c r="AI110" s="12"/>
      <c r="AJ110" s="17"/>
      <c r="AL110" s="12"/>
      <c r="AM110" s="12"/>
      <c r="AN110" s="12"/>
      <c r="AO110" s="12"/>
      <c r="AP110" s="12"/>
      <c r="AQ110" s="12"/>
      <c r="AR110" s="12"/>
      <c r="AS110" s="5"/>
      <c r="AT110" s="5"/>
      <c r="AU110" s="5"/>
      <c r="AV110" s="5"/>
      <c r="AW110" s="12"/>
      <c r="AX110" s="17"/>
      <c r="AY110" s="5"/>
      <c r="AZ110" s="12"/>
      <c r="BA110" s="12"/>
      <c r="BB110" s="12"/>
      <c r="BC110" s="12"/>
      <c r="BD110" s="12"/>
      <c r="BE110" s="12"/>
      <c r="BF110" s="12"/>
      <c r="BG110" s="5"/>
      <c r="BH110" s="5"/>
      <c r="BI110" s="12"/>
      <c r="BJ110" s="17"/>
      <c r="BK110" s="5"/>
      <c r="BL110" s="143"/>
      <c r="BM110" s="143"/>
      <c r="BN110" s="143"/>
      <c r="BO110" s="143"/>
      <c r="BP110" s="143"/>
      <c r="BQ110" s="143"/>
      <c r="BR110" s="12"/>
      <c r="BS110" s="5"/>
      <c r="BT110" s="5"/>
      <c r="BU110" s="5"/>
      <c r="BV110" s="5"/>
      <c r="BW110" s="5"/>
      <c r="BX110" s="5"/>
      <c r="BY110" s="5"/>
      <c r="BZ110" s="5"/>
      <c r="CA110" s="5"/>
      <c r="CB110" s="12"/>
      <c r="CC110" s="17"/>
      <c r="CE110" s="143"/>
      <c r="CF110" s="143"/>
      <c r="CG110" s="143"/>
      <c r="CH110" s="143"/>
      <c r="CI110" s="143"/>
      <c r="CJ110" s="143"/>
      <c r="CK110" s="12"/>
      <c r="CL110" s="5"/>
      <c r="CM110" s="5"/>
      <c r="CN110" s="5"/>
      <c r="CO110" s="5"/>
      <c r="CP110" s="5"/>
      <c r="CQ110" s="5"/>
      <c r="CR110" s="5"/>
      <c r="CS110" s="130"/>
      <c r="CT110" s="12"/>
      <c r="CU110" s="17"/>
      <c r="CV110" s="130"/>
      <c r="CW110" s="12"/>
      <c r="CX110" s="12"/>
      <c r="CY110" s="12"/>
      <c r="CZ110" s="12"/>
      <c r="DA110" s="12"/>
      <c r="DB110" s="12"/>
      <c r="DC110" s="12"/>
      <c r="DD110" s="130"/>
      <c r="DE110" s="130"/>
      <c r="DF110" s="130"/>
      <c r="DG110" s="130"/>
      <c r="DH110" s="130"/>
      <c r="DI110" s="130"/>
      <c r="DJ110" s="130"/>
      <c r="DK110" s="130"/>
      <c r="DL110" s="130"/>
      <c r="DM110" s="130"/>
      <c r="DN110" s="12"/>
      <c r="DO110" s="17"/>
      <c r="EH110" s="12"/>
      <c r="EI110" s="17"/>
      <c r="FM110" s="12"/>
      <c r="FN110" s="17"/>
      <c r="GJ110" s="12"/>
      <c r="GK110" s="17"/>
      <c r="GT110" s="103"/>
      <c r="GU110" s="103"/>
      <c r="GV110" s="103"/>
      <c r="GW110" s="103"/>
      <c r="GX110" s="103"/>
      <c r="GY110" s="103"/>
      <c r="GZ110" s="103"/>
      <c r="HA110" s="103"/>
      <c r="HB110" s="103"/>
      <c r="HC110" s="103"/>
      <c r="HD110" s="103"/>
      <c r="HE110" s="12"/>
      <c r="HF110" s="17"/>
      <c r="HO110" s="103"/>
      <c r="HP110" s="12"/>
      <c r="HQ110" s="17"/>
      <c r="HZ110" s="103"/>
      <c r="IA110" s="12"/>
      <c r="IB110" s="17"/>
    </row>
    <row r="111" spans="1:236" ht="14.45" hidden="1" customHeight="1" x14ac:dyDescent="0.25">
      <c r="A111" s="47"/>
      <c r="B111" s="12"/>
      <c r="C111" s="14"/>
      <c r="D111" s="14"/>
      <c r="E111" s="14"/>
      <c r="F111" s="14"/>
      <c r="G111" s="14"/>
      <c r="H111" s="14"/>
      <c r="I111" s="14">
        <f t="shared" si="2"/>
        <v>0</v>
      </c>
      <c r="J111" s="14">
        <f t="shared" si="2"/>
        <v>0</v>
      </c>
      <c r="K111" s="14">
        <f t="shared" si="2"/>
        <v>0</v>
      </c>
      <c r="L111" s="14"/>
      <c r="M111" s="150"/>
      <c r="N111" s="12"/>
      <c r="R111" s="108"/>
      <c r="S111" s="108"/>
      <c r="T111" s="108"/>
      <c r="U111" s="12"/>
      <c r="V111" s="5"/>
      <c r="W111" s="12"/>
      <c r="X111" s="12"/>
      <c r="Y111" s="10"/>
      <c r="Z111" s="6"/>
      <c r="AA111" s="12"/>
      <c r="AB111" s="12"/>
      <c r="AC111" s="12"/>
      <c r="AD111" s="12"/>
      <c r="AE111" s="12"/>
      <c r="AF111" s="12"/>
      <c r="AG111" s="12"/>
      <c r="AH111" s="5"/>
      <c r="AI111" s="12"/>
      <c r="AJ111" s="17"/>
      <c r="AL111" s="12"/>
      <c r="AM111" s="12"/>
      <c r="AN111" s="12"/>
      <c r="AO111" s="12"/>
      <c r="AP111" s="12"/>
      <c r="AQ111" s="12"/>
      <c r="AR111" s="12"/>
      <c r="AS111" s="5"/>
      <c r="AT111" s="5"/>
      <c r="AU111" s="5"/>
      <c r="AV111" s="5"/>
      <c r="AW111" s="12"/>
      <c r="AX111" s="17"/>
      <c r="AY111" s="5"/>
      <c r="AZ111" s="12"/>
      <c r="BA111" s="12"/>
      <c r="BB111" s="12"/>
      <c r="BC111" s="12"/>
      <c r="BD111" s="12"/>
      <c r="BE111" s="12"/>
      <c r="BF111" s="12"/>
      <c r="BG111" s="5"/>
      <c r="BH111" s="5"/>
      <c r="BI111" s="12"/>
      <c r="BJ111" s="17"/>
      <c r="BK111" s="5"/>
      <c r="BL111" s="143"/>
      <c r="BM111" s="143"/>
      <c r="BN111" s="143"/>
      <c r="BO111" s="143"/>
      <c r="BP111" s="143"/>
      <c r="BQ111" s="143"/>
      <c r="BR111" s="12"/>
      <c r="BS111" s="5"/>
      <c r="BT111" s="5"/>
      <c r="BU111" s="5"/>
      <c r="BV111" s="5"/>
      <c r="BW111" s="5"/>
      <c r="BX111" s="5"/>
      <c r="BY111" s="5"/>
      <c r="BZ111" s="5"/>
      <c r="CA111" s="5"/>
      <c r="CB111" s="12"/>
      <c r="CC111" s="17"/>
      <c r="CE111" s="143"/>
      <c r="CF111" s="143"/>
      <c r="CG111" s="143"/>
      <c r="CH111" s="143"/>
      <c r="CI111" s="143"/>
      <c r="CJ111" s="143"/>
      <c r="CK111" s="12"/>
      <c r="CL111" s="5"/>
      <c r="CM111" s="5"/>
      <c r="CN111" s="5"/>
      <c r="CO111" s="5"/>
      <c r="CP111" s="5"/>
      <c r="CQ111" s="5"/>
      <c r="CR111" s="5"/>
      <c r="CS111" s="130"/>
      <c r="CT111" s="12"/>
      <c r="CU111" s="17"/>
      <c r="CV111" s="130"/>
      <c r="CW111" s="12"/>
      <c r="CX111" s="12"/>
      <c r="CY111" s="12"/>
      <c r="CZ111" s="12"/>
      <c r="DA111" s="12"/>
      <c r="DB111" s="12"/>
      <c r="DC111" s="12"/>
      <c r="DD111" s="130"/>
      <c r="DE111" s="130"/>
      <c r="DF111" s="130"/>
      <c r="DG111" s="130"/>
      <c r="DH111" s="130"/>
      <c r="DI111" s="130"/>
      <c r="DJ111" s="130"/>
      <c r="DK111" s="130"/>
      <c r="DL111" s="130"/>
      <c r="DM111" s="130"/>
      <c r="DN111" s="12"/>
      <c r="DO111" s="17"/>
      <c r="EH111" s="12"/>
      <c r="EI111" s="17"/>
      <c r="FM111" s="12"/>
      <c r="FN111" s="17"/>
      <c r="GJ111" s="12"/>
      <c r="GK111" s="17"/>
      <c r="GT111" s="103"/>
      <c r="GU111" s="103"/>
      <c r="GV111" s="103"/>
      <c r="GW111" s="103"/>
      <c r="GX111" s="103"/>
      <c r="GY111" s="103"/>
      <c r="GZ111" s="103"/>
      <c r="HA111" s="103"/>
      <c r="HB111" s="103"/>
      <c r="HC111" s="103"/>
      <c r="HD111" s="103"/>
      <c r="HE111" s="12"/>
      <c r="HF111" s="17"/>
      <c r="HO111" s="103"/>
      <c r="HP111" s="12"/>
      <c r="HQ111" s="17"/>
      <c r="HZ111" s="103"/>
      <c r="IA111" s="12"/>
      <c r="IB111" s="17"/>
    </row>
    <row r="112" spans="1:236" ht="14.45" hidden="1" customHeight="1" x14ac:dyDescent="0.25">
      <c r="A112" s="47"/>
      <c r="B112" s="12"/>
      <c r="C112" s="14"/>
      <c r="D112" s="14"/>
      <c r="E112" s="14"/>
      <c r="F112" s="14"/>
      <c r="G112" s="14"/>
      <c r="H112" s="14"/>
      <c r="I112" s="14">
        <f t="shared" si="2"/>
        <v>0</v>
      </c>
      <c r="J112" s="14">
        <f t="shared" si="2"/>
        <v>0</v>
      </c>
      <c r="K112" s="14">
        <f t="shared" si="2"/>
        <v>0</v>
      </c>
      <c r="L112" s="14"/>
      <c r="M112" s="150"/>
      <c r="N112" s="12"/>
      <c r="R112" s="108"/>
      <c r="S112" s="108"/>
      <c r="T112" s="108"/>
      <c r="U112" s="12"/>
      <c r="V112" s="5"/>
      <c r="W112" s="12"/>
      <c r="X112" s="12"/>
      <c r="Y112" s="10"/>
      <c r="Z112" s="6"/>
      <c r="AA112" s="12"/>
      <c r="AB112" s="12"/>
      <c r="AC112" s="12"/>
      <c r="AD112" s="12"/>
      <c r="AE112" s="12"/>
      <c r="AF112" s="12"/>
      <c r="AG112" s="12"/>
      <c r="AH112" s="5"/>
      <c r="AI112" s="12"/>
      <c r="AJ112" s="17"/>
      <c r="AL112" s="12"/>
      <c r="AM112" s="12"/>
      <c r="AN112" s="12"/>
      <c r="AO112" s="12"/>
      <c r="AP112" s="12"/>
      <c r="AQ112" s="12"/>
      <c r="AR112" s="12"/>
      <c r="AS112" s="5"/>
      <c r="AT112" s="5"/>
      <c r="AU112" s="5"/>
      <c r="AV112" s="5"/>
      <c r="AW112" s="12"/>
      <c r="AX112" s="17"/>
      <c r="AY112" s="5"/>
      <c r="AZ112" s="12"/>
      <c r="BA112" s="12"/>
      <c r="BB112" s="12"/>
      <c r="BC112" s="12"/>
      <c r="BD112" s="12"/>
      <c r="BE112" s="12"/>
      <c r="BF112" s="12"/>
      <c r="BG112" s="5"/>
      <c r="BH112" s="5"/>
      <c r="BI112" s="12"/>
      <c r="BJ112" s="17"/>
      <c r="BK112" s="5"/>
      <c r="BL112" s="143"/>
      <c r="BM112" s="143"/>
      <c r="BN112" s="143"/>
      <c r="BO112" s="143"/>
      <c r="BP112" s="143"/>
      <c r="BQ112" s="143"/>
      <c r="BR112" s="12"/>
      <c r="BS112" s="5"/>
      <c r="BT112" s="5"/>
      <c r="BU112" s="5"/>
      <c r="BV112" s="5"/>
      <c r="BW112" s="5"/>
      <c r="BX112" s="5"/>
      <c r="BY112" s="5"/>
      <c r="BZ112" s="5"/>
      <c r="CA112" s="5"/>
      <c r="CB112" s="12"/>
      <c r="CC112" s="17"/>
      <c r="CE112" s="143"/>
      <c r="CF112" s="143"/>
      <c r="CG112" s="143"/>
      <c r="CH112" s="143"/>
      <c r="CI112" s="143"/>
      <c r="CJ112" s="143"/>
      <c r="CK112" s="12"/>
      <c r="CL112" s="5"/>
      <c r="CM112" s="5"/>
      <c r="CN112" s="5"/>
      <c r="CO112" s="5"/>
      <c r="CP112" s="5"/>
      <c r="CQ112" s="5"/>
      <c r="CR112" s="5"/>
      <c r="CS112" s="130"/>
      <c r="CT112" s="12"/>
      <c r="CU112" s="17"/>
      <c r="CV112" s="130"/>
      <c r="CW112" s="12"/>
      <c r="CX112" s="12"/>
      <c r="CY112" s="12"/>
      <c r="CZ112" s="12"/>
      <c r="DA112" s="12"/>
      <c r="DB112" s="12"/>
      <c r="DC112" s="12"/>
      <c r="DD112" s="130"/>
      <c r="DE112" s="130"/>
      <c r="DF112" s="130"/>
      <c r="DG112" s="130"/>
      <c r="DH112" s="130"/>
      <c r="DI112" s="130"/>
      <c r="DJ112" s="130"/>
      <c r="DK112" s="130"/>
      <c r="DL112" s="130"/>
      <c r="DM112" s="130"/>
      <c r="DN112" s="12"/>
      <c r="DO112" s="17"/>
      <c r="EH112" s="12"/>
      <c r="EI112" s="17"/>
      <c r="FM112" s="12"/>
      <c r="FN112" s="17"/>
      <c r="GJ112" s="12"/>
      <c r="GK112" s="17"/>
      <c r="GT112" s="103"/>
      <c r="GU112" s="103"/>
      <c r="GV112" s="103"/>
      <c r="GW112" s="103"/>
      <c r="GX112" s="103"/>
      <c r="GY112" s="103"/>
      <c r="GZ112" s="103"/>
      <c r="HA112" s="103"/>
      <c r="HB112" s="103"/>
      <c r="HC112" s="103"/>
      <c r="HD112" s="103"/>
      <c r="HE112" s="12"/>
      <c r="HF112" s="17"/>
      <c r="HO112" s="103"/>
      <c r="HP112" s="12"/>
      <c r="HQ112" s="17"/>
      <c r="HZ112" s="103"/>
      <c r="IA112" s="12"/>
      <c r="IB112" s="17"/>
    </row>
    <row r="113" spans="1:236" ht="14.45" hidden="1" customHeight="1" x14ac:dyDescent="0.25">
      <c r="A113" s="47"/>
      <c r="B113" s="12"/>
      <c r="C113" s="14"/>
      <c r="D113" s="14"/>
      <c r="E113" s="14"/>
      <c r="F113" s="14"/>
      <c r="G113" s="14"/>
      <c r="H113" s="14"/>
      <c r="I113" s="14">
        <f t="shared" si="2"/>
        <v>0</v>
      </c>
      <c r="J113" s="14">
        <f t="shared" si="2"/>
        <v>0</v>
      </c>
      <c r="K113" s="14">
        <f t="shared" si="2"/>
        <v>0</v>
      </c>
      <c r="L113" s="14"/>
      <c r="M113" s="150"/>
      <c r="N113" s="12"/>
      <c r="R113" s="108"/>
      <c r="S113" s="108"/>
      <c r="T113" s="108"/>
      <c r="U113" s="12"/>
      <c r="V113" s="5"/>
      <c r="W113" s="12"/>
      <c r="X113" s="12"/>
      <c r="Y113" s="10"/>
      <c r="Z113" s="6"/>
      <c r="AA113" s="12"/>
      <c r="AB113" s="12"/>
      <c r="AC113" s="12"/>
      <c r="AD113" s="12"/>
      <c r="AE113" s="12"/>
      <c r="AF113" s="12"/>
      <c r="AG113" s="12"/>
      <c r="AH113" s="5"/>
      <c r="AI113" s="12"/>
      <c r="AJ113" s="17"/>
      <c r="AL113" s="12"/>
      <c r="AM113" s="12"/>
      <c r="AN113" s="12"/>
      <c r="AO113" s="12"/>
      <c r="AP113" s="12"/>
      <c r="AQ113" s="12"/>
      <c r="AR113" s="12"/>
      <c r="AS113" s="5"/>
      <c r="AT113" s="5"/>
      <c r="AU113" s="5"/>
      <c r="AV113" s="5"/>
      <c r="AW113" s="12"/>
      <c r="AX113" s="17"/>
      <c r="AY113" s="5"/>
      <c r="AZ113" s="12"/>
      <c r="BA113" s="12"/>
      <c r="BB113" s="12"/>
      <c r="BC113" s="12"/>
      <c r="BD113" s="12"/>
      <c r="BE113" s="12"/>
      <c r="BF113" s="12"/>
      <c r="BG113" s="5"/>
      <c r="BH113" s="5"/>
      <c r="BI113" s="12"/>
      <c r="BJ113" s="17"/>
      <c r="BK113" s="5"/>
      <c r="BL113" s="143"/>
      <c r="BM113" s="143"/>
      <c r="BN113" s="143"/>
      <c r="BO113" s="143"/>
      <c r="BP113" s="143"/>
      <c r="BQ113" s="143"/>
      <c r="BR113" s="12"/>
      <c r="BS113" s="5"/>
      <c r="BT113" s="5"/>
      <c r="BU113" s="5"/>
      <c r="BV113" s="5"/>
      <c r="BW113" s="5"/>
      <c r="BX113" s="5"/>
      <c r="BY113" s="5"/>
      <c r="BZ113" s="5"/>
      <c r="CA113" s="5"/>
      <c r="CB113" s="12"/>
      <c r="CC113" s="17"/>
      <c r="CE113" s="143"/>
      <c r="CF113" s="143"/>
      <c r="CG113" s="143"/>
      <c r="CH113" s="143"/>
      <c r="CI113" s="143"/>
      <c r="CJ113" s="143"/>
      <c r="CK113" s="12"/>
      <c r="CL113" s="5"/>
      <c r="CM113" s="5"/>
      <c r="CN113" s="5"/>
      <c r="CO113" s="5"/>
      <c r="CP113" s="5"/>
      <c r="CQ113" s="5"/>
      <c r="CR113" s="5"/>
      <c r="CS113" s="130"/>
      <c r="CT113" s="12"/>
      <c r="CU113" s="17"/>
      <c r="CV113" s="130"/>
      <c r="CW113" s="12"/>
      <c r="CX113" s="12"/>
      <c r="CY113" s="12"/>
      <c r="CZ113" s="12"/>
      <c r="DA113" s="12"/>
      <c r="DB113" s="12"/>
      <c r="DC113" s="12"/>
      <c r="DD113" s="130"/>
      <c r="DE113" s="130"/>
      <c r="DF113" s="130"/>
      <c r="DG113" s="130"/>
      <c r="DH113" s="130"/>
      <c r="DI113" s="130"/>
      <c r="DJ113" s="130"/>
      <c r="DK113" s="130"/>
      <c r="DL113" s="130"/>
      <c r="DM113" s="130"/>
      <c r="DN113" s="12"/>
      <c r="DO113" s="17"/>
      <c r="EH113" s="12"/>
      <c r="EI113" s="17"/>
      <c r="FM113" s="12"/>
      <c r="FN113" s="17"/>
      <c r="GJ113" s="12"/>
      <c r="GK113" s="17"/>
      <c r="GT113" s="103"/>
      <c r="GU113" s="103"/>
      <c r="GV113" s="103"/>
      <c r="GW113" s="103"/>
      <c r="GX113" s="103"/>
      <c r="GY113" s="103"/>
      <c r="GZ113" s="103"/>
      <c r="HA113" s="103"/>
      <c r="HB113" s="103"/>
      <c r="HC113" s="103"/>
      <c r="HD113" s="103"/>
      <c r="HE113" s="12"/>
      <c r="HF113" s="17"/>
      <c r="HO113" s="103"/>
      <c r="HP113" s="12"/>
      <c r="HQ113" s="17"/>
      <c r="HZ113" s="103"/>
      <c r="IA113" s="12"/>
      <c r="IB113" s="17"/>
    </row>
    <row r="114" spans="1:236" ht="14.45" hidden="1" customHeight="1" x14ac:dyDescent="0.25">
      <c r="A114" s="47"/>
      <c r="B114" s="12"/>
      <c r="C114" s="14"/>
      <c r="D114" s="14"/>
      <c r="E114" s="14"/>
      <c r="F114" s="14"/>
      <c r="G114" s="14"/>
      <c r="H114" s="14"/>
      <c r="I114" s="14">
        <f t="shared" si="2"/>
        <v>0</v>
      </c>
      <c r="J114" s="14">
        <f t="shared" si="2"/>
        <v>0</v>
      </c>
      <c r="K114" s="14">
        <f t="shared" si="2"/>
        <v>0</v>
      </c>
      <c r="L114" s="14"/>
      <c r="M114" s="150"/>
      <c r="N114" s="12"/>
      <c r="R114" s="108"/>
      <c r="S114" s="108"/>
      <c r="T114" s="108"/>
      <c r="U114" s="12"/>
      <c r="V114" s="5"/>
      <c r="W114" s="12"/>
      <c r="X114" s="12"/>
      <c r="Y114" s="10"/>
      <c r="Z114" s="6"/>
      <c r="AA114" s="12"/>
      <c r="AB114" s="12"/>
      <c r="AC114" s="12"/>
      <c r="AD114" s="12"/>
      <c r="AE114" s="12"/>
      <c r="AF114" s="12"/>
      <c r="AG114" s="12"/>
      <c r="AH114" s="5"/>
      <c r="AI114" s="12"/>
      <c r="AJ114" s="17"/>
      <c r="AL114" s="12"/>
      <c r="AM114" s="12"/>
      <c r="AN114" s="12"/>
      <c r="AO114" s="12"/>
      <c r="AP114" s="12"/>
      <c r="AQ114" s="12"/>
      <c r="AR114" s="12"/>
      <c r="AS114" s="5"/>
      <c r="AT114" s="5"/>
      <c r="AU114" s="5"/>
      <c r="AV114" s="5"/>
      <c r="AW114" s="12"/>
      <c r="AX114" s="17"/>
      <c r="AY114" s="5"/>
      <c r="AZ114" s="12"/>
      <c r="BA114" s="12"/>
      <c r="BB114" s="12"/>
      <c r="BC114" s="12"/>
      <c r="BD114" s="12"/>
      <c r="BE114" s="12"/>
      <c r="BF114" s="12"/>
      <c r="BG114" s="5"/>
      <c r="BH114" s="5"/>
      <c r="BI114" s="12"/>
      <c r="BJ114" s="17"/>
      <c r="BK114" s="5"/>
      <c r="BL114" s="143"/>
      <c r="BM114" s="143"/>
      <c r="BN114" s="143"/>
      <c r="BO114" s="143"/>
      <c r="BP114" s="143"/>
      <c r="BQ114" s="143"/>
      <c r="BR114" s="12"/>
      <c r="BS114" s="5"/>
      <c r="BT114" s="5"/>
      <c r="BU114" s="5"/>
      <c r="BV114" s="5"/>
      <c r="BW114" s="5"/>
      <c r="BX114" s="5"/>
      <c r="BY114" s="5"/>
      <c r="BZ114" s="5"/>
      <c r="CA114" s="5"/>
      <c r="CB114" s="12"/>
      <c r="CC114" s="17"/>
      <c r="CE114" s="143"/>
      <c r="CF114" s="143"/>
      <c r="CG114" s="143"/>
      <c r="CH114" s="143"/>
      <c r="CI114" s="143"/>
      <c r="CJ114" s="143"/>
      <c r="CK114" s="12"/>
      <c r="CL114" s="5"/>
      <c r="CM114" s="5"/>
      <c r="CN114" s="5"/>
      <c r="CO114" s="5"/>
      <c r="CP114" s="5"/>
      <c r="CQ114" s="5"/>
      <c r="CR114" s="5"/>
      <c r="CS114" s="130"/>
      <c r="CT114" s="12"/>
      <c r="CU114" s="17"/>
      <c r="CV114" s="130"/>
      <c r="CW114" s="12"/>
      <c r="CX114" s="12"/>
      <c r="CY114" s="12"/>
      <c r="CZ114" s="12"/>
      <c r="DA114" s="12"/>
      <c r="DB114" s="12"/>
      <c r="DC114" s="12"/>
      <c r="DD114" s="130"/>
      <c r="DE114" s="130"/>
      <c r="DF114" s="130"/>
      <c r="DG114" s="130"/>
      <c r="DH114" s="130"/>
      <c r="DI114" s="130"/>
      <c r="DJ114" s="130"/>
      <c r="DK114" s="130"/>
      <c r="DL114" s="130"/>
      <c r="DM114" s="130"/>
      <c r="DN114" s="12"/>
      <c r="DO114" s="17"/>
      <c r="EH114" s="12"/>
      <c r="EI114" s="17"/>
      <c r="FM114" s="12"/>
      <c r="FN114" s="17"/>
      <c r="GJ114" s="12"/>
      <c r="GK114" s="17"/>
      <c r="GT114" s="103"/>
      <c r="GU114" s="103"/>
      <c r="GV114" s="103"/>
      <c r="GW114" s="103"/>
      <c r="GX114" s="103"/>
      <c r="GY114" s="103"/>
      <c r="GZ114" s="103"/>
      <c r="HA114" s="103"/>
      <c r="HB114" s="103"/>
      <c r="HC114" s="103"/>
      <c r="HD114" s="103"/>
      <c r="HE114" s="12"/>
      <c r="HF114" s="17"/>
      <c r="HO114" s="103"/>
      <c r="HP114" s="12"/>
      <c r="HQ114" s="17"/>
      <c r="HZ114" s="103"/>
      <c r="IA114" s="12"/>
      <c r="IB114" s="17"/>
    </row>
    <row r="115" spans="1:236" ht="14.45" hidden="1" customHeight="1" x14ac:dyDescent="0.25">
      <c r="A115" s="47"/>
      <c r="B115" s="12"/>
      <c r="C115" s="14"/>
      <c r="D115" s="14"/>
      <c r="E115" s="14"/>
      <c r="F115" s="14"/>
      <c r="G115" s="14"/>
      <c r="H115" s="14"/>
      <c r="I115" s="14">
        <f t="shared" si="2"/>
        <v>0</v>
      </c>
      <c r="J115" s="14">
        <f t="shared" si="2"/>
        <v>0</v>
      </c>
      <c r="K115" s="14">
        <f t="shared" si="2"/>
        <v>0</v>
      </c>
      <c r="L115" s="14"/>
      <c r="M115" s="150"/>
      <c r="N115" s="12"/>
      <c r="R115" s="108"/>
      <c r="S115" s="108"/>
      <c r="T115" s="108"/>
      <c r="U115" s="12"/>
      <c r="V115" s="5"/>
      <c r="W115" s="12"/>
      <c r="X115" s="12"/>
      <c r="Y115" s="10"/>
      <c r="Z115" s="6"/>
      <c r="AA115" s="12"/>
      <c r="AB115" s="12"/>
      <c r="AC115" s="12"/>
      <c r="AD115" s="12"/>
      <c r="AE115" s="12"/>
      <c r="AF115" s="12"/>
      <c r="AG115" s="12"/>
      <c r="AH115" s="5"/>
      <c r="AI115" s="12"/>
      <c r="AJ115" s="17"/>
      <c r="AL115" s="12"/>
      <c r="AM115" s="12"/>
      <c r="AN115" s="12"/>
      <c r="AO115" s="12"/>
      <c r="AP115" s="12"/>
      <c r="AQ115" s="12"/>
      <c r="AR115" s="12"/>
      <c r="AS115" s="5"/>
      <c r="AT115" s="5"/>
      <c r="AU115" s="5"/>
      <c r="AV115" s="5"/>
      <c r="AW115" s="12"/>
      <c r="AX115" s="17"/>
      <c r="AY115" s="5"/>
      <c r="AZ115" s="12"/>
      <c r="BA115" s="12"/>
      <c r="BB115" s="12"/>
      <c r="BC115" s="12"/>
      <c r="BD115" s="12"/>
      <c r="BE115" s="12"/>
      <c r="BF115" s="12"/>
      <c r="BG115" s="5"/>
      <c r="BH115" s="5"/>
      <c r="BI115" s="12"/>
      <c r="BJ115" s="17"/>
      <c r="BK115" s="5"/>
      <c r="BL115" s="143"/>
      <c r="BM115" s="143"/>
      <c r="BN115" s="143"/>
      <c r="BO115" s="143"/>
      <c r="BP115" s="143"/>
      <c r="BQ115" s="143"/>
      <c r="BR115" s="12"/>
      <c r="BS115" s="5"/>
      <c r="BT115" s="5"/>
      <c r="BU115" s="5"/>
      <c r="BV115" s="5"/>
      <c r="BW115" s="5"/>
      <c r="BX115" s="5"/>
      <c r="BY115" s="5"/>
      <c r="BZ115" s="5"/>
      <c r="CA115" s="5"/>
      <c r="CB115" s="12"/>
      <c r="CC115" s="17"/>
      <c r="CE115" s="143"/>
      <c r="CF115" s="143"/>
      <c r="CG115" s="143"/>
      <c r="CH115" s="143"/>
      <c r="CI115" s="143"/>
      <c r="CJ115" s="143"/>
      <c r="CK115" s="12"/>
      <c r="CL115" s="5"/>
      <c r="CM115" s="5"/>
      <c r="CN115" s="5"/>
      <c r="CO115" s="5"/>
      <c r="CP115" s="5"/>
      <c r="CQ115" s="5"/>
      <c r="CR115" s="5"/>
      <c r="CS115" s="130"/>
      <c r="CT115" s="12"/>
      <c r="CU115" s="17"/>
      <c r="CV115" s="130"/>
      <c r="CW115" s="12"/>
      <c r="CX115" s="12"/>
      <c r="CY115" s="12"/>
      <c r="CZ115" s="12"/>
      <c r="DA115" s="12"/>
      <c r="DB115" s="12"/>
      <c r="DC115" s="12"/>
      <c r="DD115" s="130"/>
      <c r="DE115" s="130"/>
      <c r="DF115" s="130"/>
      <c r="DG115" s="130"/>
      <c r="DH115" s="130"/>
      <c r="DI115" s="130"/>
      <c r="DJ115" s="130"/>
      <c r="DK115" s="130"/>
      <c r="DL115" s="130"/>
      <c r="DM115" s="130"/>
      <c r="DN115" s="12"/>
      <c r="DO115" s="17"/>
      <c r="EH115" s="12"/>
      <c r="EI115" s="17"/>
      <c r="FM115" s="12"/>
      <c r="FN115" s="17"/>
      <c r="GJ115" s="12"/>
      <c r="GK115" s="17"/>
      <c r="GT115" s="103"/>
      <c r="GU115" s="103"/>
      <c r="GV115" s="103"/>
      <c r="GW115" s="103"/>
      <c r="GX115" s="103"/>
      <c r="GY115" s="103"/>
      <c r="GZ115" s="103"/>
      <c r="HA115" s="103"/>
      <c r="HB115" s="103"/>
      <c r="HC115" s="103"/>
      <c r="HD115" s="103"/>
      <c r="HE115" s="12"/>
      <c r="HF115" s="17"/>
      <c r="HO115" s="103"/>
      <c r="HP115" s="12"/>
      <c r="HQ115" s="17"/>
      <c r="HZ115" s="103"/>
      <c r="IA115" s="12"/>
      <c r="IB115" s="17"/>
    </row>
    <row r="116" spans="1:236" ht="14.45" hidden="1" customHeight="1" x14ac:dyDescent="0.25">
      <c r="A116" s="47"/>
      <c r="B116" s="12"/>
      <c r="C116" s="14"/>
      <c r="D116" s="14"/>
      <c r="E116" s="14"/>
      <c r="F116" s="14"/>
      <c r="G116" s="14"/>
      <c r="H116" s="14"/>
      <c r="I116" s="14">
        <f t="shared" si="2"/>
        <v>0</v>
      </c>
      <c r="J116" s="14">
        <f t="shared" si="2"/>
        <v>0</v>
      </c>
      <c r="K116" s="14">
        <f t="shared" si="2"/>
        <v>0</v>
      </c>
      <c r="L116" s="14"/>
      <c r="M116" s="150"/>
      <c r="N116" s="12"/>
      <c r="R116" s="108"/>
      <c r="S116" s="108"/>
      <c r="T116" s="108"/>
      <c r="U116" s="12"/>
      <c r="V116" s="5"/>
      <c r="W116" s="12"/>
      <c r="X116" s="12"/>
      <c r="Y116" s="10"/>
      <c r="Z116" s="6"/>
      <c r="AA116" s="12"/>
      <c r="AB116" s="12"/>
      <c r="AC116" s="12"/>
      <c r="AD116" s="12"/>
      <c r="AE116" s="12"/>
      <c r="AF116" s="12"/>
      <c r="AG116" s="12"/>
      <c r="AH116" s="5"/>
      <c r="AI116" s="12"/>
      <c r="AJ116" s="17"/>
      <c r="AL116" s="12"/>
      <c r="AM116" s="12"/>
      <c r="AN116" s="12"/>
      <c r="AO116" s="12"/>
      <c r="AP116" s="12"/>
      <c r="AQ116" s="12"/>
      <c r="AR116" s="12"/>
      <c r="AS116" s="5"/>
      <c r="AT116" s="5"/>
      <c r="AU116" s="5"/>
      <c r="AV116" s="5"/>
      <c r="AW116" s="12"/>
      <c r="AX116" s="17"/>
      <c r="AY116" s="5"/>
      <c r="AZ116" s="12"/>
      <c r="BA116" s="12"/>
      <c r="BB116" s="12"/>
      <c r="BC116" s="12"/>
      <c r="BD116" s="12"/>
      <c r="BE116" s="12"/>
      <c r="BF116" s="12"/>
      <c r="BG116" s="5"/>
      <c r="BH116" s="5"/>
      <c r="BI116" s="12"/>
      <c r="BJ116" s="17"/>
      <c r="BK116" s="5"/>
      <c r="BL116" s="143"/>
      <c r="BM116" s="143"/>
      <c r="BN116" s="143"/>
      <c r="BO116" s="143"/>
      <c r="BP116" s="143"/>
      <c r="BQ116" s="143"/>
      <c r="BR116" s="12"/>
      <c r="BS116" s="5"/>
      <c r="BT116" s="5"/>
      <c r="BU116" s="5"/>
      <c r="BV116" s="5"/>
      <c r="BW116" s="5"/>
      <c r="BX116" s="5"/>
      <c r="BY116" s="5"/>
      <c r="BZ116" s="5"/>
      <c r="CA116" s="5"/>
      <c r="CB116" s="12"/>
      <c r="CC116" s="17"/>
      <c r="CE116" s="143"/>
      <c r="CF116" s="143"/>
      <c r="CG116" s="143"/>
      <c r="CH116" s="143"/>
      <c r="CI116" s="143"/>
      <c r="CJ116" s="143"/>
      <c r="CK116" s="12"/>
      <c r="CL116" s="5"/>
      <c r="CM116" s="5"/>
      <c r="CN116" s="5"/>
      <c r="CO116" s="5"/>
      <c r="CP116" s="5"/>
      <c r="CQ116" s="5"/>
      <c r="CR116" s="5"/>
      <c r="CS116" s="130"/>
      <c r="CT116" s="12"/>
      <c r="CU116" s="17"/>
      <c r="CV116" s="130"/>
      <c r="CW116" s="12"/>
      <c r="CX116" s="12"/>
      <c r="CY116" s="12"/>
      <c r="CZ116" s="12"/>
      <c r="DA116" s="12"/>
      <c r="DB116" s="12"/>
      <c r="DC116" s="12"/>
      <c r="DD116" s="130"/>
      <c r="DE116" s="130"/>
      <c r="DF116" s="130"/>
      <c r="DG116" s="130"/>
      <c r="DH116" s="130"/>
      <c r="DI116" s="130"/>
      <c r="DJ116" s="130"/>
      <c r="DK116" s="130"/>
      <c r="DL116" s="130"/>
      <c r="DM116" s="130"/>
      <c r="DN116" s="12"/>
      <c r="DO116" s="17"/>
      <c r="EH116" s="12"/>
      <c r="EI116" s="17"/>
      <c r="FM116" s="12"/>
      <c r="FN116" s="17"/>
      <c r="GJ116" s="12"/>
      <c r="GK116" s="17"/>
      <c r="GT116" s="103"/>
      <c r="GU116" s="103"/>
      <c r="GV116" s="103"/>
      <c r="GW116" s="103"/>
      <c r="GX116" s="103"/>
      <c r="GY116" s="103"/>
      <c r="GZ116" s="103"/>
      <c r="HA116" s="103"/>
      <c r="HB116" s="103"/>
      <c r="HC116" s="103"/>
      <c r="HD116" s="103"/>
      <c r="HE116" s="12"/>
      <c r="HF116" s="17"/>
      <c r="HO116" s="103"/>
      <c r="HP116" s="12"/>
      <c r="HQ116" s="17"/>
      <c r="HZ116" s="103"/>
      <c r="IA116" s="12"/>
      <c r="IB116" s="17"/>
    </row>
    <row r="117" spans="1:236" ht="14.45" hidden="1" customHeight="1" x14ac:dyDescent="0.25">
      <c r="A117" s="47"/>
      <c r="B117" s="12"/>
      <c r="C117" s="14"/>
      <c r="D117" s="14"/>
      <c r="E117" s="14"/>
      <c r="F117" s="14"/>
      <c r="G117" s="14"/>
      <c r="H117" s="14"/>
      <c r="I117" s="14">
        <f t="shared" si="2"/>
        <v>0</v>
      </c>
      <c r="J117" s="14">
        <f t="shared" si="2"/>
        <v>0</v>
      </c>
      <c r="K117" s="14">
        <f t="shared" si="2"/>
        <v>0</v>
      </c>
      <c r="L117" s="14"/>
      <c r="M117" s="150"/>
      <c r="N117" s="12"/>
      <c r="R117" s="108"/>
      <c r="S117" s="108"/>
      <c r="T117" s="108"/>
      <c r="U117" s="12"/>
      <c r="V117" s="5"/>
      <c r="W117" s="12"/>
      <c r="X117" s="12"/>
      <c r="Y117" s="10"/>
      <c r="Z117" s="6"/>
      <c r="AA117" s="12"/>
      <c r="AB117" s="12"/>
      <c r="AC117" s="12"/>
      <c r="AD117" s="12"/>
      <c r="AE117" s="12"/>
      <c r="AF117" s="12"/>
      <c r="AG117" s="12"/>
      <c r="AH117" s="5"/>
      <c r="AI117" s="12"/>
      <c r="AJ117" s="17"/>
      <c r="AL117" s="12"/>
      <c r="AM117" s="12"/>
      <c r="AN117" s="12"/>
      <c r="AO117" s="12"/>
      <c r="AP117" s="12"/>
      <c r="AQ117" s="12"/>
      <c r="AR117" s="12"/>
      <c r="AS117" s="5"/>
      <c r="AT117" s="5"/>
      <c r="AU117" s="5"/>
      <c r="AV117" s="5"/>
      <c r="AW117" s="12"/>
      <c r="AX117" s="17"/>
      <c r="AY117" s="5"/>
      <c r="AZ117" s="12"/>
      <c r="BA117" s="12"/>
      <c r="BB117" s="12"/>
      <c r="BC117" s="12"/>
      <c r="BD117" s="12"/>
      <c r="BE117" s="12"/>
      <c r="BF117" s="12"/>
      <c r="BG117" s="5"/>
      <c r="BH117" s="5"/>
      <c r="BI117" s="12"/>
      <c r="BJ117" s="17"/>
      <c r="BK117" s="5"/>
      <c r="BL117" s="143"/>
      <c r="BM117" s="143"/>
      <c r="BN117" s="143"/>
      <c r="BO117" s="143"/>
      <c r="BP117" s="143"/>
      <c r="BQ117" s="143"/>
      <c r="BR117" s="12"/>
      <c r="BS117" s="5"/>
      <c r="BT117" s="5"/>
      <c r="BU117" s="5"/>
      <c r="BV117" s="5"/>
      <c r="BW117" s="5"/>
      <c r="BX117" s="5"/>
      <c r="BY117" s="5"/>
      <c r="BZ117" s="5"/>
      <c r="CA117" s="5"/>
      <c r="CB117" s="12"/>
      <c r="CC117" s="17"/>
      <c r="CE117" s="143"/>
      <c r="CF117" s="143"/>
      <c r="CG117" s="143"/>
      <c r="CH117" s="143"/>
      <c r="CI117" s="143"/>
      <c r="CJ117" s="143"/>
      <c r="CK117" s="12"/>
      <c r="CL117" s="5"/>
      <c r="CM117" s="5"/>
      <c r="CN117" s="5"/>
      <c r="CO117" s="5"/>
      <c r="CP117" s="5"/>
      <c r="CQ117" s="5"/>
      <c r="CR117" s="5"/>
      <c r="CS117" s="130"/>
      <c r="CT117" s="12"/>
      <c r="CU117" s="17"/>
      <c r="CV117" s="130"/>
      <c r="CW117" s="12"/>
      <c r="CX117" s="12"/>
      <c r="CY117" s="12"/>
      <c r="CZ117" s="12"/>
      <c r="DA117" s="12"/>
      <c r="DB117" s="12"/>
      <c r="DC117" s="12"/>
      <c r="DD117" s="130"/>
      <c r="DE117" s="130"/>
      <c r="DF117" s="130"/>
      <c r="DG117" s="130"/>
      <c r="DH117" s="130"/>
      <c r="DI117" s="130"/>
      <c r="DJ117" s="130"/>
      <c r="DK117" s="130"/>
      <c r="DL117" s="130"/>
      <c r="DM117" s="130"/>
      <c r="DN117" s="12"/>
      <c r="DO117" s="17"/>
      <c r="EH117" s="12"/>
      <c r="EI117" s="17"/>
      <c r="FM117" s="12"/>
      <c r="FN117" s="17"/>
      <c r="GJ117" s="12"/>
      <c r="GK117" s="17"/>
      <c r="GT117" s="103"/>
      <c r="GU117" s="103"/>
      <c r="GV117" s="103"/>
      <c r="GW117" s="103"/>
      <c r="GX117" s="103"/>
      <c r="GY117" s="103"/>
      <c r="GZ117" s="103"/>
      <c r="HA117" s="103"/>
      <c r="HB117" s="103"/>
      <c r="HC117" s="103"/>
      <c r="HD117" s="103"/>
      <c r="HE117" s="12"/>
      <c r="HF117" s="17"/>
      <c r="HO117" s="103"/>
      <c r="HP117" s="12"/>
      <c r="HQ117" s="17"/>
      <c r="HZ117" s="103"/>
      <c r="IA117" s="12"/>
      <c r="IB117" s="17"/>
    </row>
    <row r="118" spans="1:236" ht="14.45" hidden="1" customHeight="1" x14ac:dyDescent="0.25">
      <c r="A118" s="47"/>
      <c r="B118" s="12"/>
      <c r="C118" s="14"/>
      <c r="D118" s="14"/>
      <c r="E118" s="14"/>
      <c r="F118" s="14"/>
      <c r="G118" s="14"/>
      <c r="H118" s="14"/>
      <c r="I118" s="14">
        <f t="shared" si="2"/>
        <v>0</v>
      </c>
      <c r="J118" s="14">
        <f t="shared" si="2"/>
        <v>0</v>
      </c>
      <c r="K118" s="14">
        <f t="shared" si="2"/>
        <v>0</v>
      </c>
      <c r="L118" s="14"/>
      <c r="M118" s="150"/>
      <c r="N118" s="12"/>
      <c r="R118" s="108"/>
      <c r="S118" s="108"/>
      <c r="T118" s="108"/>
      <c r="U118" s="12"/>
      <c r="V118" s="5"/>
      <c r="W118" s="12"/>
      <c r="X118" s="12"/>
      <c r="Y118" s="10"/>
      <c r="Z118" s="6"/>
      <c r="AA118" s="12"/>
      <c r="AB118" s="12"/>
      <c r="AC118" s="12"/>
      <c r="AD118" s="12"/>
      <c r="AE118" s="12"/>
      <c r="AF118" s="12"/>
      <c r="AG118" s="12"/>
      <c r="AH118" s="5"/>
      <c r="AI118" s="12"/>
      <c r="AJ118" s="17"/>
      <c r="AL118" s="12"/>
      <c r="AM118" s="12"/>
      <c r="AN118" s="12"/>
      <c r="AO118" s="12"/>
      <c r="AP118" s="12"/>
      <c r="AQ118" s="12"/>
      <c r="AR118" s="12"/>
      <c r="AS118" s="5"/>
      <c r="AT118" s="5"/>
      <c r="AU118" s="5"/>
      <c r="AV118" s="5"/>
      <c r="AW118" s="12"/>
      <c r="AX118" s="17"/>
      <c r="AY118" s="5"/>
      <c r="AZ118" s="12"/>
      <c r="BA118" s="12"/>
      <c r="BB118" s="12"/>
      <c r="BC118" s="12"/>
      <c r="BD118" s="12"/>
      <c r="BE118" s="12"/>
      <c r="BF118" s="12"/>
      <c r="BG118" s="5"/>
      <c r="BH118" s="5"/>
      <c r="BI118" s="12"/>
      <c r="BJ118" s="17"/>
      <c r="BK118" s="5"/>
      <c r="BL118" s="143"/>
      <c r="BM118" s="143"/>
      <c r="BN118" s="143"/>
      <c r="BO118" s="143"/>
      <c r="BP118" s="143"/>
      <c r="BQ118" s="143"/>
      <c r="BR118" s="12"/>
      <c r="BS118" s="5"/>
      <c r="BT118" s="5"/>
      <c r="BU118" s="5"/>
      <c r="BV118" s="5"/>
      <c r="BW118" s="5"/>
      <c r="BX118" s="5"/>
      <c r="BY118" s="5"/>
      <c r="BZ118" s="5"/>
      <c r="CA118" s="5"/>
      <c r="CB118" s="12"/>
      <c r="CC118" s="17"/>
      <c r="CE118" s="143"/>
      <c r="CF118" s="143"/>
      <c r="CG118" s="143"/>
      <c r="CH118" s="143"/>
      <c r="CI118" s="143"/>
      <c r="CJ118" s="143"/>
      <c r="CK118" s="12"/>
      <c r="CL118" s="5"/>
      <c r="CM118" s="5"/>
      <c r="CN118" s="5"/>
      <c r="CO118" s="5"/>
      <c r="CP118" s="5"/>
      <c r="CQ118" s="5"/>
      <c r="CR118" s="5"/>
      <c r="CS118" s="130"/>
      <c r="CT118" s="12"/>
      <c r="CU118" s="17"/>
      <c r="CV118" s="130"/>
      <c r="CW118" s="12"/>
      <c r="CX118" s="12"/>
      <c r="CY118" s="12"/>
      <c r="CZ118" s="12"/>
      <c r="DA118" s="12"/>
      <c r="DB118" s="12"/>
      <c r="DC118" s="12"/>
      <c r="DD118" s="130"/>
      <c r="DE118" s="130"/>
      <c r="DF118" s="130"/>
      <c r="DG118" s="130"/>
      <c r="DH118" s="130"/>
      <c r="DI118" s="130"/>
      <c r="DJ118" s="130"/>
      <c r="DK118" s="130"/>
      <c r="DL118" s="130"/>
      <c r="DM118" s="130"/>
      <c r="DN118" s="12"/>
      <c r="DO118" s="17"/>
      <c r="EH118" s="12"/>
      <c r="EI118" s="17"/>
      <c r="FM118" s="12"/>
      <c r="FN118" s="17"/>
      <c r="GJ118" s="12"/>
      <c r="GK118" s="17"/>
      <c r="GT118" s="103"/>
      <c r="GU118" s="103"/>
      <c r="GV118" s="103"/>
      <c r="GW118" s="103"/>
      <c r="GX118" s="103"/>
      <c r="GY118" s="103"/>
      <c r="GZ118" s="103"/>
      <c r="HA118" s="103"/>
      <c r="HB118" s="103"/>
      <c r="HC118" s="103"/>
      <c r="HD118" s="103"/>
      <c r="HE118" s="12"/>
      <c r="HF118" s="17"/>
      <c r="HO118" s="103"/>
      <c r="HP118" s="12"/>
      <c r="HQ118" s="17"/>
      <c r="HZ118" s="103"/>
      <c r="IA118" s="12"/>
      <c r="IB118" s="17"/>
    </row>
    <row r="119" spans="1:236" ht="14.45" hidden="1" customHeight="1" x14ac:dyDescent="0.25">
      <c r="A119" s="47"/>
      <c r="B119" s="12"/>
      <c r="C119" s="14"/>
      <c r="D119" s="14"/>
      <c r="E119" s="14"/>
      <c r="F119" s="14"/>
      <c r="G119" s="14"/>
      <c r="H119" s="14"/>
      <c r="I119" s="14">
        <f t="shared" si="2"/>
        <v>0</v>
      </c>
      <c r="J119" s="14">
        <f t="shared" si="2"/>
        <v>0</v>
      </c>
      <c r="K119" s="14">
        <f t="shared" si="2"/>
        <v>0</v>
      </c>
      <c r="L119" s="14"/>
      <c r="M119" s="150"/>
      <c r="N119" s="12"/>
      <c r="R119" s="108"/>
      <c r="S119" s="108"/>
      <c r="T119" s="108"/>
      <c r="U119" s="12"/>
      <c r="V119" s="5"/>
      <c r="W119" s="12"/>
      <c r="X119" s="12"/>
      <c r="Y119" s="10"/>
      <c r="Z119" s="6"/>
      <c r="AA119" s="12"/>
      <c r="AB119" s="12"/>
      <c r="AC119" s="12"/>
      <c r="AD119" s="12"/>
      <c r="AE119" s="12"/>
      <c r="AF119" s="12"/>
      <c r="AG119" s="12"/>
      <c r="AH119" s="5"/>
      <c r="AI119" s="12"/>
      <c r="AJ119" s="17"/>
      <c r="AL119" s="12"/>
      <c r="AM119" s="12"/>
      <c r="AN119" s="12"/>
      <c r="AO119" s="12"/>
      <c r="AP119" s="12"/>
      <c r="AQ119" s="12"/>
      <c r="AR119" s="12"/>
      <c r="AS119" s="5"/>
      <c r="AT119" s="5"/>
      <c r="AU119" s="5"/>
      <c r="AV119" s="5"/>
      <c r="AW119" s="12"/>
      <c r="AX119" s="17"/>
      <c r="AY119" s="5"/>
      <c r="AZ119" s="12"/>
      <c r="BA119" s="12"/>
      <c r="BB119" s="12"/>
      <c r="BC119" s="12"/>
      <c r="BD119" s="12"/>
      <c r="BE119" s="12"/>
      <c r="BF119" s="12"/>
      <c r="BG119" s="5"/>
      <c r="BH119" s="5"/>
      <c r="BI119" s="12"/>
      <c r="BJ119" s="17"/>
      <c r="BK119" s="5"/>
      <c r="BL119" s="143"/>
      <c r="BM119" s="143"/>
      <c r="BN119" s="143"/>
      <c r="BO119" s="143"/>
      <c r="BP119" s="143"/>
      <c r="BQ119" s="143"/>
      <c r="BR119" s="12"/>
      <c r="BS119" s="5"/>
      <c r="BT119" s="5"/>
      <c r="BU119" s="5"/>
      <c r="BV119" s="5"/>
      <c r="BW119" s="5"/>
      <c r="BX119" s="5"/>
      <c r="BY119" s="5"/>
      <c r="BZ119" s="5"/>
      <c r="CA119" s="5"/>
      <c r="CB119" s="12"/>
      <c r="CC119" s="17"/>
      <c r="CE119" s="143"/>
      <c r="CF119" s="143"/>
      <c r="CG119" s="143"/>
      <c r="CH119" s="143"/>
      <c r="CI119" s="143"/>
      <c r="CJ119" s="143"/>
      <c r="CK119" s="12"/>
      <c r="CL119" s="5"/>
      <c r="CM119" s="5"/>
      <c r="CN119" s="5"/>
      <c r="CO119" s="5"/>
      <c r="CP119" s="5"/>
      <c r="CQ119" s="5"/>
      <c r="CR119" s="5"/>
      <c r="CS119" s="130"/>
      <c r="CT119" s="12"/>
      <c r="CU119" s="17"/>
      <c r="CV119" s="130"/>
      <c r="CW119" s="12"/>
      <c r="CX119" s="12"/>
      <c r="CY119" s="12"/>
      <c r="CZ119" s="12"/>
      <c r="DA119" s="12"/>
      <c r="DB119" s="12"/>
      <c r="DC119" s="12"/>
      <c r="DD119" s="130"/>
      <c r="DE119" s="130"/>
      <c r="DF119" s="130"/>
      <c r="DG119" s="130"/>
      <c r="DH119" s="130"/>
      <c r="DI119" s="130"/>
      <c r="DJ119" s="130"/>
      <c r="DK119" s="130"/>
      <c r="DL119" s="130"/>
      <c r="DM119" s="130"/>
      <c r="DN119" s="12"/>
      <c r="DO119" s="17"/>
      <c r="EH119" s="12"/>
      <c r="EI119" s="17"/>
      <c r="FM119" s="12"/>
      <c r="FN119" s="17"/>
      <c r="GJ119" s="12"/>
      <c r="GK119" s="17"/>
      <c r="GT119" s="103"/>
      <c r="GU119" s="103"/>
      <c r="GV119" s="103"/>
      <c r="GW119" s="103"/>
      <c r="GX119" s="103"/>
      <c r="GY119" s="103"/>
      <c r="GZ119" s="103"/>
      <c r="HA119" s="103"/>
      <c r="HB119" s="103"/>
      <c r="HC119" s="103"/>
      <c r="HD119" s="103"/>
      <c r="HE119" s="12"/>
      <c r="HF119" s="17"/>
      <c r="HO119" s="103"/>
      <c r="HP119" s="12"/>
      <c r="HQ119" s="17"/>
      <c r="HZ119" s="103"/>
      <c r="IA119" s="12"/>
      <c r="IB119" s="17"/>
    </row>
    <row r="120" spans="1:236" ht="14.45" hidden="1" customHeight="1" x14ac:dyDescent="0.25">
      <c r="A120" s="47"/>
      <c r="B120" s="12"/>
      <c r="C120" s="14"/>
      <c r="D120" s="14"/>
      <c r="E120" s="14"/>
      <c r="F120" s="14"/>
      <c r="G120" s="14"/>
      <c r="H120" s="14"/>
      <c r="I120" s="14">
        <f t="shared" si="2"/>
        <v>0</v>
      </c>
      <c r="J120" s="14">
        <f t="shared" si="2"/>
        <v>0</v>
      </c>
      <c r="K120" s="14">
        <f t="shared" si="2"/>
        <v>0</v>
      </c>
      <c r="L120" s="14"/>
      <c r="M120" s="150"/>
      <c r="N120" s="12"/>
      <c r="R120" s="108"/>
      <c r="S120" s="108"/>
      <c r="T120" s="108"/>
      <c r="U120" s="12"/>
      <c r="V120" s="5"/>
      <c r="W120" s="12"/>
      <c r="X120" s="12"/>
      <c r="Y120" s="10"/>
      <c r="Z120" s="6"/>
      <c r="AA120" s="12"/>
      <c r="AB120" s="12"/>
      <c r="AC120" s="12"/>
      <c r="AD120" s="12"/>
      <c r="AE120" s="12"/>
      <c r="AF120" s="12"/>
      <c r="AG120" s="12"/>
      <c r="AH120" s="5"/>
      <c r="AI120" s="12"/>
      <c r="AJ120" s="17"/>
      <c r="AL120" s="12"/>
      <c r="AM120" s="12"/>
      <c r="AN120" s="12"/>
      <c r="AO120" s="12"/>
      <c r="AP120" s="12"/>
      <c r="AQ120" s="12"/>
      <c r="AR120" s="12"/>
      <c r="AS120" s="5"/>
      <c r="AT120" s="5"/>
      <c r="AU120" s="5"/>
      <c r="AV120" s="5"/>
      <c r="AW120" s="12"/>
      <c r="AX120" s="17"/>
      <c r="AY120" s="5"/>
      <c r="AZ120" s="12"/>
      <c r="BA120" s="12"/>
      <c r="BB120" s="12"/>
      <c r="BC120" s="12"/>
      <c r="BD120" s="12"/>
      <c r="BE120" s="12"/>
      <c r="BF120" s="12"/>
      <c r="BG120" s="5"/>
      <c r="BH120" s="5"/>
      <c r="BI120" s="12"/>
      <c r="BJ120" s="17"/>
      <c r="BK120" s="5"/>
      <c r="BL120" s="143"/>
      <c r="BM120" s="143"/>
      <c r="BN120" s="143"/>
      <c r="BO120" s="143"/>
      <c r="BP120" s="143"/>
      <c r="BQ120" s="143"/>
      <c r="BR120" s="12"/>
      <c r="BS120" s="5"/>
      <c r="BT120" s="5"/>
      <c r="BU120" s="5"/>
      <c r="BV120" s="5"/>
      <c r="BW120" s="5"/>
      <c r="BX120" s="5"/>
      <c r="BY120" s="5"/>
      <c r="BZ120" s="5"/>
      <c r="CA120" s="5"/>
      <c r="CB120" s="12"/>
      <c r="CC120" s="17"/>
      <c r="CE120" s="143"/>
      <c r="CF120" s="143"/>
      <c r="CG120" s="143"/>
      <c r="CH120" s="143"/>
      <c r="CI120" s="143"/>
      <c r="CJ120" s="143"/>
      <c r="CK120" s="12"/>
      <c r="CL120" s="5"/>
      <c r="CM120" s="5"/>
      <c r="CN120" s="5"/>
      <c r="CO120" s="5"/>
      <c r="CP120" s="5"/>
      <c r="CQ120" s="5"/>
      <c r="CR120" s="5"/>
      <c r="CS120" s="130"/>
      <c r="CT120" s="12"/>
      <c r="CU120" s="17"/>
      <c r="CV120" s="130"/>
      <c r="CW120" s="12"/>
      <c r="CX120" s="12"/>
      <c r="CY120" s="12"/>
      <c r="CZ120" s="12"/>
      <c r="DA120" s="12"/>
      <c r="DB120" s="12"/>
      <c r="DC120" s="12"/>
      <c r="DD120" s="130"/>
      <c r="DE120" s="130"/>
      <c r="DF120" s="130"/>
      <c r="DG120" s="130"/>
      <c r="DH120" s="130"/>
      <c r="DI120" s="130"/>
      <c r="DJ120" s="130"/>
      <c r="DK120" s="130"/>
      <c r="DL120" s="130"/>
      <c r="DM120" s="130"/>
      <c r="DN120" s="12"/>
      <c r="DO120" s="17"/>
      <c r="EH120" s="12"/>
      <c r="EI120" s="17"/>
      <c r="FM120" s="12"/>
      <c r="FN120" s="17"/>
      <c r="GJ120" s="12"/>
      <c r="GK120" s="17"/>
      <c r="GT120" s="103"/>
      <c r="GU120" s="103"/>
      <c r="GV120" s="103"/>
      <c r="GW120" s="103"/>
      <c r="GX120" s="103"/>
      <c r="GY120" s="103"/>
      <c r="GZ120" s="103"/>
      <c r="HA120" s="103"/>
      <c r="HB120" s="103"/>
      <c r="HC120" s="103"/>
      <c r="HD120" s="103"/>
      <c r="HE120" s="12"/>
      <c r="HF120" s="17"/>
      <c r="HO120" s="103"/>
      <c r="HP120" s="12"/>
      <c r="HQ120" s="17"/>
      <c r="HZ120" s="103"/>
      <c r="IA120" s="12"/>
      <c r="IB120" s="17"/>
    </row>
    <row r="121" spans="1:236" ht="14.45" hidden="1" customHeight="1" x14ac:dyDescent="0.25">
      <c r="A121" s="47"/>
      <c r="B121" s="12"/>
      <c r="C121" s="14"/>
      <c r="D121" s="14"/>
      <c r="E121" s="14"/>
      <c r="F121" s="14"/>
      <c r="G121" s="14"/>
      <c r="H121" s="14"/>
      <c r="I121" s="14">
        <f t="shared" si="2"/>
        <v>0</v>
      </c>
      <c r="J121" s="14">
        <f t="shared" si="2"/>
        <v>0</v>
      </c>
      <c r="K121" s="14">
        <f t="shared" si="2"/>
        <v>0</v>
      </c>
      <c r="L121" s="14"/>
      <c r="M121" s="150"/>
      <c r="N121" s="12"/>
      <c r="R121" s="108"/>
      <c r="S121" s="108"/>
      <c r="T121" s="108"/>
      <c r="U121" s="12"/>
      <c r="V121" s="5"/>
      <c r="W121" s="12"/>
      <c r="X121" s="12"/>
      <c r="Y121" s="10"/>
      <c r="Z121" s="6"/>
      <c r="AA121" s="12"/>
      <c r="AB121" s="12"/>
      <c r="AC121" s="12"/>
      <c r="AD121" s="12"/>
      <c r="AE121" s="12"/>
      <c r="AF121" s="12"/>
      <c r="AG121" s="12"/>
      <c r="AH121" s="5"/>
      <c r="AI121" s="12"/>
      <c r="AJ121" s="17"/>
      <c r="AL121" s="12"/>
      <c r="AM121" s="12"/>
      <c r="AN121" s="12"/>
      <c r="AO121" s="12"/>
      <c r="AP121" s="12"/>
      <c r="AQ121" s="12"/>
      <c r="AR121" s="12"/>
      <c r="AS121" s="5"/>
      <c r="AT121" s="5"/>
      <c r="AU121" s="5"/>
      <c r="AV121" s="5"/>
      <c r="AW121" s="12"/>
      <c r="AX121" s="17"/>
      <c r="AY121" s="5"/>
      <c r="AZ121" s="12"/>
      <c r="BA121" s="12"/>
      <c r="BB121" s="12"/>
      <c r="BC121" s="12"/>
      <c r="BD121" s="12"/>
      <c r="BE121" s="12"/>
      <c r="BF121" s="12"/>
      <c r="BG121" s="5"/>
      <c r="BH121" s="5"/>
      <c r="BI121" s="12"/>
      <c r="BJ121" s="17"/>
      <c r="BK121" s="5"/>
      <c r="BL121" s="143"/>
      <c r="BM121" s="143"/>
      <c r="BN121" s="143"/>
      <c r="BO121" s="143"/>
      <c r="BP121" s="143"/>
      <c r="BQ121" s="143"/>
      <c r="BR121" s="12"/>
      <c r="BS121" s="5"/>
      <c r="BT121" s="5"/>
      <c r="BU121" s="5"/>
      <c r="BV121" s="5"/>
      <c r="BW121" s="5"/>
      <c r="BX121" s="5"/>
      <c r="BY121" s="5"/>
      <c r="BZ121" s="5"/>
      <c r="CA121" s="5"/>
      <c r="CB121" s="12"/>
      <c r="CC121" s="17"/>
      <c r="CE121" s="143"/>
      <c r="CF121" s="143"/>
      <c r="CG121" s="143"/>
      <c r="CH121" s="143"/>
      <c r="CI121" s="143"/>
      <c r="CJ121" s="143"/>
      <c r="CK121" s="12"/>
      <c r="CL121" s="5"/>
      <c r="CM121" s="5"/>
      <c r="CN121" s="5"/>
      <c r="CO121" s="5"/>
      <c r="CP121" s="5"/>
      <c r="CQ121" s="5"/>
      <c r="CR121" s="5"/>
      <c r="CS121" s="130"/>
      <c r="CT121" s="12"/>
      <c r="CU121" s="17"/>
      <c r="CV121" s="130"/>
      <c r="CW121" s="12"/>
      <c r="CX121" s="12"/>
      <c r="CY121" s="12"/>
      <c r="CZ121" s="12"/>
      <c r="DA121" s="12"/>
      <c r="DB121" s="12"/>
      <c r="DC121" s="12"/>
      <c r="DD121" s="130"/>
      <c r="DE121" s="130"/>
      <c r="DF121" s="130"/>
      <c r="DG121" s="130"/>
      <c r="DH121" s="130"/>
      <c r="DI121" s="130"/>
      <c r="DJ121" s="130"/>
      <c r="DK121" s="130"/>
      <c r="DL121" s="130"/>
      <c r="DM121" s="130"/>
      <c r="DN121" s="12"/>
      <c r="DO121" s="17"/>
      <c r="EH121" s="12"/>
      <c r="EI121" s="17"/>
      <c r="FM121" s="12"/>
      <c r="FN121" s="17"/>
      <c r="GJ121" s="12"/>
      <c r="GK121" s="17"/>
      <c r="GT121" s="103"/>
      <c r="GU121" s="103"/>
      <c r="GV121" s="103"/>
      <c r="GW121" s="103"/>
      <c r="GX121" s="103"/>
      <c r="GY121" s="103"/>
      <c r="GZ121" s="103"/>
      <c r="HA121" s="103"/>
      <c r="HB121" s="103"/>
      <c r="HC121" s="103"/>
      <c r="HD121" s="103"/>
      <c r="HE121" s="12"/>
      <c r="HF121" s="17"/>
      <c r="HO121" s="103"/>
      <c r="HP121" s="12"/>
      <c r="HQ121" s="17"/>
      <c r="HZ121" s="103"/>
      <c r="IA121" s="12"/>
      <c r="IB121" s="17"/>
    </row>
    <row r="122" spans="1:236" ht="14.45" hidden="1" customHeight="1" x14ac:dyDescent="0.25">
      <c r="A122" s="47"/>
      <c r="B122" s="12"/>
      <c r="C122" s="14"/>
      <c r="D122" s="14"/>
      <c r="E122" s="14"/>
      <c r="F122" s="14"/>
      <c r="G122" s="14"/>
      <c r="H122" s="14"/>
      <c r="I122" s="14">
        <f t="shared" si="2"/>
        <v>0</v>
      </c>
      <c r="J122" s="14">
        <f t="shared" si="2"/>
        <v>0</v>
      </c>
      <c r="K122" s="14">
        <f t="shared" si="2"/>
        <v>0</v>
      </c>
      <c r="L122" s="14"/>
      <c r="M122" s="150"/>
      <c r="N122" s="12"/>
      <c r="R122" s="108"/>
      <c r="S122" s="108"/>
      <c r="T122" s="108"/>
      <c r="U122" s="12"/>
      <c r="V122" s="5"/>
      <c r="W122" s="12"/>
      <c r="X122" s="12"/>
      <c r="Y122" s="10"/>
      <c r="Z122" s="6"/>
      <c r="AA122" s="12"/>
      <c r="AB122" s="12"/>
      <c r="AC122" s="12"/>
      <c r="AD122" s="12"/>
      <c r="AE122" s="12"/>
      <c r="AF122" s="12"/>
      <c r="AG122" s="12"/>
      <c r="AH122" s="5"/>
      <c r="AI122" s="12"/>
      <c r="AJ122" s="17"/>
      <c r="AL122" s="12"/>
      <c r="AM122" s="12"/>
      <c r="AN122" s="12"/>
      <c r="AO122" s="12"/>
      <c r="AP122" s="12"/>
      <c r="AQ122" s="12"/>
      <c r="AR122" s="12"/>
      <c r="AS122" s="5"/>
      <c r="AT122" s="5"/>
      <c r="AU122" s="5"/>
      <c r="AV122" s="5"/>
      <c r="AW122" s="12"/>
      <c r="AX122" s="17"/>
      <c r="AY122" s="5"/>
      <c r="AZ122" s="12"/>
      <c r="BA122" s="12"/>
      <c r="BB122" s="12"/>
      <c r="BC122" s="12"/>
      <c r="BD122" s="12"/>
      <c r="BE122" s="12"/>
      <c r="BF122" s="12"/>
      <c r="BG122" s="5"/>
      <c r="BH122" s="5"/>
      <c r="BI122" s="12"/>
      <c r="BJ122" s="17"/>
      <c r="BK122" s="5"/>
      <c r="BL122" s="143"/>
      <c r="BM122" s="143"/>
      <c r="BN122" s="143"/>
      <c r="BO122" s="143"/>
      <c r="BP122" s="143"/>
      <c r="BQ122" s="143"/>
      <c r="BR122" s="12"/>
      <c r="BS122" s="5"/>
      <c r="BT122" s="5"/>
      <c r="BU122" s="5"/>
      <c r="BV122" s="5"/>
      <c r="BW122" s="5"/>
      <c r="BX122" s="5"/>
      <c r="BY122" s="5"/>
      <c r="BZ122" s="5"/>
      <c r="CA122" s="5"/>
      <c r="CB122" s="12"/>
      <c r="CC122" s="17"/>
      <c r="CE122" s="143"/>
      <c r="CF122" s="143"/>
      <c r="CG122" s="143"/>
      <c r="CH122" s="143"/>
      <c r="CI122" s="143"/>
      <c r="CJ122" s="143"/>
      <c r="CK122" s="12"/>
      <c r="CL122" s="5"/>
      <c r="CM122" s="5"/>
      <c r="CN122" s="5"/>
      <c r="CO122" s="5"/>
      <c r="CP122" s="5"/>
      <c r="CQ122" s="5"/>
      <c r="CR122" s="5"/>
      <c r="CS122" s="130"/>
      <c r="CT122" s="12"/>
      <c r="CU122" s="17"/>
      <c r="CV122" s="130"/>
      <c r="CW122" s="12"/>
      <c r="CX122" s="12"/>
      <c r="CY122" s="12"/>
      <c r="CZ122" s="12"/>
      <c r="DA122" s="12"/>
      <c r="DB122" s="12"/>
      <c r="DC122" s="12"/>
      <c r="DD122" s="130"/>
      <c r="DE122" s="130"/>
      <c r="DF122" s="130"/>
      <c r="DG122" s="130"/>
      <c r="DH122" s="130"/>
      <c r="DI122" s="130"/>
      <c r="DJ122" s="130"/>
      <c r="DK122" s="130"/>
      <c r="DL122" s="130"/>
      <c r="DM122" s="130"/>
      <c r="DN122" s="12"/>
      <c r="DO122" s="17"/>
      <c r="EH122" s="12"/>
      <c r="EI122" s="17"/>
      <c r="FM122" s="12"/>
      <c r="FN122" s="17"/>
      <c r="GJ122" s="12"/>
      <c r="GK122" s="17"/>
      <c r="GT122" s="103"/>
      <c r="GU122" s="103"/>
      <c r="GV122" s="103"/>
      <c r="GW122" s="103"/>
      <c r="GX122" s="103"/>
      <c r="GY122" s="103"/>
      <c r="GZ122" s="103"/>
      <c r="HA122" s="103"/>
      <c r="HB122" s="103"/>
      <c r="HC122" s="103"/>
      <c r="HD122" s="103"/>
      <c r="HE122" s="12"/>
      <c r="HF122" s="17"/>
      <c r="HO122" s="103"/>
      <c r="HP122" s="12"/>
      <c r="HQ122" s="17"/>
      <c r="HZ122" s="103"/>
      <c r="IA122" s="12"/>
      <c r="IB122" s="17"/>
    </row>
    <row r="123" spans="1:236" ht="14.45" hidden="1" customHeight="1" x14ac:dyDescent="0.25">
      <c r="A123" s="47"/>
      <c r="B123" s="12"/>
      <c r="C123" s="14"/>
      <c r="D123" s="14"/>
      <c r="E123" s="14"/>
      <c r="F123" s="14"/>
      <c r="G123" s="14"/>
      <c r="H123" s="14"/>
      <c r="I123" s="14">
        <f t="shared" si="2"/>
        <v>0</v>
      </c>
      <c r="J123" s="14">
        <f t="shared" si="2"/>
        <v>0</v>
      </c>
      <c r="K123" s="14">
        <f t="shared" si="2"/>
        <v>0</v>
      </c>
      <c r="L123" s="14"/>
      <c r="M123" s="150"/>
      <c r="N123" s="12"/>
      <c r="R123" s="108"/>
      <c r="S123" s="108"/>
      <c r="T123" s="108"/>
      <c r="U123" s="12"/>
      <c r="V123" s="5"/>
      <c r="W123" s="12"/>
      <c r="X123" s="12"/>
      <c r="Y123" s="10"/>
      <c r="Z123" s="6"/>
      <c r="AA123" s="12"/>
      <c r="AB123" s="12"/>
      <c r="AC123" s="12"/>
      <c r="AD123" s="12"/>
      <c r="AE123" s="12"/>
      <c r="AF123" s="12"/>
      <c r="AG123" s="12"/>
      <c r="AH123" s="5"/>
      <c r="AI123" s="12"/>
      <c r="AJ123" s="17"/>
      <c r="AL123" s="12"/>
      <c r="AM123" s="12"/>
      <c r="AN123" s="12"/>
      <c r="AO123" s="12"/>
      <c r="AP123" s="12"/>
      <c r="AQ123" s="12"/>
      <c r="AR123" s="12"/>
      <c r="AS123" s="5"/>
      <c r="AT123" s="5"/>
      <c r="AU123" s="5"/>
      <c r="AV123" s="5"/>
      <c r="AW123" s="12"/>
      <c r="AX123" s="17"/>
      <c r="AY123" s="5"/>
      <c r="AZ123" s="12"/>
      <c r="BA123" s="12"/>
      <c r="BB123" s="12"/>
      <c r="BC123" s="12"/>
      <c r="BD123" s="12"/>
      <c r="BE123" s="12"/>
      <c r="BF123" s="12"/>
      <c r="BG123" s="5"/>
      <c r="BH123" s="5"/>
      <c r="BI123" s="12"/>
      <c r="BJ123" s="17"/>
      <c r="BK123" s="5"/>
      <c r="BL123" s="143"/>
      <c r="BM123" s="143"/>
      <c r="BN123" s="143"/>
      <c r="BO123" s="143"/>
      <c r="BP123" s="143"/>
      <c r="BQ123" s="143"/>
      <c r="BR123" s="12"/>
      <c r="BS123" s="5"/>
      <c r="BT123" s="5"/>
      <c r="BU123" s="5"/>
      <c r="BV123" s="5"/>
      <c r="BW123" s="5"/>
      <c r="BX123" s="5"/>
      <c r="BY123" s="5"/>
      <c r="BZ123" s="5"/>
      <c r="CA123" s="5"/>
      <c r="CB123" s="12"/>
      <c r="CC123" s="17"/>
      <c r="CE123" s="143"/>
      <c r="CF123" s="143"/>
      <c r="CG123" s="143"/>
      <c r="CH123" s="143"/>
      <c r="CI123" s="143"/>
      <c r="CJ123" s="143"/>
      <c r="CK123" s="12"/>
      <c r="CL123" s="5"/>
      <c r="CM123" s="5"/>
      <c r="CN123" s="5"/>
      <c r="CO123" s="5"/>
      <c r="CP123" s="5"/>
      <c r="CQ123" s="5"/>
      <c r="CR123" s="5"/>
      <c r="CS123" s="130"/>
      <c r="CT123" s="12"/>
      <c r="CU123" s="17"/>
      <c r="CV123" s="130"/>
      <c r="CW123" s="12"/>
      <c r="CX123" s="12"/>
      <c r="CY123" s="12"/>
      <c r="CZ123" s="12"/>
      <c r="DA123" s="12"/>
      <c r="DB123" s="12"/>
      <c r="DC123" s="12"/>
      <c r="DD123" s="130"/>
      <c r="DE123" s="130"/>
      <c r="DF123" s="130"/>
      <c r="DG123" s="130"/>
      <c r="DH123" s="130"/>
      <c r="DI123" s="130"/>
      <c r="DJ123" s="130"/>
      <c r="DK123" s="130"/>
      <c r="DL123" s="130"/>
      <c r="DM123" s="130"/>
      <c r="DN123" s="12"/>
      <c r="DO123" s="17"/>
      <c r="EH123" s="12"/>
      <c r="EI123" s="17"/>
      <c r="FM123" s="12"/>
      <c r="FN123" s="17"/>
      <c r="GJ123" s="12"/>
      <c r="GK123" s="17"/>
      <c r="GT123" s="103"/>
      <c r="GU123" s="103"/>
      <c r="GV123" s="103"/>
      <c r="GW123" s="103"/>
      <c r="GX123" s="103"/>
      <c r="GY123" s="103"/>
      <c r="GZ123" s="103"/>
      <c r="HA123" s="103"/>
      <c r="HB123" s="103"/>
      <c r="HC123" s="103"/>
      <c r="HD123" s="103"/>
      <c r="HE123" s="12"/>
      <c r="HF123" s="17"/>
      <c r="HO123" s="103"/>
      <c r="HP123" s="12"/>
      <c r="HQ123" s="17"/>
      <c r="HZ123" s="103"/>
      <c r="IA123" s="12"/>
      <c r="IB123" s="17"/>
    </row>
    <row r="124" spans="1:236" ht="14.45" hidden="1" customHeight="1" x14ac:dyDescent="0.25">
      <c r="A124" s="47"/>
      <c r="B124" s="12"/>
      <c r="C124" s="14"/>
      <c r="D124" s="14"/>
      <c r="E124" s="14"/>
      <c r="F124" s="14"/>
      <c r="G124" s="14"/>
      <c r="H124" s="14"/>
      <c r="I124" s="14">
        <f t="shared" si="2"/>
        <v>0</v>
      </c>
      <c r="J124" s="14">
        <f t="shared" si="2"/>
        <v>0</v>
      </c>
      <c r="K124" s="14">
        <f t="shared" si="2"/>
        <v>0</v>
      </c>
      <c r="L124" s="14"/>
      <c r="M124" s="150"/>
      <c r="N124" s="12"/>
      <c r="R124" s="108"/>
      <c r="S124" s="108"/>
      <c r="T124" s="108"/>
      <c r="U124" s="12"/>
      <c r="V124" s="5"/>
      <c r="W124" s="12"/>
      <c r="X124" s="12"/>
      <c r="Y124" s="10"/>
      <c r="Z124" s="6"/>
      <c r="AA124" s="12"/>
      <c r="AB124" s="12"/>
      <c r="AC124" s="12"/>
      <c r="AD124" s="12"/>
      <c r="AE124" s="12"/>
      <c r="AF124" s="12"/>
      <c r="AG124" s="12"/>
      <c r="AH124" s="5"/>
      <c r="AI124" s="12"/>
      <c r="AJ124" s="17"/>
      <c r="AL124" s="12"/>
      <c r="AM124" s="12"/>
      <c r="AN124" s="12"/>
      <c r="AO124" s="12"/>
      <c r="AP124" s="12"/>
      <c r="AQ124" s="12"/>
      <c r="AR124" s="12"/>
      <c r="AS124" s="5"/>
      <c r="AT124" s="5"/>
      <c r="AU124" s="5"/>
      <c r="AV124" s="5"/>
      <c r="AW124" s="12"/>
      <c r="AX124" s="17"/>
      <c r="AY124" s="5"/>
      <c r="AZ124" s="12"/>
      <c r="BA124" s="12"/>
      <c r="BB124" s="12"/>
      <c r="BC124" s="12"/>
      <c r="BD124" s="12"/>
      <c r="BE124" s="12"/>
      <c r="BF124" s="12"/>
      <c r="BG124" s="5"/>
      <c r="BH124" s="5"/>
      <c r="BI124" s="12"/>
      <c r="BJ124" s="17"/>
      <c r="BK124" s="5"/>
      <c r="BL124" s="143"/>
      <c r="BM124" s="143"/>
      <c r="BN124" s="143"/>
      <c r="BO124" s="143"/>
      <c r="BP124" s="143"/>
      <c r="BQ124" s="143"/>
      <c r="BR124" s="12"/>
      <c r="BS124" s="5"/>
      <c r="BT124" s="5"/>
      <c r="BU124" s="5"/>
      <c r="BV124" s="5"/>
      <c r="BW124" s="5"/>
      <c r="BX124" s="5"/>
      <c r="BY124" s="5"/>
      <c r="BZ124" s="5"/>
      <c r="CA124" s="5"/>
      <c r="CB124" s="12"/>
      <c r="CC124" s="17"/>
      <c r="CE124" s="143"/>
      <c r="CF124" s="143"/>
      <c r="CG124" s="143"/>
      <c r="CH124" s="143"/>
      <c r="CI124" s="143"/>
      <c r="CJ124" s="143"/>
      <c r="CK124" s="12"/>
      <c r="CL124" s="5"/>
      <c r="CM124" s="5"/>
      <c r="CN124" s="5"/>
      <c r="CO124" s="5"/>
      <c r="CP124" s="5"/>
      <c r="CQ124" s="5"/>
      <c r="CR124" s="5"/>
      <c r="CS124" s="130"/>
      <c r="CT124" s="12"/>
      <c r="CU124" s="17"/>
      <c r="CV124" s="130"/>
      <c r="CW124" s="12"/>
      <c r="CX124" s="12"/>
      <c r="CY124" s="12"/>
      <c r="CZ124" s="12"/>
      <c r="DA124" s="12"/>
      <c r="DB124" s="12"/>
      <c r="DC124" s="12"/>
      <c r="DD124" s="130"/>
      <c r="DE124" s="130"/>
      <c r="DF124" s="130"/>
      <c r="DG124" s="130"/>
      <c r="DH124" s="130"/>
      <c r="DI124" s="130"/>
      <c r="DJ124" s="130"/>
      <c r="DK124" s="130"/>
      <c r="DL124" s="130"/>
      <c r="DM124" s="130"/>
      <c r="DN124" s="12"/>
      <c r="DO124" s="17"/>
      <c r="EH124" s="12"/>
      <c r="EI124" s="17"/>
      <c r="FM124" s="12"/>
      <c r="FN124" s="17"/>
      <c r="GJ124" s="12"/>
      <c r="GK124" s="17"/>
      <c r="GT124" s="103"/>
      <c r="GU124" s="103"/>
      <c r="GV124" s="103"/>
      <c r="GW124" s="103"/>
      <c r="GX124" s="103"/>
      <c r="GY124" s="103"/>
      <c r="GZ124" s="103"/>
      <c r="HA124" s="103"/>
      <c r="HB124" s="103"/>
      <c r="HC124" s="103"/>
      <c r="HD124" s="103"/>
      <c r="HE124" s="12"/>
      <c r="HF124" s="17"/>
      <c r="HO124" s="103"/>
      <c r="HP124" s="12"/>
      <c r="HQ124" s="17"/>
      <c r="HZ124" s="103"/>
      <c r="IA124" s="12"/>
      <c r="IB124" s="17"/>
    </row>
    <row r="125" spans="1:236" ht="14.45" hidden="1" customHeight="1" x14ac:dyDescent="0.25">
      <c r="A125" s="47"/>
      <c r="B125" s="12"/>
      <c r="C125" s="14"/>
      <c r="D125" s="14"/>
      <c r="E125" s="14"/>
      <c r="F125" s="14"/>
      <c r="G125" s="14"/>
      <c r="H125" s="14"/>
      <c r="I125" s="14">
        <f t="shared" si="2"/>
        <v>0</v>
      </c>
      <c r="J125" s="14">
        <f t="shared" si="2"/>
        <v>0</v>
      </c>
      <c r="K125" s="14">
        <f t="shared" si="2"/>
        <v>0</v>
      </c>
      <c r="L125" s="14"/>
      <c r="M125" s="150"/>
      <c r="N125" s="12"/>
      <c r="R125" s="108"/>
      <c r="S125" s="108"/>
      <c r="T125" s="108"/>
      <c r="U125" s="12"/>
      <c r="V125" s="5"/>
      <c r="W125" s="12"/>
      <c r="X125" s="12"/>
      <c r="Y125" s="10"/>
      <c r="Z125" s="6"/>
      <c r="AA125" s="12"/>
      <c r="AB125" s="12"/>
      <c r="AC125" s="12"/>
      <c r="AD125" s="12"/>
      <c r="AE125" s="12"/>
      <c r="AF125" s="12"/>
      <c r="AG125" s="12"/>
      <c r="AH125" s="5"/>
      <c r="AI125" s="12"/>
      <c r="AJ125" s="17"/>
      <c r="AL125" s="12"/>
      <c r="AM125" s="12"/>
      <c r="AN125" s="12"/>
      <c r="AO125" s="12"/>
      <c r="AP125" s="12"/>
      <c r="AQ125" s="12"/>
      <c r="AR125" s="12"/>
      <c r="AS125" s="5"/>
      <c r="AT125" s="5"/>
      <c r="AU125" s="5"/>
      <c r="AV125" s="5"/>
      <c r="AW125" s="12"/>
      <c r="AX125" s="17"/>
      <c r="AY125" s="5"/>
      <c r="AZ125" s="12"/>
      <c r="BA125" s="12"/>
      <c r="BB125" s="12"/>
      <c r="BC125" s="12"/>
      <c r="BD125" s="12"/>
      <c r="BE125" s="12"/>
      <c r="BF125" s="12"/>
      <c r="BG125" s="5"/>
      <c r="BH125" s="5"/>
      <c r="BI125" s="12"/>
      <c r="BJ125" s="17"/>
      <c r="BK125" s="5"/>
      <c r="BL125" s="143"/>
      <c r="BM125" s="143"/>
      <c r="BN125" s="143"/>
      <c r="BO125" s="143"/>
      <c r="BP125" s="143"/>
      <c r="BQ125" s="143"/>
      <c r="BR125" s="12"/>
      <c r="BS125" s="5"/>
      <c r="BT125" s="5"/>
      <c r="BU125" s="5"/>
      <c r="BV125" s="5"/>
      <c r="BW125" s="5"/>
      <c r="BX125" s="5"/>
      <c r="BY125" s="5"/>
      <c r="BZ125" s="5"/>
      <c r="CA125" s="5"/>
      <c r="CB125" s="12"/>
      <c r="CC125" s="17"/>
      <c r="CE125" s="143"/>
      <c r="CF125" s="143"/>
      <c r="CG125" s="143"/>
      <c r="CH125" s="143"/>
      <c r="CI125" s="143"/>
      <c r="CJ125" s="143"/>
      <c r="CK125" s="12"/>
      <c r="CL125" s="5"/>
      <c r="CM125" s="5"/>
      <c r="CN125" s="5"/>
      <c r="CO125" s="5"/>
      <c r="CP125" s="5"/>
      <c r="CQ125" s="5"/>
      <c r="CR125" s="5"/>
      <c r="CS125" s="130"/>
      <c r="CT125" s="12"/>
      <c r="CU125" s="17"/>
      <c r="CV125" s="130"/>
      <c r="CW125" s="12"/>
      <c r="CX125" s="12"/>
      <c r="CY125" s="12"/>
      <c r="CZ125" s="12"/>
      <c r="DA125" s="12"/>
      <c r="DB125" s="12"/>
      <c r="DC125" s="12"/>
      <c r="DD125" s="130"/>
      <c r="DE125" s="130"/>
      <c r="DF125" s="130"/>
      <c r="DG125" s="130"/>
      <c r="DH125" s="130"/>
      <c r="DI125" s="130"/>
      <c r="DJ125" s="130"/>
      <c r="DK125" s="130"/>
      <c r="DL125" s="130"/>
      <c r="DM125" s="130"/>
      <c r="DN125" s="12"/>
      <c r="DO125" s="17"/>
      <c r="EH125" s="12"/>
      <c r="EI125" s="17"/>
      <c r="FM125" s="12"/>
      <c r="FN125" s="17"/>
      <c r="GJ125" s="12"/>
      <c r="GK125" s="17"/>
      <c r="GT125" s="103"/>
      <c r="GU125" s="103"/>
      <c r="GV125" s="103"/>
      <c r="GW125" s="103"/>
      <c r="GX125" s="103"/>
      <c r="GY125" s="103"/>
      <c r="GZ125" s="103"/>
      <c r="HA125" s="103"/>
      <c r="HB125" s="103"/>
      <c r="HC125" s="103"/>
      <c r="HD125" s="103"/>
      <c r="HE125" s="12"/>
      <c r="HF125" s="17"/>
      <c r="HO125" s="103"/>
      <c r="HP125" s="12"/>
      <c r="HQ125" s="17"/>
      <c r="HZ125" s="103"/>
      <c r="IA125" s="12"/>
      <c r="IB125" s="17"/>
    </row>
    <row r="126" spans="1:236" ht="14.45" hidden="1" customHeight="1" x14ac:dyDescent="0.25">
      <c r="A126" s="47"/>
      <c r="B126" s="12"/>
      <c r="C126" s="14"/>
      <c r="D126" s="14"/>
      <c r="E126" s="14"/>
      <c r="F126" s="14"/>
      <c r="G126" s="14"/>
      <c r="H126" s="14"/>
      <c r="I126" s="14">
        <f t="shared" si="2"/>
        <v>0</v>
      </c>
      <c r="J126" s="14">
        <f t="shared" si="2"/>
        <v>0</v>
      </c>
      <c r="K126" s="14">
        <f t="shared" si="2"/>
        <v>0</v>
      </c>
      <c r="L126" s="14"/>
      <c r="M126" s="150"/>
      <c r="N126" s="12"/>
      <c r="R126" s="108"/>
      <c r="S126" s="108"/>
      <c r="T126" s="108"/>
      <c r="U126" s="12"/>
      <c r="V126" s="5"/>
      <c r="W126" s="12"/>
      <c r="X126" s="12"/>
      <c r="Y126" s="10"/>
      <c r="Z126" s="6"/>
      <c r="AA126" s="12"/>
      <c r="AB126" s="12"/>
      <c r="AC126" s="12"/>
      <c r="AD126" s="12"/>
      <c r="AE126" s="12"/>
      <c r="AF126" s="12"/>
      <c r="AG126" s="12"/>
      <c r="AH126" s="5"/>
      <c r="AI126" s="12"/>
      <c r="AJ126" s="17"/>
      <c r="AL126" s="12"/>
      <c r="AM126" s="12"/>
      <c r="AN126" s="12"/>
      <c r="AO126" s="12"/>
      <c r="AP126" s="12"/>
      <c r="AQ126" s="12"/>
      <c r="AR126" s="12"/>
      <c r="AS126" s="5"/>
      <c r="AT126" s="5"/>
      <c r="AU126" s="5"/>
      <c r="AV126" s="5"/>
      <c r="AW126" s="12"/>
      <c r="AX126" s="17"/>
      <c r="AY126" s="5"/>
      <c r="AZ126" s="12"/>
      <c r="BA126" s="12"/>
      <c r="BB126" s="12"/>
      <c r="BC126" s="12"/>
      <c r="BD126" s="12"/>
      <c r="BE126" s="12"/>
      <c r="BF126" s="12"/>
      <c r="BG126" s="5"/>
      <c r="BH126" s="5"/>
      <c r="BI126" s="12"/>
      <c r="BJ126" s="17"/>
      <c r="BK126" s="5"/>
      <c r="BL126" s="143"/>
      <c r="BM126" s="143"/>
      <c r="BN126" s="143"/>
      <c r="BO126" s="143"/>
      <c r="BP126" s="143"/>
      <c r="BQ126" s="143"/>
      <c r="BR126" s="12"/>
      <c r="BS126" s="5"/>
      <c r="BT126" s="5"/>
      <c r="BU126" s="5"/>
      <c r="BV126" s="5"/>
      <c r="BW126" s="5"/>
      <c r="BX126" s="5"/>
      <c r="BY126" s="5"/>
      <c r="BZ126" s="5"/>
      <c r="CA126" s="5"/>
      <c r="CB126" s="12"/>
      <c r="CC126" s="17"/>
      <c r="CE126" s="143"/>
      <c r="CF126" s="143"/>
      <c r="CG126" s="143"/>
      <c r="CH126" s="143"/>
      <c r="CI126" s="143"/>
      <c r="CJ126" s="143"/>
      <c r="CK126" s="12"/>
      <c r="CL126" s="5"/>
      <c r="CM126" s="5"/>
      <c r="CN126" s="5"/>
      <c r="CO126" s="5"/>
      <c r="CP126" s="5"/>
      <c r="CQ126" s="5"/>
      <c r="CR126" s="5"/>
      <c r="CS126" s="130"/>
      <c r="CT126" s="12"/>
      <c r="CU126" s="17"/>
      <c r="CV126" s="130"/>
      <c r="CW126" s="12"/>
      <c r="CX126" s="12"/>
      <c r="CY126" s="12"/>
      <c r="CZ126" s="12"/>
      <c r="DA126" s="12"/>
      <c r="DB126" s="12"/>
      <c r="DC126" s="12"/>
      <c r="DD126" s="130"/>
      <c r="DE126" s="130"/>
      <c r="DF126" s="130"/>
      <c r="DG126" s="130"/>
      <c r="DH126" s="130"/>
      <c r="DI126" s="130"/>
      <c r="DJ126" s="130"/>
      <c r="DK126" s="130"/>
      <c r="DL126" s="130"/>
      <c r="DM126" s="130"/>
      <c r="DN126" s="12"/>
      <c r="DO126" s="17"/>
      <c r="EH126" s="12"/>
      <c r="EI126" s="17"/>
      <c r="FM126" s="12"/>
      <c r="FN126" s="17"/>
      <c r="GJ126" s="12"/>
      <c r="GK126" s="17"/>
      <c r="GT126" s="103"/>
      <c r="GU126" s="103"/>
      <c r="GV126" s="103"/>
      <c r="GW126" s="103"/>
      <c r="GX126" s="103"/>
      <c r="GY126" s="103"/>
      <c r="GZ126" s="103"/>
      <c r="HA126" s="103"/>
      <c r="HB126" s="103"/>
      <c r="HC126" s="103"/>
      <c r="HD126" s="103"/>
      <c r="HE126" s="12"/>
      <c r="HF126" s="17"/>
      <c r="HO126" s="103"/>
      <c r="HP126" s="12"/>
      <c r="HQ126" s="17"/>
      <c r="HZ126" s="103"/>
      <c r="IA126" s="12"/>
      <c r="IB126" s="17"/>
    </row>
    <row r="127" spans="1:236" ht="14.45" hidden="1" customHeight="1" x14ac:dyDescent="0.25">
      <c r="A127" s="47"/>
      <c r="B127" s="12"/>
      <c r="C127" s="14"/>
      <c r="D127" s="14"/>
      <c r="E127" s="14"/>
      <c r="F127" s="14"/>
      <c r="G127" s="14"/>
      <c r="H127" s="14"/>
      <c r="I127" s="14">
        <f t="shared" si="2"/>
        <v>0</v>
      </c>
      <c r="J127" s="14">
        <f t="shared" si="2"/>
        <v>0</v>
      </c>
      <c r="K127" s="14">
        <f t="shared" si="2"/>
        <v>0</v>
      </c>
      <c r="L127" s="14"/>
      <c r="M127" s="150"/>
      <c r="N127" s="12"/>
      <c r="R127" s="108"/>
      <c r="S127" s="108"/>
      <c r="T127" s="108"/>
      <c r="U127" s="12"/>
      <c r="V127" s="5"/>
      <c r="W127" s="12"/>
      <c r="X127" s="12"/>
      <c r="Y127" s="10"/>
      <c r="Z127" s="6"/>
      <c r="AA127" s="12"/>
      <c r="AB127" s="12"/>
      <c r="AC127" s="12"/>
      <c r="AD127" s="12"/>
      <c r="AE127" s="12"/>
      <c r="AF127" s="12"/>
      <c r="AG127" s="12"/>
      <c r="AH127" s="5"/>
      <c r="AI127" s="12"/>
      <c r="AJ127" s="17"/>
      <c r="AL127" s="12"/>
      <c r="AM127" s="12"/>
      <c r="AN127" s="12"/>
      <c r="AO127" s="12"/>
      <c r="AP127" s="12"/>
      <c r="AQ127" s="12"/>
      <c r="AR127" s="12"/>
      <c r="AS127" s="5"/>
      <c r="AT127" s="5"/>
      <c r="AU127" s="5"/>
      <c r="AV127" s="5"/>
      <c r="AW127" s="12"/>
      <c r="AX127" s="17"/>
      <c r="AY127" s="5"/>
      <c r="AZ127" s="12"/>
      <c r="BA127" s="12"/>
      <c r="BB127" s="12"/>
      <c r="BC127" s="12"/>
      <c r="BD127" s="12"/>
      <c r="BE127" s="12"/>
      <c r="BF127" s="12"/>
      <c r="BG127" s="5"/>
      <c r="BH127" s="5"/>
      <c r="BI127" s="12"/>
      <c r="BJ127" s="17"/>
      <c r="BK127" s="5"/>
      <c r="BL127" s="143"/>
      <c r="BM127" s="143"/>
      <c r="BN127" s="143"/>
      <c r="BO127" s="143"/>
      <c r="BP127" s="143"/>
      <c r="BQ127" s="143"/>
      <c r="BR127" s="12"/>
      <c r="BS127" s="5"/>
      <c r="BT127" s="5"/>
      <c r="BU127" s="5"/>
      <c r="BV127" s="5"/>
      <c r="BW127" s="5"/>
      <c r="BX127" s="5"/>
      <c r="BY127" s="5"/>
      <c r="BZ127" s="5"/>
      <c r="CA127" s="5"/>
      <c r="CB127" s="12"/>
      <c r="CC127" s="17"/>
      <c r="CE127" s="143"/>
      <c r="CF127" s="143"/>
      <c r="CG127" s="143"/>
      <c r="CH127" s="143"/>
      <c r="CI127" s="143"/>
      <c r="CJ127" s="143"/>
      <c r="CK127" s="12"/>
      <c r="CL127" s="5"/>
      <c r="CM127" s="5"/>
      <c r="CN127" s="5"/>
      <c r="CO127" s="5"/>
      <c r="CP127" s="5"/>
      <c r="CQ127" s="5"/>
      <c r="CR127" s="5"/>
      <c r="CS127" s="130"/>
      <c r="CT127" s="12"/>
      <c r="CU127" s="17"/>
      <c r="CV127" s="130"/>
      <c r="CW127" s="12"/>
      <c r="CX127" s="12"/>
      <c r="CY127" s="12"/>
      <c r="CZ127" s="12"/>
      <c r="DA127" s="12"/>
      <c r="DB127" s="12"/>
      <c r="DC127" s="12"/>
      <c r="DD127" s="130"/>
      <c r="DE127" s="130"/>
      <c r="DF127" s="130"/>
      <c r="DG127" s="130"/>
      <c r="DH127" s="130"/>
      <c r="DI127" s="130"/>
      <c r="DJ127" s="130"/>
      <c r="DK127" s="130"/>
      <c r="DL127" s="130"/>
      <c r="DM127" s="130"/>
      <c r="DN127" s="12"/>
      <c r="DO127" s="17"/>
      <c r="EH127" s="12"/>
      <c r="EI127" s="17"/>
      <c r="FM127" s="12"/>
      <c r="FN127" s="17"/>
      <c r="GJ127" s="12"/>
      <c r="GK127" s="17"/>
      <c r="GT127" s="103"/>
      <c r="GU127" s="103"/>
      <c r="GV127" s="103"/>
      <c r="GW127" s="103"/>
      <c r="GX127" s="103"/>
      <c r="GY127" s="103"/>
      <c r="GZ127" s="103"/>
      <c r="HA127" s="103"/>
      <c r="HB127" s="103"/>
      <c r="HC127" s="103"/>
      <c r="HD127" s="103"/>
      <c r="HE127" s="12"/>
      <c r="HF127" s="17"/>
      <c r="HO127" s="103"/>
      <c r="HP127" s="12"/>
      <c r="HQ127" s="17"/>
      <c r="HZ127" s="103"/>
      <c r="IA127" s="12"/>
      <c r="IB127" s="17"/>
    </row>
    <row r="128" spans="1:236" ht="14.45" hidden="1" customHeight="1" x14ac:dyDescent="0.25">
      <c r="A128" s="47"/>
      <c r="B128" s="12"/>
      <c r="C128" s="14"/>
      <c r="D128" s="14"/>
      <c r="E128" s="14"/>
      <c r="F128" s="14"/>
      <c r="G128" s="14"/>
      <c r="H128" s="14"/>
      <c r="I128" s="14">
        <f t="shared" si="2"/>
        <v>0</v>
      </c>
      <c r="J128" s="14">
        <f t="shared" si="2"/>
        <v>0</v>
      </c>
      <c r="K128" s="14">
        <f t="shared" si="2"/>
        <v>0</v>
      </c>
      <c r="L128" s="14"/>
      <c r="M128" s="150"/>
      <c r="N128" s="12"/>
      <c r="R128" s="108"/>
      <c r="S128" s="108"/>
      <c r="T128" s="108"/>
      <c r="U128" s="12"/>
      <c r="V128" s="5"/>
      <c r="W128" s="12"/>
      <c r="X128" s="12"/>
      <c r="Y128" s="10"/>
      <c r="Z128" s="6"/>
      <c r="AA128" s="12"/>
      <c r="AB128" s="12"/>
      <c r="AC128" s="12"/>
      <c r="AD128" s="12"/>
      <c r="AE128" s="12"/>
      <c r="AF128" s="12"/>
      <c r="AG128" s="12"/>
      <c r="AH128" s="5"/>
      <c r="AI128" s="12"/>
      <c r="AJ128" s="17"/>
      <c r="AL128" s="12"/>
      <c r="AM128" s="12"/>
      <c r="AN128" s="12"/>
      <c r="AO128" s="12"/>
      <c r="AP128" s="12"/>
      <c r="AQ128" s="12"/>
      <c r="AR128" s="12"/>
      <c r="AS128" s="5"/>
      <c r="AT128" s="5"/>
      <c r="AU128" s="5"/>
      <c r="AV128" s="5"/>
      <c r="AW128" s="12"/>
      <c r="AX128" s="17"/>
      <c r="AY128" s="5"/>
      <c r="AZ128" s="12"/>
      <c r="BA128" s="12"/>
      <c r="BB128" s="12"/>
      <c r="BC128" s="12"/>
      <c r="BD128" s="12"/>
      <c r="BE128" s="12"/>
      <c r="BF128" s="12"/>
      <c r="BG128" s="5"/>
      <c r="BH128" s="5"/>
      <c r="BI128" s="12"/>
      <c r="BJ128" s="17"/>
      <c r="BK128" s="5"/>
      <c r="BL128" s="143"/>
      <c r="BM128" s="143"/>
      <c r="BN128" s="143"/>
      <c r="BO128" s="143"/>
      <c r="BP128" s="143"/>
      <c r="BQ128" s="143"/>
      <c r="BR128" s="12"/>
      <c r="BS128" s="5"/>
      <c r="BT128" s="5"/>
      <c r="BU128" s="5"/>
      <c r="BV128" s="5"/>
      <c r="BW128" s="5"/>
      <c r="BX128" s="5"/>
      <c r="BY128" s="5"/>
      <c r="BZ128" s="5"/>
      <c r="CA128" s="5"/>
      <c r="CB128" s="12"/>
      <c r="CC128" s="17"/>
      <c r="CE128" s="143"/>
      <c r="CF128" s="143"/>
      <c r="CG128" s="143"/>
      <c r="CH128" s="143"/>
      <c r="CI128" s="143"/>
      <c r="CJ128" s="143"/>
      <c r="CK128" s="12"/>
      <c r="CL128" s="5"/>
      <c r="CM128" s="5"/>
      <c r="CN128" s="5"/>
      <c r="CO128" s="5"/>
      <c r="CP128" s="5"/>
      <c r="CQ128" s="5"/>
      <c r="CR128" s="5"/>
      <c r="CS128" s="130"/>
      <c r="CT128" s="12"/>
      <c r="CU128" s="17"/>
      <c r="CV128" s="130"/>
      <c r="CW128" s="12"/>
      <c r="CX128" s="12"/>
      <c r="CY128" s="12"/>
      <c r="CZ128" s="12"/>
      <c r="DA128" s="12"/>
      <c r="DB128" s="12"/>
      <c r="DC128" s="12"/>
      <c r="DD128" s="130"/>
      <c r="DE128" s="130"/>
      <c r="DF128" s="130"/>
      <c r="DG128" s="130"/>
      <c r="DH128" s="130"/>
      <c r="DI128" s="130"/>
      <c r="DJ128" s="130"/>
      <c r="DK128" s="130"/>
      <c r="DL128" s="130"/>
      <c r="DM128" s="130"/>
      <c r="DN128" s="12"/>
      <c r="DO128" s="17"/>
      <c r="EH128" s="12"/>
      <c r="EI128" s="17"/>
      <c r="FM128" s="12"/>
      <c r="FN128" s="17"/>
      <c r="GJ128" s="12"/>
      <c r="GK128" s="17"/>
      <c r="GT128" s="103"/>
      <c r="GU128" s="103"/>
      <c r="GV128" s="103"/>
      <c r="GW128" s="103"/>
      <c r="GX128" s="103"/>
      <c r="GY128" s="103"/>
      <c r="GZ128" s="103"/>
      <c r="HA128" s="103"/>
      <c r="HB128" s="103"/>
      <c r="HC128" s="103"/>
      <c r="HD128" s="103"/>
      <c r="HE128" s="12"/>
      <c r="HF128" s="17"/>
      <c r="HO128" s="103"/>
      <c r="HP128" s="12"/>
      <c r="HQ128" s="17"/>
      <c r="HZ128" s="103"/>
      <c r="IA128" s="12"/>
      <c r="IB128" s="17"/>
    </row>
    <row r="129" spans="1:236" ht="14.45" hidden="1" customHeight="1" x14ac:dyDescent="0.25">
      <c r="A129" s="47"/>
      <c r="B129" s="12"/>
      <c r="C129" s="14"/>
      <c r="D129" s="14"/>
      <c r="E129" s="14"/>
      <c r="F129" s="14"/>
      <c r="G129" s="14"/>
      <c r="H129" s="14"/>
      <c r="I129" s="14">
        <f t="shared" si="2"/>
        <v>0</v>
      </c>
      <c r="J129" s="14">
        <f t="shared" si="2"/>
        <v>288</v>
      </c>
      <c r="K129" s="14">
        <f t="shared" si="2"/>
        <v>0</v>
      </c>
      <c r="L129" s="14"/>
      <c r="M129" s="150"/>
      <c r="N129" s="12"/>
      <c r="R129" s="108"/>
      <c r="S129" s="108"/>
      <c r="T129" s="108"/>
      <c r="U129" s="12"/>
      <c r="V129" s="5"/>
      <c r="W129" s="12"/>
      <c r="X129" s="12"/>
      <c r="Y129" s="10"/>
      <c r="Z129" s="6"/>
      <c r="AA129" s="12"/>
      <c r="AB129" s="12"/>
      <c r="AC129" s="12"/>
      <c r="AD129" s="12"/>
      <c r="AE129" s="12"/>
      <c r="AF129" s="12"/>
      <c r="AG129" s="12"/>
      <c r="AH129" s="5"/>
      <c r="AI129" s="12"/>
      <c r="AJ129" s="17"/>
      <c r="AL129" s="12"/>
      <c r="AM129" s="12"/>
      <c r="AN129" s="12"/>
      <c r="AO129" s="12"/>
      <c r="AP129" s="12"/>
      <c r="AQ129" s="12"/>
      <c r="AR129" s="12"/>
      <c r="AS129" s="5"/>
      <c r="AT129" s="5"/>
      <c r="AU129" s="5"/>
      <c r="AV129" s="5"/>
      <c r="AW129" s="12"/>
      <c r="AX129" s="17"/>
      <c r="AY129" s="5"/>
      <c r="AZ129" s="12"/>
      <c r="BA129" s="12"/>
      <c r="BB129" s="12"/>
      <c r="BC129" s="12"/>
      <c r="BD129" s="12"/>
      <c r="BE129" s="12"/>
      <c r="BF129" s="12"/>
      <c r="BG129" s="5"/>
      <c r="BH129" s="5"/>
      <c r="BI129" s="12"/>
      <c r="BJ129" s="17"/>
      <c r="BK129" s="5"/>
      <c r="BL129" s="143"/>
      <c r="BM129" s="143"/>
      <c r="BN129" s="143"/>
      <c r="BO129" s="143"/>
      <c r="BP129" s="143"/>
      <c r="BQ129" s="143"/>
      <c r="BR129" s="12"/>
      <c r="BS129" s="5"/>
      <c r="BT129" s="5"/>
      <c r="BU129" s="5"/>
      <c r="BV129" s="5"/>
      <c r="BW129" s="5"/>
      <c r="BX129" s="5"/>
      <c r="BY129" s="5"/>
      <c r="BZ129" s="5"/>
      <c r="CA129" s="5"/>
      <c r="CB129" s="12"/>
      <c r="CC129" s="17"/>
      <c r="CE129" s="143"/>
      <c r="CF129" s="143"/>
      <c r="CG129" s="143"/>
      <c r="CH129" s="143"/>
      <c r="CI129" s="143"/>
      <c r="CJ129" s="143"/>
      <c r="CK129" s="12"/>
      <c r="CL129" s="5"/>
      <c r="CM129" s="5"/>
      <c r="CN129" s="5"/>
      <c r="CO129" s="5"/>
      <c r="CP129" s="5"/>
      <c r="CQ129" s="5"/>
      <c r="CR129" s="5"/>
      <c r="CS129" s="130"/>
      <c r="CT129" s="12"/>
      <c r="CU129" s="17"/>
      <c r="CV129" s="130"/>
      <c r="CW129" s="12"/>
      <c r="CX129" s="12"/>
      <c r="CY129" s="12"/>
      <c r="CZ129" s="12"/>
      <c r="DA129" s="12"/>
      <c r="DB129" s="12"/>
      <c r="DC129" s="12"/>
      <c r="DD129" s="130"/>
      <c r="DE129" s="130"/>
      <c r="DF129" s="130"/>
      <c r="DG129" s="130"/>
      <c r="DH129" s="130"/>
      <c r="DI129" s="130"/>
      <c r="DJ129" s="130"/>
      <c r="DK129" s="130"/>
      <c r="DL129" s="130"/>
      <c r="DM129" s="130"/>
      <c r="DN129" s="12"/>
      <c r="DO129" s="17"/>
      <c r="EH129" s="12"/>
      <c r="EI129" s="17"/>
      <c r="FM129" s="12"/>
      <c r="FN129" s="17"/>
      <c r="GJ129" s="12"/>
      <c r="GK129" s="17"/>
      <c r="GT129" s="103"/>
      <c r="GU129" s="103"/>
      <c r="GV129" s="103"/>
      <c r="GW129" s="103"/>
      <c r="GX129" s="103"/>
      <c r="GY129" s="103"/>
      <c r="GZ129" s="103"/>
      <c r="HA129" s="103"/>
      <c r="HB129" s="103"/>
      <c r="HC129" s="103"/>
      <c r="HD129" s="103"/>
      <c r="HE129" s="12"/>
      <c r="HF129" s="17"/>
      <c r="HO129" s="103"/>
      <c r="HP129" s="12"/>
      <c r="HQ129" s="17"/>
      <c r="HZ129" s="103"/>
      <c r="IA129" s="12"/>
      <c r="IB129" s="17"/>
    </row>
    <row r="130" spans="1:236" ht="14.45" hidden="1" customHeight="1" x14ac:dyDescent="0.25">
      <c r="A130" s="47"/>
      <c r="B130" s="12"/>
      <c r="C130" s="14"/>
      <c r="D130" s="14"/>
      <c r="E130" s="14"/>
      <c r="F130" s="14"/>
      <c r="G130" s="14"/>
      <c r="H130" s="14"/>
      <c r="I130" s="14">
        <f t="shared" si="2"/>
        <v>0</v>
      </c>
      <c r="J130" s="14">
        <f t="shared" si="2"/>
        <v>0</v>
      </c>
      <c r="K130" s="14">
        <f t="shared" si="2"/>
        <v>0</v>
      </c>
      <c r="L130" s="14"/>
      <c r="M130" s="150"/>
      <c r="N130" s="12"/>
      <c r="R130" s="108"/>
      <c r="S130" s="108"/>
      <c r="T130" s="108"/>
      <c r="U130" s="12"/>
      <c r="V130" s="5"/>
      <c r="W130" s="12"/>
      <c r="X130" s="12"/>
      <c r="Y130" s="10"/>
      <c r="Z130" s="6"/>
      <c r="AA130" s="12"/>
      <c r="AB130" s="12"/>
      <c r="AC130" s="12"/>
      <c r="AD130" s="12"/>
      <c r="AE130" s="12"/>
      <c r="AF130" s="12"/>
      <c r="AG130" s="12"/>
      <c r="AH130" s="5"/>
      <c r="AI130" s="12"/>
      <c r="AJ130" s="17"/>
      <c r="AL130" s="12"/>
      <c r="AM130" s="12"/>
      <c r="AN130" s="12"/>
      <c r="AO130" s="12"/>
      <c r="AP130" s="12"/>
      <c r="AQ130" s="12"/>
      <c r="AR130" s="12"/>
      <c r="AS130" s="5"/>
      <c r="AT130" s="5"/>
      <c r="AU130" s="5"/>
      <c r="AV130" s="5"/>
      <c r="AW130" s="12"/>
      <c r="AX130" s="17"/>
      <c r="AY130" s="5"/>
      <c r="AZ130" s="12"/>
      <c r="BA130" s="12"/>
      <c r="BB130" s="12"/>
      <c r="BC130" s="12"/>
      <c r="BD130" s="12"/>
      <c r="BE130" s="12"/>
      <c r="BF130" s="12"/>
      <c r="BG130" s="5"/>
      <c r="BH130" s="5"/>
      <c r="BI130" s="12"/>
      <c r="BJ130" s="17"/>
      <c r="BK130" s="5"/>
      <c r="BL130" s="143"/>
      <c r="BM130" s="143"/>
      <c r="BN130" s="143"/>
      <c r="BO130" s="143"/>
      <c r="BP130" s="143"/>
      <c r="BQ130" s="143"/>
      <c r="BR130" s="12"/>
      <c r="BS130" s="5"/>
      <c r="BT130" s="5"/>
      <c r="BU130" s="5"/>
      <c r="BV130" s="5"/>
      <c r="BW130" s="5"/>
      <c r="BX130" s="5"/>
      <c r="BY130" s="5"/>
      <c r="BZ130" s="5"/>
      <c r="CA130" s="5"/>
      <c r="CB130" s="12"/>
      <c r="CC130" s="17"/>
      <c r="CE130" s="143"/>
      <c r="CF130" s="143"/>
      <c r="CG130" s="143"/>
      <c r="CH130" s="143"/>
      <c r="CI130" s="143"/>
      <c r="CJ130" s="143"/>
      <c r="CK130" s="12"/>
      <c r="CL130" s="5"/>
      <c r="CM130" s="5"/>
      <c r="CN130" s="5"/>
      <c r="CO130" s="5"/>
      <c r="CP130" s="5"/>
      <c r="CQ130" s="5"/>
      <c r="CR130" s="5"/>
      <c r="CS130" s="130"/>
      <c r="CT130" s="12"/>
      <c r="CU130" s="17"/>
      <c r="CV130" s="130"/>
      <c r="CW130" s="12"/>
      <c r="CX130" s="12"/>
      <c r="CY130" s="12"/>
      <c r="CZ130" s="12"/>
      <c r="DA130" s="12"/>
      <c r="DB130" s="12"/>
      <c r="DC130" s="12"/>
      <c r="DD130" s="130"/>
      <c r="DE130" s="130"/>
      <c r="DF130" s="130"/>
      <c r="DG130" s="130"/>
      <c r="DH130" s="130"/>
      <c r="DI130" s="130"/>
      <c r="DJ130" s="130"/>
      <c r="DK130" s="130"/>
      <c r="DL130" s="130"/>
      <c r="DM130" s="130"/>
      <c r="DN130" s="12"/>
      <c r="DO130" s="17"/>
      <c r="EH130" s="12"/>
      <c r="EI130" s="17"/>
      <c r="FM130" s="12"/>
      <c r="FN130" s="17"/>
      <c r="GJ130" s="12"/>
      <c r="GK130" s="17"/>
      <c r="GT130" s="103"/>
      <c r="GU130" s="103"/>
      <c r="GV130" s="103"/>
      <c r="GW130" s="103"/>
      <c r="GX130" s="103"/>
      <c r="GY130" s="103"/>
      <c r="GZ130" s="103"/>
      <c r="HA130" s="103"/>
      <c r="HB130" s="103"/>
      <c r="HC130" s="103"/>
      <c r="HD130" s="103"/>
      <c r="HE130" s="12"/>
      <c r="HF130" s="17"/>
      <c r="HO130" s="103"/>
      <c r="HP130" s="12"/>
      <c r="HQ130" s="17"/>
      <c r="HZ130" s="103"/>
      <c r="IA130" s="12"/>
      <c r="IB130" s="17"/>
    </row>
    <row r="131" spans="1:236" ht="14.45" hidden="1" customHeight="1" x14ac:dyDescent="0.25">
      <c r="A131" s="47"/>
      <c r="B131" s="12"/>
      <c r="C131" s="14"/>
      <c r="D131" s="14"/>
      <c r="E131" s="14"/>
      <c r="F131" s="14"/>
      <c r="G131" s="14"/>
      <c r="H131" s="14"/>
      <c r="I131" s="14">
        <f t="shared" si="2"/>
        <v>0</v>
      </c>
      <c r="J131" s="14">
        <f t="shared" si="2"/>
        <v>0</v>
      </c>
      <c r="K131" s="14">
        <f t="shared" si="2"/>
        <v>0</v>
      </c>
      <c r="L131" s="14"/>
      <c r="M131" s="150"/>
      <c r="N131" s="12"/>
      <c r="R131" s="108"/>
      <c r="S131" s="108"/>
      <c r="T131" s="108"/>
      <c r="U131" s="12"/>
      <c r="V131" s="5"/>
      <c r="W131" s="12"/>
      <c r="X131" s="12"/>
      <c r="Y131" s="10"/>
      <c r="Z131" s="6"/>
      <c r="AA131" s="12"/>
      <c r="AB131" s="12"/>
      <c r="AC131" s="12"/>
      <c r="AD131" s="12"/>
      <c r="AE131" s="12"/>
      <c r="AF131" s="12"/>
      <c r="AG131" s="12"/>
      <c r="AH131" s="5"/>
      <c r="AI131" s="12"/>
      <c r="AJ131" s="17"/>
      <c r="AL131" s="12"/>
      <c r="AM131" s="12"/>
      <c r="AN131" s="12"/>
      <c r="AO131" s="12"/>
      <c r="AP131" s="12"/>
      <c r="AQ131" s="12"/>
      <c r="AR131" s="12"/>
      <c r="AS131" s="5"/>
      <c r="AT131" s="5"/>
      <c r="AU131" s="5"/>
      <c r="AV131" s="5"/>
      <c r="AW131" s="12"/>
      <c r="AX131" s="17"/>
      <c r="AY131" s="5"/>
      <c r="AZ131" s="12"/>
      <c r="BA131" s="12"/>
      <c r="BB131" s="12"/>
      <c r="BC131" s="12"/>
      <c r="BD131" s="12"/>
      <c r="BE131" s="12"/>
      <c r="BF131" s="12"/>
      <c r="BG131" s="5"/>
      <c r="BH131" s="5"/>
      <c r="BI131" s="12"/>
      <c r="BJ131" s="17"/>
      <c r="BK131" s="5"/>
      <c r="BL131" s="143"/>
      <c r="BM131" s="143"/>
      <c r="BN131" s="143"/>
      <c r="BO131" s="143"/>
      <c r="BP131" s="143"/>
      <c r="BQ131" s="143"/>
      <c r="BR131" s="12"/>
      <c r="BS131" s="5"/>
      <c r="BT131" s="5"/>
      <c r="BU131" s="5"/>
      <c r="BV131" s="5"/>
      <c r="BW131" s="5"/>
      <c r="BX131" s="5"/>
      <c r="BY131" s="5"/>
      <c r="BZ131" s="5"/>
      <c r="CA131" s="5"/>
      <c r="CB131" s="12"/>
      <c r="CC131" s="17"/>
      <c r="CE131" s="143"/>
      <c r="CF131" s="143"/>
      <c r="CG131" s="143"/>
      <c r="CH131" s="143"/>
      <c r="CI131" s="143"/>
      <c r="CJ131" s="143"/>
      <c r="CK131" s="12"/>
      <c r="CL131" s="5"/>
      <c r="CM131" s="5"/>
      <c r="CN131" s="5"/>
      <c r="CO131" s="5"/>
      <c r="CP131" s="5"/>
      <c r="CQ131" s="5"/>
      <c r="CR131" s="5"/>
      <c r="CS131" s="130"/>
      <c r="CT131" s="12"/>
      <c r="CU131" s="17"/>
      <c r="CV131" s="130"/>
      <c r="CW131" s="12"/>
      <c r="CX131" s="12"/>
      <c r="CY131" s="12"/>
      <c r="CZ131" s="12"/>
      <c r="DA131" s="12"/>
      <c r="DB131" s="12"/>
      <c r="DC131" s="12"/>
      <c r="DD131" s="130"/>
      <c r="DE131" s="130"/>
      <c r="DF131" s="130"/>
      <c r="DG131" s="130"/>
      <c r="DH131" s="130"/>
      <c r="DI131" s="130"/>
      <c r="DJ131" s="130"/>
      <c r="DK131" s="130"/>
      <c r="DL131" s="130"/>
      <c r="DM131" s="130"/>
      <c r="DN131" s="12"/>
      <c r="DO131" s="17"/>
      <c r="EH131" s="12"/>
      <c r="EI131" s="17"/>
      <c r="FM131" s="12"/>
      <c r="FN131" s="17"/>
      <c r="GJ131" s="12"/>
      <c r="GK131" s="17"/>
      <c r="GT131" s="103"/>
      <c r="GU131" s="103"/>
      <c r="GV131" s="103"/>
      <c r="GW131" s="103"/>
      <c r="GX131" s="103"/>
      <c r="GY131" s="103"/>
      <c r="GZ131" s="103"/>
      <c r="HA131" s="103"/>
      <c r="HB131" s="103"/>
      <c r="HC131" s="103"/>
      <c r="HD131" s="103"/>
      <c r="HE131" s="12"/>
      <c r="HF131" s="17"/>
      <c r="HO131" s="103"/>
      <c r="HP131" s="12"/>
      <c r="HQ131" s="17"/>
      <c r="HZ131" s="103"/>
      <c r="IA131" s="12"/>
      <c r="IB131" s="17"/>
    </row>
    <row r="132" spans="1:236" ht="14.45" hidden="1" customHeight="1" x14ac:dyDescent="0.25">
      <c r="A132" s="47"/>
      <c r="B132" s="12"/>
      <c r="C132" s="14"/>
      <c r="D132" s="14"/>
      <c r="E132" s="14"/>
      <c r="F132" s="14"/>
      <c r="G132" s="14"/>
      <c r="H132" s="14"/>
      <c r="I132" s="14">
        <f t="shared" si="2"/>
        <v>0</v>
      </c>
      <c r="J132" s="14">
        <f t="shared" si="2"/>
        <v>0</v>
      </c>
      <c r="K132" s="14">
        <f t="shared" si="2"/>
        <v>0</v>
      </c>
      <c r="L132" s="14"/>
      <c r="M132" s="150"/>
      <c r="N132" s="12"/>
      <c r="R132" s="108"/>
      <c r="S132" s="108"/>
      <c r="T132" s="108"/>
      <c r="U132" s="12"/>
      <c r="V132" s="5"/>
      <c r="W132" s="12"/>
      <c r="X132" s="12"/>
      <c r="Y132" s="10"/>
      <c r="Z132" s="6"/>
      <c r="AA132" s="12"/>
      <c r="AB132" s="12"/>
      <c r="AC132" s="12"/>
      <c r="AD132" s="12"/>
      <c r="AE132" s="12"/>
      <c r="AF132" s="12"/>
      <c r="AG132" s="12"/>
      <c r="AH132" s="5"/>
      <c r="AI132" s="12"/>
      <c r="AJ132" s="17"/>
      <c r="AL132" s="12"/>
      <c r="AM132" s="12"/>
      <c r="AN132" s="12"/>
      <c r="AO132" s="12"/>
      <c r="AP132" s="12"/>
      <c r="AQ132" s="12"/>
      <c r="AR132" s="12"/>
      <c r="AS132" s="5"/>
      <c r="AT132" s="5"/>
      <c r="AU132" s="5"/>
      <c r="AV132" s="5"/>
      <c r="AW132" s="12"/>
      <c r="AX132" s="17"/>
      <c r="AY132" s="5"/>
      <c r="AZ132" s="12"/>
      <c r="BA132" s="12"/>
      <c r="BB132" s="12"/>
      <c r="BC132" s="12"/>
      <c r="BD132" s="12"/>
      <c r="BE132" s="12"/>
      <c r="BF132" s="12"/>
      <c r="BG132" s="5"/>
      <c r="BH132" s="5"/>
      <c r="BI132" s="12"/>
      <c r="BJ132" s="17"/>
      <c r="BK132" s="5"/>
      <c r="BL132" s="143"/>
      <c r="BM132" s="143"/>
      <c r="BN132" s="143"/>
      <c r="BO132" s="143"/>
      <c r="BP132" s="143"/>
      <c r="BQ132" s="143"/>
      <c r="BR132" s="12"/>
      <c r="BS132" s="5"/>
      <c r="BT132" s="5"/>
      <c r="BU132" s="5"/>
      <c r="BV132" s="5"/>
      <c r="BW132" s="5"/>
      <c r="BX132" s="5"/>
      <c r="BY132" s="5"/>
      <c r="BZ132" s="5"/>
      <c r="CA132" s="5"/>
      <c r="CB132" s="12"/>
      <c r="CC132" s="17"/>
      <c r="CE132" s="143"/>
      <c r="CF132" s="143"/>
      <c r="CG132" s="143"/>
      <c r="CH132" s="143"/>
      <c r="CI132" s="143"/>
      <c r="CJ132" s="143"/>
      <c r="CK132" s="12"/>
      <c r="CL132" s="5"/>
      <c r="CM132" s="5"/>
      <c r="CN132" s="5"/>
      <c r="CO132" s="5"/>
      <c r="CP132" s="5"/>
      <c r="CQ132" s="5"/>
      <c r="CR132" s="5"/>
      <c r="CS132" s="130"/>
      <c r="CT132" s="12"/>
      <c r="CU132" s="17"/>
      <c r="CV132" s="130"/>
      <c r="CW132" s="12"/>
      <c r="CX132" s="12"/>
      <c r="CY132" s="12"/>
      <c r="CZ132" s="12"/>
      <c r="DA132" s="12"/>
      <c r="DB132" s="12"/>
      <c r="DC132" s="12"/>
      <c r="DD132" s="130"/>
      <c r="DE132" s="130"/>
      <c r="DF132" s="130"/>
      <c r="DG132" s="130"/>
      <c r="DH132" s="130"/>
      <c r="DI132" s="130"/>
      <c r="DJ132" s="130"/>
      <c r="DK132" s="130"/>
      <c r="DL132" s="130"/>
      <c r="DM132" s="130"/>
      <c r="DN132" s="12"/>
      <c r="DO132" s="17"/>
      <c r="EH132" s="12"/>
      <c r="EI132" s="17"/>
      <c r="FM132" s="12"/>
      <c r="FN132" s="17"/>
      <c r="GJ132" s="12"/>
      <c r="GK132" s="17"/>
      <c r="GT132" s="103"/>
      <c r="GU132" s="103"/>
      <c r="GV132" s="103"/>
      <c r="GW132" s="103"/>
      <c r="GX132" s="103"/>
      <c r="GY132" s="103"/>
      <c r="GZ132" s="103"/>
      <c r="HA132" s="103"/>
      <c r="HB132" s="103"/>
      <c r="HC132" s="103"/>
      <c r="HD132" s="103"/>
      <c r="HE132" s="12"/>
      <c r="HF132" s="17"/>
      <c r="HO132" s="103"/>
      <c r="HP132" s="12"/>
      <c r="HQ132" s="17"/>
      <c r="HZ132" s="103"/>
      <c r="IA132" s="12"/>
      <c r="IB132" s="17"/>
    </row>
    <row r="133" spans="1:236" ht="14.45" customHeight="1" x14ac:dyDescent="0.25">
      <c r="A133" s="47"/>
      <c r="B133" s="12"/>
      <c r="C133" s="14"/>
      <c r="D133" s="14"/>
      <c r="E133" s="14"/>
      <c r="F133" s="14"/>
      <c r="G133" s="14"/>
      <c r="H133" s="14"/>
      <c r="I133" s="14"/>
      <c r="J133" s="25"/>
      <c r="K133" s="14"/>
      <c r="L133" s="14"/>
      <c r="M133" s="150"/>
      <c r="N133" s="12"/>
      <c r="R133" s="108"/>
      <c r="S133" s="108"/>
      <c r="T133" s="108"/>
      <c r="U133" s="12"/>
      <c r="V133" s="5"/>
      <c r="W133" s="12"/>
      <c r="X133" s="12"/>
      <c r="Y133" s="10"/>
      <c r="Z133" s="6"/>
      <c r="AA133" s="12"/>
      <c r="AB133" s="12"/>
      <c r="AC133" s="12"/>
      <c r="AD133" s="12"/>
      <c r="AE133" s="12"/>
      <c r="AF133" s="12"/>
      <c r="AG133" s="12"/>
      <c r="AH133" s="5"/>
      <c r="AI133" s="12"/>
      <c r="AJ133" s="17"/>
      <c r="AL133" s="12"/>
      <c r="AM133" s="12"/>
      <c r="AN133" s="12"/>
      <c r="AO133" s="12"/>
      <c r="AP133" s="12"/>
      <c r="AQ133" s="12"/>
      <c r="AR133" s="12"/>
      <c r="AS133" s="5"/>
      <c r="AT133" s="5"/>
      <c r="AU133" s="5"/>
      <c r="AV133" s="5"/>
      <c r="AW133" s="12"/>
      <c r="AX133" s="17"/>
      <c r="AY133" s="5"/>
      <c r="AZ133" s="12"/>
      <c r="BA133" s="12"/>
      <c r="BB133" s="12"/>
      <c r="BC133" s="12"/>
      <c r="BD133" s="12"/>
      <c r="BE133" s="12"/>
      <c r="BF133" s="12"/>
      <c r="BG133" s="5"/>
      <c r="BH133" s="5"/>
      <c r="BI133" s="12"/>
      <c r="BJ133" s="17"/>
      <c r="BK133" s="5"/>
      <c r="BL133" s="143"/>
      <c r="BM133" s="143"/>
      <c r="BN133" s="143"/>
      <c r="BO133" s="143"/>
      <c r="BP133" s="143"/>
      <c r="BQ133" s="143"/>
      <c r="BR133" s="12"/>
      <c r="BS133" s="5"/>
      <c r="BT133" s="5"/>
      <c r="BU133" s="5"/>
      <c r="BV133" s="5"/>
      <c r="BW133" s="5"/>
      <c r="BX133" s="5"/>
      <c r="BY133" s="5"/>
      <c r="BZ133" s="5"/>
      <c r="CA133" s="5"/>
      <c r="CB133" s="12"/>
      <c r="CC133" s="17"/>
      <c r="CE133" s="143"/>
      <c r="CF133" s="143"/>
      <c r="CG133" s="143"/>
      <c r="CH133" s="143"/>
      <c r="CI133" s="143"/>
      <c r="CJ133" s="143"/>
      <c r="CK133" s="12"/>
      <c r="CL133" s="5"/>
      <c r="CM133" s="5"/>
      <c r="CN133" s="5"/>
      <c r="CO133" s="5"/>
      <c r="CP133" s="5"/>
      <c r="CQ133" s="5"/>
      <c r="CR133" s="5"/>
      <c r="CS133" s="130"/>
      <c r="CT133" s="12"/>
      <c r="CU133" s="17"/>
      <c r="CV133" s="130"/>
      <c r="CW133" s="12"/>
      <c r="CX133" s="12"/>
      <c r="CY133" s="12"/>
      <c r="CZ133" s="12"/>
      <c r="DA133" s="12"/>
      <c r="DB133" s="12"/>
      <c r="DC133" s="12"/>
      <c r="DD133" s="130"/>
      <c r="DE133" s="130"/>
      <c r="DF133" s="130"/>
      <c r="DG133" s="130"/>
      <c r="DH133" s="130"/>
      <c r="DI133" s="130"/>
      <c r="DJ133" s="130"/>
      <c r="DK133" s="130"/>
      <c r="DL133" s="130"/>
      <c r="DM133" s="130"/>
      <c r="DN133" s="12"/>
      <c r="DO133" s="17"/>
      <c r="EH133" s="12"/>
      <c r="EI133" s="17"/>
      <c r="FM133" s="12"/>
      <c r="FN133" s="17"/>
      <c r="GJ133" s="12"/>
      <c r="GK133" s="17"/>
      <c r="GT133" s="103"/>
      <c r="GU133" s="103"/>
      <c r="GV133" s="103"/>
      <c r="GW133" s="103"/>
      <c r="GX133" s="103"/>
      <c r="GY133" s="103"/>
      <c r="GZ133" s="103"/>
      <c r="HA133" s="103"/>
      <c r="HB133" s="103"/>
      <c r="HC133" s="103"/>
      <c r="HD133" s="103"/>
      <c r="HE133" s="12"/>
      <c r="HF133" s="17"/>
      <c r="HO133" s="103"/>
      <c r="HP133" s="12"/>
      <c r="HQ133" s="17"/>
      <c r="HZ133" s="103"/>
      <c r="IA133" s="12"/>
      <c r="IB133" s="17"/>
    </row>
    <row r="134" spans="1:236" ht="14.45" customHeight="1" x14ac:dyDescent="0.25">
      <c r="A134" s="47"/>
      <c r="B134" s="12"/>
      <c r="C134" s="14"/>
      <c r="D134" s="14"/>
      <c r="E134" s="14"/>
      <c r="F134" s="14"/>
      <c r="G134" s="14"/>
      <c r="H134" s="14"/>
      <c r="I134" s="14"/>
      <c r="J134" s="25"/>
      <c r="K134" s="14"/>
      <c r="L134" s="14"/>
      <c r="M134" s="14"/>
      <c r="N134" s="12"/>
      <c r="R134" s="776"/>
      <c r="S134" s="776"/>
      <c r="T134" s="776"/>
      <c r="U134" s="14"/>
      <c r="V134" s="25"/>
      <c r="W134" s="14"/>
      <c r="X134" s="14"/>
      <c r="Y134" s="14"/>
      <c r="Z134" s="3"/>
      <c r="AA134" s="14"/>
      <c r="AB134" s="14"/>
      <c r="AC134" s="14"/>
      <c r="AD134" s="14"/>
      <c r="AE134" s="14"/>
      <c r="AF134" s="14"/>
      <c r="AG134" s="14"/>
      <c r="AH134" s="25"/>
      <c r="AI134" s="14"/>
      <c r="AJ134" s="25"/>
      <c r="AL134" s="12"/>
      <c r="AM134" s="12"/>
      <c r="AN134" s="12"/>
      <c r="AO134" s="12"/>
      <c r="AP134" s="12"/>
      <c r="AQ134" s="12"/>
      <c r="AR134" s="12"/>
      <c r="AS134" s="25"/>
      <c r="AT134" s="25"/>
      <c r="AU134" s="25"/>
      <c r="AV134" s="25"/>
      <c r="AW134" s="14"/>
      <c r="AX134" s="25"/>
      <c r="AY134" s="25"/>
      <c r="AZ134" s="14"/>
      <c r="BA134" s="14"/>
      <c r="BB134" s="14"/>
      <c r="BC134" s="14"/>
      <c r="BD134" s="14"/>
      <c r="BE134" s="14"/>
      <c r="BF134" s="14"/>
      <c r="BG134" s="25"/>
      <c r="BH134" s="25"/>
      <c r="BI134" s="14"/>
      <c r="BJ134" s="25"/>
      <c r="BK134" s="25"/>
      <c r="BL134" s="14"/>
      <c r="BM134" s="14"/>
      <c r="BN134" s="14"/>
      <c r="BO134" s="14"/>
      <c r="BP134" s="14"/>
      <c r="BQ134" s="14"/>
      <c r="BR134" s="14"/>
      <c r="BS134" s="25"/>
      <c r="BT134" s="25"/>
      <c r="BU134" s="25"/>
      <c r="BV134" s="25"/>
      <c r="BW134" s="25"/>
      <c r="BX134" s="25"/>
      <c r="BY134" s="25"/>
      <c r="BZ134" s="25"/>
      <c r="CA134" s="25"/>
      <c r="CB134" s="14"/>
      <c r="CC134" s="25"/>
      <c r="CD134" s="8"/>
      <c r="CE134" s="789" t="s">
        <v>68</v>
      </c>
      <c r="CF134" s="789"/>
      <c r="CG134" s="789"/>
      <c r="CH134" s="789"/>
      <c r="CI134" s="789"/>
      <c r="CJ134" s="789"/>
      <c r="CK134" s="14"/>
      <c r="CL134" s="25"/>
      <c r="CM134" s="25"/>
      <c r="CN134" s="25"/>
      <c r="CO134" s="25"/>
      <c r="CP134" s="25"/>
      <c r="CQ134" s="25"/>
      <c r="CR134" s="25"/>
      <c r="CS134" s="33"/>
      <c r="CT134" s="14"/>
      <c r="CU134" s="33"/>
      <c r="CV134" s="33"/>
      <c r="CW134" s="14"/>
      <c r="CX134" s="14"/>
      <c r="CY134" s="14"/>
      <c r="CZ134" s="14"/>
      <c r="DA134" s="14"/>
      <c r="DB134" s="14"/>
      <c r="DC134" s="14"/>
      <c r="DD134" s="33"/>
      <c r="DE134" s="33"/>
      <c r="DF134" s="33"/>
      <c r="DG134" s="33"/>
      <c r="DH134" s="33"/>
      <c r="DI134" s="33"/>
      <c r="DJ134" s="33"/>
      <c r="DK134" s="33"/>
      <c r="DL134" s="33"/>
      <c r="DM134" s="33"/>
      <c r="DN134" s="14"/>
      <c r="DO134" s="33"/>
      <c r="DP134" s="8"/>
      <c r="DQ134" s="8"/>
      <c r="FP134" t="s">
        <v>184</v>
      </c>
    </row>
    <row r="135" spans="1:236" ht="14.45" customHeight="1" x14ac:dyDescent="0.25">
      <c r="A135" s="748" t="s">
        <v>84</v>
      </c>
      <c r="B135" s="748"/>
      <c r="C135" s="748"/>
      <c r="D135" s="748"/>
      <c r="E135" s="748"/>
      <c r="F135" s="748"/>
      <c r="G135" s="748"/>
      <c r="H135" s="748"/>
      <c r="I135" s="748"/>
      <c r="J135" s="748"/>
      <c r="K135" s="748"/>
      <c r="L135" s="748"/>
      <c r="M135" s="748"/>
      <c r="N135" s="748"/>
      <c r="O135" s="748"/>
      <c r="P135" s="748"/>
      <c r="Q135" s="748"/>
      <c r="R135" s="748"/>
      <c r="S135" s="748"/>
      <c r="T135" s="748"/>
      <c r="U135" s="748"/>
      <c r="V135" s="748"/>
      <c r="W135" s="748"/>
      <c r="X135" s="748"/>
      <c r="Y135" s="34"/>
      <c r="Z135" s="6"/>
      <c r="AA135" s="12"/>
      <c r="AB135" s="12"/>
      <c r="AC135" s="12"/>
      <c r="AD135" s="12"/>
      <c r="AE135" s="12"/>
      <c r="AF135" s="12"/>
      <c r="AG135" s="14"/>
      <c r="AH135" s="25"/>
      <c r="AI135" s="14"/>
      <c r="AJ135" s="25"/>
      <c r="AK135" s="8"/>
      <c r="AL135" s="12"/>
      <c r="AM135" s="12"/>
      <c r="AN135" s="12"/>
      <c r="AO135" s="12"/>
      <c r="AP135" s="12"/>
      <c r="AQ135" s="12"/>
      <c r="AR135" s="12"/>
      <c r="AS135" s="25"/>
      <c r="AT135" s="25"/>
      <c r="AU135" s="25"/>
      <c r="AV135" s="25"/>
      <c r="AW135" s="14"/>
      <c r="AX135" s="25"/>
      <c r="AY135" s="25"/>
      <c r="AZ135" s="14"/>
      <c r="BA135" s="14"/>
      <c r="BB135" s="14"/>
      <c r="BC135" s="14"/>
      <c r="BD135" s="14"/>
      <c r="BE135" s="14"/>
      <c r="BF135" s="14"/>
      <c r="BG135" s="25"/>
      <c r="BH135" s="25"/>
      <c r="BI135" s="14"/>
      <c r="BJ135" s="25"/>
      <c r="BK135" s="25"/>
      <c r="BL135" s="14"/>
      <c r="BM135" s="14"/>
      <c r="BN135" s="14"/>
      <c r="BO135" s="14"/>
      <c r="BP135" s="14"/>
      <c r="BQ135" s="14"/>
      <c r="BR135" s="14"/>
      <c r="BS135" s="25"/>
      <c r="BT135" s="25"/>
      <c r="BU135" s="25"/>
      <c r="BV135" s="25"/>
      <c r="BW135" s="25"/>
      <c r="BX135" s="25"/>
      <c r="BY135" s="25"/>
      <c r="BZ135" s="25"/>
      <c r="CA135" s="25"/>
      <c r="CB135" s="14"/>
      <c r="CC135" s="25"/>
      <c r="CD135" s="8"/>
      <c r="CE135" s="14"/>
      <c r="CF135" s="14"/>
      <c r="CG135" s="14"/>
      <c r="CH135" s="14"/>
      <c r="CI135" s="14"/>
      <c r="CJ135" s="14"/>
      <c r="CK135" s="14"/>
      <c r="CL135" s="25"/>
      <c r="CM135" s="25"/>
      <c r="CN135" s="25"/>
      <c r="CO135" s="25"/>
      <c r="CP135" s="25"/>
      <c r="CQ135" s="25"/>
      <c r="CR135" s="25"/>
      <c r="CS135" s="33"/>
      <c r="CT135" s="14"/>
      <c r="CU135" s="33"/>
      <c r="CV135" s="33"/>
      <c r="CW135" s="14"/>
      <c r="CX135" s="14"/>
      <c r="CY135" s="14"/>
      <c r="CZ135" s="14"/>
      <c r="DA135" s="14"/>
      <c r="DB135" s="14"/>
      <c r="DC135" s="14"/>
      <c r="DD135" s="33"/>
      <c r="DE135" s="33"/>
      <c r="DF135" s="33"/>
      <c r="DG135" s="33"/>
      <c r="DH135" s="33"/>
      <c r="DI135" s="33"/>
      <c r="DJ135" s="33"/>
      <c r="DK135" s="33"/>
      <c r="DL135" s="33"/>
      <c r="DM135" s="33"/>
      <c r="DN135" s="14"/>
      <c r="DO135" s="33"/>
      <c r="DP135" s="8"/>
      <c r="DQ135" s="8"/>
      <c r="FP135" s="785" t="s">
        <v>185</v>
      </c>
      <c r="FQ135" s="785"/>
      <c r="FR135" s="785"/>
      <c r="FS135" s="785"/>
      <c r="FT135" s="785"/>
      <c r="FU135" s="785"/>
      <c r="FV135" s="31">
        <v>5.93</v>
      </c>
      <c r="FW135" s="31"/>
      <c r="FX135" s="31"/>
      <c r="FY135" s="31"/>
      <c r="FZ135" s="31"/>
      <c r="GA135" s="31"/>
      <c r="GB135" s="31"/>
      <c r="GC135" s="31"/>
      <c r="GD135" s="31"/>
      <c r="GE135" s="31">
        <v>15</v>
      </c>
      <c r="GF135" s="31"/>
      <c r="GG135" s="31"/>
      <c r="GH135" s="31"/>
      <c r="GI135" s="31"/>
      <c r="GJ135" s="31"/>
    </row>
    <row r="136" spans="1:236" ht="14.45" customHeight="1" x14ac:dyDescent="0.25">
      <c r="A136" s="748"/>
      <c r="B136" s="748"/>
      <c r="C136" s="748"/>
      <c r="D136" s="748"/>
      <c r="E136" s="748"/>
      <c r="F136" s="748"/>
      <c r="G136" s="748"/>
      <c r="H136" s="748"/>
      <c r="I136" s="748"/>
      <c r="J136" s="748"/>
      <c r="K136" s="748"/>
      <c r="L136" s="748"/>
      <c r="M136" s="748"/>
      <c r="N136" s="748"/>
      <c r="O136" s="748"/>
      <c r="P136" s="748"/>
      <c r="Q136" s="748"/>
      <c r="R136" s="748"/>
      <c r="S136" s="748"/>
      <c r="T136" s="748"/>
      <c r="U136" s="748"/>
      <c r="V136" s="748"/>
      <c r="W136" s="748"/>
      <c r="X136" s="748"/>
      <c r="Y136" s="34"/>
      <c r="Z136" s="6"/>
      <c r="AA136" s="12"/>
      <c r="AB136" s="12"/>
      <c r="AC136" s="12"/>
      <c r="AD136" s="12"/>
      <c r="AE136" s="12"/>
      <c r="AF136" s="12"/>
      <c r="AG136" s="14"/>
      <c r="AH136" s="25"/>
      <c r="AI136" s="14"/>
      <c r="AJ136" s="25"/>
      <c r="AK136" s="8"/>
      <c r="AL136" s="12"/>
      <c r="AM136" s="12"/>
      <c r="AN136" s="12"/>
      <c r="AO136" s="12"/>
      <c r="AP136" s="12"/>
      <c r="AQ136" s="12"/>
      <c r="AR136" s="12"/>
      <c r="AS136" s="25"/>
      <c r="AT136" s="25"/>
      <c r="AU136" s="25"/>
      <c r="AV136" s="25"/>
      <c r="AW136" s="14"/>
      <c r="AX136" s="25"/>
      <c r="AY136" s="25"/>
      <c r="AZ136" s="14"/>
      <c r="BA136" s="14"/>
      <c r="BB136" s="14"/>
      <c r="BC136" s="14"/>
      <c r="BD136" s="14"/>
      <c r="BE136" s="14"/>
      <c r="BF136" s="14"/>
      <c r="BG136" s="25"/>
      <c r="BH136" s="25"/>
      <c r="BI136" s="14"/>
      <c r="BJ136" s="25"/>
      <c r="BK136" s="25"/>
      <c r="BL136" s="14"/>
      <c r="BM136" s="14"/>
      <c r="BN136" s="14"/>
      <c r="BO136" s="14"/>
      <c r="BP136" s="14"/>
      <c r="BQ136" s="14"/>
      <c r="BR136" s="14"/>
      <c r="BS136" s="25"/>
      <c r="BT136" s="25"/>
      <c r="BU136" s="25"/>
      <c r="BV136" s="25"/>
      <c r="BW136" s="25"/>
      <c r="BX136" s="25"/>
      <c r="BY136" s="25"/>
      <c r="BZ136" s="25"/>
      <c r="CA136" s="25"/>
      <c r="CB136" s="14"/>
      <c r="CC136" s="25"/>
      <c r="CD136" s="8"/>
      <c r="CE136" s="14"/>
      <c r="CF136" s="14"/>
      <c r="CG136" s="14"/>
      <c r="CH136" s="14"/>
      <c r="CI136" s="14"/>
      <c r="CJ136" s="14"/>
      <c r="CK136" s="14"/>
      <c r="CL136" s="25"/>
      <c r="CM136" s="25"/>
      <c r="CN136" s="25"/>
      <c r="CO136" s="25"/>
      <c r="CP136" s="25"/>
      <c r="CQ136" s="25"/>
      <c r="CR136" s="25"/>
      <c r="CS136" s="33"/>
      <c r="CT136" s="14"/>
      <c r="CU136" s="33"/>
      <c r="CV136" s="33"/>
      <c r="CW136" s="14"/>
      <c r="CX136" s="14"/>
      <c r="CY136" s="14"/>
      <c r="CZ136" s="14"/>
      <c r="DA136" s="14"/>
      <c r="DB136" s="14"/>
      <c r="DC136" s="14"/>
      <c r="DD136" s="33"/>
      <c r="DE136" s="33"/>
      <c r="DF136" s="33"/>
      <c r="DG136" s="33"/>
      <c r="DH136" s="33"/>
      <c r="DI136" s="33"/>
      <c r="DJ136" s="33"/>
      <c r="DK136" s="33"/>
      <c r="DL136" s="33"/>
      <c r="DM136" s="33"/>
      <c r="DN136" s="14"/>
      <c r="DO136" s="33"/>
      <c r="DP136" s="8"/>
      <c r="DQ136" s="8"/>
      <c r="FP136" s="785" t="s">
        <v>186</v>
      </c>
      <c r="FQ136" s="785"/>
      <c r="FR136" s="785"/>
      <c r="FS136" s="785"/>
      <c r="FT136" s="785"/>
      <c r="FU136" s="785"/>
      <c r="FV136" s="31">
        <v>4.55</v>
      </c>
      <c r="FW136" s="31"/>
      <c r="FX136" s="31"/>
      <c r="FY136" s="31"/>
      <c r="FZ136" s="31"/>
      <c r="GA136" s="31"/>
      <c r="GB136" s="31"/>
      <c r="GC136" s="31"/>
      <c r="GD136" s="31"/>
      <c r="GE136" s="31">
        <v>15</v>
      </c>
      <c r="GF136" s="31"/>
      <c r="GG136" s="31"/>
      <c r="GH136" s="31"/>
      <c r="GI136" s="31"/>
      <c r="GJ136" s="31"/>
    </row>
    <row r="137" spans="1:236" ht="14.45" customHeight="1" x14ac:dyDescent="0.25">
      <c r="A137" s="748"/>
      <c r="B137" s="748"/>
      <c r="C137" s="748"/>
      <c r="D137" s="748"/>
      <c r="E137" s="748"/>
      <c r="F137" s="748"/>
      <c r="G137" s="748"/>
      <c r="H137" s="748"/>
      <c r="I137" s="748"/>
      <c r="J137" s="748"/>
      <c r="K137" s="748"/>
      <c r="L137" s="748"/>
      <c r="M137" s="748"/>
      <c r="N137" s="748"/>
      <c r="O137" s="748"/>
      <c r="P137" s="748"/>
      <c r="Q137" s="748"/>
      <c r="R137" s="748"/>
      <c r="S137" s="748"/>
      <c r="T137" s="748"/>
      <c r="U137" s="748"/>
      <c r="V137" s="748"/>
      <c r="W137" s="748"/>
      <c r="X137" s="748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X137" s="8"/>
      <c r="BY137" s="8"/>
      <c r="BZ137" s="8"/>
      <c r="CA137" s="8"/>
      <c r="CB137" s="8"/>
      <c r="CC137" s="8"/>
      <c r="CD137" s="8"/>
      <c r="CE137" s="8"/>
      <c r="CF137" s="8"/>
      <c r="CG137" s="8"/>
      <c r="CI137" s="8"/>
      <c r="CJ137" s="8"/>
      <c r="CK137" s="8"/>
      <c r="CL137" s="8"/>
      <c r="CM137" s="8"/>
      <c r="CN137" s="8"/>
      <c r="CO137" s="8"/>
      <c r="CP137" s="8"/>
      <c r="CQ137" s="8"/>
      <c r="CR137" s="8"/>
      <c r="CS137" s="8"/>
      <c r="CT137" s="8"/>
      <c r="CU137" s="8"/>
      <c r="CV137" s="8"/>
      <c r="CW137" s="8"/>
      <c r="CX137" s="8"/>
      <c r="CY137" s="8"/>
      <c r="CZ137" s="8"/>
      <c r="DA137" s="8"/>
      <c r="DB137" s="8"/>
      <c r="DC137" s="8"/>
      <c r="DD137" s="8"/>
      <c r="DE137" s="8"/>
      <c r="DF137" s="8"/>
      <c r="DG137" s="8"/>
      <c r="DH137" s="8"/>
      <c r="DI137" s="8"/>
      <c r="DJ137" s="8"/>
      <c r="DK137" s="8"/>
      <c r="DL137" s="8"/>
      <c r="DM137" s="8"/>
      <c r="DN137" s="8"/>
      <c r="DO137" s="8"/>
      <c r="DP137" s="8"/>
      <c r="DQ137" s="8"/>
      <c r="FP137" s="785" t="s">
        <v>187</v>
      </c>
      <c r="FQ137" s="785"/>
      <c r="FR137" s="785"/>
      <c r="FS137" s="785"/>
      <c r="FT137" s="785"/>
      <c r="FU137" s="785"/>
      <c r="FV137" s="31">
        <v>3.81</v>
      </c>
      <c r="FW137" s="31"/>
      <c r="FX137" s="31"/>
      <c r="FY137" s="31"/>
      <c r="FZ137" s="31"/>
      <c r="GA137" s="31"/>
      <c r="GB137" s="31"/>
      <c r="GC137" s="31"/>
      <c r="GD137" s="31"/>
      <c r="GE137" s="31">
        <v>10</v>
      </c>
      <c r="GF137" s="31"/>
      <c r="GG137" s="31"/>
      <c r="GH137" s="31"/>
      <c r="GI137" s="31"/>
      <c r="GJ137" s="31"/>
    </row>
    <row r="138" spans="1:236" ht="14.45" customHeight="1" thickBot="1" x14ac:dyDescent="0.3">
      <c r="A138" s="48"/>
      <c r="B138" s="49"/>
      <c r="C138" s="778"/>
      <c r="D138" s="778"/>
      <c r="E138" s="778"/>
      <c r="F138" s="778"/>
      <c r="G138" s="778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  <c r="BY138" s="8"/>
      <c r="BZ138" s="8"/>
      <c r="CA138" s="8"/>
      <c r="CB138" s="8"/>
      <c r="CC138" s="8"/>
      <c r="CD138" s="8"/>
      <c r="CE138" s="8"/>
      <c r="CF138" s="8"/>
      <c r="CG138" s="8"/>
      <c r="CI138" s="8"/>
      <c r="CJ138" s="8"/>
      <c r="CK138" s="8"/>
      <c r="CL138" s="8"/>
      <c r="CM138" s="8"/>
      <c r="CN138" s="8"/>
      <c r="CO138" s="8"/>
      <c r="CP138" s="8"/>
      <c r="CQ138" s="8"/>
      <c r="CR138" s="8"/>
      <c r="CS138" s="8"/>
      <c r="CT138" s="8"/>
      <c r="CU138" s="8"/>
      <c r="CV138" s="8"/>
      <c r="CW138" s="8"/>
      <c r="CX138" s="8"/>
      <c r="CY138" s="8"/>
      <c r="CZ138" s="8"/>
      <c r="DA138" s="8"/>
      <c r="DB138" s="8"/>
      <c r="DC138" s="8"/>
      <c r="DD138" s="8"/>
      <c r="DE138" s="8"/>
      <c r="DF138" s="8"/>
      <c r="DG138" s="8"/>
      <c r="DH138" s="8"/>
      <c r="DI138" s="8"/>
      <c r="DJ138" s="8"/>
      <c r="DK138" s="8"/>
      <c r="DL138" s="8"/>
      <c r="DM138" s="8"/>
      <c r="DN138" s="8"/>
      <c r="DO138" s="8"/>
      <c r="DP138" s="8"/>
      <c r="DQ138" s="8"/>
      <c r="FP138" s="785" t="s">
        <v>187</v>
      </c>
      <c r="FQ138" s="785"/>
      <c r="FR138" s="785"/>
      <c r="FS138" s="785"/>
      <c r="FT138" s="785"/>
      <c r="FU138" s="785"/>
      <c r="FV138" s="31">
        <v>5.54</v>
      </c>
      <c r="FW138" s="31"/>
      <c r="FX138" s="31"/>
      <c r="FY138" s="31"/>
      <c r="FZ138" s="31"/>
      <c r="GA138" s="31"/>
      <c r="GB138" s="31"/>
      <c r="GC138" s="31"/>
      <c r="GD138" s="31"/>
      <c r="GE138" s="31">
        <v>10</v>
      </c>
      <c r="GF138" s="31"/>
      <c r="GG138" s="31"/>
      <c r="GH138" s="31"/>
      <c r="GI138" s="31"/>
      <c r="GJ138" s="31"/>
    </row>
    <row r="139" spans="1:236" ht="14.45" customHeight="1" x14ac:dyDescent="0.25">
      <c r="A139" s="44"/>
      <c r="B139" s="9"/>
      <c r="C139" s="753" t="str">
        <f t="shared" ref="C139:C170" si="3">C7</f>
        <v>DESCRIPCION</v>
      </c>
      <c r="D139" s="753"/>
      <c r="E139" s="753"/>
      <c r="F139" s="753"/>
      <c r="G139" s="753"/>
      <c r="H139" s="679" t="s">
        <v>212</v>
      </c>
      <c r="I139" s="679"/>
      <c r="J139" s="679"/>
      <c r="K139" s="679"/>
      <c r="L139" s="732" t="s">
        <v>213</v>
      </c>
      <c r="M139" s="733"/>
      <c r="N139" s="733"/>
      <c r="O139" s="734"/>
      <c r="P139" s="732" t="s">
        <v>214</v>
      </c>
      <c r="Q139" s="733"/>
      <c r="R139" s="733"/>
      <c r="S139" s="734"/>
      <c r="T139" s="732" t="s">
        <v>215</v>
      </c>
      <c r="U139" s="733"/>
      <c r="V139" s="733"/>
      <c r="W139" s="734"/>
      <c r="X139" s="786" t="s">
        <v>72</v>
      </c>
      <c r="Y139" s="787"/>
      <c r="Z139" s="787"/>
      <c r="AA139" s="787"/>
      <c r="AB139" s="35"/>
      <c r="AC139" s="35"/>
      <c r="AD139" s="35"/>
      <c r="AE139" s="35"/>
      <c r="AF139" s="36"/>
      <c r="AG139" s="36"/>
      <c r="AH139" s="36"/>
      <c r="AI139" s="36"/>
      <c r="AJ139" s="36"/>
      <c r="AK139" s="36"/>
      <c r="AL139" s="8"/>
      <c r="AM139" s="3"/>
      <c r="AN139" s="3"/>
      <c r="AO139" s="3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8"/>
      <c r="CB139" s="8"/>
      <c r="CC139" s="8"/>
      <c r="CD139" s="8"/>
      <c r="CE139" s="8"/>
      <c r="CF139" s="8"/>
      <c r="CG139" s="8"/>
      <c r="CH139" s="8"/>
      <c r="CI139" s="8"/>
      <c r="CJ139" s="8"/>
      <c r="CK139" s="8"/>
      <c r="CL139" s="8"/>
      <c r="CM139" s="8"/>
      <c r="CP139" s="8"/>
      <c r="CQ139" s="8"/>
      <c r="CR139" s="8"/>
      <c r="CS139" s="8"/>
      <c r="CT139" s="8"/>
      <c r="CU139" s="8"/>
      <c r="CV139" s="8"/>
      <c r="CW139" s="8"/>
      <c r="CX139" s="8"/>
      <c r="CY139" s="8"/>
      <c r="CZ139" s="8"/>
      <c r="DA139" s="8"/>
      <c r="DB139" s="8"/>
      <c r="DC139" s="8"/>
      <c r="DD139" s="8"/>
      <c r="DE139" s="8"/>
      <c r="DF139" s="8"/>
      <c r="DG139" s="8"/>
      <c r="DH139" s="8"/>
      <c r="DI139" s="8"/>
      <c r="DJ139" s="8"/>
      <c r="DK139" s="8"/>
      <c r="DL139" s="8"/>
      <c r="DM139" s="8"/>
      <c r="DN139" s="8"/>
      <c r="DO139" s="8"/>
      <c r="DP139" s="8"/>
      <c r="DQ139" s="8"/>
      <c r="DR139" s="8"/>
      <c r="DS139" s="8"/>
      <c r="DT139" s="8"/>
      <c r="DU139" s="8"/>
      <c r="DV139" s="8"/>
      <c r="DW139" s="8"/>
      <c r="FP139" s="31"/>
      <c r="FQ139" s="31"/>
      <c r="FR139" s="31"/>
      <c r="FS139" s="31"/>
      <c r="FT139" s="31"/>
      <c r="FU139" s="31"/>
      <c r="FV139" s="31"/>
      <c r="FW139" s="31"/>
      <c r="FX139" s="31"/>
      <c r="FY139" s="31"/>
      <c r="FZ139" s="31"/>
      <c r="GA139" s="31"/>
      <c r="GB139" s="31"/>
      <c r="GC139" s="31"/>
      <c r="GD139" s="31"/>
      <c r="GE139" s="31"/>
      <c r="GF139" s="31"/>
      <c r="GG139" s="31"/>
      <c r="GH139" s="31"/>
      <c r="GI139" s="31"/>
      <c r="GJ139" s="31"/>
    </row>
    <row r="140" spans="1:236" ht="14.45" customHeight="1" x14ac:dyDescent="0.25">
      <c r="A140" s="44"/>
      <c r="B140" s="9"/>
      <c r="C140" s="644" t="str">
        <f t="shared" si="3"/>
        <v>BUSH HG 1 1/2" X 1"</v>
      </c>
      <c r="D140" s="644"/>
      <c r="E140" s="644"/>
      <c r="F140" s="644"/>
      <c r="G140" s="644"/>
      <c r="H140" s="689">
        <f t="shared" ref="H140:H171" si="4">L8</f>
        <v>0</v>
      </c>
      <c r="I140" s="689"/>
      <c r="J140" s="678">
        <f t="shared" ref="J140:J171" si="5">M8</f>
        <v>0</v>
      </c>
      <c r="K140" s="678"/>
      <c r="L140" s="689">
        <f t="shared" ref="L140:L171" si="6">BI8+CB8+CT8+DN8</f>
        <v>0</v>
      </c>
      <c r="M140" s="689"/>
      <c r="N140" s="675">
        <f t="shared" ref="N140:N171" si="7">BJ8+CC8+CU8+DO8</f>
        <v>0</v>
      </c>
      <c r="O140" s="676"/>
      <c r="P140" s="689">
        <f t="shared" ref="P140:P171" si="8">EH8+FM8</f>
        <v>0</v>
      </c>
      <c r="Q140" s="689"/>
      <c r="R140" s="675">
        <f t="shared" ref="R140:R171" si="9">EI8+FN8</f>
        <v>0</v>
      </c>
      <c r="S140" s="676"/>
      <c r="T140" s="689">
        <f t="shared" ref="T140:T171" si="10">GJ8+HE8+HP8+IA8</f>
        <v>0</v>
      </c>
      <c r="U140" s="689"/>
      <c r="V140" s="678">
        <f t="shared" ref="V140:V171" si="11">GK8+HF8+HQ8+IB8</f>
        <v>0</v>
      </c>
      <c r="W140" s="678"/>
      <c r="X140" s="784">
        <f>H140+L140+P140+T140</f>
        <v>0</v>
      </c>
      <c r="Y140" s="660"/>
      <c r="Z140" s="661">
        <f>J140+N140+R140+V140</f>
        <v>0</v>
      </c>
      <c r="AA140" s="661"/>
      <c r="AB140" s="35"/>
      <c r="AC140" s="35"/>
      <c r="AD140" s="35"/>
      <c r="AE140" s="35"/>
      <c r="AF140" s="36"/>
      <c r="AG140" s="36"/>
      <c r="AH140" s="36"/>
      <c r="AI140" s="36"/>
      <c r="AJ140" s="36"/>
      <c r="AK140" s="36"/>
      <c r="AL140" s="8"/>
      <c r="AM140" s="3"/>
      <c r="AN140" s="3"/>
      <c r="AO140" s="3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/>
      <c r="CB140" s="8"/>
      <c r="CC140" s="8"/>
      <c r="CD140" s="8"/>
      <c r="CE140" s="8"/>
      <c r="CF140" s="8"/>
      <c r="CG140" s="8"/>
      <c r="CH140" s="8"/>
      <c r="CI140" s="8"/>
      <c r="CJ140" s="8"/>
      <c r="CK140" s="8"/>
      <c r="CL140" s="8"/>
      <c r="CM140" s="8"/>
      <c r="CN140" s="8"/>
      <c r="CO140" s="8"/>
      <c r="CP140" s="8"/>
      <c r="CQ140" s="8"/>
      <c r="CR140" s="8"/>
      <c r="CS140" s="8"/>
      <c r="CT140" s="8"/>
      <c r="CU140" s="8"/>
      <c r="CV140" s="8"/>
      <c r="CW140" s="8"/>
      <c r="CX140" s="8"/>
      <c r="CY140" s="8"/>
      <c r="CZ140" s="8"/>
      <c r="DA140" s="8"/>
      <c r="DB140" s="8"/>
      <c r="DC140" s="8"/>
      <c r="DD140" s="8"/>
      <c r="DE140" s="8"/>
      <c r="DF140" s="8"/>
      <c r="DG140" s="8"/>
      <c r="DH140" s="8"/>
      <c r="DI140" s="8"/>
      <c r="DJ140" s="8"/>
      <c r="DK140" s="8"/>
      <c r="DL140" s="8"/>
      <c r="DM140" s="8"/>
      <c r="DN140" s="8"/>
      <c r="DO140" s="8"/>
      <c r="DP140" s="8"/>
      <c r="DQ140" s="8"/>
      <c r="DR140" s="8"/>
      <c r="DS140" s="8"/>
      <c r="DT140" s="8"/>
      <c r="DU140" s="8"/>
      <c r="DV140" s="8"/>
      <c r="DW140" s="8"/>
    </row>
    <row r="141" spans="1:236" ht="14.45" customHeight="1" x14ac:dyDescent="0.25">
      <c r="A141" s="44"/>
      <c r="B141" s="9"/>
      <c r="C141" s="644" t="str">
        <f t="shared" si="3"/>
        <v>BUSH HG 1" X 1/2"</v>
      </c>
      <c r="D141" s="644"/>
      <c r="E141" s="644"/>
      <c r="F141" s="644"/>
      <c r="G141" s="644"/>
      <c r="H141" s="689">
        <f t="shared" si="4"/>
        <v>0</v>
      </c>
      <c r="I141" s="689"/>
      <c r="J141" s="678">
        <f t="shared" si="5"/>
        <v>0</v>
      </c>
      <c r="K141" s="678"/>
      <c r="L141" s="689">
        <f t="shared" si="6"/>
        <v>0</v>
      </c>
      <c r="M141" s="689"/>
      <c r="N141" s="675">
        <f t="shared" si="7"/>
        <v>0</v>
      </c>
      <c r="O141" s="676"/>
      <c r="P141" s="689">
        <f t="shared" si="8"/>
        <v>0</v>
      </c>
      <c r="Q141" s="689"/>
      <c r="R141" s="675">
        <f t="shared" si="9"/>
        <v>0</v>
      </c>
      <c r="S141" s="676"/>
      <c r="T141" s="689">
        <f t="shared" si="10"/>
        <v>0</v>
      </c>
      <c r="U141" s="689"/>
      <c r="V141" s="678">
        <f t="shared" si="11"/>
        <v>0</v>
      </c>
      <c r="W141" s="678"/>
      <c r="X141" s="784">
        <f t="shared" ref="X141:X201" si="12">H141+L141+P141+T141</f>
        <v>0</v>
      </c>
      <c r="Y141" s="660"/>
      <c r="Z141" s="661">
        <f t="shared" ref="Z141:Z201" si="13">J141+N141+R141+V141</f>
        <v>0</v>
      </c>
      <c r="AA141" s="661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3"/>
      <c r="AN141" s="3"/>
      <c r="AO141" s="3"/>
    </row>
    <row r="142" spans="1:236" ht="14.45" customHeight="1" x14ac:dyDescent="0.25">
      <c r="A142" s="44"/>
      <c r="B142" s="9"/>
      <c r="C142" s="644" t="str">
        <f t="shared" si="3"/>
        <v>ANILLO HG 3</v>
      </c>
      <c r="D142" s="644"/>
      <c r="E142" s="644"/>
      <c r="F142" s="644"/>
      <c r="G142" s="644"/>
      <c r="H142" s="689">
        <f t="shared" si="4"/>
        <v>0</v>
      </c>
      <c r="I142" s="689"/>
      <c r="J142" s="678">
        <f t="shared" si="5"/>
        <v>0</v>
      </c>
      <c r="K142" s="678"/>
      <c r="L142" s="689">
        <f t="shared" si="6"/>
        <v>0</v>
      </c>
      <c r="M142" s="689"/>
      <c r="N142" s="675">
        <f t="shared" si="7"/>
        <v>0</v>
      </c>
      <c r="O142" s="676"/>
      <c r="P142" s="689">
        <f t="shared" si="8"/>
        <v>0</v>
      </c>
      <c r="Q142" s="689"/>
      <c r="R142" s="675">
        <f t="shared" si="9"/>
        <v>0</v>
      </c>
      <c r="S142" s="676"/>
      <c r="T142" s="689">
        <f t="shared" si="10"/>
        <v>0</v>
      </c>
      <c r="U142" s="689"/>
      <c r="V142" s="678">
        <f t="shared" si="11"/>
        <v>0</v>
      </c>
      <c r="W142" s="678"/>
      <c r="X142" s="784">
        <f t="shared" si="12"/>
        <v>0</v>
      </c>
      <c r="Y142" s="660"/>
      <c r="Z142" s="661">
        <f t="shared" si="13"/>
        <v>0</v>
      </c>
      <c r="AA142" s="661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14"/>
      <c r="AM142" s="3"/>
      <c r="AN142" s="3"/>
      <c r="AO142" s="3"/>
    </row>
    <row r="143" spans="1:236" ht="14.45" customHeight="1" x14ac:dyDescent="0.25">
      <c r="A143" s="44"/>
      <c r="B143" s="9"/>
      <c r="C143" s="644" t="str">
        <f t="shared" si="3"/>
        <v>ANILLO HG 4</v>
      </c>
      <c r="D143" s="644"/>
      <c r="E143" s="644"/>
      <c r="F143" s="644"/>
      <c r="G143" s="644"/>
      <c r="H143" s="689">
        <f t="shared" si="4"/>
        <v>0</v>
      </c>
      <c r="I143" s="689"/>
      <c r="J143" s="678">
        <f t="shared" si="5"/>
        <v>0</v>
      </c>
      <c r="K143" s="678"/>
      <c r="L143" s="689">
        <f t="shared" si="6"/>
        <v>0</v>
      </c>
      <c r="M143" s="689"/>
      <c r="N143" s="675">
        <f t="shared" si="7"/>
        <v>0</v>
      </c>
      <c r="O143" s="676"/>
      <c r="P143" s="689">
        <f t="shared" si="8"/>
        <v>0</v>
      </c>
      <c r="Q143" s="689"/>
      <c r="R143" s="675">
        <f t="shared" si="9"/>
        <v>0</v>
      </c>
      <c r="S143" s="676"/>
      <c r="T143" s="689">
        <f t="shared" si="10"/>
        <v>0</v>
      </c>
      <c r="U143" s="689"/>
      <c r="V143" s="678">
        <f t="shared" si="11"/>
        <v>0</v>
      </c>
      <c r="W143" s="678"/>
      <c r="X143" s="784">
        <f t="shared" si="12"/>
        <v>0</v>
      </c>
      <c r="Y143" s="660"/>
      <c r="Z143" s="661">
        <f t="shared" si="13"/>
        <v>0</v>
      </c>
      <c r="AA143" s="661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14"/>
      <c r="AM143" s="3"/>
      <c r="AN143" s="3"/>
      <c r="AO143" s="3"/>
    </row>
    <row r="144" spans="1:236" ht="14.45" customHeight="1" x14ac:dyDescent="0.25">
      <c r="A144" s="44"/>
      <c r="B144" s="9"/>
      <c r="C144" s="644" t="str">
        <f t="shared" si="3"/>
        <v>TAPON HG 1</v>
      </c>
      <c r="D144" s="644"/>
      <c r="E144" s="644"/>
      <c r="F144" s="644"/>
      <c r="G144" s="644"/>
      <c r="H144" s="689">
        <f t="shared" si="4"/>
        <v>0</v>
      </c>
      <c r="I144" s="689"/>
      <c r="J144" s="678">
        <f t="shared" si="5"/>
        <v>0</v>
      </c>
      <c r="K144" s="678"/>
      <c r="L144" s="689">
        <f t="shared" si="6"/>
        <v>0</v>
      </c>
      <c r="M144" s="689"/>
      <c r="N144" s="675">
        <f t="shared" si="7"/>
        <v>0</v>
      </c>
      <c r="O144" s="676"/>
      <c r="P144" s="689">
        <f t="shared" si="8"/>
        <v>0</v>
      </c>
      <c r="Q144" s="689"/>
      <c r="R144" s="675">
        <f t="shared" si="9"/>
        <v>0</v>
      </c>
      <c r="S144" s="676"/>
      <c r="T144" s="689">
        <f t="shared" si="10"/>
        <v>0</v>
      </c>
      <c r="U144" s="689"/>
      <c r="V144" s="678">
        <f t="shared" si="11"/>
        <v>0</v>
      </c>
      <c r="W144" s="678"/>
      <c r="X144" s="784">
        <f t="shared" si="12"/>
        <v>0</v>
      </c>
      <c r="Y144" s="660"/>
      <c r="Z144" s="661">
        <f t="shared" si="13"/>
        <v>0</v>
      </c>
      <c r="AA144" s="661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14"/>
      <c r="AM144" s="3"/>
      <c r="AN144" s="3"/>
      <c r="AO144" s="3"/>
    </row>
    <row r="145" spans="1:41" ht="14.45" customHeight="1" x14ac:dyDescent="0.25">
      <c r="A145" s="44"/>
      <c r="B145" s="9"/>
      <c r="C145" s="644" t="str">
        <f t="shared" si="3"/>
        <v>TEE HG 1 1/2</v>
      </c>
      <c r="D145" s="644"/>
      <c r="E145" s="644"/>
      <c r="F145" s="644"/>
      <c r="G145" s="644"/>
      <c r="H145" s="689">
        <f t="shared" si="4"/>
        <v>0</v>
      </c>
      <c r="I145" s="689"/>
      <c r="J145" s="678">
        <f t="shared" si="5"/>
        <v>0</v>
      </c>
      <c r="K145" s="678"/>
      <c r="L145" s="689">
        <f t="shared" si="6"/>
        <v>0</v>
      </c>
      <c r="M145" s="689"/>
      <c r="N145" s="675">
        <f t="shared" si="7"/>
        <v>0</v>
      </c>
      <c r="O145" s="676"/>
      <c r="P145" s="689">
        <f t="shared" si="8"/>
        <v>0</v>
      </c>
      <c r="Q145" s="689"/>
      <c r="R145" s="675">
        <f t="shared" si="9"/>
        <v>0</v>
      </c>
      <c r="S145" s="676"/>
      <c r="T145" s="689">
        <f t="shared" si="10"/>
        <v>0</v>
      </c>
      <c r="U145" s="689"/>
      <c r="V145" s="678">
        <f t="shared" si="11"/>
        <v>0</v>
      </c>
      <c r="W145" s="678"/>
      <c r="X145" s="784">
        <f t="shared" si="12"/>
        <v>0</v>
      </c>
      <c r="Y145" s="660"/>
      <c r="Z145" s="661">
        <f t="shared" si="13"/>
        <v>0</v>
      </c>
      <c r="AA145" s="661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14"/>
      <c r="AM145" s="3"/>
      <c r="AN145" s="3"/>
      <c r="AO145" s="3"/>
    </row>
    <row r="146" spans="1:41" ht="14.45" customHeight="1" x14ac:dyDescent="0.25">
      <c r="A146" s="44"/>
      <c r="B146" s="9"/>
      <c r="C146" s="644" t="str">
        <f t="shared" si="3"/>
        <v>CHECK PVC 1/2</v>
      </c>
      <c r="D146" s="644"/>
      <c r="E146" s="644"/>
      <c r="F146" s="644"/>
      <c r="G146" s="644"/>
      <c r="H146" s="689">
        <f t="shared" si="4"/>
        <v>0</v>
      </c>
      <c r="I146" s="689"/>
      <c r="J146" s="678">
        <f t="shared" si="5"/>
        <v>0</v>
      </c>
      <c r="K146" s="678"/>
      <c r="L146" s="689">
        <f t="shared" si="6"/>
        <v>0</v>
      </c>
      <c r="M146" s="689"/>
      <c r="N146" s="675">
        <f t="shared" si="7"/>
        <v>0</v>
      </c>
      <c r="O146" s="676"/>
      <c r="P146" s="689">
        <f t="shared" si="8"/>
        <v>0</v>
      </c>
      <c r="Q146" s="689"/>
      <c r="R146" s="675">
        <f t="shared" si="9"/>
        <v>0</v>
      </c>
      <c r="S146" s="676"/>
      <c r="T146" s="689">
        <f t="shared" si="10"/>
        <v>0</v>
      </c>
      <c r="U146" s="689"/>
      <c r="V146" s="678">
        <f t="shared" si="11"/>
        <v>0</v>
      </c>
      <c r="W146" s="678"/>
      <c r="X146" s="784">
        <f t="shared" si="12"/>
        <v>0</v>
      </c>
      <c r="Y146" s="660"/>
      <c r="Z146" s="661">
        <f t="shared" si="13"/>
        <v>0</v>
      </c>
      <c r="AA146" s="661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14"/>
      <c r="AM146" s="3"/>
      <c r="AN146" s="3"/>
      <c r="AO146" s="3"/>
    </row>
    <row r="147" spans="1:41" ht="14.45" customHeight="1" x14ac:dyDescent="0.25">
      <c r="A147" s="44"/>
      <c r="B147" s="9"/>
      <c r="C147" s="644" t="str">
        <f t="shared" si="3"/>
        <v>CHECK PVC 3/4</v>
      </c>
      <c r="D147" s="644"/>
      <c r="E147" s="644"/>
      <c r="F147" s="644"/>
      <c r="G147" s="644"/>
      <c r="H147" s="689">
        <f t="shared" si="4"/>
        <v>0</v>
      </c>
      <c r="I147" s="689"/>
      <c r="J147" s="678">
        <f t="shared" si="5"/>
        <v>0</v>
      </c>
      <c r="K147" s="678"/>
      <c r="L147" s="689">
        <f t="shared" si="6"/>
        <v>0</v>
      </c>
      <c r="M147" s="689"/>
      <c r="N147" s="675">
        <f t="shared" si="7"/>
        <v>0</v>
      </c>
      <c r="O147" s="676"/>
      <c r="P147" s="689">
        <f t="shared" si="8"/>
        <v>0</v>
      </c>
      <c r="Q147" s="689"/>
      <c r="R147" s="675">
        <f t="shared" si="9"/>
        <v>0</v>
      </c>
      <c r="S147" s="676"/>
      <c r="T147" s="689">
        <f t="shared" si="10"/>
        <v>0</v>
      </c>
      <c r="U147" s="689"/>
      <c r="V147" s="678">
        <f t="shared" si="11"/>
        <v>0</v>
      </c>
      <c r="W147" s="678"/>
      <c r="X147" s="784">
        <f t="shared" si="12"/>
        <v>0</v>
      </c>
      <c r="Y147" s="660"/>
      <c r="Z147" s="661">
        <f t="shared" si="13"/>
        <v>0</v>
      </c>
      <c r="AA147" s="661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14"/>
      <c r="AM147" s="3"/>
      <c r="AN147" s="3"/>
      <c r="AO147" s="3"/>
    </row>
    <row r="148" spans="1:41" ht="14.45" customHeight="1" x14ac:dyDescent="0.25">
      <c r="A148" s="44"/>
      <c r="B148" s="9"/>
      <c r="C148" s="644" t="str">
        <f t="shared" si="3"/>
        <v>CHECK PVC 1</v>
      </c>
      <c r="D148" s="644"/>
      <c r="E148" s="644"/>
      <c r="F148" s="644"/>
      <c r="G148" s="644"/>
      <c r="H148" s="689">
        <f t="shared" si="4"/>
        <v>0</v>
      </c>
      <c r="I148" s="689"/>
      <c r="J148" s="678">
        <f t="shared" si="5"/>
        <v>0</v>
      </c>
      <c r="K148" s="678"/>
      <c r="L148" s="689">
        <f t="shared" si="6"/>
        <v>0</v>
      </c>
      <c r="M148" s="689"/>
      <c r="N148" s="675">
        <f t="shared" si="7"/>
        <v>0</v>
      </c>
      <c r="O148" s="676"/>
      <c r="P148" s="689">
        <f t="shared" si="8"/>
        <v>0</v>
      </c>
      <c r="Q148" s="689"/>
      <c r="R148" s="675">
        <f t="shared" si="9"/>
        <v>0</v>
      </c>
      <c r="S148" s="676"/>
      <c r="T148" s="689">
        <f t="shared" si="10"/>
        <v>0</v>
      </c>
      <c r="U148" s="689"/>
      <c r="V148" s="678">
        <f t="shared" si="11"/>
        <v>0</v>
      </c>
      <c r="W148" s="678"/>
      <c r="X148" s="784">
        <f t="shared" si="12"/>
        <v>0</v>
      </c>
      <c r="Y148" s="660"/>
      <c r="Z148" s="661">
        <f t="shared" si="13"/>
        <v>0</v>
      </c>
      <c r="AA148" s="661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14"/>
      <c r="AM148" s="3"/>
      <c r="AN148" s="3"/>
      <c r="AO148" s="3"/>
    </row>
    <row r="149" spans="1:41" ht="14.45" customHeight="1" x14ac:dyDescent="0.25">
      <c r="A149" s="44"/>
      <c r="B149" s="9"/>
      <c r="C149" s="644" t="str">
        <f t="shared" si="3"/>
        <v>CHECK PVC 1 1/2</v>
      </c>
      <c r="D149" s="644"/>
      <c r="E149" s="644"/>
      <c r="F149" s="644"/>
      <c r="G149" s="644"/>
      <c r="H149" s="689">
        <f t="shared" si="4"/>
        <v>0</v>
      </c>
      <c r="I149" s="689"/>
      <c r="J149" s="678">
        <f t="shared" si="5"/>
        <v>0</v>
      </c>
      <c r="K149" s="678"/>
      <c r="L149" s="689">
        <f t="shared" si="6"/>
        <v>0</v>
      </c>
      <c r="M149" s="689"/>
      <c r="N149" s="675">
        <f t="shared" si="7"/>
        <v>0</v>
      </c>
      <c r="O149" s="676"/>
      <c r="P149" s="689">
        <f t="shared" si="8"/>
        <v>0</v>
      </c>
      <c r="Q149" s="689"/>
      <c r="R149" s="675">
        <f t="shared" si="9"/>
        <v>0</v>
      </c>
      <c r="S149" s="676"/>
      <c r="T149" s="689">
        <f t="shared" si="10"/>
        <v>0</v>
      </c>
      <c r="U149" s="689"/>
      <c r="V149" s="678">
        <f t="shared" si="11"/>
        <v>0</v>
      </c>
      <c r="W149" s="678"/>
      <c r="X149" s="784">
        <f t="shared" si="12"/>
        <v>0</v>
      </c>
      <c r="Y149" s="660"/>
      <c r="Z149" s="661">
        <f t="shared" si="13"/>
        <v>0</v>
      </c>
      <c r="AA149" s="661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14"/>
      <c r="AM149" s="3"/>
      <c r="AN149" s="3"/>
      <c r="AO149" s="3"/>
    </row>
    <row r="150" spans="1:41" ht="14.45" customHeight="1" x14ac:dyDescent="0.25">
      <c r="A150" s="44"/>
      <c r="B150" s="9"/>
      <c r="C150" s="644" t="str">
        <f t="shared" si="3"/>
        <v>ANILLO A/F C/R 3/4 PVC</v>
      </c>
      <c r="D150" s="644"/>
      <c r="E150" s="644"/>
      <c r="F150" s="644"/>
      <c r="G150" s="644"/>
      <c r="H150" s="689">
        <f t="shared" si="4"/>
        <v>0</v>
      </c>
      <c r="I150" s="689"/>
      <c r="J150" s="678">
        <f t="shared" si="5"/>
        <v>0</v>
      </c>
      <c r="K150" s="678"/>
      <c r="L150" s="689">
        <f t="shared" si="6"/>
        <v>0</v>
      </c>
      <c r="M150" s="689"/>
      <c r="N150" s="675">
        <f t="shared" si="7"/>
        <v>0</v>
      </c>
      <c r="O150" s="676"/>
      <c r="P150" s="689">
        <f t="shared" si="8"/>
        <v>0</v>
      </c>
      <c r="Q150" s="689"/>
      <c r="R150" s="675">
        <f t="shared" si="9"/>
        <v>0</v>
      </c>
      <c r="S150" s="676"/>
      <c r="T150" s="689">
        <f t="shared" si="10"/>
        <v>0</v>
      </c>
      <c r="U150" s="689"/>
      <c r="V150" s="678">
        <f t="shared" si="11"/>
        <v>0</v>
      </c>
      <c r="W150" s="678"/>
      <c r="X150" s="784">
        <f t="shared" si="12"/>
        <v>0</v>
      </c>
      <c r="Y150" s="660"/>
      <c r="Z150" s="661">
        <f t="shared" si="13"/>
        <v>0</v>
      </c>
      <c r="AA150" s="661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14"/>
      <c r="AM150" s="3"/>
      <c r="AN150" s="3"/>
      <c r="AO150" s="3"/>
    </row>
    <row r="151" spans="1:41" ht="14.45" customHeight="1" x14ac:dyDescent="0.25">
      <c r="A151" s="44"/>
      <c r="B151" s="9"/>
      <c r="C151" s="644" t="str">
        <f t="shared" si="3"/>
        <v>ANILLO A/F C/R 1/2 PVC</v>
      </c>
      <c r="D151" s="644"/>
      <c r="E151" s="644"/>
      <c r="F151" s="644"/>
      <c r="G151" s="644"/>
      <c r="H151" s="689">
        <f t="shared" si="4"/>
        <v>0</v>
      </c>
      <c r="I151" s="689"/>
      <c r="J151" s="678">
        <f t="shared" si="5"/>
        <v>0</v>
      </c>
      <c r="K151" s="678"/>
      <c r="L151" s="689">
        <f t="shared" si="6"/>
        <v>0</v>
      </c>
      <c r="M151" s="689"/>
      <c r="N151" s="675">
        <f t="shared" si="7"/>
        <v>0</v>
      </c>
      <c r="O151" s="676"/>
      <c r="P151" s="689">
        <f t="shared" si="8"/>
        <v>0</v>
      </c>
      <c r="Q151" s="689"/>
      <c r="R151" s="675">
        <f t="shared" si="9"/>
        <v>0</v>
      </c>
      <c r="S151" s="676"/>
      <c r="T151" s="689">
        <f t="shared" si="10"/>
        <v>0</v>
      </c>
      <c r="U151" s="689"/>
      <c r="V151" s="678">
        <f t="shared" si="11"/>
        <v>0</v>
      </c>
      <c r="W151" s="678"/>
      <c r="X151" s="784">
        <f t="shared" si="12"/>
        <v>0</v>
      </c>
      <c r="Y151" s="660"/>
      <c r="Z151" s="661">
        <f t="shared" si="13"/>
        <v>0</v>
      </c>
      <c r="AA151" s="661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14"/>
      <c r="AM151" s="3"/>
      <c r="AN151" s="3"/>
      <c r="AO151" s="3"/>
    </row>
    <row r="152" spans="1:41" ht="14.45" customHeight="1" x14ac:dyDescent="0.25">
      <c r="A152" s="44"/>
      <c r="B152" s="9"/>
      <c r="C152" s="644" t="str">
        <f t="shared" si="3"/>
        <v>TEE A/F C/R 1/2 PVC</v>
      </c>
      <c r="D152" s="644"/>
      <c r="E152" s="644"/>
      <c r="F152" s="644"/>
      <c r="G152" s="644"/>
      <c r="H152" s="689">
        <f t="shared" si="4"/>
        <v>0</v>
      </c>
      <c r="I152" s="689"/>
      <c r="J152" s="678">
        <f t="shared" si="5"/>
        <v>0</v>
      </c>
      <c r="K152" s="678"/>
      <c r="L152" s="689">
        <f t="shared" si="6"/>
        <v>0</v>
      </c>
      <c r="M152" s="689"/>
      <c r="N152" s="675">
        <f t="shared" si="7"/>
        <v>0</v>
      </c>
      <c r="O152" s="676"/>
      <c r="P152" s="689">
        <f t="shared" si="8"/>
        <v>0</v>
      </c>
      <c r="Q152" s="689"/>
      <c r="R152" s="675">
        <f t="shared" si="9"/>
        <v>0</v>
      </c>
      <c r="S152" s="676"/>
      <c r="T152" s="689">
        <f t="shared" si="10"/>
        <v>0</v>
      </c>
      <c r="U152" s="689"/>
      <c r="V152" s="678">
        <f t="shared" si="11"/>
        <v>0</v>
      </c>
      <c r="W152" s="678"/>
      <c r="X152" s="784">
        <f t="shared" si="12"/>
        <v>0</v>
      </c>
      <c r="Y152" s="660"/>
      <c r="Z152" s="661">
        <f t="shared" si="13"/>
        <v>0</v>
      </c>
      <c r="AA152" s="661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14"/>
      <c r="AM152" s="3"/>
      <c r="AN152" s="3"/>
      <c r="AO152" s="3"/>
    </row>
    <row r="153" spans="1:41" ht="14.45" customHeight="1" x14ac:dyDescent="0.25">
      <c r="A153" s="44"/>
      <c r="B153" s="9"/>
      <c r="C153" s="644" t="str">
        <f t="shared" si="3"/>
        <v>TEE A/F C/R 3/4 PVC</v>
      </c>
      <c r="D153" s="644"/>
      <c r="E153" s="644"/>
      <c r="F153" s="644"/>
      <c r="G153" s="644"/>
      <c r="H153" s="689">
        <f t="shared" si="4"/>
        <v>0</v>
      </c>
      <c r="I153" s="689"/>
      <c r="J153" s="678">
        <f t="shared" si="5"/>
        <v>0</v>
      </c>
      <c r="K153" s="678"/>
      <c r="L153" s="689">
        <f t="shared" si="6"/>
        <v>0</v>
      </c>
      <c r="M153" s="689"/>
      <c r="N153" s="675">
        <f t="shared" si="7"/>
        <v>0</v>
      </c>
      <c r="O153" s="676"/>
      <c r="P153" s="689">
        <f t="shared" si="8"/>
        <v>0</v>
      </c>
      <c r="Q153" s="689"/>
      <c r="R153" s="675">
        <f t="shared" si="9"/>
        <v>0</v>
      </c>
      <c r="S153" s="676"/>
      <c r="T153" s="689">
        <f t="shared" si="10"/>
        <v>0</v>
      </c>
      <c r="U153" s="689"/>
      <c r="V153" s="678">
        <f t="shared" si="11"/>
        <v>0</v>
      </c>
      <c r="W153" s="678"/>
      <c r="X153" s="784">
        <f t="shared" si="12"/>
        <v>0</v>
      </c>
      <c r="Y153" s="660"/>
      <c r="Z153" s="661">
        <f t="shared" si="13"/>
        <v>0</v>
      </c>
      <c r="AA153" s="661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14"/>
      <c r="AM153" s="3"/>
      <c r="AN153" s="3"/>
      <c r="AO153" s="3"/>
    </row>
    <row r="154" spans="1:41" ht="14.45" customHeight="1" x14ac:dyDescent="0.25">
      <c r="A154" s="44"/>
      <c r="B154" s="9"/>
      <c r="C154" s="644" t="str">
        <f t="shared" si="3"/>
        <v>CODO A/F C/R 1/2 X 90 PVC</v>
      </c>
      <c r="D154" s="644"/>
      <c r="E154" s="644"/>
      <c r="F154" s="644"/>
      <c r="G154" s="644"/>
      <c r="H154" s="689">
        <f t="shared" si="4"/>
        <v>0</v>
      </c>
      <c r="I154" s="689"/>
      <c r="J154" s="678">
        <f t="shared" si="5"/>
        <v>0</v>
      </c>
      <c r="K154" s="678"/>
      <c r="L154" s="689">
        <f t="shared" si="6"/>
        <v>0</v>
      </c>
      <c r="M154" s="689"/>
      <c r="N154" s="675">
        <f t="shared" si="7"/>
        <v>0</v>
      </c>
      <c r="O154" s="676"/>
      <c r="P154" s="689">
        <f t="shared" si="8"/>
        <v>0</v>
      </c>
      <c r="Q154" s="689"/>
      <c r="R154" s="675">
        <f t="shared" si="9"/>
        <v>0</v>
      </c>
      <c r="S154" s="676"/>
      <c r="T154" s="689">
        <f t="shared" si="10"/>
        <v>0</v>
      </c>
      <c r="U154" s="689"/>
      <c r="V154" s="678">
        <f t="shared" si="11"/>
        <v>0</v>
      </c>
      <c r="W154" s="678"/>
      <c r="X154" s="784">
        <f t="shared" si="12"/>
        <v>0</v>
      </c>
      <c r="Y154" s="660"/>
      <c r="Z154" s="661">
        <f t="shared" si="13"/>
        <v>0</v>
      </c>
      <c r="AA154" s="661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14"/>
      <c r="AM154" s="3"/>
      <c r="AN154" s="3"/>
      <c r="AO154" s="3"/>
    </row>
    <row r="155" spans="1:41" ht="14.45" customHeight="1" x14ac:dyDescent="0.25">
      <c r="A155" s="44"/>
      <c r="B155" s="9"/>
      <c r="C155" s="644" t="str">
        <f t="shared" si="3"/>
        <v>TAPA A/F C/R 1/2 PVC</v>
      </c>
      <c r="D155" s="644"/>
      <c r="E155" s="644"/>
      <c r="F155" s="644"/>
      <c r="G155" s="644"/>
      <c r="H155" s="689">
        <f t="shared" si="4"/>
        <v>0</v>
      </c>
      <c r="I155" s="689"/>
      <c r="J155" s="678">
        <f t="shared" si="5"/>
        <v>0</v>
      </c>
      <c r="K155" s="678"/>
      <c r="L155" s="689">
        <f t="shared" si="6"/>
        <v>0</v>
      </c>
      <c r="M155" s="689"/>
      <c r="N155" s="675">
        <f t="shared" si="7"/>
        <v>0</v>
      </c>
      <c r="O155" s="676"/>
      <c r="P155" s="689">
        <f t="shared" si="8"/>
        <v>0</v>
      </c>
      <c r="Q155" s="689"/>
      <c r="R155" s="675">
        <f t="shared" si="9"/>
        <v>0</v>
      </c>
      <c r="S155" s="676"/>
      <c r="T155" s="689">
        <f t="shared" si="10"/>
        <v>0</v>
      </c>
      <c r="U155" s="689"/>
      <c r="V155" s="678">
        <f t="shared" si="11"/>
        <v>0</v>
      </c>
      <c r="W155" s="678"/>
      <c r="X155" s="784">
        <f t="shared" si="12"/>
        <v>0</v>
      </c>
      <c r="Y155" s="660"/>
      <c r="Z155" s="661">
        <f t="shared" si="13"/>
        <v>0</v>
      </c>
      <c r="AA155" s="661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14"/>
      <c r="AM155" s="3"/>
      <c r="AN155" s="3"/>
      <c r="AO155" s="3"/>
    </row>
    <row r="156" spans="1:41" ht="14.45" customHeight="1" x14ac:dyDescent="0.25">
      <c r="A156" s="44"/>
      <c r="B156" s="9"/>
      <c r="C156" s="644" t="str">
        <f t="shared" si="3"/>
        <v>TAPA A/F C/R 3/4 PVC</v>
      </c>
      <c r="D156" s="644"/>
      <c r="E156" s="644"/>
      <c r="F156" s="644"/>
      <c r="G156" s="644"/>
      <c r="H156" s="689">
        <f t="shared" si="4"/>
        <v>0</v>
      </c>
      <c r="I156" s="689"/>
      <c r="J156" s="678">
        <f t="shared" si="5"/>
        <v>0</v>
      </c>
      <c r="K156" s="678"/>
      <c r="L156" s="689">
        <f t="shared" si="6"/>
        <v>0</v>
      </c>
      <c r="M156" s="689"/>
      <c r="N156" s="675">
        <f t="shared" si="7"/>
        <v>0</v>
      </c>
      <c r="O156" s="676"/>
      <c r="P156" s="689">
        <f t="shared" si="8"/>
        <v>0</v>
      </c>
      <c r="Q156" s="689"/>
      <c r="R156" s="675">
        <f t="shared" si="9"/>
        <v>0</v>
      </c>
      <c r="S156" s="676"/>
      <c r="T156" s="689">
        <f t="shared" si="10"/>
        <v>0</v>
      </c>
      <c r="U156" s="689"/>
      <c r="V156" s="678">
        <f t="shared" si="11"/>
        <v>0</v>
      </c>
      <c r="W156" s="678"/>
      <c r="X156" s="784">
        <f t="shared" si="12"/>
        <v>0</v>
      </c>
      <c r="Y156" s="660"/>
      <c r="Z156" s="661">
        <f t="shared" si="13"/>
        <v>0</v>
      </c>
      <c r="AA156" s="661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14"/>
      <c r="AM156" s="3"/>
      <c r="AN156" s="3"/>
      <c r="AO156" s="3"/>
    </row>
    <row r="157" spans="1:41" ht="14.45" customHeight="1" x14ac:dyDescent="0.25">
      <c r="A157" s="44"/>
      <c r="B157" s="9"/>
      <c r="C157" s="644" t="str">
        <f t="shared" si="3"/>
        <v>FLANCHE PVC 3/4 ECON</v>
      </c>
      <c r="D157" s="644"/>
      <c r="E157" s="644"/>
      <c r="F157" s="644"/>
      <c r="G157" s="644"/>
      <c r="H157" s="689">
        <f t="shared" si="4"/>
        <v>0</v>
      </c>
      <c r="I157" s="689"/>
      <c r="J157" s="678">
        <f t="shared" si="5"/>
        <v>0</v>
      </c>
      <c r="K157" s="678"/>
      <c r="L157" s="689">
        <f t="shared" si="6"/>
        <v>0</v>
      </c>
      <c r="M157" s="689"/>
      <c r="N157" s="675">
        <f t="shared" si="7"/>
        <v>0</v>
      </c>
      <c r="O157" s="676"/>
      <c r="P157" s="689">
        <f t="shared" si="8"/>
        <v>0</v>
      </c>
      <c r="Q157" s="689"/>
      <c r="R157" s="675">
        <f t="shared" si="9"/>
        <v>0</v>
      </c>
      <c r="S157" s="676"/>
      <c r="T157" s="689">
        <f t="shared" si="10"/>
        <v>0</v>
      </c>
      <c r="U157" s="689"/>
      <c r="V157" s="678">
        <f t="shared" si="11"/>
        <v>0</v>
      </c>
      <c r="W157" s="678"/>
      <c r="X157" s="784">
        <f t="shared" si="12"/>
        <v>0</v>
      </c>
      <c r="Y157" s="660"/>
      <c r="Z157" s="661">
        <f t="shared" si="13"/>
        <v>0</v>
      </c>
      <c r="AA157" s="661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14"/>
      <c r="AM157" s="3"/>
      <c r="AN157" s="3"/>
      <c r="AO157" s="3"/>
    </row>
    <row r="158" spans="1:41" ht="14.45" customHeight="1" x14ac:dyDescent="0.25">
      <c r="A158" s="44"/>
      <c r="B158" s="9"/>
      <c r="C158" s="644" t="str">
        <f t="shared" si="3"/>
        <v>UNION PAT A/F 1 1/2 P/P ECON</v>
      </c>
      <c r="D158" s="644"/>
      <c r="E158" s="644"/>
      <c r="F158" s="644"/>
      <c r="G158" s="644"/>
      <c r="H158" s="689">
        <f t="shared" si="4"/>
        <v>0</v>
      </c>
      <c r="I158" s="689"/>
      <c r="J158" s="678">
        <f t="shared" si="5"/>
        <v>0</v>
      </c>
      <c r="K158" s="678"/>
      <c r="L158" s="689">
        <f t="shared" si="6"/>
        <v>0</v>
      </c>
      <c r="M158" s="689"/>
      <c r="N158" s="675">
        <f t="shared" si="7"/>
        <v>0</v>
      </c>
      <c r="O158" s="676"/>
      <c r="P158" s="689">
        <f t="shared" si="8"/>
        <v>0</v>
      </c>
      <c r="Q158" s="689"/>
      <c r="R158" s="675">
        <f t="shared" si="9"/>
        <v>0</v>
      </c>
      <c r="S158" s="676"/>
      <c r="T158" s="689">
        <f t="shared" si="10"/>
        <v>0</v>
      </c>
      <c r="U158" s="689"/>
      <c r="V158" s="678">
        <f t="shared" si="11"/>
        <v>0</v>
      </c>
      <c r="W158" s="678"/>
      <c r="X158" s="784">
        <f t="shared" si="12"/>
        <v>0</v>
      </c>
      <c r="Y158" s="660"/>
      <c r="Z158" s="661">
        <f t="shared" si="13"/>
        <v>0</v>
      </c>
      <c r="AA158" s="661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14"/>
      <c r="AM158" s="3"/>
      <c r="AN158" s="3"/>
      <c r="AO158" s="3"/>
    </row>
    <row r="159" spans="1:41" ht="14.45" customHeight="1" x14ac:dyDescent="0.25">
      <c r="A159" s="44"/>
      <c r="B159" s="9"/>
      <c r="C159" s="644" t="str">
        <f t="shared" si="3"/>
        <v>UNION PAT A/F 1/2 P/P ECON</v>
      </c>
      <c r="D159" s="644"/>
      <c r="E159" s="644"/>
      <c r="F159" s="644"/>
      <c r="G159" s="644"/>
      <c r="H159" s="689">
        <f t="shared" si="4"/>
        <v>0</v>
      </c>
      <c r="I159" s="689"/>
      <c r="J159" s="678">
        <f t="shared" si="5"/>
        <v>0</v>
      </c>
      <c r="K159" s="678"/>
      <c r="L159" s="689">
        <f t="shared" si="6"/>
        <v>0</v>
      </c>
      <c r="M159" s="689"/>
      <c r="N159" s="675">
        <f t="shared" si="7"/>
        <v>0</v>
      </c>
      <c r="O159" s="676"/>
      <c r="P159" s="689">
        <f t="shared" si="8"/>
        <v>0</v>
      </c>
      <c r="Q159" s="689"/>
      <c r="R159" s="675">
        <f t="shared" si="9"/>
        <v>0</v>
      </c>
      <c r="S159" s="676"/>
      <c r="T159" s="689">
        <f t="shared" si="10"/>
        <v>0</v>
      </c>
      <c r="U159" s="689"/>
      <c r="V159" s="678">
        <f t="shared" si="11"/>
        <v>0</v>
      </c>
      <c r="W159" s="678"/>
      <c r="X159" s="784">
        <f t="shared" si="12"/>
        <v>0</v>
      </c>
      <c r="Y159" s="660"/>
      <c r="Z159" s="661">
        <f t="shared" si="13"/>
        <v>0</v>
      </c>
      <c r="AA159" s="661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14"/>
      <c r="AM159" s="3"/>
      <c r="AN159" s="3"/>
      <c r="AO159" s="3"/>
    </row>
    <row r="160" spans="1:41" ht="14.45" customHeight="1" x14ac:dyDescent="0.25">
      <c r="A160" s="44"/>
      <c r="B160" s="9"/>
      <c r="C160" s="644" t="str">
        <f t="shared" si="3"/>
        <v>TEE A/F 1 1/2 P/P</v>
      </c>
      <c r="D160" s="644"/>
      <c r="E160" s="644"/>
      <c r="F160" s="644"/>
      <c r="G160" s="644"/>
      <c r="H160" s="689">
        <f t="shared" si="4"/>
        <v>0</v>
      </c>
      <c r="I160" s="689"/>
      <c r="J160" s="678">
        <f t="shared" si="5"/>
        <v>0</v>
      </c>
      <c r="K160" s="678"/>
      <c r="L160" s="689">
        <f t="shared" si="6"/>
        <v>0</v>
      </c>
      <c r="M160" s="689"/>
      <c r="N160" s="675">
        <f t="shared" si="7"/>
        <v>0</v>
      </c>
      <c r="O160" s="676"/>
      <c r="P160" s="689">
        <f t="shared" si="8"/>
        <v>0</v>
      </c>
      <c r="Q160" s="689"/>
      <c r="R160" s="675">
        <f t="shared" si="9"/>
        <v>0</v>
      </c>
      <c r="S160" s="676"/>
      <c r="T160" s="689">
        <f t="shared" si="10"/>
        <v>0</v>
      </c>
      <c r="U160" s="689"/>
      <c r="V160" s="678">
        <f t="shared" si="11"/>
        <v>0</v>
      </c>
      <c r="W160" s="678"/>
      <c r="X160" s="784">
        <f t="shared" si="12"/>
        <v>0</v>
      </c>
      <c r="Y160" s="660"/>
      <c r="Z160" s="661">
        <f t="shared" si="13"/>
        <v>0</v>
      </c>
      <c r="AA160" s="661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14"/>
      <c r="AM160" s="3"/>
      <c r="AN160" s="3"/>
      <c r="AO160" s="3"/>
    </row>
    <row r="161" spans="1:41" ht="14.45" customHeight="1" x14ac:dyDescent="0.25">
      <c r="A161" s="44"/>
      <c r="B161" s="9"/>
      <c r="C161" s="644" t="str">
        <f t="shared" si="3"/>
        <v>TEE A/F 2 P/P</v>
      </c>
      <c r="D161" s="644"/>
      <c r="E161" s="644"/>
      <c r="F161" s="644"/>
      <c r="G161" s="644"/>
      <c r="H161" s="689">
        <f t="shared" si="4"/>
        <v>0</v>
      </c>
      <c r="I161" s="689"/>
      <c r="J161" s="678">
        <f t="shared" si="5"/>
        <v>0</v>
      </c>
      <c r="K161" s="678"/>
      <c r="L161" s="689">
        <f t="shared" si="6"/>
        <v>0</v>
      </c>
      <c r="M161" s="689"/>
      <c r="N161" s="675">
        <f t="shared" si="7"/>
        <v>0</v>
      </c>
      <c r="O161" s="676"/>
      <c r="P161" s="689">
        <f t="shared" si="8"/>
        <v>0</v>
      </c>
      <c r="Q161" s="689"/>
      <c r="R161" s="675">
        <f t="shared" si="9"/>
        <v>0</v>
      </c>
      <c r="S161" s="676"/>
      <c r="T161" s="689">
        <f t="shared" si="10"/>
        <v>0</v>
      </c>
      <c r="U161" s="689"/>
      <c r="V161" s="678">
        <f t="shared" si="11"/>
        <v>0</v>
      </c>
      <c r="W161" s="678"/>
      <c r="X161" s="784">
        <f t="shared" si="12"/>
        <v>0</v>
      </c>
      <c r="Y161" s="660"/>
      <c r="Z161" s="661">
        <f t="shared" si="13"/>
        <v>0</v>
      </c>
      <c r="AA161" s="661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14"/>
      <c r="AM161" s="3"/>
      <c r="AN161" s="3"/>
      <c r="AO161" s="3"/>
    </row>
    <row r="162" spans="1:41" ht="14.45" customHeight="1" x14ac:dyDescent="0.25">
      <c r="A162" s="44"/>
      <c r="B162" s="9"/>
      <c r="C162" s="644" t="str">
        <f t="shared" si="3"/>
        <v>BUJE A/F 3/4 X 1/2</v>
      </c>
      <c r="D162" s="644"/>
      <c r="E162" s="644"/>
      <c r="F162" s="644"/>
      <c r="G162" s="644"/>
      <c r="H162" s="689">
        <f t="shared" si="4"/>
        <v>0</v>
      </c>
      <c r="I162" s="689"/>
      <c r="J162" s="678">
        <f t="shared" si="5"/>
        <v>0</v>
      </c>
      <c r="K162" s="678"/>
      <c r="L162" s="689">
        <f t="shared" si="6"/>
        <v>0</v>
      </c>
      <c r="M162" s="689"/>
      <c r="N162" s="675">
        <f t="shared" si="7"/>
        <v>0</v>
      </c>
      <c r="O162" s="676"/>
      <c r="P162" s="689">
        <f t="shared" si="8"/>
        <v>0</v>
      </c>
      <c r="Q162" s="689"/>
      <c r="R162" s="675">
        <f t="shared" si="9"/>
        <v>0</v>
      </c>
      <c r="S162" s="676"/>
      <c r="T162" s="689">
        <f t="shared" si="10"/>
        <v>0</v>
      </c>
      <c r="U162" s="689"/>
      <c r="V162" s="678">
        <f t="shared" si="11"/>
        <v>0</v>
      </c>
      <c r="W162" s="678"/>
      <c r="X162" s="784">
        <f t="shared" si="12"/>
        <v>0</v>
      </c>
      <c r="Y162" s="660"/>
      <c r="Z162" s="661">
        <f t="shared" si="13"/>
        <v>0</v>
      </c>
      <c r="AA162" s="661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14"/>
      <c r="AM162" s="3"/>
      <c r="AN162" s="3"/>
      <c r="AO162" s="3"/>
    </row>
    <row r="163" spans="1:41" ht="14.45" customHeight="1" x14ac:dyDescent="0.25">
      <c r="A163" s="44"/>
      <c r="B163" s="9"/>
      <c r="C163" s="644" t="str">
        <f t="shared" si="3"/>
        <v>BUJE A/F 1 X 3/4</v>
      </c>
      <c r="D163" s="644"/>
      <c r="E163" s="644"/>
      <c r="F163" s="644"/>
      <c r="G163" s="644"/>
      <c r="H163" s="689">
        <f t="shared" si="4"/>
        <v>0</v>
      </c>
      <c r="I163" s="689"/>
      <c r="J163" s="678">
        <f t="shared" si="5"/>
        <v>0</v>
      </c>
      <c r="K163" s="678"/>
      <c r="L163" s="689">
        <f t="shared" si="6"/>
        <v>0</v>
      </c>
      <c r="M163" s="689"/>
      <c r="N163" s="675">
        <f t="shared" si="7"/>
        <v>0</v>
      </c>
      <c r="O163" s="676"/>
      <c r="P163" s="689">
        <f t="shared" si="8"/>
        <v>0</v>
      </c>
      <c r="Q163" s="689"/>
      <c r="R163" s="675">
        <f t="shared" si="9"/>
        <v>0</v>
      </c>
      <c r="S163" s="676"/>
      <c r="T163" s="689">
        <f t="shared" si="10"/>
        <v>0</v>
      </c>
      <c r="U163" s="689"/>
      <c r="V163" s="678">
        <f t="shared" si="11"/>
        <v>0</v>
      </c>
      <c r="W163" s="678"/>
      <c r="X163" s="784">
        <f t="shared" si="12"/>
        <v>0</v>
      </c>
      <c r="Y163" s="660"/>
      <c r="Z163" s="661">
        <f t="shared" si="13"/>
        <v>0</v>
      </c>
      <c r="AA163" s="661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14"/>
      <c r="AM163" s="3"/>
      <c r="AN163" s="3"/>
      <c r="AO163" s="3"/>
    </row>
    <row r="164" spans="1:41" ht="14.45" customHeight="1" x14ac:dyDescent="0.25">
      <c r="A164" s="44"/>
      <c r="B164" s="9"/>
      <c r="C164" s="644" t="str">
        <f t="shared" si="3"/>
        <v>ADAPT HEM A/F 1 1/2</v>
      </c>
      <c r="D164" s="644"/>
      <c r="E164" s="644"/>
      <c r="F164" s="644"/>
      <c r="G164" s="644"/>
      <c r="H164" s="689">
        <f t="shared" si="4"/>
        <v>0</v>
      </c>
      <c r="I164" s="689"/>
      <c r="J164" s="678">
        <f t="shared" si="5"/>
        <v>0</v>
      </c>
      <c r="K164" s="678"/>
      <c r="L164" s="689">
        <f t="shared" si="6"/>
        <v>0</v>
      </c>
      <c r="M164" s="689"/>
      <c r="N164" s="675">
        <f t="shared" si="7"/>
        <v>0</v>
      </c>
      <c r="O164" s="676"/>
      <c r="P164" s="689">
        <f t="shared" si="8"/>
        <v>0</v>
      </c>
      <c r="Q164" s="689"/>
      <c r="R164" s="675">
        <f t="shared" si="9"/>
        <v>0</v>
      </c>
      <c r="S164" s="676"/>
      <c r="T164" s="689">
        <f t="shared" si="10"/>
        <v>0</v>
      </c>
      <c r="U164" s="689"/>
      <c r="V164" s="678">
        <f t="shared" si="11"/>
        <v>0</v>
      </c>
      <c r="W164" s="678"/>
      <c r="X164" s="784">
        <f t="shared" si="12"/>
        <v>0</v>
      </c>
      <c r="Y164" s="660"/>
      <c r="Z164" s="661">
        <f t="shared" si="13"/>
        <v>0</v>
      </c>
      <c r="AA164" s="661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14"/>
      <c r="AM164" s="3"/>
      <c r="AN164" s="3"/>
      <c r="AO164" s="3"/>
    </row>
    <row r="165" spans="1:41" ht="14.45" customHeight="1" x14ac:dyDescent="0.25">
      <c r="A165" s="44"/>
      <c r="B165" s="9"/>
      <c r="C165" s="644" t="str">
        <f t="shared" si="3"/>
        <v>CHECK PVC A/N 4</v>
      </c>
      <c r="D165" s="644"/>
      <c r="E165" s="644"/>
      <c r="F165" s="644"/>
      <c r="G165" s="644"/>
      <c r="H165" s="689">
        <f t="shared" si="4"/>
        <v>0</v>
      </c>
      <c r="I165" s="689"/>
      <c r="J165" s="678">
        <f t="shared" si="5"/>
        <v>0</v>
      </c>
      <c r="K165" s="678"/>
      <c r="L165" s="689">
        <f t="shared" si="6"/>
        <v>0</v>
      </c>
      <c r="M165" s="689"/>
      <c r="N165" s="675">
        <f t="shared" si="7"/>
        <v>0</v>
      </c>
      <c r="O165" s="676"/>
      <c r="P165" s="689">
        <f t="shared" si="8"/>
        <v>0</v>
      </c>
      <c r="Q165" s="689"/>
      <c r="R165" s="675">
        <f t="shared" si="9"/>
        <v>0</v>
      </c>
      <c r="S165" s="676"/>
      <c r="T165" s="689">
        <f t="shared" si="10"/>
        <v>0</v>
      </c>
      <c r="U165" s="689"/>
      <c r="V165" s="678">
        <f t="shared" si="11"/>
        <v>0</v>
      </c>
      <c r="W165" s="678"/>
      <c r="X165" s="784">
        <f t="shared" si="12"/>
        <v>0</v>
      </c>
      <c r="Y165" s="660"/>
      <c r="Z165" s="661">
        <f t="shared" si="13"/>
        <v>0</v>
      </c>
      <c r="AA165" s="661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14"/>
      <c r="AM165" s="3"/>
      <c r="AN165" s="3"/>
      <c r="AO165" s="3"/>
    </row>
    <row r="166" spans="1:41" ht="14.45" customHeight="1" x14ac:dyDescent="0.25">
      <c r="A166" s="44"/>
      <c r="B166" s="9"/>
      <c r="C166" s="644" t="str">
        <f t="shared" si="3"/>
        <v>YEE 2 IMPLAVEN</v>
      </c>
      <c r="D166" s="644"/>
      <c r="E166" s="644"/>
      <c r="F166" s="644"/>
      <c r="G166" s="644"/>
      <c r="H166" s="689">
        <f t="shared" si="4"/>
        <v>0</v>
      </c>
      <c r="I166" s="689"/>
      <c r="J166" s="678">
        <f t="shared" si="5"/>
        <v>0</v>
      </c>
      <c r="K166" s="678"/>
      <c r="L166" s="689">
        <f t="shared" si="6"/>
        <v>0</v>
      </c>
      <c r="M166" s="689"/>
      <c r="N166" s="675">
        <f t="shared" si="7"/>
        <v>0</v>
      </c>
      <c r="O166" s="676"/>
      <c r="P166" s="689">
        <f t="shared" si="8"/>
        <v>0</v>
      </c>
      <c r="Q166" s="689"/>
      <c r="R166" s="675">
        <f t="shared" si="9"/>
        <v>0</v>
      </c>
      <c r="S166" s="676"/>
      <c r="T166" s="689">
        <f t="shared" si="10"/>
        <v>0</v>
      </c>
      <c r="U166" s="689"/>
      <c r="V166" s="678">
        <f t="shared" si="11"/>
        <v>0</v>
      </c>
      <c r="W166" s="678"/>
      <c r="X166" s="784">
        <f t="shared" si="12"/>
        <v>0</v>
      </c>
      <c r="Y166" s="660"/>
      <c r="Z166" s="661">
        <f t="shared" si="13"/>
        <v>0</v>
      </c>
      <c r="AA166" s="661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14"/>
      <c r="AM166" s="3"/>
      <c r="AN166" s="3"/>
      <c r="AO166" s="3"/>
    </row>
    <row r="167" spans="1:41" ht="14.45" customHeight="1" x14ac:dyDescent="0.25">
      <c r="A167" s="44"/>
      <c r="B167" s="9"/>
      <c r="C167" s="644" t="str">
        <f t="shared" si="3"/>
        <v>YEE 3</v>
      </c>
      <c r="D167" s="644"/>
      <c r="E167" s="644"/>
      <c r="F167" s="644"/>
      <c r="G167" s="644"/>
      <c r="H167" s="689">
        <f t="shared" si="4"/>
        <v>0</v>
      </c>
      <c r="I167" s="689"/>
      <c r="J167" s="678">
        <f t="shared" si="5"/>
        <v>0</v>
      </c>
      <c r="K167" s="678"/>
      <c r="L167" s="689">
        <f t="shared" si="6"/>
        <v>0</v>
      </c>
      <c r="M167" s="689"/>
      <c r="N167" s="675">
        <f t="shared" si="7"/>
        <v>0</v>
      </c>
      <c r="O167" s="676"/>
      <c r="P167" s="689">
        <f t="shared" si="8"/>
        <v>0</v>
      </c>
      <c r="Q167" s="689"/>
      <c r="R167" s="675">
        <f t="shared" si="9"/>
        <v>0</v>
      </c>
      <c r="S167" s="676"/>
      <c r="T167" s="689">
        <f t="shared" si="10"/>
        <v>0</v>
      </c>
      <c r="U167" s="689"/>
      <c r="V167" s="678">
        <f t="shared" si="11"/>
        <v>0</v>
      </c>
      <c r="W167" s="678"/>
      <c r="X167" s="784">
        <f t="shared" si="12"/>
        <v>0</v>
      </c>
      <c r="Y167" s="660"/>
      <c r="Z167" s="661">
        <f t="shared" si="13"/>
        <v>0</v>
      </c>
      <c r="AA167" s="661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14"/>
      <c r="AM167" s="3"/>
      <c r="AN167" s="3"/>
      <c r="AO167" s="3"/>
    </row>
    <row r="168" spans="1:41" ht="14.45" customHeight="1" x14ac:dyDescent="0.25">
      <c r="A168" s="44"/>
      <c r="B168" s="9"/>
      <c r="C168" s="644" t="str">
        <f t="shared" si="3"/>
        <v>YEE A/N 4X2</v>
      </c>
      <c r="D168" s="644"/>
      <c r="E168" s="644"/>
      <c r="F168" s="644"/>
      <c r="G168" s="644"/>
      <c r="H168" s="689">
        <f t="shared" si="4"/>
        <v>15</v>
      </c>
      <c r="I168" s="689"/>
      <c r="J168" s="678">
        <f t="shared" si="5"/>
        <v>68.25</v>
      </c>
      <c r="K168" s="678"/>
      <c r="L168" s="689">
        <f t="shared" si="6"/>
        <v>0</v>
      </c>
      <c r="M168" s="689"/>
      <c r="N168" s="675">
        <f t="shared" si="7"/>
        <v>0</v>
      </c>
      <c r="O168" s="676"/>
      <c r="P168" s="689">
        <f t="shared" si="8"/>
        <v>0</v>
      </c>
      <c r="Q168" s="689"/>
      <c r="R168" s="675">
        <f t="shared" si="9"/>
        <v>0</v>
      </c>
      <c r="S168" s="676"/>
      <c r="T168" s="689">
        <f t="shared" si="10"/>
        <v>0</v>
      </c>
      <c r="U168" s="689"/>
      <c r="V168" s="678">
        <f t="shared" si="11"/>
        <v>0</v>
      </c>
      <c r="W168" s="678"/>
      <c r="X168" s="784">
        <f t="shared" si="12"/>
        <v>15</v>
      </c>
      <c r="Y168" s="660"/>
      <c r="Z168" s="661">
        <f t="shared" si="13"/>
        <v>68.25</v>
      </c>
      <c r="AA168" s="661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14"/>
      <c r="AM168" s="3"/>
      <c r="AN168" s="3"/>
      <c r="AO168" s="3"/>
    </row>
    <row r="169" spans="1:41" ht="14.45" customHeight="1" x14ac:dyDescent="0.25">
      <c r="A169" s="44"/>
      <c r="B169" s="9"/>
      <c r="C169" s="644" t="str">
        <f t="shared" si="3"/>
        <v>YEE A/N 4</v>
      </c>
      <c r="D169" s="644"/>
      <c r="E169" s="644"/>
      <c r="F169" s="644"/>
      <c r="G169" s="644"/>
      <c r="H169" s="689">
        <f t="shared" si="4"/>
        <v>15</v>
      </c>
      <c r="I169" s="689"/>
      <c r="J169" s="678">
        <f t="shared" si="5"/>
        <v>88.949999999999989</v>
      </c>
      <c r="K169" s="678"/>
      <c r="L169" s="689">
        <f t="shared" si="6"/>
        <v>0</v>
      </c>
      <c r="M169" s="689"/>
      <c r="N169" s="675">
        <f t="shared" si="7"/>
        <v>0</v>
      </c>
      <c r="O169" s="676"/>
      <c r="P169" s="689">
        <f t="shared" si="8"/>
        <v>0</v>
      </c>
      <c r="Q169" s="689"/>
      <c r="R169" s="675">
        <f t="shared" si="9"/>
        <v>0</v>
      </c>
      <c r="S169" s="676"/>
      <c r="T169" s="689">
        <f t="shared" si="10"/>
        <v>0</v>
      </c>
      <c r="U169" s="689"/>
      <c r="V169" s="678">
        <f t="shared" si="11"/>
        <v>0</v>
      </c>
      <c r="W169" s="678"/>
      <c r="X169" s="784">
        <f t="shared" si="12"/>
        <v>15</v>
      </c>
      <c r="Y169" s="660"/>
      <c r="Z169" s="661">
        <f t="shared" si="13"/>
        <v>88.949999999999989</v>
      </c>
      <c r="AA169" s="661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14"/>
      <c r="AM169" s="3"/>
      <c r="AN169" s="3"/>
      <c r="AO169" s="3"/>
    </row>
    <row r="170" spans="1:41" ht="14.45" customHeight="1" x14ac:dyDescent="0.25">
      <c r="A170" s="44"/>
      <c r="B170" s="9"/>
      <c r="C170" s="644" t="str">
        <f t="shared" si="3"/>
        <v>TEE A/N 2</v>
      </c>
      <c r="D170" s="644"/>
      <c r="E170" s="644"/>
      <c r="F170" s="644"/>
      <c r="G170" s="644"/>
      <c r="H170" s="689">
        <f t="shared" si="4"/>
        <v>0</v>
      </c>
      <c r="I170" s="689"/>
      <c r="J170" s="678">
        <f t="shared" si="5"/>
        <v>0</v>
      </c>
      <c r="K170" s="678"/>
      <c r="L170" s="689">
        <f t="shared" si="6"/>
        <v>0</v>
      </c>
      <c r="M170" s="689"/>
      <c r="N170" s="675">
        <f t="shared" si="7"/>
        <v>0</v>
      </c>
      <c r="O170" s="676"/>
      <c r="P170" s="689">
        <f t="shared" si="8"/>
        <v>0</v>
      </c>
      <c r="Q170" s="689"/>
      <c r="R170" s="675">
        <f t="shared" si="9"/>
        <v>0</v>
      </c>
      <c r="S170" s="676"/>
      <c r="T170" s="689">
        <f t="shared" si="10"/>
        <v>0</v>
      </c>
      <c r="U170" s="689"/>
      <c r="V170" s="678">
        <f t="shared" si="11"/>
        <v>0</v>
      </c>
      <c r="W170" s="678"/>
      <c r="X170" s="784">
        <f t="shared" si="12"/>
        <v>0</v>
      </c>
      <c r="Y170" s="660"/>
      <c r="Z170" s="661">
        <f t="shared" si="13"/>
        <v>0</v>
      </c>
      <c r="AA170" s="661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14"/>
      <c r="AM170" s="3"/>
      <c r="AN170" s="3"/>
      <c r="AO170" s="3"/>
    </row>
    <row r="171" spans="1:41" ht="14.45" customHeight="1" x14ac:dyDescent="0.25">
      <c r="A171" s="44"/>
      <c r="B171" s="9"/>
      <c r="C171" s="644" t="str">
        <f t="shared" ref="C171:C201" si="14">C39</f>
        <v>TEE A/N 3</v>
      </c>
      <c r="D171" s="644"/>
      <c r="E171" s="644"/>
      <c r="F171" s="644"/>
      <c r="G171" s="644"/>
      <c r="H171" s="689">
        <f t="shared" si="4"/>
        <v>0</v>
      </c>
      <c r="I171" s="689"/>
      <c r="J171" s="678">
        <f t="shared" si="5"/>
        <v>0</v>
      </c>
      <c r="K171" s="678"/>
      <c r="L171" s="689">
        <f t="shared" si="6"/>
        <v>0</v>
      </c>
      <c r="M171" s="689"/>
      <c r="N171" s="675">
        <f t="shared" si="7"/>
        <v>0</v>
      </c>
      <c r="O171" s="676"/>
      <c r="P171" s="689">
        <f t="shared" si="8"/>
        <v>0</v>
      </c>
      <c r="Q171" s="689"/>
      <c r="R171" s="675">
        <f t="shared" si="9"/>
        <v>0</v>
      </c>
      <c r="S171" s="676"/>
      <c r="T171" s="689">
        <f t="shared" si="10"/>
        <v>0</v>
      </c>
      <c r="U171" s="689"/>
      <c r="V171" s="678">
        <f t="shared" si="11"/>
        <v>0</v>
      </c>
      <c r="W171" s="678"/>
      <c r="X171" s="784">
        <f t="shared" si="12"/>
        <v>0</v>
      </c>
      <c r="Y171" s="660"/>
      <c r="Z171" s="661">
        <f t="shared" si="13"/>
        <v>0</v>
      </c>
      <c r="AA171" s="661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14"/>
      <c r="AM171" s="3"/>
      <c r="AN171" s="3"/>
      <c r="AO171" s="3"/>
    </row>
    <row r="172" spans="1:41" ht="14.45" customHeight="1" x14ac:dyDescent="0.25">
      <c r="A172" s="44"/>
      <c r="B172" s="9"/>
      <c r="C172" s="644" t="str">
        <f t="shared" si="14"/>
        <v>TEE A/N 4</v>
      </c>
      <c r="D172" s="644"/>
      <c r="E172" s="644"/>
      <c r="F172" s="644"/>
      <c r="G172" s="644"/>
      <c r="H172" s="689">
        <f t="shared" ref="H172:H201" si="15">L40</f>
        <v>10</v>
      </c>
      <c r="I172" s="689"/>
      <c r="J172" s="678">
        <f t="shared" ref="J172:J201" si="16">M40</f>
        <v>55.4</v>
      </c>
      <c r="K172" s="678"/>
      <c r="L172" s="689">
        <f t="shared" ref="L172:L201" si="17">BI40+CB40+CT40+DN40</f>
        <v>0</v>
      </c>
      <c r="M172" s="689"/>
      <c r="N172" s="675">
        <f t="shared" ref="N172:N201" si="18">BJ40+CC40+CU40+DO40</f>
        <v>0</v>
      </c>
      <c r="O172" s="676"/>
      <c r="P172" s="689">
        <f t="shared" ref="P172:P201" si="19">EH40+FM40</f>
        <v>0</v>
      </c>
      <c r="Q172" s="689"/>
      <c r="R172" s="675">
        <f t="shared" ref="R172:R201" si="20">EI40+FN40</f>
        <v>0</v>
      </c>
      <c r="S172" s="676"/>
      <c r="T172" s="689">
        <f t="shared" ref="T172:T201" si="21">GJ40+HE40+HP40+IA40</f>
        <v>0</v>
      </c>
      <c r="U172" s="689"/>
      <c r="V172" s="678">
        <f t="shared" ref="V172:V201" si="22">GK40+HF40+HQ40+IB40</f>
        <v>0</v>
      </c>
      <c r="W172" s="678"/>
      <c r="X172" s="784">
        <f t="shared" si="12"/>
        <v>10</v>
      </c>
      <c r="Y172" s="660"/>
      <c r="Z172" s="661">
        <f t="shared" si="13"/>
        <v>55.4</v>
      </c>
      <c r="AA172" s="661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14"/>
      <c r="AM172" s="3"/>
      <c r="AN172" s="3"/>
      <c r="AO172" s="3"/>
    </row>
    <row r="173" spans="1:41" ht="14.45" customHeight="1" x14ac:dyDescent="0.25">
      <c r="A173" s="44"/>
      <c r="B173" s="9"/>
      <c r="C173" s="644" t="str">
        <f t="shared" si="14"/>
        <v>TEE A/N 4X2</v>
      </c>
      <c r="D173" s="644"/>
      <c r="E173" s="644"/>
      <c r="F173" s="644"/>
      <c r="G173" s="644"/>
      <c r="H173" s="689">
        <f t="shared" si="15"/>
        <v>10</v>
      </c>
      <c r="I173" s="689"/>
      <c r="J173" s="678">
        <f t="shared" si="16"/>
        <v>38.1</v>
      </c>
      <c r="K173" s="678"/>
      <c r="L173" s="689">
        <f t="shared" si="17"/>
        <v>0</v>
      </c>
      <c r="M173" s="689"/>
      <c r="N173" s="675">
        <f t="shared" si="18"/>
        <v>0</v>
      </c>
      <c r="O173" s="676"/>
      <c r="P173" s="689">
        <f t="shared" si="19"/>
        <v>0</v>
      </c>
      <c r="Q173" s="689"/>
      <c r="R173" s="675">
        <f t="shared" si="20"/>
        <v>0</v>
      </c>
      <c r="S173" s="676"/>
      <c r="T173" s="689">
        <f t="shared" si="21"/>
        <v>0</v>
      </c>
      <c r="U173" s="689"/>
      <c r="V173" s="678">
        <f t="shared" si="22"/>
        <v>0</v>
      </c>
      <c r="W173" s="678"/>
      <c r="X173" s="784">
        <f t="shared" si="12"/>
        <v>10</v>
      </c>
      <c r="Y173" s="660"/>
      <c r="Z173" s="661">
        <f t="shared" si="13"/>
        <v>38.1</v>
      </c>
      <c r="AA173" s="661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14"/>
      <c r="AM173" s="3"/>
      <c r="AN173" s="3"/>
      <c r="AO173" s="3"/>
    </row>
    <row r="174" spans="1:41" ht="14.45" customHeight="1" x14ac:dyDescent="0.25">
      <c r="A174" s="44"/>
      <c r="B174" s="9"/>
      <c r="C174" s="644" t="str">
        <f t="shared" si="14"/>
        <v>TEE 3X2 UNIPLAST</v>
      </c>
      <c r="D174" s="644"/>
      <c r="E174" s="644"/>
      <c r="F174" s="644"/>
      <c r="G174" s="644"/>
      <c r="H174" s="689">
        <f t="shared" si="15"/>
        <v>0</v>
      </c>
      <c r="I174" s="689"/>
      <c r="J174" s="678">
        <f t="shared" si="16"/>
        <v>0</v>
      </c>
      <c r="K174" s="678"/>
      <c r="L174" s="689">
        <f t="shared" si="17"/>
        <v>0</v>
      </c>
      <c r="M174" s="689"/>
      <c r="N174" s="675">
        <f t="shared" si="18"/>
        <v>0</v>
      </c>
      <c r="O174" s="676"/>
      <c r="P174" s="689">
        <f t="shared" si="19"/>
        <v>0</v>
      </c>
      <c r="Q174" s="689"/>
      <c r="R174" s="675">
        <f t="shared" si="20"/>
        <v>0</v>
      </c>
      <c r="S174" s="676"/>
      <c r="T174" s="689">
        <f t="shared" si="21"/>
        <v>0</v>
      </c>
      <c r="U174" s="689"/>
      <c r="V174" s="678">
        <f t="shared" si="22"/>
        <v>0</v>
      </c>
      <c r="W174" s="678"/>
      <c r="X174" s="784">
        <f t="shared" si="12"/>
        <v>0</v>
      </c>
      <c r="Y174" s="660"/>
      <c r="Z174" s="661">
        <f t="shared" si="13"/>
        <v>0</v>
      </c>
      <c r="AA174" s="661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14"/>
      <c r="AM174" s="3"/>
      <c r="AN174" s="3"/>
      <c r="AO174" s="3"/>
    </row>
    <row r="175" spans="1:41" ht="14.45" customHeight="1" x14ac:dyDescent="0.25">
      <c r="A175" s="44"/>
      <c r="B175" s="9"/>
      <c r="C175" s="644" t="str">
        <f t="shared" si="14"/>
        <v>TEE 4X3 PAVCO</v>
      </c>
      <c r="D175" s="644"/>
      <c r="E175" s="644"/>
      <c r="F175" s="644"/>
      <c r="G175" s="644"/>
      <c r="H175" s="689">
        <f t="shared" si="15"/>
        <v>0</v>
      </c>
      <c r="I175" s="689"/>
      <c r="J175" s="678">
        <f t="shared" si="16"/>
        <v>0</v>
      </c>
      <c r="K175" s="678"/>
      <c r="L175" s="689">
        <f t="shared" si="17"/>
        <v>0</v>
      </c>
      <c r="M175" s="689"/>
      <c r="N175" s="675">
        <f t="shared" si="18"/>
        <v>0</v>
      </c>
      <c r="O175" s="676"/>
      <c r="P175" s="689">
        <f t="shared" si="19"/>
        <v>0</v>
      </c>
      <c r="Q175" s="689"/>
      <c r="R175" s="675">
        <f t="shared" si="20"/>
        <v>0</v>
      </c>
      <c r="S175" s="676"/>
      <c r="T175" s="689">
        <f t="shared" si="21"/>
        <v>0</v>
      </c>
      <c r="U175" s="689"/>
      <c r="V175" s="678">
        <f t="shared" si="22"/>
        <v>0</v>
      </c>
      <c r="W175" s="678"/>
      <c r="X175" s="784">
        <f t="shared" si="12"/>
        <v>0</v>
      </c>
      <c r="Y175" s="660"/>
      <c r="Z175" s="661">
        <f t="shared" si="13"/>
        <v>0</v>
      </c>
      <c r="AA175" s="661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14"/>
      <c r="AM175" s="3"/>
      <c r="AN175" s="3"/>
      <c r="AO175" s="3"/>
    </row>
    <row r="176" spans="1:41" ht="14.45" customHeight="1" x14ac:dyDescent="0.25">
      <c r="A176" s="44"/>
      <c r="B176" s="9"/>
      <c r="C176" s="644" t="str">
        <f t="shared" si="14"/>
        <v>TAPA A/N 2 REGISTRO</v>
      </c>
      <c r="D176" s="644"/>
      <c r="E176" s="644"/>
      <c r="F176" s="644"/>
      <c r="G176" s="644"/>
      <c r="H176" s="689">
        <f t="shared" si="15"/>
        <v>0</v>
      </c>
      <c r="I176" s="689"/>
      <c r="J176" s="678">
        <f t="shared" si="16"/>
        <v>0</v>
      </c>
      <c r="K176" s="678"/>
      <c r="L176" s="689">
        <f t="shared" si="17"/>
        <v>0</v>
      </c>
      <c r="M176" s="689"/>
      <c r="N176" s="675">
        <f t="shared" si="18"/>
        <v>0</v>
      </c>
      <c r="O176" s="676"/>
      <c r="P176" s="689">
        <f t="shared" si="19"/>
        <v>0</v>
      </c>
      <c r="Q176" s="689"/>
      <c r="R176" s="675">
        <f t="shared" si="20"/>
        <v>0</v>
      </c>
      <c r="S176" s="676"/>
      <c r="T176" s="689">
        <f t="shared" si="21"/>
        <v>0</v>
      </c>
      <c r="U176" s="689"/>
      <c r="V176" s="678">
        <f t="shared" si="22"/>
        <v>0</v>
      </c>
      <c r="W176" s="678"/>
      <c r="X176" s="784">
        <f t="shared" si="12"/>
        <v>0</v>
      </c>
      <c r="Y176" s="660"/>
      <c r="Z176" s="661">
        <f t="shared" si="13"/>
        <v>0</v>
      </c>
      <c r="AA176" s="661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14"/>
      <c r="AM176" s="3"/>
      <c r="AN176" s="3"/>
      <c r="AO176" s="3"/>
    </row>
    <row r="177" spans="1:41" ht="14.45" customHeight="1" x14ac:dyDescent="0.25">
      <c r="A177" s="44"/>
      <c r="B177" s="9"/>
      <c r="C177" s="644" t="str">
        <f t="shared" si="14"/>
        <v>TAPA A/N 3 REGISTRO</v>
      </c>
      <c r="D177" s="644"/>
      <c r="E177" s="644"/>
      <c r="F177" s="644"/>
      <c r="G177" s="644"/>
      <c r="H177" s="689">
        <f t="shared" si="15"/>
        <v>0</v>
      </c>
      <c r="I177" s="689"/>
      <c r="J177" s="678">
        <f t="shared" si="16"/>
        <v>0</v>
      </c>
      <c r="K177" s="678"/>
      <c r="L177" s="689">
        <f t="shared" si="17"/>
        <v>0</v>
      </c>
      <c r="M177" s="689"/>
      <c r="N177" s="675">
        <f t="shared" si="18"/>
        <v>0</v>
      </c>
      <c r="O177" s="676"/>
      <c r="P177" s="689">
        <f t="shared" si="19"/>
        <v>0</v>
      </c>
      <c r="Q177" s="689"/>
      <c r="R177" s="675">
        <f t="shared" si="20"/>
        <v>0</v>
      </c>
      <c r="S177" s="676"/>
      <c r="T177" s="689">
        <f t="shared" si="21"/>
        <v>0</v>
      </c>
      <c r="U177" s="689"/>
      <c r="V177" s="678">
        <f t="shared" si="22"/>
        <v>0</v>
      </c>
      <c r="W177" s="678"/>
      <c r="X177" s="784">
        <f t="shared" si="12"/>
        <v>0</v>
      </c>
      <c r="Y177" s="660"/>
      <c r="Z177" s="661">
        <f t="shared" si="13"/>
        <v>0</v>
      </c>
      <c r="AA177" s="661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14"/>
      <c r="AM177" s="3"/>
      <c r="AN177" s="3"/>
      <c r="AO177" s="3"/>
    </row>
    <row r="178" spans="1:41" ht="14.45" customHeight="1" x14ac:dyDescent="0.25">
      <c r="A178" s="44"/>
      <c r="B178" s="9"/>
      <c r="C178" s="644" t="str">
        <f t="shared" si="14"/>
        <v>ANILLO A/N 2</v>
      </c>
      <c r="D178" s="644"/>
      <c r="E178" s="644"/>
      <c r="F178" s="644"/>
      <c r="G178" s="644"/>
      <c r="H178" s="689">
        <f t="shared" si="15"/>
        <v>0</v>
      </c>
      <c r="I178" s="689"/>
      <c r="J178" s="678">
        <f t="shared" si="16"/>
        <v>0</v>
      </c>
      <c r="K178" s="678"/>
      <c r="L178" s="689">
        <f t="shared" si="17"/>
        <v>0</v>
      </c>
      <c r="M178" s="689"/>
      <c r="N178" s="675">
        <f t="shared" si="18"/>
        <v>0</v>
      </c>
      <c r="O178" s="676"/>
      <c r="P178" s="689">
        <f t="shared" si="19"/>
        <v>0</v>
      </c>
      <c r="Q178" s="689"/>
      <c r="R178" s="675">
        <f t="shared" si="20"/>
        <v>0</v>
      </c>
      <c r="S178" s="676"/>
      <c r="T178" s="689">
        <f t="shared" si="21"/>
        <v>0</v>
      </c>
      <c r="U178" s="689"/>
      <c r="V178" s="678">
        <f t="shared" si="22"/>
        <v>0</v>
      </c>
      <c r="W178" s="678"/>
      <c r="X178" s="784">
        <f t="shared" si="12"/>
        <v>0</v>
      </c>
      <c r="Y178" s="660"/>
      <c r="Z178" s="661">
        <f t="shared" si="13"/>
        <v>0</v>
      </c>
      <c r="AA178" s="661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14"/>
      <c r="AM178" s="3"/>
      <c r="AN178" s="3"/>
      <c r="AO178" s="3"/>
    </row>
    <row r="179" spans="1:41" ht="14.45" customHeight="1" x14ac:dyDescent="0.25">
      <c r="A179" s="44"/>
      <c r="B179" s="9"/>
      <c r="C179" s="644" t="str">
        <f t="shared" si="14"/>
        <v>RED A/N 3X2</v>
      </c>
      <c r="D179" s="644"/>
      <c r="E179" s="644"/>
      <c r="F179" s="644"/>
      <c r="G179" s="644"/>
      <c r="H179" s="689">
        <f t="shared" si="15"/>
        <v>0</v>
      </c>
      <c r="I179" s="689"/>
      <c r="J179" s="678">
        <f t="shared" si="16"/>
        <v>0</v>
      </c>
      <c r="K179" s="678"/>
      <c r="L179" s="689">
        <f t="shared" si="17"/>
        <v>0</v>
      </c>
      <c r="M179" s="689"/>
      <c r="N179" s="675">
        <f t="shared" si="18"/>
        <v>0</v>
      </c>
      <c r="O179" s="676"/>
      <c r="P179" s="689">
        <f t="shared" si="19"/>
        <v>0</v>
      </c>
      <c r="Q179" s="689"/>
      <c r="R179" s="675">
        <f t="shared" si="20"/>
        <v>0</v>
      </c>
      <c r="S179" s="676"/>
      <c r="T179" s="689">
        <f t="shared" si="21"/>
        <v>0</v>
      </c>
      <c r="U179" s="689"/>
      <c r="V179" s="678">
        <f t="shared" si="22"/>
        <v>0</v>
      </c>
      <c r="W179" s="678"/>
      <c r="X179" s="784">
        <f t="shared" si="12"/>
        <v>0</v>
      </c>
      <c r="Y179" s="660"/>
      <c r="Z179" s="661">
        <f t="shared" si="13"/>
        <v>0</v>
      </c>
      <c r="AA179" s="661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14"/>
      <c r="AM179" s="3"/>
      <c r="AN179" s="3"/>
      <c r="AO179" s="3"/>
    </row>
    <row r="180" spans="1:41" ht="14.45" customHeight="1" x14ac:dyDescent="0.25">
      <c r="A180" s="44"/>
      <c r="B180" s="9"/>
      <c r="C180" s="644" t="str">
        <f t="shared" si="14"/>
        <v>CODO 3X45 TUBRICA</v>
      </c>
      <c r="D180" s="644"/>
      <c r="E180" s="644"/>
      <c r="F180" s="644"/>
      <c r="G180" s="644"/>
      <c r="H180" s="689">
        <f t="shared" si="15"/>
        <v>0</v>
      </c>
      <c r="I180" s="689"/>
      <c r="J180" s="678">
        <f t="shared" si="16"/>
        <v>0</v>
      </c>
      <c r="K180" s="678"/>
      <c r="L180" s="689">
        <f t="shared" si="17"/>
        <v>0</v>
      </c>
      <c r="M180" s="689"/>
      <c r="N180" s="675">
        <f t="shared" si="18"/>
        <v>0</v>
      </c>
      <c r="O180" s="676"/>
      <c r="P180" s="689">
        <f t="shared" si="19"/>
        <v>0</v>
      </c>
      <c r="Q180" s="689"/>
      <c r="R180" s="675">
        <f t="shared" si="20"/>
        <v>0</v>
      </c>
      <c r="S180" s="676"/>
      <c r="T180" s="689">
        <f t="shared" si="21"/>
        <v>0</v>
      </c>
      <c r="U180" s="689"/>
      <c r="V180" s="678">
        <f t="shared" si="22"/>
        <v>0</v>
      </c>
      <c r="W180" s="678"/>
      <c r="X180" s="784">
        <f t="shared" si="12"/>
        <v>0</v>
      </c>
      <c r="Y180" s="660"/>
      <c r="Z180" s="661">
        <f t="shared" si="13"/>
        <v>0</v>
      </c>
      <c r="AA180" s="661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14"/>
      <c r="AM180" s="3"/>
      <c r="AN180" s="3"/>
      <c r="AO180" s="3"/>
    </row>
    <row r="181" spans="1:41" ht="14.45" customHeight="1" x14ac:dyDescent="0.25">
      <c r="A181" s="44"/>
      <c r="B181" s="9"/>
      <c r="C181" s="644" t="str">
        <f t="shared" si="14"/>
        <v>CODO 4X45 BETAPLAST</v>
      </c>
      <c r="D181" s="644"/>
      <c r="E181" s="644"/>
      <c r="F181" s="644"/>
      <c r="G181" s="644"/>
      <c r="H181" s="689">
        <f t="shared" si="15"/>
        <v>0</v>
      </c>
      <c r="I181" s="689"/>
      <c r="J181" s="678">
        <f t="shared" si="16"/>
        <v>0</v>
      </c>
      <c r="K181" s="678"/>
      <c r="L181" s="689">
        <f t="shared" si="17"/>
        <v>0</v>
      </c>
      <c r="M181" s="689"/>
      <c r="N181" s="675">
        <f t="shared" si="18"/>
        <v>0</v>
      </c>
      <c r="O181" s="676"/>
      <c r="P181" s="689">
        <f t="shared" si="19"/>
        <v>0</v>
      </c>
      <c r="Q181" s="689"/>
      <c r="R181" s="675">
        <f t="shared" si="20"/>
        <v>0</v>
      </c>
      <c r="S181" s="676"/>
      <c r="T181" s="689">
        <f t="shared" si="21"/>
        <v>0</v>
      </c>
      <c r="U181" s="689"/>
      <c r="V181" s="678">
        <f t="shared" si="22"/>
        <v>0</v>
      </c>
      <c r="W181" s="678"/>
      <c r="X181" s="784">
        <f t="shared" si="12"/>
        <v>0</v>
      </c>
      <c r="Y181" s="660"/>
      <c r="Z181" s="661">
        <f t="shared" si="13"/>
        <v>0</v>
      </c>
      <c r="AA181" s="661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14"/>
      <c r="AM181" s="3"/>
      <c r="AN181" s="3"/>
      <c r="AO181" s="3"/>
    </row>
    <row r="182" spans="1:41" ht="14.45" customHeight="1" x14ac:dyDescent="0.25">
      <c r="A182" s="44"/>
      <c r="B182" s="9"/>
      <c r="C182" s="644" t="str">
        <f t="shared" si="14"/>
        <v>CODO 4X90</v>
      </c>
      <c r="D182" s="644"/>
      <c r="E182" s="644"/>
      <c r="F182" s="644"/>
      <c r="G182" s="644"/>
      <c r="H182" s="689">
        <f t="shared" si="15"/>
        <v>0</v>
      </c>
      <c r="I182" s="689"/>
      <c r="J182" s="678">
        <f t="shared" si="16"/>
        <v>0</v>
      </c>
      <c r="K182" s="678"/>
      <c r="L182" s="689">
        <f t="shared" si="17"/>
        <v>0</v>
      </c>
      <c r="M182" s="689"/>
      <c r="N182" s="675">
        <f t="shared" si="18"/>
        <v>0</v>
      </c>
      <c r="O182" s="676"/>
      <c r="P182" s="689">
        <f t="shared" si="19"/>
        <v>0</v>
      </c>
      <c r="Q182" s="689"/>
      <c r="R182" s="675">
        <f t="shared" si="20"/>
        <v>0</v>
      </c>
      <c r="S182" s="676"/>
      <c r="T182" s="689">
        <f t="shared" si="21"/>
        <v>0</v>
      </c>
      <c r="U182" s="689"/>
      <c r="V182" s="678">
        <f t="shared" si="22"/>
        <v>0</v>
      </c>
      <c r="W182" s="678"/>
      <c r="X182" s="784">
        <f t="shared" si="12"/>
        <v>0</v>
      </c>
      <c r="Y182" s="660"/>
      <c r="Z182" s="661">
        <f t="shared" si="13"/>
        <v>0</v>
      </c>
      <c r="AA182" s="661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14"/>
      <c r="AM182" s="3"/>
      <c r="AN182" s="3"/>
      <c r="AO182" s="3"/>
    </row>
    <row r="183" spans="1:41" ht="14.45" customHeight="1" x14ac:dyDescent="0.25">
      <c r="A183" s="44"/>
      <c r="B183" s="9"/>
      <c r="C183" s="644" t="str">
        <f t="shared" si="14"/>
        <v>SIFON COMPLETO 2"</v>
      </c>
      <c r="D183" s="644"/>
      <c r="E183" s="644"/>
      <c r="F183" s="644"/>
      <c r="G183" s="644"/>
      <c r="H183" s="689">
        <f t="shared" si="15"/>
        <v>0</v>
      </c>
      <c r="I183" s="689"/>
      <c r="J183" s="678">
        <f t="shared" si="16"/>
        <v>0</v>
      </c>
      <c r="K183" s="678"/>
      <c r="L183" s="689">
        <f t="shared" si="17"/>
        <v>0</v>
      </c>
      <c r="M183" s="689"/>
      <c r="N183" s="675">
        <f t="shared" si="18"/>
        <v>0</v>
      </c>
      <c r="O183" s="676"/>
      <c r="P183" s="689">
        <f t="shared" si="19"/>
        <v>0</v>
      </c>
      <c r="Q183" s="689"/>
      <c r="R183" s="675">
        <f t="shared" si="20"/>
        <v>0</v>
      </c>
      <c r="S183" s="676"/>
      <c r="T183" s="689">
        <f t="shared" si="21"/>
        <v>0</v>
      </c>
      <c r="U183" s="689"/>
      <c r="V183" s="678">
        <f t="shared" si="22"/>
        <v>0</v>
      </c>
      <c r="W183" s="678"/>
      <c r="X183" s="784">
        <f t="shared" si="12"/>
        <v>0</v>
      </c>
      <c r="Y183" s="660"/>
      <c r="Z183" s="661">
        <f t="shared" si="13"/>
        <v>0</v>
      </c>
      <c r="AA183" s="661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14"/>
      <c r="AM183" s="3"/>
      <c r="AN183" s="3"/>
      <c r="AO183" s="3"/>
    </row>
    <row r="184" spans="1:41" ht="14.45" customHeight="1" x14ac:dyDescent="0.25">
      <c r="A184" s="44"/>
      <c r="B184" s="9"/>
      <c r="C184" s="644" t="str">
        <f t="shared" si="14"/>
        <v>SIFON 4 COMPLETO BETAPLAST</v>
      </c>
      <c r="D184" s="644"/>
      <c r="E184" s="644"/>
      <c r="F184" s="644"/>
      <c r="G184" s="644"/>
      <c r="H184" s="689">
        <f t="shared" si="15"/>
        <v>0</v>
      </c>
      <c r="I184" s="689"/>
      <c r="J184" s="678">
        <f t="shared" si="16"/>
        <v>0</v>
      </c>
      <c r="K184" s="678"/>
      <c r="L184" s="689">
        <f t="shared" si="17"/>
        <v>0</v>
      </c>
      <c r="M184" s="689"/>
      <c r="N184" s="675">
        <f t="shared" si="18"/>
        <v>0</v>
      </c>
      <c r="O184" s="676"/>
      <c r="P184" s="689">
        <f t="shared" si="19"/>
        <v>0</v>
      </c>
      <c r="Q184" s="689"/>
      <c r="R184" s="675">
        <f t="shared" si="20"/>
        <v>0</v>
      </c>
      <c r="S184" s="676"/>
      <c r="T184" s="689">
        <f t="shared" si="21"/>
        <v>0</v>
      </c>
      <c r="U184" s="689"/>
      <c r="V184" s="678">
        <f t="shared" si="22"/>
        <v>0</v>
      </c>
      <c r="W184" s="678"/>
      <c r="X184" s="784">
        <f t="shared" si="12"/>
        <v>0</v>
      </c>
      <c r="Y184" s="660"/>
      <c r="Z184" s="661">
        <f t="shared" si="13"/>
        <v>0</v>
      </c>
      <c r="AA184" s="661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14"/>
      <c r="AM184" s="3"/>
      <c r="AN184" s="3"/>
      <c r="AO184" s="3"/>
    </row>
    <row r="185" spans="1:41" ht="14.45" customHeight="1" x14ac:dyDescent="0.25">
      <c r="A185" s="44"/>
      <c r="B185" s="9"/>
      <c r="C185" s="644" t="str">
        <f t="shared" si="14"/>
        <v>SIFON CORTO 3" DERIVADO</v>
      </c>
      <c r="D185" s="644"/>
      <c r="E185" s="644"/>
      <c r="F185" s="644"/>
      <c r="G185" s="644"/>
      <c r="H185" s="689">
        <f t="shared" si="15"/>
        <v>0</v>
      </c>
      <c r="I185" s="689"/>
      <c r="J185" s="678">
        <f t="shared" si="16"/>
        <v>0</v>
      </c>
      <c r="K185" s="678"/>
      <c r="L185" s="689">
        <f t="shared" si="17"/>
        <v>0</v>
      </c>
      <c r="M185" s="689"/>
      <c r="N185" s="675">
        <f t="shared" si="18"/>
        <v>0</v>
      </c>
      <c r="O185" s="676"/>
      <c r="P185" s="689">
        <f t="shared" si="19"/>
        <v>0</v>
      </c>
      <c r="Q185" s="689"/>
      <c r="R185" s="675">
        <f t="shared" si="20"/>
        <v>0</v>
      </c>
      <c r="S185" s="676"/>
      <c r="T185" s="689">
        <f t="shared" si="21"/>
        <v>0</v>
      </c>
      <c r="U185" s="689"/>
      <c r="V185" s="678">
        <f t="shared" si="22"/>
        <v>0</v>
      </c>
      <c r="W185" s="678"/>
      <c r="X185" s="784">
        <f t="shared" si="12"/>
        <v>0</v>
      </c>
      <c r="Y185" s="660"/>
      <c r="Z185" s="661">
        <f t="shared" si="13"/>
        <v>0</v>
      </c>
      <c r="AA185" s="661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14"/>
      <c r="AM185" s="3"/>
      <c r="AN185" s="3"/>
      <c r="AO185" s="3"/>
    </row>
    <row r="186" spans="1:41" ht="14.45" customHeight="1" x14ac:dyDescent="0.25">
      <c r="A186" s="44"/>
      <c r="B186" s="9"/>
      <c r="C186" s="644" t="str">
        <f t="shared" si="14"/>
        <v>SIFON 4 CORTO DERIVADOS</v>
      </c>
      <c r="D186" s="644"/>
      <c r="E186" s="644"/>
      <c r="F186" s="644"/>
      <c r="G186" s="644"/>
      <c r="H186" s="689">
        <f t="shared" si="15"/>
        <v>0</v>
      </c>
      <c r="I186" s="689"/>
      <c r="J186" s="678">
        <f t="shared" si="16"/>
        <v>0</v>
      </c>
      <c r="K186" s="678"/>
      <c r="L186" s="689">
        <f t="shared" si="17"/>
        <v>0</v>
      </c>
      <c r="M186" s="689"/>
      <c r="N186" s="675">
        <f t="shared" si="18"/>
        <v>0</v>
      </c>
      <c r="O186" s="676"/>
      <c r="P186" s="689">
        <f t="shared" si="19"/>
        <v>0</v>
      </c>
      <c r="Q186" s="689"/>
      <c r="R186" s="675">
        <f t="shared" si="20"/>
        <v>0</v>
      </c>
      <c r="S186" s="676"/>
      <c r="T186" s="689">
        <f t="shared" si="21"/>
        <v>0</v>
      </c>
      <c r="U186" s="689"/>
      <c r="V186" s="678">
        <f t="shared" si="22"/>
        <v>0</v>
      </c>
      <c r="W186" s="678"/>
      <c r="X186" s="784">
        <f t="shared" si="12"/>
        <v>0</v>
      </c>
      <c r="Y186" s="660"/>
      <c r="Z186" s="661">
        <f t="shared" si="13"/>
        <v>0</v>
      </c>
      <c r="AA186" s="661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14"/>
      <c r="AM186" s="8"/>
      <c r="AN186" s="8"/>
      <c r="AO186" s="8"/>
    </row>
    <row r="187" spans="1:41" ht="14.45" customHeight="1" x14ac:dyDescent="0.25">
      <c r="A187" s="44"/>
      <c r="B187" s="9"/>
      <c r="C187" s="644" t="str">
        <f t="shared" si="14"/>
        <v>MANG 1/2 X 5/8 PLAST ECON</v>
      </c>
      <c r="D187" s="644"/>
      <c r="E187" s="644"/>
      <c r="F187" s="644"/>
      <c r="G187" s="644"/>
      <c r="H187" s="689">
        <f t="shared" si="15"/>
        <v>0</v>
      </c>
      <c r="I187" s="689"/>
      <c r="J187" s="678">
        <f t="shared" si="16"/>
        <v>0</v>
      </c>
      <c r="K187" s="678"/>
      <c r="L187" s="689">
        <f t="shared" si="17"/>
        <v>0</v>
      </c>
      <c r="M187" s="689"/>
      <c r="N187" s="675">
        <f t="shared" si="18"/>
        <v>0</v>
      </c>
      <c r="O187" s="676"/>
      <c r="P187" s="689">
        <f t="shared" si="19"/>
        <v>0</v>
      </c>
      <c r="Q187" s="689"/>
      <c r="R187" s="675">
        <f t="shared" si="20"/>
        <v>0</v>
      </c>
      <c r="S187" s="676"/>
      <c r="T187" s="689">
        <f t="shared" si="21"/>
        <v>0</v>
      </c>
      <c r="U187" s="689"/>
      <c r="V187" s="678">
        <f t="shared" si="22"/>
        <v>0</v>
      </c>
      <c r="W187" s="678"/>
      <c r="X187" s="784">
        <f t="shared" si="12"/>
        <v>0</v>
      </c>
      <c r="Y187" s="660"/>
      <c r="Z187" s="661">
        <f t="shared" si="13"/>
        <v>0</v>
      </c>
      <c r="AA187" s="661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14"/>
      <c r="AM187" s="8"/>
      <c r="AN187" s="8"/>
      <c r="AO187" s="8"/>
    </row>
    <row r="188" spans="1:41" ht="14.45" customHeight="1" x14ac:dyDescent="0.25">
      <c r="A188" s="44"/>
      <c r="B188" s="9"/>
      <c r="C188" s="644" t="str">
        <f t="shared" si="14"/>
        <v>MANG 1/2 X 1/2 PLAST ECON</v>
      </c>
      <c r="D188" s="644"/>
      <c r="E188" s="644"/>
      <c r="F188" s="644"/>
      <c r="G188" s="644"/>
      <c r="H188" s="689">
        <f t="shared" si="15"/>
        <v>0</v>
      </c>
      <c r="I188" s="689"/>
      <c r="J188" s="678">
        <f t="shared" si="16"/>
        <v>0</v>
      </c>
      <c r="K188" s="678"/>
      <c r="L188" s="689">
        <f t="shared" si="17"/>
        <v>0</v>
      </c>
      <c r="M188" s="689"/>
      <c r="N188" s="675">
        <f t="shared" si="18"/>
        <v>0</v>
      </c>
      <c r="O188" s="676"/>
      <c r="P188" s="689">
        <f t="shared" si="19"/>
        <v>0</v>
      </c>
      <c r="Q188" s="689"/>
      <c r="R188" s="675">
        <f t="shared" si="20"/>
        <v>0</v>
      </c>
      <c r="S188" s="676"/>
      <c r="T188" s="689">
        <f t="shared" si="21"/>
        <v>0</v>
      </c>
      <c r="U188" s="689"/>
      <c r="V188" s="678">
        <f t="shared" si="22"/>
        <v>0</v>
      </c>
      <c r="W188" s="678"/>
      <c r="X188" s="784">
        <f t="shared" si="12"/>
        <v>0</v>
      </c>
      <c r="Y188" s="660"/>
      <c r="Z188" s="661">
        <f t="shared" si="13"/>
        <v>0</v>
      </c>
      <c r="AA188" s="661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14"/>
      <c r="AM188" s="8"/>
      <c r="AN188" s="8"/>
      <c r="AO188" s="8"/>
    </row>
    <row r="189" spans="1:41" ht="14.45" customHeight="1" x14ac:dyDescent="0.25">
      <c r="A189" s="44"/>
      <c r="B189" s="9"/>
      <c r="C189" s="644" t="str">
        <f t="shared" si="14"/>
        <v>TUBO COBRE 3/16</v>
      </c>
      <c r="D189" s="644"/>
      <c r="E189" s="644"/>
      <c r="F189" s="644"/>
      <c r="G189" s="644"/>
      <c r="H189" s="689">
        <f t="shared" si="15"/>
        <v>0</v>
      </c>
      <c r="I189" s="689"/>
      <c r="J189" s="678">
        <f t="shared" si="16"/>
        <v>0</v>
      </c>
      <c r="K189" s="678"/>
      <c r="L189" s="689">
        <f t="shared" si="17"/>
        <v>0</v>
      </c>
      <c r="M189" s="689"/>
      <c r="N189" s="675">
        <f t="shared" si="18"/>
        <v>0</v>
      </c>
      <c r="O189" s="676"/>
      <c r="P189" s="689">
        <f t="shared" si="19"/>
        <v>0</v>
      </c>
      <c r="Q189" s="689"/>
      <c r="R189" s="675">
        <f t="shared" si="20"/>
        <v>0</v>
      </c>
      <c r="S189" s="676"/>
      <c r="T189" s="689">
        <f t="shared" si="21"/>
        <v>0</v>
      </c>
      <c r="U189" s="689"/>
      <c r="V189" s="678">
        <f t="shared" si="22"/>
        <v>0</v>
      </c>
      <c r="W189" s="678"/>
      <c r="X189" s="784">
        <f t="shared" si="12"/>
        <v>0</v>
      </c>
      <c r="Y189" s="660"/>
      <c r="Z189" s="661">
        <f t="shared" si="13"/>
        <v>0</v>
      </c>
      <c r="AA189" s="661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14"/>
      <c r="AM189" s="8"/>
      <c r="AN189" s="8"/>
      <c r="AO189" s="8"/>
    </row>
    <row r="190" spans="1:41" ht="14.45" customHeight="1" x14ac:dyDescent="0.25">
      <c r="A190" s="44"/>
      <c r="B190" s="9"/>
      <c r="C190" s="644" t="str">
        <f t="shared" si="14"/>
        <v>DISCO C/M 4 1/2 WINONE</v>
      </c>
      <c r="D190" s="644"/>
      <c r="E190" s="644"/>
      <c r="F190" s="644"/>
      <c r="G190" s="644"/>
      <c r="H190" s="689">
        <f t="shared" si="15"/>
        <v>0</v>
      </c>
      <c r="I190" s="689"/>
      <c r="J190" s="678">
        <f t="shared" si="16"/>
        <v>0</v>
      </c>
      <c r="K190" s="678"/>
      <c r="L190" s="689">
        <f t="shared" si="17"/>
        <v>0</v>
      </c>
      <c r="M190" s="689"/>
      <c r="N190" s="675">
        <f t="shared" si="18"/>
        <v>0</v>
      </c>
      <c r="O190" s="676"/>
      <c r="P190" s="689">
        <f t="shared" si="19"/>
        <v>0</v>
      </c>
      <c r="Q190" s="689"/>
      <c r="R190" s="675">
        <f t="shared" si="20"/>
        <v>0</v>
      </c>
      <c r="S190" s="676"/>
      <c r="T190" s="689">
        <f t="shared" si="21"/>
        <v>0</v>
      </c>
      <c r="U190" s="689"/>
      <c r="V190" s="678">
        <f t="shared" si="22"/>
        <v>0</v>
      </c>
      <c r="W190" s="678"/>
      <c r="X190" s="784">
        <f t="shared" si="12"/>
        <v>0</v>
      </c>
      <c r="Y190" s="660"/>
      <c r="Z190" s="661">
        <f t="shared" si="13"/>
        <v>0</v>
      </c>
      <c r="AA190" s="661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14"/>
      <c r="AM190" s="8"/>
      <c r="AN190" s="8"/>
      <c r="AO190" s="8"/>
    </row>
    <row r="191" spans="1:41" ht="14.45" customHeight="1" x14ac:dyDescent="0.25">
      <c r="A191" s="44"/>
      <c r="B191" s="9"/>
      <c r="C191" s="644" t="str">
        <f t="shared" si="14"/>
        <v>DISCO R/M 4 1/2 WINONE</v>
      </c>
      <c r="D191" s="644"/>
      <c r="E191" s="644"/>
      <c r="F191" s="644"/>
      <c r="G191" s="644"/>
      <c r="H191" s="689">
        <f t="shared" si="15"/>
        <v>0</v>
      </c>
      <c r="I191" s="689"/>
      <c r="J191" s="678">
        <f t="shared" si="16"/>
        <v>0</v>
      </c>
      <c r="K191" s="678"/>
      <c r="L191" s="689">
        <f t="shared" si="17"/>
        <v>0</v>
      </c>
      <c r="M191" s="689"/>
      <c r="N191" s="675">
        <f t="shared" si="18"/>
        <v>0</v>
      </c>
      <c r="O191" s="676"/>
      <c r="P191" s="689">
        <f t="shared" si="19"/>
        <v>0</v>
      </c>
      <c r="Q191" s="689"/>
      <c r="R191" s="675">
        <f t="shared" si="20"/>
        <v>0</v>
      </c>
      <c r="S191" s="676"/>
      <c r="T191" s="689">
        <f t="shared" si="21"/>
        <v>0</v>
      </c>
      <c r="U191" s="689"/>
      <c r="V191" s="678">
        <f t="shared" si="22"/>
        <v>0</v>
      </c>
      <c r="W191" s="678"/>
      <c r="X191" s="784">
        <f t="shared" si="12"/>
        <v>0</v>
      </c>
      <c r="Y191" s="660"/>
      <c r="Z191" s="661">
        <f t="shared" si="13"/>
        <v>0</v>
      </c>
      <c r="AA191" s="661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14"/>
      <c r="AM191" s="8"/>
      <c r="AN191" s="8"/>
      <c r="AO191" s="8"/>
    </row>
    <row r="192" spans="1:41" ht="14.45" customHeight="1" x14ac:dyDescent="0.25">
      <c r="A192" s="44"/>
      <c r="B192" s="9"/>
      <c r="C192" s="644" t="str">
        <f t="shared" si="14"/>
        <v>LLAVERO GANCHO GRANDE</v>
      </c>
      <c r="D192" s="644"/>
      <c r="E192" s="644"/>
      <c r="F192" s="644"/>
      <c r="G192" s="644"/>
      <c r="H192" s="689">
        <f t="shared" si="15"/>
        <v>0</v>
      </c>
      <c r="I192" s="689"/>
      <c r="J192" s="678">
        <f t="shared" si="16"/>
        <v>0</v>
      </c>
      <c r="K192" s="678"/>
      <c r="L192" s="689">
        <f t="shared" si="17"/>
        <v>0</v>
      </c>
      <c r="M192" s="689"/>
      <c r="N192" s="675">
        <f t="shared" si="18"/>
        <v>0</v>
      </c>
      <c r="O192" s="676"/>
      <c r="P192" s="689">
        <f t="shared" si="19"/>
        <v>0</v>
      </c>
      <c r="Q192" s="689"/>
      <c r="R192" s="675">
        <f t="shared" si="20"/>
        <v>0</v>
      </c>
      <c r="S192" s="676"/>
      <c r="T192" s="689">
        <f t="shared" si="21"/>
        <v>0</v>
      </c>
      <c r="U192" s="689"/>
      <c r="V192" s="678">
        <f t="shared" si="22"/>
        <v>0</v>
      </c>
      <c r="W192" s="678"/>
      <c r="X192" s="784">
        <f t="shared" si="12"/>
        <v>0</v>
      </c>
      <c r="Y192" s="660"/>
      <c r="Z192" s="661">
        <f t="shared" si="13"/>
        <v>0</v>
      </c>
      <c r="AA192" s="661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14"/>
      <c r="AM192" s="8"/>
      <c r="AN192" s="8"/>
      <c r="AO192" s="8"/>
    </row>
    <row r="193" spans="1:41" ht="14.45" customHeight="1" x14ac:dyDescent="0.25">
      <c r="A193" s="44"/>
      <c r="B193" s="9"/>
      <c r="C193" s="644" t="str">
        <f t="shared" si="14"/>
        <v>LLAVERO GANCHO MEDIANO</v>
      </c>
      <c r="D193" s="644"/>
      <c r="E193" s="644"/>
      <c r="F193" s="644"/>
      <c r="G193" s="644"/>
      <c r="H193" s="689">
        <f t="shared" si="15"/>
        <v>0</v>
      </c>
      <c r="I193" s="689"/>
      <c r="J193" s="678">
        <f t="shared" si="16"/>
        <v>0</v>
      </c>
      <c r="K193" s="678"/>
      <c r="L193" s="689">
        <f t="shared" si="17"/>
        <v>0</v>
      </c>
      <c r="M193" s="689"/>
      <c r="N193" s="675">
        <f t="shared" si="18"/>
        <v>0</v>
      </c>
      <c r="O193" s="676"/>
      <c r="P193" s="689">
        <f t="shared" si="19"/>
        <v>0</v>
      </c>
      <c r="Q193" s="689"/>
      <c r="R193" s="675">
        <f t="shared" si="20"/>
        <v>0</v>
      </c>
      <c r="S193" s="676"/>
      <c r="T193" s="689">
        <f t="shared" si="21"/>
        <v>0</v>
      </c>
      <c r="U193" s="689"/>
      <c r="V193" s="678">
        <f t="shared" si="22"/>
        <v>0</v>
      </c>
      <c r="W193" s="678"/>
      <c r="X193" s="784">
        <f t="shared" si="12"/>
        <v>0</v>
      </c>
      <c r="Y193" s="660"/>
      <c r="Z193" s="661">
        <f t="shared" si="13"/>
        <v>0</v>
      </c>
      <c r="AA193" s="661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14"/>
      <c r="AM193" s="8"/>
      <c r="AN193" s="8"/>
      <c r="AO193" s="8"/>
    </row>
    <row r="194" spans="1:41" ht="14.45" customHeight="1" x14ac:dyDescent="0.25">
      <c r="A194" s="44"/>
      <c r="B194" s="9"/>
      <c r="C194" s="644" t="str">
        <f t="shared" si="14"/>
        <v>LLAVERO SECURITY</v>
      </c>
      <c r="D194" s="644"/>
      <c r="E194" s="644"/>
      <c r="F194" s="644"/>
      <c r="G194" s="644"/>
      <c r="H194" s="689">
        <f t="shared" si="15"/>
        <v>0</v>
      </c>
      <c r="I194" s="689"/>
      <c r="J194" s="678">
        <f t="shared" si="16"/>
        <v>0</v>
      </c>
      <c r="K194" s="678"/>
      <c r="L194" s="689">
        <f t="shared" si="17"/>
        <v>0</v>
      </c>
      <c r="M194" s="689"/>
      <c r="N194" s="675">
        <f t="shared" si="18"/>
        <v>0</v>
      </c>
      <c r="O194" s="676"/>
      <c r="P194" s="689">
        <f t="shared" si="19"/>
        <v>0</v>
      </c>
      <c r="Q194" s="689"/>
      <c r="R194" s="675">
        <f t="shared" si="20"/>
        <v>0</v>
      </c>
      <c r="S194" s="676"/>
      <c r="T194" s="689">
        <f t="shared" si="21"/>
        <v>0</v>
      </c>
      <c r="U194" s="689"/>
      <c r="V194" s="678">
        <f t="shared" si="22"/>
        <v>0</v>
      </c>
      <c r="W194" s="678"/>
      <c r="X194" s="784">
        <f t="shared" si="12"/>
        <v>0</v>
      </c>
      <c r="Y194" s="660"/>
      <c r="Z194" s="661">
        <f t="shared" si="13"/>
        <v>0</v>
      </c>
      <c r="AA194" s="661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14"/>
      <c r="AM194" s="8"/>
      <c r="AN194" s="8"/>
      <c r="AO194" s="8"/>
    </row>
    <row r="195" spans="1:41" ht="14.45" customHeight="1" x14ac:dyDescent="0.25">
      <c r="A195" s="44"/>
      <c r="B195" s="9"/>
      <c r="C195" s="644" t="str">
        <f t="shared" si="14"/>
        <v>GRIFERIA LAVAPLATO INDIVIDUAL</v>
      </c>
      <c r="D195" s="644"/>
      <c r="E195" s="644"/>
      <c r="F195" s="644"/>
      <c r="G195" s="644"/>
      <c r="H195" s="689">
        <f t="shared" si="15"/>
        <v>0</v>
      </c>
      <c r="I195" s="689"/>
      <c r="J195" s="678">
        <f t="shared" si="16"/>
        <v>0</v>
      </c>
      <c r="K195" s="678"/>
      <c r="L195" s="689">
        <f t="shared" si="17"/>
        <v>0</v>
      </c>
      <c r="M195" s="689"/>
      <c r="N195" s="675">
        <f t="shared" si="18"/>
        <v>0</v>
      </c>
      <c r="O195" s="676"/>
      <c r="P195" s="689">
        <f t="shared" si="19"/>
        <v>0</v>
      </c>
      <c r="Q195" s="689"/>
      <c r="R195" s="675">
        <f t="shared" si="20"/>
        <v>0</v>
      </c>
      <c r="S195" s="676"/>
      <c r="T195" s="689">
        <f t="shared" si="21"/>
        <v>0</v>
      </c>
      <c r="U195" s="689"/>
      <c r="V195" s="678">
        <f t="shared" si="22"/>
        <v>0</v>
      </c>
      <c r="W195" s="678"/>
      <c r="X195" s="784">
        <f t="shared" si="12"/>
        <v>0</v>
      </c>
      <c r="Y195" s="660"/>
      <c r="Z195" s="661">
        <f t="shared" si="13"/>
        <v>0</v>
      </c>
      <c r="AA195" s="661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14"/>
      <c r="AM195" s="8"/>
      <c r="AN195" s="8"/>
      <c r="AO195" s="8"/>
    </row>
    <row r="196" spans="1:41" ht="15.75" x14ac:dyDescent="0.25">
      <c r="A196" s="44"/>
      <c r="B196" s="9"/>
      <c r="C196" s="644" t="str">
        <f t="shared" si="14"/>
        <v>LLAVE SENCILLA LAVAPLATO GRIVEN</v>
      </c>
      <c r="D196" s="644"/>
      <c r="E196" s="644"/>
      <c r="F196" s="644"/>
      <c r="G196" s="644"/>
      <c r="H196" s="689">
        <f t="shared" si="15"/>
        <v>0</v>
      </c>
      <c r="I196" s="689"/>
      <c r="J196" s="678">
        <f t="shared" si="16"/>
        <v>0</v>
      </c>
      <c r="K196" s="678"/>
      <c r="L196" s="689">
        <f t="shared" si="17"/>
        <v>0</v>
      </c>
      <c r="M196" s="689"/>
      <c r="N196" s="675">
        <f t="shared" si="18"/>
        <v>0</v>
      </c>
      <c r="O196" s="676"/>
      <c r="P196" s="689">
        <f t="shared" si="19"/>
        <v>0</v>
      </c>
      <c r="Q196" s="689"/>
      <c r="R196" s="675">
        <f t="shared" si="20"/>
        <v>0</v>
      </c>
      <c r="S196" s="676"/>
      <c r="T196" s="689">
        <f t="shared" si="21"/>
        <v>0</v>
      </c>
      <c r="U196" s="689"/>
      <c r="V196" s="678">
        <f t="shared" si="22"/>
        <v>0</v>
      </c>
      <c r="W196" s="678"/>
      <c r="X196" s="784">
        <f t="shared" si="12"/>
        <v>0</v>
      </c>
      <c r="Y196" s="660"/>
      <c r="Z196" s="661">
        <f t="shared" si="13"/>
        <v>0</v>
      </c>
      <c r="AA196" s="661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14"/>
      <c r="AM196" s="8"/>
      <c r="AN196" s="8"/>
      <c r="AO196" s="8"/>
    </row>
    <row r="197" spans="1:41" ht="15.75" x14ac:dyDescent="0.25">
      <c r="A197" s="44"/>
      <c r="B197" s="9"/>
      <c r="C197" s="644" t="str">
        <f t="shared" si="14"/>
        <v>CODO 75MM X 90 RIEGO</v>
      </c>
      <c r="D197" s="644"/>
      <c r="E197" s="644"/>
      <c r="F197" s="644"/>
      <c r="G197" s="644"/>
      <c r="H197" s="689">
        <f t="shared" si="15"/>
        <v>0</v>
      </c>
      <c r="I197" s="689"/>
      <c r="J197" s="678">
        <f t="shared" si="16"/>
        <v>0</v>
      </c>
      <c r="K197" s="678"/>
      <c r="L197" s="689">
        <f t="shared" si="17"/>
        <v>0</v>
      </c>
      <c r="M197" s="689"/>
      <c r="N197" s="675">
        <f t="shared" si="18"/>
        <v>0</v>
      </c>
      <c r="O197" s="676"/>
      <c r="P197" s="689">
        <f t="shared" si="19"/>
        <v>0</v>
      </c>
      <c r="Q197" s="689"/>
      <c r="R197" s="675">
        <f t="shared" si="20"/>
        <v>0</v>
      </c>
      <c r="S197" s="676"/>
      <c r="T197" s="689">
        <f t="shared" si="21"/>
        <v>0</v>
      </c>
      <c r="U197" s="689"/>
      <c r="V197" s="678">
        <f t="shared" si="22"/>
        <v>0</v>
      </c>
      <c r="W197" s="678"/>
      <c r="X197" s="784">
        <f t="shared" si="12"/>
        <v>0</v>
      </c>
      <c r="Y197" s="660"/>
      <c r="Z197" s="661">
        <f t="shared" si="13"/>
        <v>0</v>
      </c>
      <c r="AA197" s="661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14"/>
      <c r="AM197" s="8"/>
      <c r="AN197" s="8"/>
      <c r="AO197" s="8"/>
    </row>
    <row r="198" spans="1:41" ht="15.75" x14ac:dyDescent="0.25">
      <c r="A198" s="44"/>
      <c r="B198" s="9"/>
      <c r="C198" s="644" t="str">
        <f t="shared" si="14"/>
        <v>INFLADOR P/CAUCHOS</v>
      </c>
      <c r="D198" s="644"/>
      <c r="E198" s="644"/>
      <c r="F198" s="644"/>
      <c r="G198" s="644"/>
      <c r="H198" s="689">
        <f t="shared" si="15"/>
        <v>36</v>
      </c>
      <c r="I198" s="689"/>
      <c r="J198" s="678">
        <f t="shared" si="16"/>
        <v>288</v>
      </c>
      <c r="K198" s="678"/>
      <c r="L198" s="689">
        <f t="shared" si="17"/>
        <v>0</v>
      </c>
      <c r="M198" s="689"/>
      <c r="N198" s="675">
        <f t="shared" si="18"/>
        <v>0</v>
      </c>
      <c r="O198" s="676"/>
      <c r="P198" s="689">
        <f t="shared" si="19"/>
        <v>0</v>
      </c>
      <c r="Q198" s="689"/>
      <c r="R198" s="675">
        <f t="shared" si="20"/>
        <v>0</v>
      </c>
      <c r="S198" s="676"/>
      <c r="T198" s="689">
        <f t="shared" si="21"/>
        <v>0</v>
      </c>
      <c r="U198" s="689"/>
      <c r="V198" s="678">
        <f t="shared" si="22"/>
        <v>0</v>
      </c>
      <c r="W198" s="678"/>
      <c r="X198" s="784">
        <f t="shared" si="12"/>
        <v>36</v>
      </c>
      <c r="Y198" s="660"/>
      <c r="Z198" s="661">
        <f t="shared" si="13"/>
        <v>288</v>
      </c>
      <c r="AA198" s="661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14"/>
      <c r="AM198" s="8"/>
      <c r="AN198" s="8"/>
      <c r="AO198" s="8"/>
    </row>
    <row r="199" spans="1:41" ht="15.75" x14ac:dyDescent="0.25">
      <c r="A199" s="44"/>
      <c r="B199" s="9"/>
      <c r="C199" s="644" t="str">
        <f t="shared" si="14"/>
        <v>SERRUCHO SECURITY 14" DE PODAR</v>
      </c>
      <c r="D199" s="644"/>
      <c r="E199" s="644"/>
      <c r="F199" s="644"/>
      <c r="G199" s="644"/>
      <c r="H199" s="689">
        <f t="shared" si="15"/>
        <v>0</v>
      </c>
      <c r="I199" s="689"/>
      <c r="J199" s="678">
        <f t="shared" si="16"/>
        <v>0</v>
      </c>
      <c r="K199" s="678"/>
      <c r="L199" s="689">
        <f t="shared" si="17"/>
        <v>0</v>
      </c>
      <c r="M199" s="689"/>
      <c r="N199" s="675">
        <f t="shared" si="18"/>
        <v>0</v>
      </c>
      <c r="O199" s="676"/>
      <c r="P199" s="689">
        <f t="shared" si="19"/>
        <v>0</v>
      </c>
      <c r="Q199" s="689"/>
      <c r="R199" s="675">
        <f t="shared" si="20"/>
        <v>0</v>
      </c>
      <c r="S199" s="676"/>
      <c r="T199" s="689">
        <f t="shared" si="21"/>
        <v>0</v>
      </c>
      <c r="U199" s="689"/>
      <c r="V199" s="678">
        <f t="shared" si="22"/>
        <v>0</v>
      </c>
      <c r="W199" s="678"/>
      <c r="X199" s="784">
        <f t="shared" si="12"/>
        <v>0</v>
      </c>
      <c r="Y199" s="660"/>
      <c r="Z199" s="661">
        <f t="shared" si="13"/>
        <v>0</v>
      </c>
      <c r="AA199" s="661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14"/>
      <c r="AM199" s="8"/>
      <c r="AN199" s="8"/>
      <c r="AO199" s="8"/>
    </row>
    <row r="200" spans="1:41" ht="15.75" x14ac:dyDescent="0.25">
      <c r="A200" s="44"/>
      <c r="B200" s="9"/>
      <c r="C200" s="644" t="str">
        <f t="shared" si="14"/>
        <v>SPLINTER ORIG 2 VIAS</v>
      </c>
      <c r="D200" s="644"/>
      <c r="E200" s="644"/>
      <c r="F200" s="644"/>
      <c r="G200" s="644"/>
      <c r="H200" s="689">
        <f t="shared" si="15"/>
        <v>0</v>
      </c>
      <c r="I200" s="689"/>
      <c r="J200" s="678">
        <f t="shared" si="16"/>
        <v>0</v>
      </c>
      <c r="K200" s="678"/>
      <c r="L200" s="689">
        <f t="shared" si="17"/>
        <v>0</v>
      </c>
      <c r="M200" s="689"/>
      <c r="N200" s="675">
        <f t="shared" si="18"/>
        <v>0</v>
      </c>
      <c r="O200" s="676"/>
      <c r="P200" s="689">
        <f t="shared" si="19"/>
        <v>0</v>
      </c>
      <c r="Q200" s="689"/>
      <c r="R200" s="675">
        <f t="shared" si="20"/>
        <v>0</v>
      </c>
      <c r="S200" s="676"/>
      <c r="T200" s="689">
        <f t="shared" si="21"/>
        <v>0</v>
      </c>
      <c r="U200" s="689"/>
      <c r="V200" s="678">
        <f t="shared" si="22"/>
        <v>0</v>
      </c>
      <c r="W200" s="678"/>
      <c r="X200" s="784">
        <f t="shared" si="12"/>
        <v>0</v>
      </c>
      <c r="Y200" s="660"/>
      <c r="Z200" s="661">
        <f t="shared" si="13"/>
        <v>0</v>
      </c>
      <c r="AA200" s="661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14"/>
      <c r="AM200" s="8"/>
      <c r="AN200" s="8"/>
      <c r="AO200" s="8"/>
    </row>
    <row r="201" spans="1:41" ht="16.5" thickBot="1" x14ac:dyDescent="0.3">
      <c r="A201" s="44"/>
      <c r="B201" s="9"/>
      <c r="C201" s="644" t="str">
        <f t="shared" si="14"/>
        <v>LAMPARA DE NOCHE</v>
      </c>
      <c r="D201" s="644"/>
      <c r="E201" s="644"/>
      <c r="F201" s="644"/>
      <c r="G201" s="644"/>
      <c r="H201" s="689">
        <f t="shared" si="15"/>
        <v>0</v>
      </c>
      <c r="I201" s="689"/>
      <c r="J201" s="678">
        <f t="shared" si="16"/>
        <v>0</v>
      </c>
      <c r="K201" s="678"/>
      <c r="L201" s="689">
        <f t="shared" si="17"/>
        <v>0</v>
      </c>
      <c r="M201" s="689"/>
      <c r="N201" s="675">
        <f t="shared" si="18"/>
        <v>0</v>
      </c>
      <c r="O201" s="676"/>
      <c r="P201" s="689">
        <f t="shared" si="19"/>
        <v>0</v>
      </c>
      <c r="Q201" s="689"/>
      <c r="R201" s="675">
        <f t="shared" si="20"/>
        <v>0</v>
      </c>
      <c r="S201" s="676"/>
      <c r="T201" s="689">
        <f t="shared" si="21"/>
        <v>0</v>
      </c>
      <c r="U201" s="689"/>
      <c r="V201" s="678">
        <f t="shared" si="22"/>
        <v>0</v>
      </c>
      <c r="W201" s="678"/>
      <c r="X201" s="784">
        <f t="shared" si="12"/>
        <v>0</v>
      </c>
      <c r="Y201" s="660"/>
      <c r="Z201" s="661">
        <f t="shared" si="13"/>
        <v>0</v>
      </c>
      <c r="AA201" s="661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14"/>
      <c r="AM201" s="8"/>
      <c r="AN201" s="8"/>
      <c r="AO201" s="8"/>
    </row>
    <row r="202" spans="1:41" ht="27" thickBot="1" x14ac:dyDescent="0.3">
      <c r="A202" s="44"/>
      <c r="C202" s="26"/>
      <c r="D202" s="26"/>
      <c r="E202" s="26"/>
      <c r="F202" s="26"/>
      <c r="G202" s="26"/>
      <c r="H202" s="744">
        <f>SUM(J140:K201)</f>
        <v>538.70000000000005</v>
      </c>
      <c r="I202" s="730"/>
      <c r="J202" s="730"/>
      <c r="K202" s="730"/>
      <c r="L202" s="730">
        <f>SUM(N140:O201)</f>
        <v>0</v>
      </c>
      <c r="M202" s="730"/>
      <c r="N202" s="730"/>
      <c r="O202" s="745"/>
      <c r="P202" s="730">
        <f>SUM(R140:S201)</f>
        <v>0</v>
      </c>
      <c r="Q202" s="730"/>
      <c r="R202" s="730"/>
      <c r="S202" s="745"/>
      <c r="T202" s="730">
        <f>SUM(V140:W201)</f>
        <v>0</v>
      </c>
      <c r="U202" s="730"/>
      <c r="V202" s="730"/>
      <c r="W202" s="745"/>
      <c r="X202" s="744">
        <f>SUM(Z140:AA201)</f>
        <v>538.70000000000005</v>
      </c>
      <c r="Y202" s="730"/>
      <c r="Z202" s="730"/>
      <c r="AA202" s="730"/>
      <c r="AB202" s="25"/>
      <c r="AC202" s="14"/>
      <c r="AD202" s="14"/>
      <c r="AE202" s="14"/>
      <c r="AF202" s="25"/>
      <c r="AG202" s="14"/>
      <c r="AH202" s="25"/>
      <c r="AI202" s="8"/>
      <c r="AJ202" s="8"/>
      <c r="AK202" s="8"/>
    </row>
    <row r="203" spans="1:41" ht="26.25" x14ac:dyDescent="0.25">
      <c r="A203" s="44"/>
      <c r="C203" s="26"/>
      <c r="D203" s="26"/>
      <c r="E203" s="26"/>
      <c r="F203" s="26"/>
      <c r="G203" s="26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14"/>
      <c r="X203" s="14"/>
      <c r="Y203" s="14"/>
      <c r="Z203" s="25"/>
      <c r="AA203" s="14"/>
      <c r="AB203" s="25"/>
      <c r="AC203" s="8"/>
      <c r="AD203" s="8"/>
      <c r="AE203" s="8"/>
    </row>
    <row r="204" spans="1:41" ht="26.25" x14ac:dyDescent="0.25">
      <c r="A204" s="44"/>
      <c r="B204" s="44"/>
      <c r="C204" s="45"/>
      <c r="D204" s="45"/>
      <c r="E204" s="45"/>
      <c r="F204" s="45"/>
      <c r="G204" s="45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3"/>
      <c r="X204" s="43"/>
      <c r="Y204" s="14"/>
      <c r="Z204" s="25"/>
      <c r="AA204" s="14"/>
      <c r="AB204" s="25"/>
      <c r="AC204" s="8"/>
      <c r="AD204" s="8"/>
      <c r="AE204" s="8"/>
    </row>
    <row r="205" spans="1:41" ht="26.25" x14ac:dyDescent="0.25">
      <c r="A205" s="44"/>
      <c r="B205" s="44"/>
      <c r="C205" s="45"/>
      <c r="D205" s="45"/>
      <c r="E205" s="45"/>
      <c r="F205" s="45"/>
      <c r="G205" s="45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3"/>
      <c r="X205" s="43"/>
      <c r="Y205" s="14"/>
      <c r="Z205" s="25"/>
      <c r="AA205" s="14"/>
      <c r="AB205" s="25"/>
      <c r="AC205" s="8"/>
      <c r="AD205" s="8"/>
      <c r="AE205" s="8"/>
    </row>
    <row r="206" spans="1:41" ht="27" thickBot="1" x14ac:dyDescent="0.3">
      <c r="A206" s="8"/>
      <c r="B206" s="8"/>
      <c r="C206" s="26"/>
      <c r="D206" s="26"/>
      <c r="E206" s="26"/>
      <c r="F206" s="26"/>
      <c r="G206" s="26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14"/>
      <c r="X206" s="14"/>
      <c r="Y206" s="14"/>
      <c r="Z206" s="25"/>
      <c r="AA206" s="14"/>
      <c r="AB206" s="25"/>
      <c r="AC206" s="8"/>
      <c r="AD206" s="8"/>
      <c r="AE206" s="8"/>
    </row>
    <row r="207" spans="1:41" ht="26.25" x14ac:dyDescent="0.25">
      <c r="A207" s="42"/>
      <c r="B207" s="736" t="s">
        <v>89</v>
      </c>
      <c r="C207" s="736"/>
      <c r="D207" s="736"/>
      <c r="E207" s="736"/>
      <c r="F207" s="736"/>
      <c r="G207" s="736"/>
      <c r="H207" s="736"/>
      <c r="I207" s="736"/>
      <c r="J207" s="736"/>
      <c r="K207" s="736"/>
      <c r="L207" s="736"/>
      <c r="M207" s="736"/>
      <c r="N207" s="736"/>
      <c r="O207" s="736"/>
      <c r="P207" s="736"/>
      <c r="Q207" s="736"/>
      <c r="R207" s="736"/>
      <c r="S207" s="736"/>
      <c r="T207" s="736"/>
      <c r="U207" s="736"/>
      <c r="V207" s="736"/>
      <c r="W207" s="14"/>
      <c r="X207" s="14"/>
      <c r="Y207" s="14"/>
      <c r="Z207" s="25"/>
      <c r="AA207" s="14"/>
      <c r="AB207" s="25"/>
      <c r="AC207" s="8"/>
      <c r="AD207" s="8"/>
      <c r="AE207" s="8"/>
    </row>
    <row r="208" spans="1:41" ht="26.25" x14ac:dyDescent="0.25">
      <c r="A208" s="42"/>
      <c r="B208" s="736"/>
      <c r="C208" s="736"/>
      <c r="D208" s="736"/>
      <c r="E208" s="736"/>
      <c r="F208" s="736"/>
      <c r="G208" s="736"/>
      <c r="H208" s="736"/>
      <c r="I208" s="736"/>
      <c r="J208" s="736"/>
      <c r="K208" s="736"/>
      <c r="L208" s="736"/>
      <c r="M208" s="736"/>
      <c r="N208" s="736"/>
      <c r="O208" s="736"/>
      <c r="P208" s="736"/>
      <c r="Q208" s="736"/>
      <c r="R208" s="736"/>
      <c r="S208" s="736"/>
      <c r="T208" s="736"/>
      <c r="U208" s="736"/>
      <c r="V208" s="736"/>
      <c r="W208" s="14"/>
      <c r="X208" s="14"/>
      <c r="Y208" s="14"/>
      <c r="Z208" s="25"/>
      <c r="AA208" s="14"/>
      <c r="AB208" s="25"/>
      <c r="AC208" s="8"/>
      <c r="AD208" s="8"/>
      <c r="AE208" s="8"/>
    </row>
    <row r="209" spans="1:31" ht="26.25" x14ac:dyDescent="0.25">
      <c r="A209" s="42"/>
      <c r="B209" s="736"/>
      <c r="C209" s="736"/>
      <c r="D209" s="736"/>
      <c r="E209" s="736"/>
      <c r="F209" s="736"/>
      <c r="G209" s="736"/>
      <c r="H209" s="736"/>
      <c r="I209" s="736"/>
      <c r="J209" s="736"/>
      <c r="K209" s="736"/>
      <c r="L209" s="736"/>
      <c r="M209" s="736"/>
      <c r="N209" s="736"/>
      <c r="O209" s="736"/>
      <c r="P209" s="736"/>
      <c r="Q209" s="736"/>
      <c r="R209" s="736"/>
      <c r="S209" s="736"/>
      <c r="T209" s="736"/>
      <c r="U209" s="736"/>
      <c r="V209" s="736"/>
      <c r="W209" s="14"/>
      <c r="X209" s="14"/>
      <c r="Y209" s="14"/>
      <c r="Z209" s="25"/>
      <c r="AA209" s="14"/>
      <c r="AB209" s="25"/>
      <c r="AC209" s="8"/>
      <c r="AD209" s="8"/>
      <c r="AE209" s="8"/>
    </row>
    <row r="210" spans="1:31" ht="28.9" customHeight="1" x14ac:dyDescent="0.25">
      <c r="A210" s="42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64"/>
      <c r="W210" s="12"/>
      <c r="X210" s="12"/>
      <c r="Y210" s="12"/>
      <c r="Z210" s="5"/>
      <c r="AA210" s="14"/>
      <c r="AB210" s="25"/>
      <c r="AC210" s="8"/>
      <c r="AD210" s="8"/>
      <c r="AE210" s="8"/>
    </row>
    <row r="211" spans="1:31" ht="18.75" x14ac:dyDescent="0.3">
      <c r="A211" s="42"/>
      <c r="C211" s="775" t="s">
        <v>216</v>
      </c>
      <c r="D211" s="775"/>
      <c r="E211" s="775"/>
      <c r="F211" s="775"/>
      <c r="G211" s="775"/>
      <c r="H211" s="775"/>
      <c r="I211" s="775"/>
      <c r="J211" s="775"/>
      <c r="K211" s="775"/>
      <c r="L211" s="775"/>
      <c r="M211" s="775"/>
      <c r="N211" s="775"/>
      <c r="O211" s="83"/>
      <c r="P211" s="8"/>
      <c r="Q211" s="8"/>
      <c r="R211" s="8"/>
      <c r="S211" s="8"/>
    </row>
    <row r="212" spans="1:31" ht="26.25" x14ac:dyDescent="0.25">
      <c r="A212" s="42"/>
      <c r="C212" s="782" t="s">
        <v>2</v>
      </c>
      <c r="D212" s="735"/>
      <c r="E212" s="735"/>
      <c r="F212" s="735"/>
      <c r="G212" s="783"/>
      <c r="H212" s="29">
        <v>1</v>
      </c>
      <c r="I212" s="38" t="s">
        <v>87</v>
      </c>
      <c r="J212" s="146" t="s">
        <v>86</v>
      </c>
      <c r="K212" s="15" t="s">
        <v>77</v>
      </c>
      <c r="L212" s="15" t="s">
        <v>78</v>
      </c>
      <c r="M212" s="15" t="s">
        <v>79</v>
      </c>
      <c r="N212" s="13" t="s">
        <v>94</v>
      </c>
      <c r="O212" s="9"/>
      <c r="P212" s="9"/>
      <c r="Q212" s="9"/>
      <c r="S212" s="8"/>
      <c r="T212" s="8"/>
      <c r="U212" s="8"/>
      <c r="V212" s="8"/>
      <c r="W212" s="8"/>
      <c r="X212" s="8"/>
      <c r="Y212" s="8"/>
      <c r="Z212" s="8"/>
      <c r="AA212" s="8"/>
    </row>
    <row r="213" spans="1:31" ht="19.899999999999999" customHeight="1" x14ac:dyDescent="0.25">
      <c r="A213" s="42"/>
      <c r="C213" s="652" t="str">
        <f>C140</f>
        <v>BUSH HG 1 1/2" X 1"</v>
      </c>
      <c r="D213" s="644"/>
      <c r="E213" s="644"/>
      <c r="F213" s="644"/>
      <c r="G213" s="642"/>
      <c r="H213" s="51">
        <v>4500</v>
      </c>
      <c r="I213" s="51"/>
      <c r="J213" s="38"/>
      <c r="K213" s="52">
        <f>H213</f>
        <v>4500</v>
      </c>
      <c r="L213" s="15">
        <f>X140</f>
        <v>0</v>
      </c>
      <c r="M213" s="69">
        <f>K213-L213</f>
        <v>4500</v>
      </c>
      <c r="N213" s="104">
        <f>M213*I213</f>
        <v>0</v>
      </c>
      <c r="O213" s="9"/>
      <c r="P213" s="9"/>
      <c r="Q213" s="9"/>
      <c r="S213" s="8"/>
      <c r="T213" s="8"/>
      <c r="U213" s="8"/>
      <c r="V213" s="8"/>
      <c r="W213" s="8"/>
      <c r="X213" s="8"/>
      <c r="Y213" s="8"/>
      <c r="Z213" s="8"/>
      <c r="AA213" s="8"/>
    </row>
    <row r="214" spans="1:31" ht="15.75" x14ac:dyDescent="0.25">
      <c r="A214" s="42"/>
      <c r="C214" s="652" t="str">
        <f t="shared" ref="C214:C274" si="23">C141</f>
        <v>BUSH HG 1" X 1/2"</v>
      </c>
      <c r="D214" s="644"/>
      <c r="E214" s="644"/>
      <c r="F214" s="644"/>
      <c r="G214" s="642"/>
      <c r="H214" s="51">
        <v>1023</v>
      </c>
      <c r="I214" s="51"/>
      <c r="J214" s="147"/>
      <c r="K214" s="52">
        <f t="shared" ref="K214:K234" si="24">H214</f>
        <v>1023</v>
      </c>
      <c r="L214" s="15">
        <f t="shared" ref="L214:L234" si="25">X141</f>
        <v>0</v>
      </c>
      <c r="M214" s="69">
        <f t="shared" ref="M214:M234" si="26">K214-L214</f>
        <v>1023</v>
      </c>
      <c r="N214" s="104">
        <f t="shared" ref="N214:N234" si="27">M214*I214</f>
        <v>0</v>
      </c>
      <c r="O214" s="17"/>
      <c r="P214" s="17"/>
      <c r="Q214" s="17"/>
      <c r="R214" s="17"/>
      <c r="S214" s="24"/>
      <c r="T214" s="24"/>
      <c r="U214" s="24"/>
      <c r="V214" s="24"/>
      <c r="W214" s="24"/>
      <c r="X214" s="24"/>
      <c r="Y214" s="8"/>
      <c r="Z214" s="8"/>
      <c r="AA214" s="8"/>
    </row>
    <row r="215" spans="1:31" ht="15.75" x14ac:dyDescent="0.25">
      <c r="A215" s="42"/>
      <c r="C215" s="652" t="str">
        <f t="shared" si="23"/>
        <v>ANILLO HG 3</v>
      </c>
      <c r="D215" s="644"/>
      <c r="E215" s="644"/>
      <c r="F215" s="644"/>
      <c r="G215" s="642"/>
      <c r="H215" s="51">
        <v>27</v>
      </c>
      <c r="I215" s="51"/>
      <c r="J215" s="147"/>
      <c r="K215" s="52">
        <f t="shared" si="24"/>
        <v>27</v>
      </c>
      <c r="L215" s="15">
        <f t="shared" si="25"/>
        <v>0</v>
      </c>
      <c r="M215" s="69">
        <f t="shared" si="26"/>
        <v>27</v>
      </c>
      <c r="N215" s="104">
        <f t="shared" si="27"/>
        <v>0</v>
      </c>
      <c r="O215" s="12"/>
      <c r="P215" s="12"/>
      <c r="Q215" s="12"/>
      <c r="R215" s="12"/>
      <c r="S215" s="14"/>
      <c r="T215" s="14"/>
      <c r="U215" s="14"/>
      <c r="V215" s="14"/>
      <c r="W215" s="14"/>
      <c r="X215" s="14"/>
      <c r="Y215" s="8"/>
      <c r="Z215" s="8"/>
      <c r="AA215" s="8"/>
    </row>
    <row r="216" spans="1:31" ht="15.75" x14ac:dyDescent="0.25">
      <c r="A216" s="42"/>
      <c r="C216" s="652" t="str">
        <f t="shared" si="23"/>
        <v>ANILLO HG 4</v>
      </c>
      <c r="D216" s="644"/>
      <c r="E216" s="644"/>
      <c r="F216" s="644"/>
      <c r="G216" s="642"/>
      <c r="H216" s="51">
        <v>12</v>
      </c>
      <c r="I216" s="51"/>
      <c r="J216" s="38"/>
      <c r="K216" s="52">
        <f t="shared" si="24"/>
        <v>12</v>
      </c>
      <c r="L216" s="15">
        <f t="shared" si="25"/>
        <v>0</v>
      </c>
      <c r="M216" s="69">
        <f t="shared" si="26"/>
        <v>12</v>
      </c>
      <c r="N216" s="104">
        <f t="shared" si="27"/>
        <v>0</v>
      </c>
      <c r="O216" s="12"/>
      <c r="P216" s="12"/>
      <c r="Q216" s="12"/>
      <c r="R216" s="12"/>
      <c r="S216" s="14"/>
      <c r="T216" s="14"/>
      <c r="U216" s="14"/>
      <c r="V216" s="14"/>
      <c r="W216" s="14"/>
      <c r="X216" s="14"/>
      <c r="Y216" s="8"/>
      <c r="Z216" s="8"/>
      <c r="AA216" s="8"/>
    </row>
    <row r="217" spans="1:31" ht="15.75" x14ac:dyDescent="0.25">
      <c r="A217" s="42"/>
      <c r="C217" s="652" t="str">
        <f t="shared" si="23"/>
        <v>TAPON HG 1</v>
      </c>
      <c r="D217" s="644"/>
      <c r="E217" s="644"/>
      <c r="F217" s="644"/>
      <c r="G217" s="642"/>
      <c r="H217" s="51">
        <v>237</v>
      </c>
      <c r="I217" s="51"/>
      <c r="J217" s="38"/>
      <c r="K217" s="52">
        <f t="shared" si="24"/>
        <v>237</v>
      </c>
      <c r="L217" s="15">
        <f t="shared" si="25"/>
        <v>0</v>
      </c>
      <c r="M217" s="69">
        <f t="shared" si="26"/>
        <v>237</v>
      </c>
      <c r="N217" s="104">
        <f t="shared" si="27"/>
        <v>0</v>
      </c>
      <c r="O217" s="12"/>
      <c r="P217" s="12"/>
      <c r="Q217" s="12"/>
      <c r="R217" s="12"/>
      <c r="S217" s="14"/>
      <c r="T217" s="14"/>
      <c r="U217" s="14"/>
      <c r="V217" s="14"/>
      <c r="W217" s="14"/>
      <c r="X217" s="14"/>
      <c r="Y217" s="8"/>
      <c r="Z217" s="8"/>
      <c r="AA217" s="8"/>
    </row>
    <row r="218" spans="1:31" ht="15.75" x14ac:dyDescent="0.25">
      <c r="A218" s="42"/>
      <c r="C218" s="652" t="str">
        <f t="shared" si="23"/>
        <v>TEE HG 1 1/2</v>
      </c>
      <c r="D218" s="644"/>
      <c r="E218" s="644"/>
      <c r="F218" s="644"/>
      <c r="G218" s="642"/>
      <c r="H218" s="51">
        <v>70</v>
      </c>
      <c r="I218" s="51"/>
      <c r="J218" s="38"/>
      <c r="K218" s="52">
        <f t="shared" si="24"/>
        <v>70</v>
      </c>
      <c r="L218" s="15">
        <f t="shared" si="25"/>
        <v>0</v>
      </c>
      <c r="M218" s="69">
        <f t="shared" si="26"/>
        <v>70</v>
      </c>
      <c r="N218" s="104">
        <f t="shared" si="27"/>
        <v>0</v>
      </c>
      <c r="O218" s="12"/>
      <c r="P218" s="12"/>
      <c r="Q218" s="12"/>
      <c r="R218" s="12"/>
      <c r="S218" s="14"/>
      <c r="T218" s="14"/>
      <c r="U218" s="14"/>
      <c r="V218" s="14"/>
      <c r="W218" s="14"/>
      <c r="X218" s="14"/>
      <c r="Y218" s="8"/>
      <c r="Z218" s="8"/>
      <c r="AA218" s="8"/>
    </row>
    <row r="219" spans="1:31" ht="15.75" x14ac:dyDescent="0.25">
      <c r="A219" s="42"/>
      <c r="C219" s="652" t="str">
        <f t="shared" si="23"/>
        <v>CHECK PVC 1/2</v>
      </c>
      <c r="D219" s="644"/>
      <c r="E219" s="644"/>
      <c r="F219" s="644"/>
      <c r="G219" s="642"/>
      <c r="H219" s="51">
        <v>300</v>
      </c>
      <c r="I219" s="51"/>
      <c r="J219" s="147"/>
      <c r="K219" s="52">
        <f t="shared" si="24"/>
        <v>300</v>
      </c>
      <c r="L219" s="15">
        <f t="shared" si="25"/>
        <v>0</v>
      </c>
      <c r="M219" s="69">
        <f t="shared" si="26"/>
        <v>300</v>
      </c>
      <c r="N219" s="104">
        <f t="shared" si="27"/>
        <v>0</v>
      </c>
      <c r="O219" s="12"/>
      <c r="P219" s="12"/>
      <c r="Q219" s="12"/>
      <c r="R219" s="12"/>
      <c r="S219" s="14"/>
      <c r="T219" s="14"/>
      <c r="U219" s="14"/>
      <c r="V219" s="14"/>
      <c r="W219" s="14"/>
      <c r="X219" s="14"/>
      <c r="Y219" s="8"/>
      <c r="Z219" s="8"/>
      <c r="AA219" s="8"/>
    </row>
    <row r="220" spans="1:31" ht="15.75" x14ac:dyDescent="0.25">
      <c r="A220" s="42"/>
      <c r="C220" s="652" t="str">
        <f t="shared" si="23"/>
        <v>CHECK PVC 3/4</v>
      </c>
      <c r="D220" s="644"/>
      <c r="E220" s="644"/>
      <c r="F220" s="644"/>
      <c r="G220" s="642"/>
      <c r="H220" s="51">
        <v>97</v>
      </c>
      <c r="I220" s="51"/>
      <c r="J220" s="147"/>
      <c r="K220" s="52">
        <f t="shared" si="24"/>
        <v>97</v>
      </c>
      <c r="L220" s="15">
        <f t="shared" si="25"/>
        <v>0</v>
      </c>
      <c r="M220" s="69">
        <f t="shared" si="26"/>
        <v>97</v>
      </c>
      <c r="N220" s="104">
        <f t="shared" si="27"/>
        <v>0</v>
      </c>
      <c r="O220" s="12"/>
      <c r="P220" s="12"/>
      <c r="Q220" s="12"/>
      <c r="R220" s="12"/>
      <c r="S220" s="14"/>
      <c r="T220" s="14"/>
      <c r="U220" s="14"/>
      <c r="V220" s="14"/>
      <c r="W220" s="14"/>
      <c r="X220" s="14"/>
      <c r="Y220" s="8"/>
      <c r="Z220" s="8"/>
      <c r="AA220" s="8"/>
    </row>
    <row r="221" spans="1:31" ht="15.75" x14ac:dyDescent="0.25">
      <c r="A221" s="42"/>
      <c r="C221" s="652" t="str">
        <f t="shared" si="23"/>
        <v>CHECK PVC 1</v>
      </c>
      <c r="D221" s="644"/>
      <c r="E221" s="644"/>
      <c r="F221" s="644"/>
      <c r="G221" s="642"/>
      <c r="H221" s="51">
        <v>40</v>
      </c>
      <c r="I221" s="51"/>
      <c r="J221" s="148"/>
      <c r="K221" s="52">
        <f t="shared" si="24"/>
        <v>40</v>
      </c>
      <c r="L221" s="15">
        <f t="shared" si="25"/>
        <v>0</v>
      </c>
      <c r="M221" s="69">
        <f t="shared" si="26"/>
        <v>40</v>
      </c>
      <c r="N221" s="104">
        <f t="shared" si="27"/>
        <v>0</v>
      </c>
      <c r="O221" s="12"/>
      <c r="P221" s="12"/>
      <c r="Q221" s="12"/>
      <c r="R221" s="12"/>
      <c r="S221" s="14"/>
      <c r="T221" s="14"/>
      <c r="U221" s="14"/>
      <c r="V221" s="14"/>
      <c r="W221" s="14"/>
      <c r="X221" s="14"/>
      <c r="Y221" s="8"/>
      <c r="Z221" s="8"/>
      <c r="AA221" s="8"/>
    </row>
    <row r="222" spans="1:31" ht="15.75" x14ac:dyDescent="0.25">
      <c r="A222" s="42"/>
      <c r="C222" s="652" t="str">
        <f t="shared" si="23"/>
        <v>CHECK PVC 1 1/2</v>
      </c>
      <c r="D222" s="644"/>
      <c r="E222" s="644"/>
      <c r="F222" s="644"/>
      <c r="G222" s="642"/>
      <c r="H222" s="51">
        <v>20</v>
      </c>
      <c r="I222" s="51"/>
      <c r="J222" s="147"/>
      <c r="K222" s="52">
        <f t="shared" si="24"/>
        <v>20</v>
      </c>
      <c r="L222" s="15">
        <f t="shared" si="25"/>
        <v>0</v>
      </c>
      <c r="M222" s="69">
        <f t="shared" si="26"/>
        <v>20</v>
      </c>
      <c r="N222" s="104">
        <f t="shared" si="27"/>
        <v>0</v>
      </c>
      <c r="O222" s="12"/>
      <c r="P222" s="12"/>
      <c r="Q222" s="12"/>
      <c r="R222" s="12"/>
      <c r="S222" s="14"/>
      <c r="T222" s="14"/>
      <c r="U222" s="14"/>
      <c r="V222" s="14"/>
      <c r="W222" s="14"/>
      <c r="X222" s="14"/>
      <c r="Y222" s="8"/>
      <c r="Z222" s="8"/>
      <c r="AA222" s="8"/>
    </row>
    <row r="223" spans="1:31" ht="15.75" x14ac:dyDescent="0.25">
      <c r="A223" s="42"/>
      <c r="C223" s="652" t="str">
        <f t="shared" si="23"/>
        <v>ANILLO A/F C/R 3/4 PVC</v>
      </c>
      <c r="D223" s="644"/>
      <c r="E223" s="644"/>
      <c r="F223" s="644"/>
      <c r="G223" s="642"/>
      <c r="H223" s="51">
        <v>500</v>
      </c>
      <c r="I223" s="51"/>
      <c r="J223" s="147"/>
      <c r="K223" s="52">
        <f t="shared" si="24"/>
        <v>500</v>
      </c>
      <c r="L223" s="15">
        <f t="shared" si="25"/>
        <v>0</v>
      </c>
      <c r="M223" s="69">
        <f t="shared" si="26"/>
        <v>500</v>
      </c>
      <c r="N223" s="104">
        <f t="shared" si="27"/>
        <v>0</v>
      </c>
      <c r="O223" s="12"/>
      <c r="P223" s="12"/>
      <c r="Q223" s="12"/>
      <c r="R223" s="12"/>
      <c r="S223" s="14"/>
      <c r="T223" s="14"/>
      <c r="U223" s="14"/>
      <c r="V223" s="14"/>
      <c r="W223" s="14"/>
      <c r="X223" s="14"/>
      <c r="Y223" s="8"/>
      <c r="Z223" s="8"/>
      <c r="AA223" s="8"/>
    </row>
    <row r="224" spans="1:31" ht="15.75" x14ac:dyDescent="0.25">
      <c r="A224" s="42"/>
      <c r="C224" s="652" t="str">
        <f t="shared" si="23"/>
        <v>ANILLO A/F C/R 1/2 PVC</v>
      </c>
      <c r="D224" s="644"/>
      <c r="E224" s="644"/>
      <c r="F224" s="644"/>
      <c r="G224" s="642"/>
      <c r="H224" s="51">
        <v>86</v>
      </c>
      <c r="I224" s="51"/>
      <c r="J224" s="147"/>
      <c r="K224" s="52">
        <f t="shared" si="24"/>
        <v>86</v>
      </c>
      <c r="L224" s="15">
        <f t="shared" si="25"/>
        <v>0</v>
      </c>
      <c r="M224" s="69">
        <f t="shared" si="26"/>
        <v>86</v>
      </c>
      <c r="N224" s="104">
        <f t="shared" si="27"/>
        <v>0</v>
      </c>
      <c r="O224" s="12"/>
      <c r="P224" s="12"/>
      <c r="Q224" s="12"/>
      <c r="R224" s="12"/>
      <c r="S224" s="14"/>
      <c r="T224" s="14"/>
      <c r="U224" s="14"/>
      <c r="V224" s="14"/>
      <c r="W224" s="14"/>
      <c r="X224" s="14"/>
      <c r="Y224" s="8"/>
      <c r="Z224" s="8"/>
      <c r="AA224" s="8"/>
    </row>
    <row r="225" spans="1:30" ht="15.75" x14ac:dyDescent="0.25">
      <c r="A225" s="42"/>
      <c r="C225" s="652" t="str">
        <f t="shared" si="23"/>
        <v>TEE A/F C/R 1/2 PVC</v>
      </c>
      <c r="D225" s="644"/>
      <c r="E225" s="644"/>
      <c r="F225" s="644"/>
      <c r="G225" s="642"/>
      <c r="H225" s="51">
        <v>255</v>
      </c>
      <c r="I225" s="51"/>
      <c r="J225" s="38"/>
      <c r="K225" s="52">
        <f t="shared" si="24"/>
        <v>255</v>
      </c>
      <c r="L225" s="15">
        <f t="shared" si="25"/>
        <v>0</v>
      </c>
      <c r="M225" s="69">
        <f t="shared" si="26"/>
        <v>255</v>
      </c>
      <c r="N225" s="104">
        <f t="shared" si="27"/>
        <v>0</v>
      </c>
      <c r="O225" s="12"/>
      <c r="P225" s="12"/>
      <c r="Q225" s="12"/>
      <c r="R225" s="12"/>
      <c r="S225" s="14"/>
      <c r="T225" s="14"/>
      <c r="U225" s="14"/>
      <c r="V225" s="14"/>
      <c r="W225" s="14"/>
      <c r="X225" s="14"/>
      <c r="Y225" s="8"/>
      <c r="Z225" s="8"/>
      <c r="AA225" s="8"/>
    </row>
    <row r="226" spans="1:30" ht="15.75" x14ac:dyDescent="0.25">
      <c r="A226" s="42"/>
      <c r="C226" s="652" t="str">
        <f t="shared" si="23"/>
        <v>TEE A/F C/R 3/4 PVC</v>
      </c>
      <c r="D226" s="644"/>
      <c r="E226" s="644"/>
      <c r="F226" s="644"/>
      <c r="G226" s="642"/>
      <c r="H226" s="51">
        <v>226</v>
      </c>
      <c r="I226" s="51"/>
      <c r="J226" s="38"/>
      <c r="K226" s="52">
        <f t="shared" si="24"/>
        <v>226</v>
      </c>
      <c r="L226" s="15">
        <f t="shared" si="25"/>
        <v>0</v>
      </c>
      <c r="M226" s="69">
        <f t="shared" si="26"/>
        <v>226</v>
      </c>
      <c r="N226" s="104">
        <f t="shared" si="27"/>
        <v>0</v>
      </c>
      <c r="O226" s="12"/>
      <c r="P226" s="12"/>
      <c r="Q226" s="12"/>
      <c r="R226" s="12"/>
      <c r="S226" s="12"/>
      <c r="T226" s="12"/>
      <c r="U226" s="12"/>
      <c r="V226" s="12"/>
      <c r="W226" s="12"/>
      <c r="X226" s="12"/>
    </row>
    <row r="227" spans="1:30" ht="15.75" x14ac:dyDescent="0.25">
      <c r="A227" s="42"/>
      <c r="C227" s="652" t="str">
        <f t="shared" si="23"/>
        <v>CODO A/F C/R 1/2 X 90 PVC</v>
      </c>
      <c r="D227" s="644"/>
      <c r="E227" s="644"/>
      <c r="F227" s="644"/>
      <c r="G227" s="642"/>
      <c r="H227" s="51">
        <v>180</v>
      </c>
      <c r="I227" s="51"/>
      <c r="J227" s="38"/>
      <c r="K227" s="52">
        <f t="shared" si="24"/>
        <v>180</v>
      </c>
      <c r="L227" s="15">
        <f t="shared" si="25"/>
        <v>0</v>
      </c>
      <c r="M227" s="69">
        <f t="shared" si="26"/>
        <v>180</v>
      </c>
      <c r="N227" s="104">
        <f t="shared" si="27"/>
        <v>0</v>
      </c>
      <c r="O227" s="12"/>
      <c r="P227" s="12"/>
      <c r="Q227" s="12"/>
      <c r="R227" s="12"/>
      <c r="S227" s="12"/>
      <c r="T227" s="12"/>
      <c r="U227" s="12"/>
      <c r="V227" s="12"/>
      <c r="W227" s="12"/>
      <c r="X227" s="12"/>
    </row>
    <row r="228" spans="1:30" ht="15.75" x14ac:dyDescent="0.25">
      <c r="A228" s="42"/>
      <c r="C228" s="652" t="str">
        <f t="shared" si="23"/>
        <v>TAPA A/F C/R 1/2 PVC</v>
      </c>
      <c r="D228" s="644"/>
      <c r="E228" s="644"/>
      <c r="F228" s="644"/>
      <c r="G228" s="642"/>
      <c r="H228" s="51">
        <v>300</v>
      </c>
      <c r="I228" s="51"/>
      <c r="J228" s="147"/>
      <c r="K228" s="52">
        <f t="shared" si="24"/>
        <v>300</v>
      </c>
      <c r="L228" s="15">
        <f t="shared" si="25"/>
        <v>0</v>
      </c>
      <c r="M228" s="69">
        <f t="shared" si="26"/>
        <v>300</v>
      </c>
      <c r="N228" s="104">
        <f t="shared" si="27"/>
        <v>0</v>
      </c>
      <c r="O228" s="12"/>
      <c r="P228" s="12"/>
      <c r="Q228" s="12"/>
      <c r="R228" s="12"/>
      <c r="S228" s="12"/>
      <c r="T228" s="12"/>
      <c r="U228" s="12"/>
      <c r="V228" s="12"/>
      <c r="W228" s="12"/>
      <c r="X228" s="12"/>
    </row>
    <row r="229" spans="1:30" ht="15.75" x14ac:dyDescent="0.25">
      <c r="A229" s="42"/>
      <c r="C229" s="652" t="str">
        <f t="shared" si="23"/>
        <v>TAPA A/F C/R 3/4 PVC</v>
      </c>
      <c r="D229" s="644"/>
      <c r="E229" s="644"/>
      <c r="F229" s="644"/>
      <c r="G229" s="642"/>
      <c r="H229" s="51">
        <v>388</v>
      </c>
      <c r="I229" s="51"/>
      <c r="J229" s="147"/>
      <c r="K229" s="52">
        <f t="shared" si="24"/>
        <v>388</v>
      </c>
      <c r="L229" s="15">
        <f t="shared" si="25"/>
        <v>0</v>
      </c>
      <c r="M229" s="69">
        <f t="shared" si="26"/>
        <v>388</v>
      </c>
      <c r="N229" s="104">
        <f t="shared" si="27"/>
        <v>0</v>
      </c>
      <c r="O229" s="12"/>
      <c r="P229" s="143"/>
      <c r="Q229" s="143"/>
      <c r="R229" s="143"/>
      <c r="S229" s="143"/>
      <c r="T229" s="143"/>
      <c r="U229" s="143"/>
      <c r="V229" s="143"/>
      <c r="W229" s="143"/>
      <c r="X229" s="143"/>
      <c r="Y229" s="143"/>
      <c r="Z229" s="143"/>
      <c r="AA229" s="143"/>
    </row>
    <row r="230" spans="1:30" ht="15.75" x14ac:dyDescent="0.25">
      <c r="A230" s="42"/>
      <c r="C230" s="652" t="str">
        <f t="shared" si="23"/>
        <v>FLANCHE PVC 3/4 ECON</v>
      </c>
      <c r="D230" s="644"/>
      <c r="E230" s="644"/>
      <c r="F230" s="644"/>
      <c r="G230" s="642"/>
      <c r="H230" s="51">
        <v>113</v>
      </c>
      <c r="I230" s="51"/>
      <c r="J230" s="147"/>
      <c r="K230" s="52">
        <f t="shared" si="24"/>
        <v>113</v>
      </c>
      <c r="L230" s="15">
        <f t="shared" si="25"/>
        <v>0</v>
      </c>
      <c r="M230" s="69">
        <f t="shared" si="26"/>
        <v>113</v>
      </c>
      <c r="N230" s="104">
        <f t="shared" si="27"/>
        <v>0</v>
      </c>
      <c r="O230" s="12"/>
      <c r="P230" s="143"/>
      <c r="Q230" s="143"/>
      <c r="R230" s="143"/>
      <c r="S230" s="143"/>
      <c r="T230" s="143"/>
      <c r="U230" s="143"/>
      <c r="V230" s="143"/>
      <c r="W230" s="143"/>
      <c r="X230" s="143"/>
      <c r="Y230" s="143"/>
      <c r="Z230" s="143"/>
      <c r="AA230" s="143"/>
    </row>
    <row r="231" spans="1:30" ht="15.75" x14ac:dyDescent="0.25">
      <c r="A231" s="42"/>
      <c r="C231" s="652" t="str">
        <f t="shared" si="23"/>
        <v>UNION PAT A/F 1 1/2 P/P ECON</v>
      </c>
      <c r="D231" s="644"/>
      <c r="E231" s="644"/>
      <c r="F231" s="644"/>
      <c r="G231" s="642"/>
      <c r="H231" s="51">
        <v>8</v>
      </c>
      <c r="I231" s="51"/>
      <c r="J231" s="147"/>
      <c r="K231" s="52">
        <f t="shared" si="24"/>
        <v>8</v>
      </c>
      <c r="L231" s="15">
        <f t="shared" si="25"/>
        <v>0</v>
      </c>
      <c r="M231" s="69">
        <f t="shared" si="26"/>
        <v>8</v>
      </c>
      <c r="N231" s="104">
        <f t="shared" si="27"/>
        <v>0</v>
      </c>
      <c r="O231" s="12"/>
      <c r="P231" s="143"/>
      <c r="Q231" s="143"/>
      <c r="R231" s="143"/>
      <c r="S231" s="143"/>
      <c r="T231" s="143"/>
      <c r="U231" s="143"/>
      <c r="V231" s="143"/>
      <c r="W231" s="143"/>
      <c r="X231" s="143"/>
      <c r="Y231" s="143"/>
      <c r="Z231" s="143"/>
      <c r="AA231" s="143"/>
    </row>
    <row r="232" spans="1:30" ht="15.75" x14ac:dyDescent="0.25">
      <c r="A232" s="42"/>
      <c r="C232" s="652" t="str">
        <f t="shared" si="23"/>
        <v>UNION PAT A/F 1/2 P/P ECON</v>
      </c>
      <c r="D232" s="644"/>
      <c r="E232" s="644"/>
      <c r="F232" s="644"/>
      <c r="G232" s="642"/>
      <c r="H232" s="51">
        <v>101</v>
      </c>
      <c r="I232" s="51"/>
      <c r="J232" s="147"/>
      <c r="K232" s="52">
        <f t="shared" si="24"/>
        <v>101</v>
      </c>
      <c r="L232" s="15">
        <f t="shared" si="25"/>
        <v>0</v>
      </c>
      <c r="M232" s="69">
        <f t="shared" si="26"/>
        <v>101</v>
      </c>
      <c r="N232" s="104">
        <f t="shared" si="27"/>
        <v>0</v>
      </c>
      <c r="O232" s="12"/>
      <c r="P232" s="143"/>
      <c r="Q232" s="143"/>
      <c r="R232" s="143"/>
      <c r="S232" s="143"/>
      <c r="T232" s="143"/>
      <c r="U232" s="143"/>
      <c r="V232" s="143"/>
      <c r="W232" s="143"/>
      <c r="X232" s="143"/>
      <c r="Y232" s="143"/>
      <c r="Z232" s="143"/>
      <c r="AA232" s="143"/>
    </row>
    <row r="233" spans="1:30" ht="15.75" x14ac:dyDescent="0.25">
      <c r="A233" s="42"/>
      <c r="C233" s="652" t="str">
        <f t="shared" si="23"/>
        <v>TEE A/F 1 1/2 P/P</v>
      </c>
      <c r="D233" s="644"/>
      <c r="E233" s="644"/>
      <c r="F233" s="644"/>
      <c r="G233" s="642"/>
      <c r="H233" s="51">
        <v>200</v>
      </c>
      <c r="I233" s="51"/>
      <c r="J233" s="147"/>
      <c r="K233" s="52">
        <f t="shared" si="24"/>
        <v>200</v>
      </c>
      <c r="L233" s="15">
        <f t="shared" si="25"/>
        <v>0</v>
      </c>
      <c r="M233" s="69">
        <f t="shared" si="26"/>
        <v>200</v>
      </c>
      <c r="N233" s="104">
        <f t="shared" si="27"/>
        <v>0</v>
      </c>
      <c r="O233" s="12"/>
      <c r="P233" s="143"/>
      <c r="Q233" s="143"/>
      <c r="R233" s="143"/>
      <c r="S233" s="143"/>
      <c r="T233" s="143"/>
      <c r="U233" s="143"/>
      <c r="V233" s="143"/>
      <c r="W233" s="143"/>
      <c r="X233" s="143"/>
      <c r="Y233" s="143"/>
      <c r="Z233" s="143"/>
      <c r="AA233" s="143"/>
    </row>
    <row r="234" spans="1:30" ht="15.75" x14ac:dyDescent="0.25">
      <c r="A234" s="42"/>
      <c r="C234" s="652" t="str">
        <f t="shared" si="23"/>
        <v>TEE A/F 2 P/P</v>
      </c>
      <c r="D234" s="644"/>
      <c r="E234" s="644"/>
      <c r="F234" s="644"/>
      <c r="G234" s="642"/>
      <c r="H234" s="51">
        <v>25</v>
      </c>
      <c r="I234" s="51"/>
      <c r="J234" s="38"/>
      <c r="K234" s="52">
        <f t="shared" si="24"/>
        <v>25</v>
      </c>
      <c r="L234" s="15">
        <f t="shared" si="25"/>
        <v>0</v>
      </c>
      <c r="M234" s="69">
        <f t="shared" si="26"/>
        <v>25</v>
      </c>
      <c r="N234" s="104">
        <f t="shared" si="27"/>
        <v>0</v>
      </c>
      <c r="O234" s="12"/>
      <c r="P234" s="12"/>
      <c r="Q234" s="12"/>
      <c r="R234" s="12"/>
      <c r="S234" s="12"/>
      <c r="T234" s="12"/>
      <c r="U234" s="12"/>
      <c r="V234" s="12"/>
      <c r="W234" s="12"/>
      <c r="X234" s="12"/>
    </row>
    <row r="235" spans="1:30" ht="15.75" x14ac:dyDescent="0.25">
      <c r="A235" s="42"/>
      <c r="C235" s="652" t="str">
        <f t="shared" si="23"/>
        <v>BUJE A/F 3/4 X 1/2</v>
      </c>
      <c r="D235" s="644"/>
      <c r="E235" s="644"/>
      <c r="F235" s="644"/>
      <c r="G235" s="642"/>
      <c r="H235" s="51">
        <v>361</v>
      </c>
      <c r="I235" s="28"/>
      <c r="J235" s="28"/>
      <c r="K235" s="52">
        <f t="shared" ref="K235:K274" si="28">H235</f>
        <v>361</v>
      </c>
      <c r="L235" s="15">
        <f t="shared" ref="L235:L274" si="29">X162</f>
        <v>0</v>
      </c>
      <c r="M235" s="69">
        <f t="shared" ref="M235:M274" si="30">K235-L235</f>
        <v>361</v>
      </c>
      <c r="N235" s="104">
        <f t="shared" ref="N235:N274" si="31">M235*I235</f>
        <v>0</v>
      </c>
    </row>
    <row r="236" spans="1:30" ht="15.75" x14ac:dyDescent="0.25">
      <c r="A236" s="42"/>
      <c r="C236" s="652" t="str">
        <f t="shared" si="23"/>
        <v>BUJE A/F 1 X 3/4</v>
      </c>
      <c r="D236" s="644"/>
      <c r="E236" s="644"/>
      <c r="F236" s="644"/>
      <c r="G236" s="642"/>
      <c r="H236" s="51">
        <v>53</v>
      </c>
      <c r="I236" s="28"/>
      <c r="J236" s="28"/>
      <c r="K236" s="52">
        <f t="shared" si="28"/>
        <v>53</v>
      </c>
      <c r="L236" s="15">
        <f t="shared" si="29"/>
        <v>0</v>
      </c>
      <c r="M236" s="69">
        <f t="shared" si="30"/>
        <v>53</v>
      </c>
      <c r="N236" s="104">
        <f t="shared" si="31"/>
        <v>0</v>
      </c>
      <c r="O236" s="14"/>
      <c r="P236" s="14"/>
      <c r="Q236" s="14"/>
      <c r="R236" s="14"/>
      <c r="S236" s="14"/>
      <c r="T236" s="14"/>
      <c r="U236" s="14"/>
      <c r="V236" s="14"/>
      <c r="AA236" s="14"/>
      <c r="AB236" s="12"/>
      <c r="AC236" s="12"/>
      <c r="AD236" s="12"/>
    </row>
    <row r="237" spans="1:30" ht="18.75" x14ac:dyDescent="0.25">
      <c r="A237" s="42"/>
      <c r="C237" s="652" t="str">
        <f t="shared" si="23"/>
        <v>ADAPT HEM A/F 1 1/2</v>
      </c>
      <c r="D237" s="644"/>
      <c r="E237" s="644"/>
      <c r="F237" s="644"/>
      <c r="G237" s="642"/>
      <c r="H237" s="51">
        <v>50</v>
      </c>
      <c r="I237" s="149"/>
      <c r="J237" s="149"/>
      <c r="K237" s="52">
        <f t="shared" si="28"/>
        <v>50</v>
      </c>
      <c r="L237" s="15">
        <f t="shared" si="29"/>
        <v>0</v>
      </c>
      <c r="M237" s="69">
        <f t="shared" si="30"/>
        <v>50</v>
      </c>
      <c r="N237" s="104">
        <f t="shared" si="31"/>
        <v>0</v>
      </c>
      <c r="O237" s="135"/>
      <c r="P237" s="135"/>
      <c r="Q237" s="135"/>
      <c r="R237" s="135"/>
      <c r="S237" s="135"/>
      <c r="T237" s="135"/>
      <c r="U237" s="135"/>
      <c r="V237" s="12"/>
      <c r="W237" s="12"/>
      <c r="X237" s="12"/>
      <c r="Y237" s="12"/>
      <c r="Z237" s="12"/>
    </row>
    <row r="238" spans="1:30" ht="15.75" x14ac:dyDescent="0.25">
      <c r="A238" s="42"/>
      <c r="C238" s="652" t="str">
        <f t="shared" si="23"/>
        <v>CHECK PVC A/N 4</v>
      </c>
      <c r="D238" s="644"/>
      <c r="E238" s="644"/>
      <c r="F238" s="644"/>
      <c r="G238" s="642"/>
      <c r="H238" s="51">
        <v>1</v>
      </c>
      <c r="I238" s="38"/>
      <c r="J238" s="146"/>
      <c r="K238" s="52">
        <f t="shared" si="28"/>
        <v>1</v>
      </c>
      <c r="L238" s="15">
        <f t="shared" si="29"/>
        <v>0</v>
      </c>
      <c r="M238" s="69">
        <f t="shared" si="30"/>
        <v>1</v>
      </c>
      <c r="N238" s="104">
        <f t="shared" si="31"/>
        <v>0</v>
      </c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 spans="1:30" ht="15.75" x14ac:dyDescent="0.25">
      <c r="A239" s="42"/>
      <c r="C239" s="652" t="str">
        <f t="shared" si="23"/>
        <v>YEE 2 IMPLAVEN</v>
      </c>
      <c r="D239" s="644"/>
      <c r="E239" s="644"/>
      <c r="F239" s="644"/>
      <c r="G239" s="642"/>
      <c r="H239" s="51">
        <v>20</v>
      </c>
      <c r="I239" s="28"/>
      <c r="J239" s="76"/>
      <c r="K239" s="52">
        <f t="shared" si="28"/>
        <v>20</v>
      </c>
      <c r="L239" s="15">
        <f t="shared" si="29"/>
        <v>0</v>
      </c>
      <c r="M239" s="69">
        <f t="shared" si="30"/>
        <v>20</v>
      </c>
      <c r="N239" s="104">
        <f t="shared" si="31"/>
        <v>0</v>
      </c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 spans="1:30" ht="15.75" x14ac:dyDescent="0.25">
      <c r="A240" s="42"/>
      <c r="C240" s="652" t="str">
        <f t="shared" si="23"/>
        <v>YEE 3</v>
      </c>
      <c r="D240" s="644"/>
      <c r="E240" s="644"/>
      <c r="F240" s="644"/>
      <c r="G240" s="642"/>
      <c r="H240" s="51">
        <v>24</v>
      </c>
      <c r="I240" s="28"/>
      <c r="J240" s="77"/>
      <c r="K240" s="52">
        <f t="shared" si="28"/>
        <v>24</v>
      </c>
      <c r="L240" s="15">
        <f t="shared" si="29"/>
        <v>0</v>
      </c>
      <c r="M240" s="69">
        <f t="shared" si="30"/>
        <v>24</v>
      </c>
      <c r="N240" s="104">
        <f t="shared" si="31"/>
        <v>0</v>
      </c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 spans="1:31" ht="15.75" x14ac:dyDescent="0.25">
      <c r="A241" s="42"/>
      <c r="C241" s="652" t="str">
        <f t="shared" si="23"/>
        <v>YEE A/N 4X2</v>
      </c>
      <c r="D241" s="644"/>
      <c r="E241" s="644"/>
      <c r="F241" s="644"/>
      <c r="G241" s="642"/>
      <c r="H241" s="51">
        <v>36</v>
      </c>
      <c r="I241" s="28"/>
      <c r="J241" s="76"/>
      <c r="K241" s="52">
        <f t="shared" si="28"/>
        <v>36</v>
      </c>
      <c r="L241" s="15">
        <f t="shared" si="29"/>
        <v>15</v>
      </c>
      <c r="M241" s="69">
        <f>K241-L241</f>
        <v>21</v>
      </c>
      <c r="N241" s="104">
        <f t="shared" si="31"/>
        <v>0</v>
      </c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 spans="1:31" ht="15.75" x14ac:dyDescent="0.25">
      <c r="A242" s="42"/>
      <c r="C242" s="652" t="str">
        <f t="shared" si="23"/>
        <v>YEE A/N 4</v>
      </c>
      <c r="D242" s="644"/>
      <c r="E242" s="644"/>
      <c r="F242" s="644"/>
      <c r="G242" s="642"/>
      <c r="H242" s="51">
        <v>39</v>
      </c>
      <c r="I242" s="28"/>
      <c r="J242" s="76"/>
      <c r="K242" s="52">
        <f t="shared" si="28"/>
        <v>39</v>
      </c>
      <c r="L242" s="15">
        <f t="shared" si="29"/>
        <v>15</v>
      </c>
      <c r="M242" s="69">
        <f t="shared" si="30"/>
        <v>24</v>
      </c>
      <c r="N242" s="104">
        <f t="shared" si="31"/>
        <v>0</v>
      </c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 spans="1:31" ht="15.75" x14ac:dyDescent="0.25">
      <c r="A243" s="42"/>
      <c r="C243" s="652" t="str">
        <f t="shared" si="23"/>
        <v>TEE A/N 2</v>
      </c>
      <c r="D243" s="644"/>
      <c r="E243" s="644"/>
      <c r="F243" s="644"/>
      <c r="G243" s="642"/>
      <c r="H243" s="51">
        <v>180</v>
      </c>
      <c r="I243" s="28"/>
      <c r="J243" s="76"/>
      <c r="K243" s="52">
        <f t="shared" si="28"/>
        <v>180</v>
      </c>
      <c r="L243" s="15">
        <f t="shared" si="29"/>
        <v>0</v>
      </c>
      <c r="M243" s="69">
        <f t="shared" si="30"/>
        <v>180</v>
      </c>
      <c r="N243" s="104">
        <f t="shared" si="31"/>
        <v>0</v>
      </c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 spans="1:31" ht="15.75" x14ac:dyDescent="0.25">
      <c r="A244" s="42"/>
      <c r="C244" s="652" t="str">
        <f t="shared" si="23"/>
        <v>TEE A/N 3</v>
      </c>
      <c r="D244" s="644"/>
      <c r="E244" s="644"/>
      <c r="F244" s="644"/>
      <c r="G244" s="642"/>
      <c r="H244" s="51">
        <v>170</v>
      </c>
      <c r="I244" s="28"/>
      <c r="J244" s="76"/>
      <c r="K244" s="52">
        <f t="shared" si="28"/>
        <v>170</v>
      </c>
      <c r="L244" s="15">
        <f t="shared" si="29"/>
        <v>0</v>
      </c>
      <c r="M244" s="69">
        <f t="shared" si="30"/>
        <v>170</v>
      </c>
      <c r="N244" s="104">
        <f t="shared" si="31"/>
        <v>0</v>
      </c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 spans="1:31" ht="15.75" x14ac:dyDescent="0.25">
      <c r="A245" s="42"/>
      <c r="C245" s="652" t="str">
        <f t="shared" si="23"/>
        <v>TEE A/N 4</v>
      </c>
      <c r="D245" s="644"/>
      <c r="E245" s="644"/>
      <c r="F245" s="644"/>
      <c r="G245" s="642"/>
      <c r="H245" s="51">
        <v>57</v>
      </c>
      <c r="I245" s="28"/>
      <c r="J245" s="28"/>
      <c r="K245" s="52">
        <f t="shared" si="28"/>
        <v>57</v>
      </c>
      <c r="L245" s="15">
        <f t="shared" si="29"/>
        <v>10</v>
      </c>
      <c r="M245" s="69">
        <f t="shared" si="30"/>
        <v>47</v>
      </c>
      <c r="N245" s="104">
        <f t="shared" si="31"/>
        <v>0</v>
      </c>
      <c r="O245" s="10"/>
      <c r="P245" s="12"/>
      <c r="Q245" s="12"/>
      <c r="R245" s="12"/>
      <c r="S245" s="12"/>
      <c r="T245" s="12"/>
      <c r="U245" s="12"/>
    </row>
    <row r="246" spans="1:31" ht="15.75" x14ac:dyDescent="0.25">
      <c r="A246" s="42"/>
      <c r="C246" s="652" t="str">
        <f t="shared" si="23"/>
        <v>TEE A/N 4X2</v>
      </c>
      <c r="D246" s="644"/>
      <c r="E246" s="644"/>
      <c r="F246" s="644"/>
      <c r="G246" s="642"/>
      <c r="H246" s="51">
        <v>25</v>
      </c>
      <c r="I246" s="28"/>
      <c r="J246" s="28"/>
      <c r="K246" s="52">
        <f t="shared" si="28"/>
        <v>25</v>
      </c>
      <c r="L246" s="15">
        <f t="shared" si="29"/>
        <v>10</v>
      </c>
      <c r="M246" s="69">
        <f t="shared" si="30"/>
        <v>15</v>
      </c>
      <c r="N246" s="104">
        <f t="shared" si="31"/>
        <v>0</v>
      </c>
      <c r="O246" s="140"/>
      <c r="P246" s="12"/>
      <c r="Q246" s="12"/>
      <c r="R246" s="12"/>
      <c r="S246" s="12"/>
      <c r="T246" s="12"/>
      <c r="U246" s="12"/>
    </row>
    <row r="247" spans="1:31" ht="15.75" x14ac:dyDescent="0.25">
      <c r="A247" s="42"/>
      <c r="C247" s="652" t="str">
        <f t="shared" si="23"/>
        <v>TEE 3X2 UNIPLAST</v>
      </c>
      <c r="D247" s="644"/>
      <c r="E247" s="644"/>
      <c r="F247" s="644"/>
      <c r="G247" s="642"/>
      <c r="H247" s="51">
        <v>18</v>
      </c>
      <c r="I247" s="28"/>
      <c r="J247" s="28"/>
      <c r="K247" s="52">
        <f t="shared" si="28"/>
        <v>18</v>
      </c>
      <c r="L247" s="15">
        <f t="shared" si="29"/>
        <v>0</v>
      </c>
      <c r="M247" s="69">
        <f t="shared" si="30"/>
        <v>18</v>
      </c>
      <c r="N247" s="104">
        <f t="shared" si="31"/>
        <v>0</v>
      </c>
      <c r="O247" s="12"/>
      <c r="P247" s="12"/>
      <c r="Q247" s="12"/>
      <c r="R247" s="12"/>
      <c r="S247" s="12"/>
      <c r="T247" s="12"/>
      <c r="U247" s="12"/>
      <c r="V247" s="140"/>
      <c r="W247" s="12"/>
      <c r="X247" s="12"/>
      <c r="Y247" s="12"/>
      <c r="Z247" s="12"/>
      <c r="AA247" s="12"/>
      <c r="AB247" s="12"/>
      <c r="AE247" s="8"/>
    </row>
    <row r="248" spans="1:31" ht="15.75" x14ac:dyDescent="0.25">
      <c r="A248" s="42"/>
      <c r="C248" s="652" t="str">
        <f t="shared" si="23"/>
        <v>TEE 4X3 PAVCO</v>
      </c>
      <c r="D248" s="644"/>
      <c r="E248" s="644"/>
      <c r="F248" s="644"/>
      <c r="G248" s="642"/>
      <c r="H248" s="51">
        <v>23</v>
      </c>
      <c r="I248" s="28"/>
      <c r="J248" s="28"/>
      <c r="K248" s="52">
        <f t="shared" si="28"/>
        <v>23</v>
      </c>
      <c r="L248" s="15">
        <f t="shared" si="29"/>
        <v>0</v>
      </c>
      <c r="M248" s="69">
        <f t="shared" si="30"/>
        <v>23</v>
      </c>
      <c r="N248" s="104">
        <f t="shared" si="31"/>
        <v>0</v>
      </c>
      <c r="O248" s="12"/>
      <c r="P248" s="12"/>
      <c r="Q248" s="12"/>
      <c r="R248" s="12"/>
      <c r="S248" s="12"/>
      <c r="T248" s="12"/>
      <c r="U248" s="12"/>
      <c r="V248" s="140"/>
      <c r="W248" s="12"/>
      <c r="X248" s="12"/>
      <c r="Y248" s="12"/>
      <c r="Z248" s="12"/>
      <c r="AA248" s="12"/>
      <c r="AB248" s="12"/>
      <c r="AE248" s="8"/>
    </row>
    <row r="249" spans="1:31" ht="18.75" x14ac:dyDescent="0.25">
      <c r="A249" s="42"/>
      <c r="C249" s="652" t="str">
        <f t="shared" si="23"/>
        <v>TAPA A/N 2 REGISTRO</v>
      </c>
      <c r="D249" s="644"/>
      <c r="E249" s="644"/>
      <c r="F249" s="644"/>
      <c r="G249" s="642"/>
      <c r="H249" s="51">
        <v>50</v>
      </c>
      <c r="I249" s="149"/>
      <c r="J249" s="149"/>
      <c r="K249" s="52">
        <f t="shared" si="28"/>
        <v>50</v>
      </c>
      <c r="L249" s="15">
        <f t="shared" si="29"/>
        <v>0</v>
      </c>
      <c r="M249" s="69">
        <f t="shared" si="30"/>
        <v>50</v>
      </c>
      <c r="N249" s="104">
        <f t="shared" si="31"/>
        <v>0</v>
      </c>
      <c r="O249" s="135"/>
      <c r="P249" s="135"/>
      <c r="Q249" s="135"/>
      <c r="R249" s="135"/>
      <c r="S249" s="135"/>
      <c r="T249" s="135"/>
      <c r="U249" s="135"/>
      <c r="V249" s="140"/>
      <c r="W249" s="12"/>
      <c r="X249" s="12"/>
      <c r="Y249" s="12"/>
      <c r="Z249" s="12"/>
      <c r="AA249" s="12"/>
      <c r="AB249" s="12"/>
      <c r="AE249" s="8"/>
    </row>
    <row r="250" spans="1:31" ht="15.75" x14ac:dyDescent="0.25">
      <c r="A250" s="42"/>
      <c r="C250" s="652" t="str">
        <f t="shared" si="23"/>
        <v>TAPA A/N 3 REGISTRO</v>
      </c>
      <c r="D250" s="644"/>
      <c r="E250" s="644"/>
      <c r="F250" s="644"/>
      <c r="G250" s="642"/>
      <c r="H250" s="51">
        <v>63</v>
      </c>
      <c r="I250" s="38"/>
      <c r="J250" s="146"/>
      <c r="K250" s="52">
        <f t="shared" si="28"/>
        <v>63</v>
      </c>
      <c r="L250" s="15">
        <f t="shared" si="29"/>
        <v>0</v>
      </c>
      <c r="M250" s="69">
        <f t="shared" si="30"/>
        <v>63</v>
      </c>
      <c r="N250" s="104">
        <f t="shared" si="31"/>
        <v>0</v>
      </c>
      <c r="O250" s="12"/>
      <c r="P250" s="12"/>
      <c r="Q250" s="12"/>
      <c r="R250" s="12"/>
      <c r="S250" s="12"/>
      <c r="T250" s="12"/>
      <c r="U250" s="12"/>
    </row>
    <row r="251" spans="1:31" ht="15.75" x14ac:dyDescent="0.25">
      <c r="A251" s="42"/>
      <c r="C251" s="652" t="str">
        <f t="shared" si="23"/>
        <v>ANILLO A/N 2</v>
      </c>
      <c r="D251" s="644"/>
      <c r="E251" s="644"/>
      <c r="F251" s="644"/>
      <c r="G251" s="642"/>
      <c r="H251" s="51">
        <v>118</v>
      </c>
      <c r="I251" s="28"/>
      <c r="J251" s="76"/>
      <c r="K251" s="52">
        <f t="shared" si="28"/>
        <v>118</v>
      </c>
      <c r="L251" s="15">
        <f t="shared" si="29"/>
        <v>0</v>
      </c>
      <c r="M251" s="69">
        <f t="shared" si="30"/>
        <v>118</v>
      </c>
      <c r="N251" s="104">
        <f t="shared" si="31"/>
        <v>0</v>
      </c>
      <c r="O251" s="12"/>
      <c r="P251" s="12"/>
      <c r="Q251" s="12"/>
      <c r="R251" s="12"/>
      <c r="S251" s="12"/>
      <c r="T251" s="12"/>
      <c r="U251" s="12"/>
    </row>
    <row r="252" spans="1:31" ht="15.75" x14ac:dyDescent="0.25">
      <c r="A252" s="42"/>
      <c r="C252" s="652" t="str">
        <f t="shared" si="23"/>
        <v>RED A/N 3X2</v>
      </c>
      <c r="D252" s="644"/>
      <c r="E252" s="644"/>
      <c r="F252" s="644"/>
      <c r="G252" s="642"/>
      <c r="H252" s="51">
        <v>25</v>
      </c>
      <c r="I252" s="28"/>
      <c r="J252" s="76"/>
      <c r="K252" s="52">
        <f t="shared" si="28"/>
        <v>25</v>
      </c>
      <c r="L252" s="15">
        <f t="shared" si="29"/>
        <v>0</v>
      </c>
      <c r="M252" s="69">
        <f t="shared" si="30"/>
        <v>25</v>
      </c>
      <c r="N252" s="104">
        <f t="shared" si="31"/>
        <v>0</v>
      </c>
      <c r="O252" s="12"/>
      <c r="P252" s="12"/>
      <c r="Q252" s="12"/>
      <c r="R252" s="12"/>
      <c r="S252" s="12"/>
      <c r="T252" s="12"/>
      <c r="U252" s="12"/>
    </row>
    <row r="253" spans="1:31" ht="15.75" x14ac:dyDescent="0.25">
      <c r="A253" s="42"/>
      <c r="C253" s="652" t="str">
        <f t="shared" si="23"/>
        <v>CODO 3X45 TUBRICA</v>
      </c>
      <c r="D253" s="644"/>
      <c r="E253" s="644"/>
      <c r="F253" s="644"/>
      <c r="G253" s="642"/>
      <c r="H253" s="51">
        <v>50</v>
      </c>
      <c r="I253" s="28"/>
      <c r="J253" s="28"/>
      <c r="K253" s="52">
        <f t="shared" si="28"/>
        <v>50</v>
      </c>
      <c r="L253" s="15">
        <f t="shared" si="29"/>
        <v>0</v>
      </c>
      <c r="M253" s="69">
        <f t="shared" si="30"/>
        <v>50</v>
      </c>
      <c r="N253" s="104">
        <f t="shared" si="31"/>
        <v>0</v>
      </c>
      <c r="O253" s="10"/>
      <c r="P253" s="12"/>
      <c r="Q253" s="12"/>
      <c r="R253" s="12"/>
      <c r="S253" s="12"/>
      <c r="T253" s="12"/>
      <c r="U253" s="12"/>
    </row>
    <row r="254" spans="1:31" ht="15.75" x14ac:dyDescent="0.25">
      <c r="A254" s="42"/>
      <c r="C254" s="652" t="str">
        <f t="shared" si="23"/>
        <v>CODO 4X45 BETAPLAST</v>
      </c>
      <c r="D254" s="644"/>
      <c r="E254" s="644"/>
      <c r="F254" s="644"/>
      <c r="G254" s="642"/>
      <c r="H254" s="51">
        <v>19</v>
      </c>
      <c r="I254" s="28"/>
      <c r="J254" s="28"/>
      <c r="K254" s="52">
        <f t="shared" si="28"/>
        <v>19</v>
      </c>
      <c r="L254" s="15">
        <f t="shared" si="29"/>
        <v>0</v>
      </c>
      <c r="M254" s="69">
        <f t="shared" si="30"/>
        <v>19</v>
      </c>
      <c r="N254" s="104">
        <f t="shared" si="31"/>
        <v>0</v>
      </c>
      <c r="O254" s="140"/>
      <c r="P254" s="12"/>
      <c r="Q254" s="12"/>
      <c r="R254" s="12"/>
      <c r="S254" s="12"/>
      <c r="T254" s="12"/>
      <c r="U254" s="12"/>
    </row>
    <row r="255" spans="1:31" ht="15.75" x14ac:dyDescent="0.25">
      <c r="A255" s="42"/>
      <c r="C255" s="652" t="str">
        <f t="shared" si="23"/>
        <v>CODO 4X90</v>
      </c>
      <c r="D255" s="644"/>
      <c r="E255" s="644"/>
      <c r="F255" s="644"/>
      <c r="G255" s="642"/>
      <c r="H255" s="51">
        <v>30</v>
      </c>
      <c r="I255" s="28"/>
      <c r="J255" s="28"/>
      <c r="K255" s="52">
        <f t="shared" si="28"/>
        <v>30</v>
      </c>
      <c r="L255" s="15">
        <f t="shared" si="29"/>
        <v>0</v>
      </c>
      <c r="M255" s="69">
        <f t="shared" si="30"/>
        <v>30</v>
      </c>
      <c r="N255" s="104">
        <f t="shared" si="31"/>
        <v>0</v>
      </c>
      <c r="O255" s="12"/>
      <c r="P255" s="12"/>
      <c r="Q255" s="12"/>
      <c r="R255" s="12"/>
      <c r="S255" s="12"/>
      <c r="T255" s="12"/>
      <c r="U255" s="12"/>
      <c r="V255" s="140"/>
      <c r="W255" s="12"/>
      <c r="X255" s="12"/>
      <c r="Y255" s="12"/>
      <c r="Z255" s="12"/>
      <c r="AA255" s="12"/>
      <c r="AB255" s="12"/>
      <c r="AE255" s="8"/>
    </row>
    <row r="256" spans="1:31" ht="15.75" x14ac:dyDescent="0.25">
      <c r="A256" s="42"/>
      <c r="C256" s="652" t="str">
        <f t="shared" si="23"/>
        <v>SIFON COMPLETO 2"</v>
      </c>
      <c r="D256" s="644"/>
      <c r="E256" s="644"/>
      <c r="F256" s="644"/>
      <c r="G256" s="642"/>
      <c r="H256" s="51">
        <v>45</v>
      </c>
      <c r="I256" s="28"/>
      <c r="J256" s="28"/>
      <c r="K256" s="52">
        <f t="shared" si="28"/>
        <v>45</v>
      </c>
      <c r="L256" s="15">
        <f t="shared" si="29"/>
        <v>0</v>
      </c>
      <c r="M256" s="69">
        <f t="shared" si="30"/>
        <v>45</v>
      </c>
      <c r="N256" s="104">
        <f t="shared" si="31"/>
        <v>0</v>
      </c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E256" s="8"/>
    </row>
    <row r="257" spans="1:34" ht="18.75" x14ac:dyDescent="0.25">
      <c r="A257" s="42"/>
      <c r="C257" s="652" t="str">
        <f t="shared" si="23"/>
        <v>SIFON 4 COMPLETO BETAPLAST</v>
      </c>
      <c r="D257" s="644"/>
      <c r="E257" s="644"/>
      <c r="F257" s="644"/>
      <c r="G257" s="642"/>
      <c r="H257" s="51">
        <v>10</v>
      </c>
      <c r="I257" s="149"/>
      <c r="J257" s="149"/>
      <c r="K257" s="52">
        <f t="shared" si="28"/>
        <v>10</v>
      </c>
      <c r="L257" s="15">
        <f t="shared" si="29"/>
        <v>0</v>
      </c>
      <c r="M257" s="69">
        <f t="shared" si="30"/>
        <v>10</v>
      </c>
      <c r="N257" s="104">
        <f t="shared" si="31"/>
        <v>0</v>
      </c>
      <c r="O257" s="135"/>
      <c r="P257" s="135"/>
      <c r="Q257" s="135"/>
      <c r="R257" s="135"/>
      <c r="S257" s="135"/>
      <c r="T257" s="135"/>
      <c r="U257" s="135"/>
      <c r="V257" s="12"/>
      <c r="W257" s="12"/>
      <c r="X257" s="12"/>
      <c r="Y257" s="12"/>
      <c r="Z257" s="12"/>
      <c r="AA257" s="12"/>
      <c r="AB257" s="12"/>
      <c r="AE257" s="8"/>
    </row>
    <row r="258" spans="1:34" ht="15.75" x14ac:dyDescent="0.25">
      <c r="A258" s="42"/>
      <c r="C258" s="652" t="str">
        <f t="shared" si="23"/>
        <v>SIFON CORTO 3" DERIVADO</v>
      </c>
      <c r="D258" s="644"/>
      <c r="E258" s="644"/>
      <c r="F258" s="644"/>
      <c r="G258" s="642"/>
      <c r="H258" s="51">
        <v>10</v>
      </c>
      <c r="I258" s="38"/>
      <c r="J258" s="146"/>
      <c r="K258" s="52">
        <f t="shared" si="28"/>
        <v>10</v>
      </c>
      <c r="L258" s="15">
        <f t="shared" si="29"/>
        <v>0</v>
      </c>
      <c r="M258" s="69">
        <f t="shared" si="30"/>
        <v>10</v>
      </c>
      <c r="N258" s="104">
        <f t="shared" si="31"/>
        <v>0</v>
      </c>
      <c r="O258" s="138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4"/>
      <c r="AF258" s="8"/>
      <c r="AG258" s="8"/>
      <c r="AH258" s="8"/>
    </row>
    <row r="259" spans="1:34" ht="15.75" x14ac:dyDescent="0.25">
      <c r="A259" s="42"/>
      <c r="C259" s="652" t="str">
        <f t="shared" si="23"/>
        <v>SIFON 4 CORTO DERIVADOS</v>
      </c>
      <c r="D259" s="644"/>
      <c r="E259" s="644"/>
      <c r="F259" s="644"/>
      <c r="G259" s="642"/>
      <c r="H259" s="51">
        <v>7</v>
      </c>
      <c r="I259" s="28"/>
      <c r="J259" s="76"/>
      <c r="K259" s="52">
        <f t="shared" si="28"/>
        <v>7</v>
      </c>
      <c r="L259" s="15">
        <f t="shared" si="29"/>
        <v>0</v>
      </c>
      <c r="M259" s="69">
        <f t="shared" si="30"/>
        <v>7</v>
      </c>
      <c r="N259" s="104">
        <f t="shared" si="31"/>
        <v>0</v>
      </c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4"/>
      <c r="AF259" s="8"/>
      <c r="AG259" s="8"/>
      <c r="AH259" s="8"/>
    </row>
    <row r="260" spans="1:34" ht="15.75" x14ac:dyDescent="0.25">
      <c r="A260" s="42"/>
      <c r="C260" s="652" t="str">
        <f t="shared" si="23"/>
        <v>MANG 1/2 X 5/8 PLAST ECON</v>
      </c>
      <c r="D260" s="644"/>
      <c r="E260" s="644"/>
      <c r="F260" s="644"/>
      <c r="G260" s="642"/>
      <c r="H260" s="51">
        <v>376</v>
      </c>
      <c r="I260" s="28"/>
      <c r="J260" s="76"/>
      <c r="K260" s="52">
        <f t="shared" si="28"/>
        <v>376</v>
      </c>
      <c r="L260" s="15">
        <f t="shared" si="29"/>
        <v>0</v>
      </c>
      <c r="M260" s="69">
        <f t="shared" si="30"/>
        <v>376</v>
      </c>
      <c r="N260" s="104">
        <f t="shared" si="31"/>
        <v>0</v>
      </c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4"/>
      <c r="AF260" s="8"/>
      <c r="AG260" s="8"/>
      <c r="AH260" s="8"/>
    </row>
    <row r="261" spans="1:34" ht="15.75" x14ac:dyDescent="0.25">
      <c r="A261" s="42"/>
      <c r="C261" s="652" t="str">
        <f t="shared" si="23"/>
        <v>MANG 1/2 X 1/2 PLAST ECON</v>
      </c>
      <c r="D261" s="644"/>
      <c r="E261" s="644"/>
      <c r="F261" s="644"/>
      <c r="G261" s="642"/>
      <c r="H261" s="51">
        <v>295</v>
      </c>
      <c r="I261" s="28"/>
      <c r="J261" s="76"/>
      <c r="K261" s="52">
        <f t="shared" si="28"/>
        <v>295</v>
      </c>
      <c r="L261" s="15">
        <f t="shared" si="29"/>
        <v>0</v>
      </c>
      <c r="M261" s="69">
        <f t="shared" si="30"/>
        <v>295</v>
      </c>
      <c r="N261" s="104">
        <f t="shared" si="31"/>
        <v>0</v>
      </c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4"/>
      <c r="AF261" s="8"/>
      <c r="AG261" s="8"/>
      <c r="AH261" s="8"/>
    </row>
    <row r="262" spans="1:34" ht="15.75" x14ac:dyDescent="0.25">
      <c r="A262" s="42"/>
      <c r="C262" s="652" t="str">
        <f t="shared" si="23"/>
        <v>TUBO COBRE 3/16</v>
      </c>
      <c r="D262" s="644"/>
      <c r="E262" s="644"/>
      <c r="F262" s="644"/>
      <c r="G262" s="642"/>
      <c r="H262" s="51">
        <v>30</v>
      </c>
      <c r="I262" s="28"/>
      <c r="J262" s="76"/>
      <c r="K262" s="52">
        <f t="shared" si="28"/>
        <v>30</v>
      </c>
      <c r="L262" s="15">
        <f t="shared" si="29"/>
        <v>0</v>
      </c>
      <c r="M262" s="69">
        <f t="shared" si="30"/>
        <v>30</v>
      </c>
      <c r="N262" s="104">
        <f t="shared" si="31"/>
        <v>0</v>
      </c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4"/>
      <c r="AF262" s="8"/>
      <c r="AG262" s="8"/>
      <c r="AH262" s="8"/>
    </row>
    <row r="263" spans="1:34" ht="15.75" x14ac:dyDescent="0.25">
      <c r="A263" s="42"/>
      <c r="C263" s="652" t="str">
        <f t="shared" si="23"/>
        <v>DISCO C/M 4 1/2 WINONE</v>
      </c>
      <c r="D263" s="644"/>
      <c r="E263" s="644"/>
      <c r="F263" s="644"/>
      <c r="G263" s="642"/>
      <c r="H263" s="51">
        <v>600</v>
      </c>
      <c r="I263" s="28"/>
      <c r="J263" s="76"/>
      <c r="K263" s="52">
        <f t="shared" si="28"/>
        <v>600</v>
      </c>
      <c r="L263" s="15">
        <f t="shared" si="29"/>
        <v>0</v>
      </c>
      <c r="M263" s="69">
        <f t="shared" si="30"/>
        <v>600</v>
      </c>
      <c r="N263" s="104">
        <f t="shared" si="31"/>
        <v>0</v>
      </c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4"/>
      <c r="AF263" s="8"/>
      <c r="AG263" s="8"/>
      <c r="AH263" s="8"/>
    </row>
    <row r="264" spans="1:34" ht="15.75" x14ac:dyDescent="0.25">
      <c r="A264" s="42"/>
      <c r="C264" s="652" t="str">
        <f t="shared" si="23"/>
        <v>DISCO R/M 4 1/2 WINONE</v>
      </c>
      <c r="D264" s="644"/>
      <c r="E264" s="644"/>
      <c r="F264" s="644"/>
      <c r="G264" s="642"/>
      <c r="H264" s="51">
        <v>275</v>
      </c>
      <c r="I264" s="28"/>
      <c r="J264" s="76"/>
      <c r="K264" s="52">
        <f t="shared" si="28"/>
        <v>275</v>
      </c>
      <c r="L264" s="15">
        <f t="shared" si="29"/>
        <v>0</v>
      </c>
      <c r="M264" s="69">
        <f t="shared" si="30"/>
        <v>275</v>
      </c>
      <c r="N264" s="104">
        <f t="shared" si="31"/>
        <v>0</v>
      </c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4"/>
      <c r="AF264" s="8"/>
      <c r="AG264" s="8"/>
      <c r="AH264" s="8"/>
    </row>
    <row r="265" spans="1:34" ht="15.75" x14ac:dyDescent="0.25">
      <c r="A265" s="42"/>
      <c r="C265" s="652" t="str">
        <f t="shared" si="23"/>
        <v>LLAVERO GANCHO GRANDE</v>
      </c>
      <c r="D265" s="644"/>
      <c r="E265" s="644"/>
      <c r="F265" s="644"/>
      <c r="G265" s="642"/>
      <c r="H265" s="51">
        <v>40</v>
      </c>
      <c r="I265" s="28"/>
      <c r="J265" s="76"/>
      <c r="K265" s="52">
        <f t="shared" si="28"/>
        <v>40</v>
      </c>
      <c r="L265" s="15">
        <f t="shared" si="29"/>
        <v>0</v>
      </c>
      <c r="M265" s="69">
        <f t="shared" si="30"/>
        <v>40</v>
      </c>
      <c r="N265" s="104">
        <f t="shared" si="31"/>
        <v>0</v>
      </c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4"/>
      <c r="AF265" s="8"/>
      <c r="AG265" s="8"/>
      <c r="AH265" s="8"/>
    </row>
    <row r="266" spans="1:34" ht="15.75" x14ac:dyDescent="0.25">
      <c r="A266" s="42"/>
      <c r="C266" s="652" t="str">
        <f t="shared" si="23"/>
        <v>LLAVERO GANCHO MEDIANO</v>
      </c>
      <c r="D266" s="644"/>
      <c r="E266" s="644"/>
      <c r="F266" s="644"/>
      <c r="G266" s="642"/>
      <c r="H266" s="51">
        <v>42</v>
      </c>
      <c r="I266" s="28"/>
      <c r="J266" s="76"/>
      <c r="K266" s="52">
        <f t="shared" si="28"/>
        <v>42</v>
      </c>
      <c r="L266" s="15">
        <f t="shared" si="29"/>
        <v>0</v>
      </c>
      <c r="M266" s="69">
        <f t="shared" si="30"/>
        <v>42</v>
      </c>
      <c r="N266" s="104">
        <f t="shared" si="31"/>
        <v>0</v>
      </c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4"/>
      <c r="AF266" s="8"/>
      <c r="AG266" s="8"/>
      <c r="AH266" s="8"/>
    </row>
    <row r="267" spans="1:34" ht="15.75" x14ac:dyDescent="0.25">
      <c r="A267" s="42"/>
      <c r="C267" s="652" t="str">
        <f t="shared" si="23"/>
        <v>LLAVERO SECURITY</v>
      </c>
      <c r="D267" s="644"/>
      <c r="E267" s="644"/>
      <c r="F267" s="644"/>
      <c r="G267" s="642"/>
      <c r="H267" s="51">
        <v>41</v>
      </c>
      <c r="I267" s="28"/>
      <c r="J267" s="77"/>
      <c r="K267" s="52">
        <f t="shared" si="28"/>
        <v>41</v>
      </c>
      <c r="L267" s="15">
        <f t="shared" si="29"/>
        <v>0</v>
      </c>
      <c r="M267" s="69">
        <f t="shared" si="30"/>
        <v>41</v>
      </c>
      <c r="N267" s="104">
        <f t="shared" si="31"/>
        <v>0</v>
      </c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4"/>
      <c r="AF267" s="8"/>
      <c r="AG267" s="8"/>
      <c r="AH267" s="8"/>
    </row>
    <row r="268" spans="1:34" ht="15.75" x14ac:dyDescent="0.25">
      <c r="A268" s="42"/>
      <c r="C268" s="652" t="str">
        <f t="shared" si="23"/>
        <v>GRIFERIA LAVAPLATO INDIVIDUAL</v>
      </c>
      <c r="D268" s="644"/>
      <c r="E268" s="644"/>
      <c r="F268" s="644"/>
      <c r="G268" s="642"/>
      <c r="H268" s="51">
        <v>40</v>
      </c>
      <c r="I268" s="28"/>
      <c r="J268" s="76"/>
      <c r="K268" s="52">
        <f t="shared" si="28"/>
        <v>40</v>
      </c>
      <c r="L268" s="15">
        <f t="shared" si="29"/>
        <v>0</v>
      </c>
      <c r="M268" s="69">
        <f t="shared" si="30"/>
        <v>40</v>
      </c>
      <c r="N268" s="104">
        <f t="shared" si="31"/>
        <v>0</v>
      </c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4"/>
      <c r="AF268" s="8"/>
      <c r="AG268" s="8"/>
      <c r="AH268" s="8"/>
    </row>
    <row r="269" spans="1:34" ht="15.75" x14ac:dyDescent="0.25">
      <c r="A269" s="42"/>
      <c r="C269" s="652" t="str">
        <f t="shared" si="23"/>
        <v>LLAVE SENCILLA LAVAPLATO GRIVEN</v>
      </c>
      <c r="D269" s="644"/>
      <c r="E269" s="644"/>
      <c r="F269" s="644"/>
      <c r="G269" s="642"/>
      <c r="H269" s="51">
        <v>59</v>
      </c>
      <c r="I269" s="28"/>
      <c r="J269" s="76"/>
      <c r="K269" s="52">
        <f t="shared" si="28"/>
        <v>59</v>
      </c>
      <c r="L269" s="15">
        <f t="shared" si="29"/>
        <v>0</v>
      </c>
      <c r="M269" s="69">
        <f t="shared" si="30"/>
        <v>59</v>
      </c>
      <c r="N269" s="104">
        <f t="shared" si="31"/>
        <v>0</v>
      </c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4"/>
      <c r="AF269" s="8"/>
      <c r="AG269" s="8"/>
      <c r="AH269" s="8"/>
    </row>
    <row r="270" spans="1:34" ht="15.75" x14ac:dyDescent="0.25">
      <c r="A270" s="42"/>
      <c r="C270" s="652" t="str">
        <f t="shared" si="23"/>
        <v>CODO 75MM X 90 RIEGO</v>
      </c>
      <c r="D270" s="644"/>
      <c r="E270" s="644"/>
      <c r="F270" s="644"/>
      <c r="G270" s="642"/>
      <c r="H270" s="51">
        <v>11</v>
      </c>
      <c r="I270" s="28"/>
      <c r="J270" s="77"/>
      <c r="K270" s="52">
        <f t="shared" si="28"/>
        <v>11</v>
      </c>
      <c r="L270" s="15">
        <f t="shared" si="29"/>
        <v>0</v>
      </c>
      <c r="M270" s="69">
        <f t="shared" si="30"/>
        <v>11</v>
      </c>
      <c r="N270" s="104">
        <f t="shared" si="31"/>
        <v>0</v>
      </c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4"/>
      <c r="AF270" s="8"/>
      <c r="AG270" s="8"/>
      <c r="AH270" s="8"/>
    </row>
    <row r="271" spans="1:34" ht="15.75" x14ac:dyDescent="0.25">
      <c r="A271" s="42"/>
      <c r="C271" s="652" t="str">
        <f t="shared" si="23"/>
        <v>INFLADOR P/CAUCHOS</v>
      </c>
      <c r="D271" s="644"/>
      <c r="E271" s="644"/>
      <c r="F271" s="644"/>
      <c r="G271" s="642"/>
      <c r="H271" s="51">
        <v>164</v>
      </c>
      <c r="I271" s="28"/>
      <c r="J271" s="76"/>
      <c r="K271" s="52">
        <f t="shared" si="28"/>
        <v>164</v>
      </c>
      <c r="L271" s="15">
        <f t="shared" si="29"/>
        <v>36</v>
      </c>
      <c r="M271" s="69">
        <f t="shared" si="30"/>
        <v>128</v>
      </c>
      <c r="N271" s="104">
        <f t="shared" si="31"/>
        <v>0</v>
      </c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4"/>
      <c r="AF271" s="8"/>
      <c r="AG271" s="8"/>
      <c r="AH271" s="8"/>
    </row>
    <row r="272" spans="1:34" ht="15.75" x14ac:dyDescent="0.25">
      <c r="A272" s="42"/>
      <c r="C272" s="652" t="str">
        <f t="shared" si="23"/>
        <v>SERRUCHO SECURITY 14" DE PODAR</v>
      </c>
      <c r="D272" s="644"/>
      <c r="E272" s="644"/>
      <c r="F272" s="644"/>
      <c r="G272" s="642"/>
      <c r="H272" s="51">
        <v>74</v>
      </c>
      <c r="I272" s="28"/>
      <c r="J272" s="76"/>
      <c r="K272" s="52">
        <f t="shared" si="28"/>
        <v>74</v>
      </c>
      <c r="L272" s="15">
        <f t="shared" si="29"/>
        <v>0</v>
      </c>
      <c r="M272" s="69">
        <f t="shared" si="30"/>
        <v>74</v>
      </c>
      <c r="N272" s="104">
        <f t="shared" si="31"/>
        <v>0</v>
      </c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4"/>
      <c r="AF272" s="8"/>
      <c r="AG272" s="8"/>
      <c r="AH272" s="8"/>
    </row>
    <row r="273" spans="1:34" ht="15.75" x14ac:dyDescent="0.25">
      <c r="A273" s="42"/>
      <c r="C273" s="652" t="str">
        <f t="shared" si="23"/>
        <v>SPLINTER ORIG 2 VIAS</v>
      </c>
      <c r="D273" s="644"/>
      <c r="E273" s="644"/>
      <c r="F273" s="644"/>
      <c r="G273" s="642"/>
      <c r="H273" s="51">
        <v>435</v>
      </c>
      <c r="I273" s="28"/>
      <c r="J273" s="76"/>
      <c r="K273" s="52">
        <f t="shared" si="28"/>
        <v>435</v>
      </c>
      <c r="L273" s="15">
        <f t="shared" si="29"/>
        <v>0</v>
      </c>
      <c r="M273" s="69">
        <f t="shared" si="30"/>
        <v>435</v>
      </c>
      <c r="N273" s="104">
        <f t="shared" si="31"/>
        <v>0</v>
      </c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4"/>
      <c r="AF273" s="8"/>
      <c r="AG273" s="8"/>
      <c r="AH273" s="8"/>
    </row>
    <row r="274" spans="1:34" ht="15.75" x14ac:dyDescent="0.25">
      <c r="A274" s="42"/>
      <c r="C274" s="652" t="str">
        <f t="shared" si="23"/>
        <v>LAMPARA DE NOCHE</v>
      </c>
      <c r="D274" s="644"/>
      <c r="E274" s="644"/>
      <c r="F274" s="644"/>
      <c r="G274" s="642"/>
      <c r="H274" s="51">
        <v>648</v>
      </c>
      <c r="I274" s="28"/>
      <c r="J274" s="76"/>
      <c r="K274" s="52">
        <f t="shared" si="28"/>
        <v>648</v>
      </c>
      <c r="L274" s="15">
        <f t="shared" si="29"/>
        <v>0</v>
      </c>
      <c r="M274" s="69">
        <f t="shared" si="30"/>
        <v>648</v>
      </c>
      <c r="N274" s="104">
        <f t="shared" si="31"/>
        <v>0</v>
      </c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4"/>
      <c r="AF274" s="8"/>
      <c r="AG274" s="8"/>
      <c r="AH274" s="8"/>
    </row>
    <row r="275" spans="1:34" x14ac:dyDescent="0.25">
      <c r="A275" s="42"/>
      <c r="C275" s="779"/>
      <c r="D275" s="779"/>
      <c r="E275" s="779"/>
      <c r="F275" s="779"/>
      <c r="G275" s="779"/>
      <c r="H275" s="12"/>
      <c r="I275" s="12"/>
      <c r="J275" s="139"/>
      <c r="K275" s="12"/>
      <c r="L275" s="12"/>
      <c r="M275" s="106"/>
      <c r="N275" s="86">
        <f>SUM(N213:N234)</f>
        <v>0</v>
      </c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4"/>
      <c r="AF275" s="8"/>
      <c r="AG275" s="8"/>
      <c r="AH275" s="8"/>
    </row>
    <row r="276" spans="1:34" x14ac:dyDescent="0.25">
      <c r="A276" s="42"/>
      <c r="C276" s="779"/>
      <c r="D276" s="779"/>
      <c r="E276" s="779"/>
      <c r="F276" s="779"/>
      <c r="G276" s="779"/>
      <c r="H276" s="12"/>
      <c r="I276" s="12"/>
      <c r="J276" s="139"/>
      <c r="K276" s="12"/>
      <c r="L276" s="12"/>
      <c r="M276" s="106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4"/>
      <c r="AF276" s="8"/>
      <c r="AG276" s="8"/>
      <c r="AH276" s="8"/>
    </row>
    <row r="277" spans="1:34" x14ac:dyDescent="0.25">
      <c r="A277" s="42"/>
      <c r="C277" s="779"/>
      <c r="D277" s="779"/>
      <c r="E277" s="779"/>
      <c r="F277" s="779"/>
      <c r="G277" s="779"/>
      <c r="H277" s="12"/>
      <c r="I277" s="12"/>
      <c r="J277" s="139"/>
      <c r="K277" s="12"/>
      <c r="L277" s="12"/>
      <c r="M277" s="106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4"/>
      <c r="AF277" s="8"/>
      <c r="AG277" s="8"/>
      <c r="AH277" s="8"/>
    </row>
    <row r="278" spans="1:34" x14ac:dyDescent="0.25">
      <c r="A278" s="42"/>
      <c r="C278" s="779"/>
      <c r="D278" s="779"/>
      <c r="E278" s="779"/>
      <c r="F278" s="779"/>
      <c r="G278" s="779"/>
      <c r="H278" s="12"/>
      <c r="I278" s="12"/>
      <c r="J278" s="139"/>
      <c r="K278" s="12"/>
      <c r="L278" s="12"/>
      <c r="M278" s="106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4"/>
      <c r="AF278" s="8"/>
      <c r="AG278" s="8"/>
      <c r="AH278" s="8"/>
    </row>
    <row r="279" spans="1:34" x14ac:dyDescent="0.25">
      <c r="A279" s="42"/>
      <c r="C279" s="779"/>
      <c r="D279" s="779"/>
      <c r="E279" s="779"/>
      <c r="F279" s="779"/>
      <c r="G279" s="779"/>
      <c r="H279" s="12"/>
      <c r="I279" s="12"/>
      <c r="J279" s="139"/>
      <c r="K279" s="12"/>
      <c r="L279" s="12"/>
      <c r="M279" s="106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4"/>
      <c r="AF279" s="8"/>
      <c r="AG279" s="8"/>
      <c r="AH279" s="8"/>
    </row>
    <row r="280" spans="1:34" x14ac:dyDescent="0.25">
      <c r="A280" s="42"/>
      <c r="C280" s="779"/>
      <c r="D280" s="779"/>
      <c r="E280" s="779"/>
      <c r="F280" s="779"/>
      <c r="G280" s="779"/>
      <c r="H280" s="12"/>
      <c r="I280" s="12"/>
      <c r="J280" s="139"/>
      <c r="K280" s="12"/>
      <c r="L280" s="12"/>
      <c r="M280" s="106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4"/>
      <c r="AF280" s="8"/>
      <c r="AG280" s="8"/>
      <c r="AH280" s="8"/>
    </row>
    <row r="281" spans="1:34" x14ac:dyDescent="0.25">
      <c r="A281" s="42"/>
      <c r="C281" s="779"/>
      <c r="D281" s="779"/>
      <c r="E281" s="779"/>
      <c r="F281" s="779"/>
      <c r="G281" s="779"/>
      <c r="H281" s="12"/>
      <c r="I281" s="12"/>
      <c r="J281" s="139"/>
      <c r="K281" s="12"/>
      <c r="L281" s="12"/>
      <c r="M281" s="106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4"/>
      <c r="AF281" s="8"/>
      <c r="AG281" s="8"/>
      <c r="AH281" s="8"/>
    </row>
    <row r="282" spans="1:34" x14ac:dyDescent="0.25">
      <c r="A282" s="42"/>
      <c r="C282" s="779"/>
      <c r="D282" s="779"/>
      <c r="E282" s="779"/>
      <c r="F282" s="779"/>
      <c r="G282" s="779"/>
      <c r="H282" s="12"/>
      <c r="I282" s="12"/>
      <c r="J282" s="139"/>
      <c r="K282" s="12"/>
      <c r="L282" s="12"/>
      <c r="M282" s="106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4"/>
      <c r="AF282" s="8"/>
      <c r="AG282" s="8"/>
      <c r="AH282" s="8"/>
    </row>
    <row r="283" spans="1:34" x14ac:dyDescent="0.25">
      <c r="A283" s="42"/>
      <c r="C283" s="779"/>
      <c r="D283" s="779"/>
      <c r="E283" s="779"/>
      <c r="F283" s="779"/>
      <c r="G283" s="779"/>
      <c r="H283" s="12"/>
      <c r="I283" s="12"/>
      <c r="J283" s="139"/>
      <c r="K283" s="12"/>
      <c r="L283" s="12"/>
      <c r="M283" s="106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4"/>
      <c r="AF283" s="8"/>
      <c r="AG283" s="8"/>
      <c r="AH283" s="8"/>
    </row>
    <row r="284" spans="1:34" ht="26.25" x14ac:dyDescent="0.25">
      <c r="A284" s="42"/>
      <c r="C284" s="779"/>
      <c r="D284" s="779"/>
      <c r="E284" s="779"/>
      <c r="F284" s="779"/>
      <c r="G284" s="779"/>
      <c r="H284" s="12"/>
      <c r="I284" s="12"/>
      <c r="J284" s="139"/>
      <c r="K284" s="12"/>
      <c r="L284" s="12"/>
      <c r="M284" s="106"/>
      <c r="N284" s="12"/>
      <c r="O284" s="12"/>
      <c r="P284" s="12"/>
      <c r="Q284" s="12"/>
      <c r="R284" s="12"/>
      <c r="S284" s="12"/>
      <c r="T284" s="12"/>
      <c r="U284" s="5"/>
      <c r="V284" s="12"/>
      <c r="W284" s="5"/>
      <c r="X284" s="12"/>
      <c r="Y284" s="5"/>
      <c r="Z284" s="12"/>
      <c r="AA284" s="12"/>
      <c r="AB284" s="12"/>
      <c r="AC284" s="5"/>
      <c r="AD284" s="12"/>
      <c r="AE284" s="25"/>
      <c r="AF284" s="8"/>
      <c r="AG284" s="8"/>
      <c r="AH284" s="8"/>
    </row>
    <row r="285" spans="1:34" ht="26.25" x14ac:dyDescent="0.25">
      <c r="A285" s="42"/>
      <c r="C285" s="779"/>
      <c r="D285" s="779"/>
      <c r="E285" s="779"/>
      <c r="F285" s="779"/>
      <c r="G285" s="779"/>
      <c r="H285" s="12"/>
      <c r="I285" s="12"/>
      <c r="J285" s="139"/>
      <c r="K285" s="12"/>
      <c r="L285" s="12"/>
      <c r="M285" s="106"/>
      <c r="N285" s="12"/>
      <c r="O285" s="12"/>
      <c r="P285" s="12"/>
      <c r="Q285" s="12"/>
      <c r="R285" s="12"/>
      <c r="S285" s="12"/>
      <c r="T285" s="12"/>
      <c r="U285" s="5"/>
      <c r="V285" s="12"/>
      <c r="W285" s="5"/>
      <c r="X285" s="12"/>
      <c r="Y285" s="5"/>
      <c r="Z285" s="12"/>
      <c r="AA285" s="12"/>
      <c r="AB285" s="12"/>
      <c r="AC285" s="5"/>
      <c r="AD285" s="12"/>
      <c r="AE285" s="25"/>
      <c r="AF285" s="8"/>
      <c r="AG285" s="8"/>
      <c r="AH285" s="8"/>
    </row>
    <row r="286" spans="1:34" ht="26.25" x14ac:dyDescent="0.25">
      <c r="A286" s="42"/>
      <c r="C286" s="779"/>
      <c r="D286" s="779"/>
      <c r="E286" s="779"/>
      <c r="F286" s="779"/>
      <c r="G286" s="779"/>
      <c r="H286" s="6"/>
      <c r="I286" s="6"/>
      <c r="J286" s="139"/>
      <c r="K286" s="12"/>
      <c r="L286" s="6"/>
      <c r="M286" s="106"/>
      <c r="N286" s="6"/>
      <c r="O286" s="6"/>
      <c r="P286" s="12"/>
      <c r="Q286" s="12"/>
      <c r="R286" s="12"/>
      <c r="S286" s="12"/>
      <c r="T286" s="12"/>
      <c r="U286" s="5"/>
      <c r="V286" s="12"/>
      <c r="W286" s="5"/>
      <c r="X286" s="12"/>
      <c r="Y286" s="5"/>
      <c r="Z286" s="12"/>
      <c r="AA286" s="12"/>
      <c r="AB286" s="12"/>
      <c r="AC286" s="5"/>
      <c r="AD286" s="12"/>
      <c r="AE286" s="25"/>
      <c r="AF286" s="8"/>
      <c r="AG286" s="8"/>
      <c r="AH286" s="8"/>
    </row>
    <row r="287" spans="1:34" x14ac:dyDescent="0.25">
      <c r="A287" s="42"/>
      <c r="C287" s="779"/>
      <c r="D287" s="779"/>
      <c r="E287" s="779"/>
      <c r="F287" s="779"/>
      <c r="G287" s="779"/>
      <c r="H287" s="12"/>
      <c r="I287" s="12"/>
      <c r="J287" s="139"/>
      <c r="K287" s="12"/>
      <c r="L287" s="6"/>
      <c r="M287" s="106"/>
      <c r="N287" s="6"/>
      <c r="O287" s="6"/>
      <c r="P287" s="12"/>
      <c r="Q287" s="12"/>
      <c r="R287" s="12"/>
      <c r="S287" s="12"/>
      <c r="AE287" s="8"/>
      <c r="AF287" s="8"/>
      <c r="AG287" s="8"/>
      <c r="AH287" s="8"/>
    </row>
    <row r="288" spans="1:34" x14ac:dyDescent="0.25">
      <c r="A288" s="42"/>
      <c r="C288" s="779"/>
      <c r="D288" s="779"/>
      <c r="E288" s="779"/>
      <c r="F288" s="779"/>
      <c r="G288" s="779"/>
      <c r="H288" s="12"/>
      <c r="I288" s="12"/>
      <c r="J288" s="139"/>
      <c r="K288" s="12"/>
      <c r="L288" s="6"/>
      <c r="M288" s="106"/>
      <c r="N288" s="6"/>
      <c r="O288" s="6"/>
      <c r="P288" s="12"/>
      <c r="Q288" s="12"/>
      <c r="R288" s="12"/>
      <c r="S288" s="12"/>
    </row>
    <row r="289" spans="1:27" x14ac:dyDescent="0.25">
      <c r="A289" s="42"/>
      <c r="C289" s="779"/>
      <c r="D289" s="779"/>
      <c r="E289" s="779"/>
      <c r="F289" s="779"/>
      <c r="G289" s="779"/>
      <c r="H289" s="12"/>
      <c r="I289" s="12"/>
      <c r="J289" s="139"/>
      <c r="K289" s="12"/>
      <c r="L289" s="6"/>
      <c r="M289" s="106"/>
      <c r="N289" s="6"/>
      <c r="O289" s="6"/>
      <c r="P289" s="12"/>
      <c r="Q289" s="12"/>
      <c r="R289" s="12"/>
      <c r="S289" s="12"/>
    </row>
    <row r="290" spans="1:27" x14ac:dyDescent="0.25">
      <c r="A290" s="42"/>
      <c r="C290" s="779"/>
      <c r="D290" s="779"/>
      <c r="E290" s="779"/>
      <c r="F290" s="779"/>
      <c r="G290" s="779"/>
      <c r="H290" s="12"/>
      <c r="I290" s="12"/>
      <c r="J290" s="139"/>
      <c r="K290" s="12"/>
      <c r="L290" s="6"/>
      <c r="M290" s="106"/>
      <c r="N290" s="6"/>
      <c r="O290" s="6"/>
      <c r="P290" s="12"/>
      <c r="Q290" s="12"/>
      <c r="R290" s="12"/>
      <c r="S290" s="12"/>
    </row>
    <row r="291" spans="1:27" x14ac:dyDescent="0.25">
      <c r="A291" s="42"/>
      <c r="C291" s="141"/>
      <c r="D291" s="12"/>
      <c r="E291" s="12"/>
      <c r="F291" s="12"/>
      <c r="G291" s="12"/>
      <c r="H291" s="12"/>
      <c r="I291" s="6"/>
      <c r="J291" s="12"/>
      <c r="K291" s="12"/>
      <c r="L291" s="12"/>
      <c r="S291" s="10"/>
    </row>
    <row r="292" spans="1:27" x14ac:dyDescent="0.25">
      <c r="A292" s="42"/>
      <c r="C292" s="12"/>
      <c r="D292" s="12"/>
      <c r="E292" s="12"/>
      <c r="F292" s="12"/>
      <c r="G292" s="12"/>
      <c r="H292" s="12"/>
      <c r="I292" s="6"/>
      <c r="J292" s="12"/>
      <c r="K292" s="12"/>
      <c r="L292" s="12"/>
    </row>
    <row r="293" spans="1:27" ht="21" x14ac:dyDescent="0.35">
      <c r="A293" s="42"/>
      <c r="C293" s="780"/>
      <c r="D293" s="780"/>
      <c r="E293" s="780"/>
      <c r="F293" s="780"/>
      <c r="G293" s="780"/>
      <c r="H293" s="780"/>
      <c r="I293" s="780"/>
      <c r="J293" s="780"/>
      <c r="K293" s="780"/>
      <c r="L293" s="780"/>
      <c r="M293" s="780"/>
      <c r="N293" s="780"/>
      <c r="O293" s="780"/>
      <c r="P293" s="780"/>
      <c r="Q293" s="780"/>
      <c r="R293" s="780"/>
      <c r="S293" s="780"/>
      <c r="T293" s="780"/>
    </row>
    <row r="294" spans="1:27" ht="21" x14ac:dyDescent="0.25">
      <c r="A294" s="42"/>
      <c r="C294" s="781"/>
      <c r="D294" s="781"/>
      <c r="E294" s="781"/>
      <c r="F294" s="781"/>
      <c r="G294" s="781"/>
      <c r="H294" s="136"/>
      <c r="I294" s="17"/>
      <c r="J294" s="137"/>
      <c r="K294" s="138"/>
      <c r="L294" s="12"/>
      <c r="M294" s="136"/>
      <c r="N294" s="17"/>
      <c r="O294" s="137"/>
      <c r="P294" s="138"/>
      <c r="Q294" s="12"/>
      <c r="R294" s="12"/>
      <c r="S294" s="12"/>
      <c r="T294" s="12"/>
    </row>
    <row r="295" spans="1:27" x14ac:dyDescent="0.25">
      <c r="A295" s="42"/>
      <c r="C295" s="779"/>
      <c r="D295" s="779"/>
      <c r="E295" s="779"/>
      <c r="F295" s="779"/>
      <c r="G295" s="779"/>
      <c r="H295" s="12"/>
      <c r="I295" s="12"/>
      <c r="J295" s="140"/>
      <c r="K295" s="12"/>
      <c r="L295" s="12"/>
      <c r="M295" s="12"/>
      <c r="N295" s="12"/>
      <c r="O295" s="142"/>
      <c r="P295" s="12"/>
      <c r="Q295" s="12"/>
      <c r="R295" s="12"/>
      <c r="S295" s="12"/>
      <c r="T295" s="12"/>
      <c r="V295" s="143"/>
      <c r="W295" s="143"/>
      <c r="X295" s="143"/>
      <c r="Y295" s="143"/>
      <c r="Z295" s="143"/>
      <c r="AA295" s="143"/>
    </row>
    <row r="296" spans="1:27" x14ac:dyDescent="0.25">
      <c r="A296" s="42"/>
      <c r="C296" s="779"/>
      <c r="D296" s="779"/>
      <c r="E296" s="779"/>
      <c r="F296" s="779"/>
      <c r="G296" s="779"/>
      <c r="H296" s="12"/>
      <c r="I296" s="12"/>
      <c r="J296" s="142"/>
      <c r="K296" s="12"/>
      <c r="L296" s="12"/>
      <c r="M296" s="12"/>
      <c r="N296" s="12"/>
      <c r="O296" s="142"/>
      <c r="P296" s="12"/>
      <c r="Q296" s="12"/>
      <c r="R296" s="12"/>
      <c r="S296" s="12"/>
      <c r="T296" s="12"/>
      <c r="V296" s="143"/>
      <c r="W296" s="143"/>
      <c r="X296" s="143"/>
      <c r="Y296" s="143"/>
      <c r="Z296" s="143"/>
      <c r="AA296" s="143"/>
    </row>
    <row r="297" spans="1:27" x14ac:dyDescent="0.25">
      <c r="A297" s="42"/>
      <c r="C297" s="141"/>
      <c r="T297" s="12"/>
    </row>
    <row r="298" spans="1:27" x14ac:dyDescent="0.25">
      <c r="A298" s="42"/>
    </row>
    <row r="299" spans="1:27" ht="21" x14ac:dyDescent="0.35">
      <c r="A299" s="42"/>
      <c r="C299" s="780"/>
      <c r="D299" s="780"/>
      <c r="E299" s="780"/>
      <c r="F299" s="780"/>
      <c r="G299" s="780"/>
      <c r="H299" s="780"/>
      <c r="I299" s="780"/>
      <c r="J299" s="780"/>
      <c r="K299" s="780"/>
      <c r="L299" s="780"/>
      <c r="M299" s="780"/>
      <c r="N299" s="780"/>
      <c r="O299" s="780"/>
      <c r="P299" s="125"/>
      <c r="Q299" s="125"/>
    </row>
    <row r="300" spans="1:27" ht="21" x14ac:dyDescent="0.25">
      <c r="A300" s="42"/>
      <c r="C300" s="781"/>
      <c r="D300" s="781"/>
      <c r="E300" s="781"/>
      <c r="F300" s="781"/>
      <c r="G300" s="781"/>
      <c r="H300" s="136"/>
      <c r="I300" s="17"/>
      <c r="J300" s="137"/>
      <c r="K300" s="138"/>
      <c r="L300" s="12"/>
      <c r="M300" s="12"/>
      <c r="N300" s="12"/>
      <c r="O300" s="12"/>
    </row>
    <row r="301" spans="1:27" x14ac:dyDescent="0.25">
      <c r="A301" s="42"/>
      <c r="C301" s="779"/>
      <c r="D301" s="779"/>
      <c r="E301" s="779"/>
      <c r="F301" s="779"/>
      <c r="G301" s="779"/>
      <c r="H301" s="12"/>
      <c r="I301" s="12"/>
      <c r="J301" s="140"/>
      <c r="K301" s="12"/>
      <c r="L301" s="12"/>
      <c r="M301" s="12"/>
      <c r="N301" s="12"/>
      <c r="O301" s="12"/>
    </row>
    <row r="302" spans="1:27" x14ac:dyDescent="0.25">
      <c r="A302" s="42"/>
      <c r="C302" s="141"/>
      <c r="O302" s="12"/>
    </row>
    <row r="303" spans="1:27" x14ac:dyDescent="0.25">
      <c r="A303" s="42"/>
    </row>
    <row r="304" spans="1:27" x14ac:dyDescent="0.25">
      <c r="A304" s="42"/>
    </row>
    <row r="305" spans="1:22" x14ac:dyDescent="0.25">
      <c r="A305" s="42"/>
    </row>
    <row r="306" spans="1:22" x14ac:dyDescent="0.25">
      <c r="A306" s="42"/>
      <c r="B306" s="8"/>
      <c r="C306" s="752"/>
      <c r="D306" s="752"/>
      <c r="E306" s="752"/>
      <c r="F306" s="752"/>
      <c r="G306" s="752"/>
      <c r="H306" s="752"/>
    </row>
    <row r="307" spans="1:22" x14ac:dyDescent="0.25">
      <c r="A307" s="42"/>
      <c r="B307" s="8"/>
      <c r="C307" s="6"/>
      <c r="D307" s="6"/>
      <c r="E307" s="6"/>
      <c r="F307" s="6"/>
      <c r="G307" s="6"/>
      <c r="H307" s="6"/>
    </row>
    <row r="308" spans="1:22" x14ac:dyDescent="0.25">
      <c r="A308" s="42"/>
      <c r="B308" s="8"/>
      <c r="C308" s="6"/>
      <c r="D308" s="6"/>
      <c r="E308" s="6"/>
      <c r="F308" s="6"/>
      <c r="G308" s="144"/>
      <c r="H308" s="6"/>
    </row>
    <row r="309" spans="1:22" x14ac:dyDescent="0.25">
      <c r="A309" s="8"/>
      <c r="C309" s="6"/>
      <c r="D309" s="6"/>
      <c r="E309" s="6"/>
      <c r="F309" s="6"/>
      <c r="G309" s="144"/>
      <c r="H309" s="6"/>
    </row>
    <row r="310" spans="1:22" x14ac:dyDescent="0.25">
      <c r="A310" s="8"/>
      <c r="C310" s="6"/>
      <c r="D310" s="6"/>
      <c r="E310" s="6"/>
      <c r="F310" s="6"/>
      <c r="G310" s="144"/>
      <c r="H310" s="6"/>
    </row>
    <row r="311" spans="1:22" x14ac:dyDescent="0.25">
      <c r="A311" s="8"/>
      <c r="C311" s="6"/>
      <c r="D311" s="6"/>
      <c r="E311" s="6"/>
      <c r="F311" s="6"/>
      <c r="G311" s="144"/>
      <c r="H311" s="6"/>
    </row>
    <row r="312" spans="1:22" x14ac:dyDescent="0.25">
      <c r="A312" s="8"/>
      <c r="C312" s="6"/>
      <c r="D312" s="6"/>
      <c r="E312" s="6"/>
      <c r="F312" s="6"/>
      <c r="G312" s="144"/>
      <c r="H312" s="6"/>
    </row>
    <row r="313" spans="1:22" ht="15.75" x14ac:dyDescent="0.25">
      <c r="A313" s="8"/>
      <c r="C313" s="103"/>
      <c r="D313" s="103"/>
      <c r="E313" s="103"/>
      <c r="F313" s="117"/>
      <c r="G313" s="145"/>
      <c r="H313" s="119"/>
    </row>
    <row r="314" spans="1:22" x14ac:dyDescent="0.25">
      <c r="A314" s="8"/>
      <c r="C314" s="141"/>
    </row>
    <row r="315" spans="1:22" x14ac:dyDescent="0.25">
      <c r="A315" s="8"/>
    </row>
    <row r="316" spans="1:22" x14ac:dyDescent="0.25">
      <c r="A316" s="8"/>
    </row>
    <row r="317" spans="1:22" x14ac:dyDescent="0.25">
      <c r="A317" s="8"/>
      <c r="V317" s="8"/>
    </row>
    <row r="318" spans="1:22" x14ac:dyDescent="0.25">
      <c r="V318" s="8"/>
    </row>
    <row r="319" spans="1:22" x14ac:dyDescent="0.25">
      <c r="V319" s="8"/>
    </row>
    <row r="320" spans="1:22" x14ac:dyDescent="0.25">
      <c r="V320" s="8"/>
    </row>
    <row r="321" spans="22:22" x14ac:dyDescent="0.25">
      <c r="V321" s="8"/>
    </row>
    <row r="322" spans="22:22" x14ac:dyDescent="0.25">
      <c r="V322" s="8"/>
    </row>
    <row r="323" spans="22:22" x14ac:dyDescent="0.25">
      <c r="V323" s="8"/>
    </row>
    <row r="324" spans="22:22" x14ac:dyDescent="0.25">
      <c r="V324" s="8"/>
    </row>
    <row r="325" spans="22:22" x14ac:dyDescent="0.25">
      <c r="V325" s="8"/>
    </row>
    <row r="326" spans="22:22" x14ac:dyDescent="0.25">
      <c r="V326" s="8"/>
    </row>
    <row r="327" spans="22:22" x14ac:dyDescent="0.25">
      <c r="V327" s="8"/>
    </row>
    <row r="328" spans="22:22" x14ac:dyDescent="0.25">
      <c r="V328" s="8"/>
    </row>
    <row r="329" spans="22:22" x14ac:dyDescent="0.25">
      <c r="V329" s="8"/>
    </row>
    <row r="330" spans="22:22" x14ac:dyDescent="0.25">
      <c r="V330" s="8"/>
    </row>
    <row r="331" spans="22:22" x14ac:dyDescent="0.25">
      <c r="V331" s="8"/>
    </row>
    <row r="332" spans="22:22" x14ac:dyDescent="0.25">
      <c r="V332" s="8"/>
    </row>
    <row r="333" spans="22:22" x14ac:dyDescent="0.25">
      <c r="V333" s="8"/>
    </row>
    <row r="334" spans="22:22" x14ac:dyDescent="0.25">
      <c r="V334" s="8"/>
    </row>
    <row r="335" spans="22:22" x14ac:dyDescent="0.25">
      <c r="V335" s="8"/>
    </row>
    <row r="336" spans="22:22" x14ac:dyDescent="0.25">
      <c r="V336" s="8"/>
    </row>
    <row r="337" spans="22:22" x14ac:dyDescent="0.25">
      <c r="V337" s="8"/>
    </row>
    <row r="338" spans="22:22" x14ac:dyDescent="0.25">
      <c r="V338" s="8"/>
    </row>
    <row r="339" spans="22:22" x14ac:dyDescent="0.25">
      <c r="V339" s="8"/>
    </row>
    <row r="340" spans="22:22" x14ac:dyDescent="0.25">
      <c r="V340" s="8"/>
    </row>
    <row r="341" spans="22:22" x14ac:dyDescent="0.25">
      <c r="V341" s="8"/>
    </row>
    <row r="342" spans="22:22" x14ac:dyDescent="0.25">
      <c r="V342" s="8"/>
    </row>
    <row r="343" spans="22:22" x14ac:dyDescent="0.25">
      <c r="V343" s="8"/>
    </row>
    <row r="344" spans="22:22" x14ac:dyDescent="0.25">
      <c r="V344" s="8"/>
    </row>
    <row r="345" spans="22:22" x14ac:dyDescent="0.25">
      <c r="V345" s="8"/>
    </row>
    <row r="346" spans="22:22" x14ac:dyDescent="0.25">
      <c r="V346" s="8"/>
    </row>
    <row r="347" spans="22:22" x14ac:dyDescent="0.25">
      <c r="V347" s="8"/>
    </row>
    <row r="348" spans="22:22" x14ac:dyDescent="0.25">
      <c r="V348" s="8"/>
    </row>
    <row r="349" spans="22:22" x14ac:dyDescent="0.25">
      <c r="V349" s="8"/>
    </row>
    <row r="350" spans="22:22" x14ac:dyDescent="0.25">
      <c r="V350" s="8"/>
    </row>
    <row r="351" spans="22:22" x14ac:dyDescent="0.25">
      <c r="V351" s="8"/>
    </row>
    <row r="352" spans="22:22" x14ac:dyDescent="0.25">
      <c r="V352" s="8"/>
    </row>
    <row r="353" spans="22:22" x14ac:dyDescent="0.25">
      <c r="V353" s="8"/>
    </row>
    <row r="354" spans="22:22" x14ac:dyDescent="0.25">
      <c r="V354" s="8"/>
    </row>
    <row r="355" spans="22:22" x14ac:dyDescent="0.25">
      <c r="V355" s="8"/>
    </row>
    <row r="356" spans="22:22" x14ac:dyDescent="0.25">
      <c r="V356" s="8"/>
    </row>
    <row r="357" spans="22:22" x14ac:dyDescent="0.25">
      <c r="V357" s="8"/>
    </row>
    <row r="358" spans="22:22" x14ac:dyDescent="0.25">
      <c r="V358" s="8"/>
    </row>
    <row r="359" spans="22:22" x14ac:dyDescent="0.25">
      <c r="V359" s="8"/>
    </row>
    <row r="360" spans="22:22" x14ac:dyDescent="0.25">
      <c r="V360" s="8"/>
    </row>
    <row r="361" spans="22:22" x14ac:dyDescent="0.25">
      <c r="V361" s="8"/>
    </row>
    <row r="362" spans="22:22" x14ac:dyDescent="0.25">
      <c r="V362" s="8"/>
    </row>
    <row r="363" spans="22:22" x14ac:dyDescent="0.25">
      <c r="V363" s="8"/>
    </row>
    <row r="364" spans="22:22" x14ac:dyDescent="0.25">
      <c r="V364" s="8"/>
    </row>
    <row r="365" spans="22:22" x14ac:dyDescent="0.25">
      <c r="V365" s="8"/>
    </row>
    <row r="366" spans="22:22" x14ac:dyDescent="0.25">
      <c r="V366" s="8"/>
    </row>
    <row r="367" spans="22:22" x14ac:dyDescent="0.25">
      <c r="V367" s="8"/>
    </row>
    <row r="368" spans="22:22" x14ac:dyDescent="0.25">
      <c r="V368" s="8"/>
    </row>
    <row r="369" spans="22:22" x14ac:dyDescent="0.25">
      <c r="V369" s="8"/>
    </row>
    <row r="370" spans="22:22" x14ac:dyDescent="0.25">
      <c r="V370" s="8"/>
    </row>
    <row r="371" spans="22:22" x14ac:dyDescent="0.25">
      <c r="V371" s="8"/>
    </row>
    <row r="372" spans="22:22" x14ac:dyDescent="0.25">
      <c r="V372" s="8"/>
    </row>
    <row r="373" spans="22:22" x14ac:dyDescent="0.25">
      <c r="V373" s="8"/>
    </row>
    <row r="374" spans="22:22" x14ac:dyDescent="0.25">
      <c r="V374" s="8"/>
    </row>
    <row r="375" spans="22:22" x14ac:dyDescent="0.25">
      <c r="V375" s="8"/>
    </row>
    <row r="376" spans="22:22" x14ac:dyDescent="0.25">
      <c r="V376" s="8"/>
    </row>
    <row r="377" spans="22:22" x14ac:dyDescent="0.25">
      <c r="V377" s="8"/>
    </row>
    <row r="378" spans="22:22" x14ac:dyDescent="0.25">
      <c r="V378" s="8"/>
    </row>
    <row r="379" spans="22:22" x14ac:dyDescent="0.25">
      <c r="V379" s="8"/>
    </row>
    <row r="380" spans="22:22" x14ac:dyDescent="0.25">
      <c r="V380" s="8"/>
    </row>
    <row r="381" spans="22:22" x14ac:dyDescent="0.25">
      <c r="V381" s="8"/>
    </row>
    <row r="382" spans="22:22" x14ac:dyDescent="0.25">
      <c r="V382" s="8"/>
    </row>
    <row r="383" spans="22:22" x14ac:dyDescent="0.25">
      <c r="V383" s="8"/>
    </row>
    <row r="384" spans="22:22" x14ac:dyDescent="0.25">
      <c r="V384" s="8"/>
    </row>
    <row r="385" spans="22:22" x14ac:dyDescent="0.25">
      <c r="V385" s="8"/>
    </row>
    <row r="386" spans="22:22" x14ac:dyDescent="0.25">
      <c r="V386" s="8"/>
    </row>
    <row r="387" spans="22:22" x14ac:dyDescent="0.25">
      <c r="V387" s="8"/>
    </row>
    <row r="388" spans="22:22" x14ac:dyDescent="0.25">
      <c r="V388" s="8"/>
    </row>
  </sheetData>
  <mergeCells count="1669">
    <mergeCell ref="C7:G7"/>
    <mergeCell ref="AA7:AF7"/>
    <mergeCell ref="AL7:AQ7"/>
    <mergeCell ref="AZ7:BE7"/>
    <mergeCell ref="BL7:BQ7"/>
    <mergeCell ref="R7:T7"/>
    <mergeCell ref="DQ5:DW6"/>
    <mergeCell ref="EK5:EQ6"/>
    <mergeCell ref="FP5:FV6"/>
    <mergeCell ref="GM5:GS6"/>
    <mergeCell ref="HH5:HN6"/>
    <mergeCell ref="HS5:HY6"/>
    <mergeCell ref="A1:DO3"/>
    <mergeCell ref="C5:H6"/>
    <mergeCell ref="O5:U6"/>
    <mergeCell ref="AA5:AG6"/>
    <mergeCell ref="AL5:AR6"/>
    <mergeCell ref="AZ5:BF6"/>
    <mergeCell ref="BL5:BR6"/>
    <mergeCell ref="CE5:CK6"/>
    <mergeCell ref="CW5:DC6"/>
    <mergeCell ref="DQ8:DV8"/>
    <mergeCell ref="EK8:EP8"/>
    <mergeCell ref="FP8:FU8"/>
    <mergeCell ref="GM8:GR8"/>
    <mergeCell ref="HH8:HM8"/>
    <mergeCell ref="HS8:HX8"/>
    <mergeCell ref="HH7:HM7"/>
    <mergeCell ref="HS7:HX7"/>
    <mergeCell ref="AA8:AE8"/>
    <mergeCell ref="AL8:AQ8"/>
    <mergeCell ref="AZ8:BE8"/>
    <mergeCell ref="BL8:BQ8"/>
    <mergeCell ref="CE8:CJ8"/>
    <mergeCell ref="CW8:DB8"/>
    <mergeCell ref="CE7:CJ7"/>
    <mergeCell ref="CW7:DB7"/>
    <mergeCell ref="DQ7:DV7"/>
    <mergeCell ref="EK7:EP7"/>
    <mergeCell ref="FP7:FU7"/>
    <mergeCell ref="GM7:GR7"/>
    <mergeCell ref="R11:T11"/>
    <mergeCell ref="DQ10:DV10"/>
    <mergeCell ref="EK10:EP10"/>
    <mergeCell ref="FP10:FU10"/>
    <mergeCell ref="GM10:GR10"/>
    <mergeCell ref="HH10:HM10"/>
    <mergeCell ref="HS10:HX10"/>
    <mergeCell ref="HH9:HM9"/>
    <mergeCell ref="HS9:HX9"/>
    <mergeCell ref="AA10:AF10"/>
    <mergeCell ref="AL10:AQ10"/>
    <mergeCell ref="AZ10:BE10"/>
    <mergeCell ref="BL10:BQ10"/>
    <mergeCell ref="CE10:CJ10"/>
    <mergeCell ref="CW10:DB10"/>
    <mergeCell ref="CE9:CJ9"/>
    <mergeCell ref="CW9:DB9"/>
    <mergeCell ref="DQ9:DV9"/>
    <mergeCell ref="EK9:EP9"/>
    <mergeCell ref="FP9:FU9"/>
    <mergeCell ref="GM9:GR9"/>
    <mergeCell ref="AA9:AF9"/>
    <mergeCell ref="AL9:AQ9"/>
    <mergeCell ref="AZ9:BE9"/>
    <mergeCell ref="BL9:BQ9"/>
    <mergeCell ref="DQ12:DV12"/>
    <mergeCell ref="EK12:EP12"/>
    <mergeCell ref="FP12:FU12"/>
    <mergeCell ref="GM12:GR12"/>
    <mergeCell ref="HH12:HM12"/>
    <mergeCell ref="HS12:HX12"/>
    <mergeCell ref="HH11:HM11"/>
    <mergeCell ref="HS11:HX11"/>
    <mergeCell ref="AA12:AF12"/>
    <mergeCell ref="AL12:AQ12"/>
    <mergeCell ref="AZ12:BE12"/>
    <mergeCell ref="BL12:BQ12"/>
    <mergeCell ref="CE12:CJ12"/>
    <mergeCell ref="CW12:DB12"/>
    <mergeCell ref="CE11:CJ11"/>
    <mergeCell ref="CW11:DB11"/>
    <mergeCell ref="DQ11:DV11"/>
    <mergeCell ref="EK11:EP11"/>
    <mergeCell ref="FP11:FU11"/>
    <mergeCell ref="GM11:GR11"/>
    <mergeCell ref="AA11:AF11"/>
    <mergeCell ref="AL11:AQ11"/>
    <mergeCell ref="AZ11:BE11"/>
    <mergeCell ref="BL11:BQ11"/>
    <mergeCell ref="R15:T15"/>
    <mergeCell ref="DQ14:DV14"/>
    <mergeCell ref="EK14:EP14"/>
    <mergeCell ref="FP14:FU14"/>
    <mergeCell ref="GM14:GR14"/>
    <mergeCell ref="HH14:HM14"/>
    <mergeCell ref="HS14:HX14"/>
    <mergeCell ref="HH13:HM13"/>
    <mergeCell ref="HS13:HX13"/>
    <mergeCell ref="AA14:AF14"/>
    <mergeCell ref="AL14:AQ14"/>
    <mergeCell ref="AZ14:BE14"/>
    <mergeCell ref="BL14:BQ14"/>
    <mergeCell ref="CE14:CJ14"/>
    <mergeCell ref="CW14:DB14"/>
    <mergeCell ref="CE13:CJ13"/>
    <mergeCell ref="CW13:DB13"/>
    <mergeCell ref="DQ13:DV13"/>
    <mergeCell ref="EK13:EP13"/>
    <mergeCell ref="FP13:FU13"/>
    <mergeCell ref="GM13:GR13"/>
    <mergeCell ref="AA13:AF13"/>
    <mergeCell ref="AL13:AQ13"/>
    <mergeCell ref="AZ13:BE13"/>
    <mergeCell ref="BL13:BQ13"/>
    <mergeCell ref="DQ16:DV16"/>
    <mergeCell ref="EK16:EP16"/>
    <mergeCell ref="FP16:FU16"/>
    <mergeCell ref="GM16:GR16"/>
    <mergeCell ref="HH16:HM16"/>
    <mergeCell ref="HS16:HX16"/>
    <mergeCell ref="HH15:HM15"/>
    <mergeCell ref="HS15:HX15"/>
    <mergeCell ref="AA16:AF16"/>
    <mergeCell ref="AL16:AQ16"/>
    <mergeCell ref="AZ16:BE16"/>
    <mergeCell ref="BL16:BQ16"/>
    <mergeCell ref="CE16:CJ16"/>
    <mergeCell ref="CW16:DB16"/>
    <mergeCell ref="CE15:CJ15"/>
    <mergeCell ref="CW15:DB15"/>
    <mergeCell ref="DQ15:DV15"/>
    <mergeCell ref="EK15:EP15"/>
    <mergeCell ref="FP15:FU15"/>
    <mergeCell ref="GM15:GR15"/>
    <mergeCell ref="AA15:AF15"/>
    <mergeCell ref="AL15:AQ15"/>
    <mergeCell ref="AZ15:BE15"/>
    <mergeCell ref="BL15:BQ15"/>
    <mergeCell ref="DQ18:DV18"/>
    <mergeCell ref="EK18:EP18"/>
    <mergeCell ref="FP18:FU18"/>
    <mergeCell ref="GM18:GR18"/>
    <mergeCell ref="HH18:HM18"/>
    <mergeCell ref="HS18:HX18"/>
    <mergeCell ref="HH17:HM17"/>
    <mergeCell ref="HS17:HX17"/>
    <mergeCell ref="AA18:AF18"/>
    <mergeCell ref="AL18:AQ18"/>
    <mergeCell ref="AZ18:BE18"/>
    <mergeCell ref="BL18:BQ18"/>
    <mergeCell ref="CE18:CJ18"/>
    <mergeCell ref="CW18:DB18"/>
    <mergeCell ref="CE17:CJ17"/>
    <mergeCell ref="CW17:DB17"/>
    <mergeCell ref="DQ17:DV17"/>
    <mergeCell ref="EK17:EP17"/>
    <mergeCell ref="FP17:FU17"/>
    <mergeCell ref="GM17:GR17"/>
    <mergeCell ref="AA17:AF17"/>
    <mergeCell ref="AL17:AQ17"/>
    <mergeCell ref="AZ17:BE17"/>
    <mergeCell ref="BL17:BQ17"/>
    <mergeCell ref="DQ20:DV20"/>
    <mergeCell ref="EK20:EP20"/>
    <mergeCell ref="FP20:FU20"/>
    <mergeCell ref="GM20:GR20"/>
    <mergeCell ref="HH20:HM20"/>
    <mergeCell ref="HS20:HX20"/>
    <mergeCell ref="HH19:HM19"/>
    <mergeCell ref="HS19:HX19"/>
    <mergeCell ref="AA20:AE20"/>
    <mergeCell ref="AL20:AQ20"/>
    <mergeCell ref="AZ20:BE20"/>
    <mergeCell ref="BL20:BQ20"/>
    <mergeCell ref="CE20:CJ20"/>
    <mergeCell ref="CW20:DB20"/>
    <mergeCell ref="CE19:CJ19"/>
    <mergeCell ref="CW19:DB19"/>
    <mergeCell ref="DQ19:DV19"/>
    <mergeCell ref="EK19:EP19"/>
    <mergeCell ref="FP19:FU19"/>
    <mergeCell ref="GM19:GR19"/>
    <mergeCell ref="AA19:AF19"/>
    <mergeCell ref="AL19:AQ19"/>
    <mergeCell ref="AZ19:BE19"/>
    <mergeCell ref="BL19:BQ19"/>
    <mergeCell ref="DQ22:DV22"/>
    <mergeCell ref="EK22:EP22"/>
    <mergeCell ref="FP22:FU22"/>
    <mergeCell ref="GM22:GR22"/>
    <mergeCell ref="HH22:HM22"/>
    <mergeCell ref="HS22:HX22"/>
    <mergeCell ref="HH21:HM21"/>
    <mergeCell ref="HS21:HX21"/>
    <mergeCell ref="AA22:AF22"/>
    <mergeCell ref="AL22:AQ22"/>
    <mergeCell ref="AZ22:BE22"/>
    <mergeCell ref="BL22:BQ22"/>
    <mergeCell ref="CE22:CJ22"/>
    <mergeCell ref="CW22:DB22"/>
    <mergeCell ref="CE21:CJ21"/>
    <mergeCell ref="CW21:DB21"/>
    <mergeCell ref="DQ21:DV21"/>
    <mergeCell ref="EK21:EP21"/>
    <mergeCell ref="FP21:FU21"/>
    <mergeCell ref="GM21:GR21"/>
    <mergeCell ref="AA21:AF21"/>
    <mergeCell ref="AL21:AQ21"/>
    <mergeCell ref="AZ21:BE21"/>
    <mergeCell ref="BL21:BQ21"/>
    <mergeCell ref="DQ24:DV24"/>
    <mergeCell ref="EK24:EP24"/>
    <mergeCell ref="FP24:FU24"/>
    <mergeCell ref="GM24:GR24"/>
    <mergeCell ref="HH24:HM24"/>
    <mergeCell ref="HS24:HX24"/>
    <mergeCell ref="HH23:HM23"/>
    <mergeCell ref="HS23:HX23"/>
    <mergeCell ref="AA24:AF24"/>
    <mergeCell ref="AL24:AQ24"/>
    <mergeCell ref="AZ24:BE24"/>
    <mergeCell ref="BL24:BQ24"/>
    <mergeCell ref="CE24:CJ24"/>
    <mergeCell ref="CW24:DB24"/>
    <mergeCell ref="CE23:CJ23"/>
    <mergeCell ref="CW23:DB23"/>
    <mergeCell ref="DQ23:DV23"/>
    <mergeCell ref="EK23:EP23"/>
    <mergeCell ref="FP23:FU23"/>
    <mergeCell ref="GM23:GR23"/>
    <mergeCell ref="AA23:AF23"/>
    <mergeCell ref="AL23:AQ23"/>
    <mergeCell ref="AZ23:BE23"/>
    <mergeCell ref="BL23:BQ23"/>
    <mergeCell ref="C27:G27"/>
    <mergeCell ref="AA27:AF27"/>
    <mergeCell ref="AL27:AQ27"/>
    <mergeCell ref="AZ27:BE27"/>
    <mergeCell ref="BL27:BQ27"/>
    <mergeCell ref="R27:T27"/>
    <mergeCell ref="DQ26:DV26"/>
    <mergeCell ref="EK26:EP26"/>
    <mergeCell ref="FP26:FU26"/>
    <mergeCell ref="GM26:GR26"/>
    <mergeCell ref="HH26:HM26"/>
    <mergeCell ref="HS26:HX26"/>
    <mergeCell ref="HH25:HM25"/>
    <mergeCell ref="HS25:HX25"/>
    <mergeCell ref="AA26:AF26"/>
    <mergeCell ref="AL26:AQ26"/>
    <mergeCell ref="AZ26:BE26"/>
    <mergeCell ref="BL26:BQ26"/>
    <mergeCell ref="CE26:CJ26"/>
    <mergeCell ref="CW26:DB26"/>
    <mergeCell ref="CE25:CJ25"/>
    <mergeCell ref="CW25:DB25"/>
    <mergeCell ref="DQ25:DV25"/>
    <mergeCell ref="EK25:EP25"/>
    <mergeCell ref="FP25:FU25"/>
    <mergeCell ref="GM25:GR25"/>
    <mergeCell ref="AA25:AF25"/>
    <mergeCell ref="AL25:AQ25"/>
    <mergeCell ref="AZ25:BE25"/>
    <mergeCell ref="BL25:BQ25"/>
    <mergeCell ref="DQ28:DV28"/>
    <mergeCell ref="EK28:EP28"/>
    <mergeCell ref="FP28:FU28"/>
    <mergeCell ref="GM28:GR28"/>
    <mergeCell ref="HH28:HM28"/>
    <mergeCell ref="HS28:HX28"/>
    <mergeCell ref="HH27:HM27"/>
    <mergeCell ref="HS27:HX27"/>
    <mergeCell ref="AA28:AF28"/>
    <mergeCell ref="AL28:AQ28"/>
    <mergeCell ref="AZ28:BE28"/>
    <mergeCell ref="BL28:BQ28"/>
    <mergeCell ref="CE28:CJ28"/>
    <mergeCell ref="CW28:DB28"/>
    <mergeCell ref="CE27:CJ27"/>
    <mergeCell ref="CW27:DB27"/>
    <mergeCell ref="DQ27:DV27"/>
    <mergeCell ref="EK27:EP27"/>
    <mergeCell ref="FP27:FU27"/>
    <mergeCell ref="GM27:GR27"/>
    <mergeCell ref="DQ30:DV30"/>
    <mergeCell ref="EK30:EP30"/>
    <mergeCell ref="FP30:FU30"/>
    <mergeCell ref="GM30:GR30"/>
    <mergeCell ref="HH30:HM30"/>
    <mergeCell ref="HS30:HX30"/>
    <mergeCell ref="HH29:HM29"/>
    <mergeCell ref="HS29:HX29"/>
    <mergeCell ref="AA30:AF30"/>
    <mergeCell ref="AL30:AQ30"/>
    <mergeCell ref="AZ30:BE30"/>
    <mergeCell ref="BL30:BQ30"/>
    <mergeCell ref="CE30:CJ30"/>
    <mergeCell ref="CW30:DB30"/>
    <mergeCell ref="CE29:CJ29"/>
    <mergeCell ref="CW29:DB29"/>
    <mergeCell ref="DQ29:DV29"/>
    <mergeCell ref="EK29:EP29"/>
    <mergeCell ref="FP29:FU29"/>
    <mergeCell ref="GM29:GR29"/>
    <mergeCell ref="AA29:AF29"/>
    <mergeCell ref="AL29:AQ29"/>
    <mergeCell ref="AZ29:BE29"/>
    <mergeCell ref="BL29:BQ29"/>
    <mergeCell ref="DQ32:DV32"/>
    <mergeCell ref="EK32:EP32"/>
    <mergeCell ref="FP32:FU32"/>
    <mergeCell ref="GM32:GR32"/>
    <mergeCell ref="HH32:HM32"/>
    <mergeCell ref="HS32:HX32"/>
    <mergeCell ref="HH31:HM31"/>
    <mergeCell ref="HS31:HX31"/>
    <mergeCell ref="AA32:AF32"/>
    <mergeCell ref="AL32:AQ32"/>
    <mergeCell ref="AZ32:BE32"/>
    <mergeCell ref="BL32:BQ32"/>
    <mergeCell ref="CE32:CJ32"/>
    <mergeCell ref="CW32:DB32"/>
    <mergeCell ref="CE31:CJ31"/>
    <mergeCell ref="CW31:DB31"/>
    <mergeCell ref="DQ31:DV31"/>
    <mergeCell ref="EK31:EP31"/>
    <mergeCell ref="FP31:FU31"/>
    <mergeCell ref="GM31:GR31"/>
    <mergeCell ref="AA31:AF31"/>
    <mergeCell ref="AL31:AQ31"/>
    <mergeCell ref="AZ31:BE31"/>
    <mergeCell ref="BL31:BQ31"/>
    <mergeCell ref="DQ34:DV34"/>
    <mergeCell ref="EK34:EP34"/>
    <mergeCell ref="FP34:FU34"/>
    <mergeCell ref="GM34:GR34"/>
    <mergeCell ref="HH34:HM34"/>
    <mergeCell ref="HS34:HX34"/>
    <mergeCell ref="HH33:HM33"/>
    <mergeCell ref="HS33:HX33"/>
    <mergeCell ref="AA34:AF34"/>
    <mergeCell ref="AL34:AQ34"/>
    <mergeCell ref="AZ34:BE34"/>
    <mergeCell ref="BL34:BQ34"/>
    <mergeCell ref="CE34:CJ34"/>
    <mergeCell ref="CW34:DB34"/>
    <mergeCell ref="CE33:CJ33"/>
    <mergeCell ref="CW33:DB33"/>
    <mergeCell ref="DQ33:DV33"/>
    <mergeCell ref="EK33:EP33"/>
    <mergeCell ref="FP33:FU33"/>
    <mergeCell ref="GM33:GR33"/>
    <mergeCell ref="AA33:AF33"/>
    <mergeCell ref="AL33:AQ33"/>
    <mergeCell ref="AZ33:BE33"/>
    <mergeCell ref="BL33:BQ33"/>
    <mergeCell ref="DQ36:DV36"/>
    <mergeCell ref="EK36:EP36"/>
    <mergeCell ref="FP36:FU36"/>
    <mergeCell ref="GM36:GR36"/>
    <mergeCell ref="HH36:HM36"/>
    <mergeCell ref="HS36:HX36"/>
    <mergeCell ref="HH35:HM35"/>
    <mergeCell ref="HS35:HX35"/>
    <mergeCell ref="AA36:AF36"/>
    <mergeCell ref="AL36:AQ36"/>
    <mergeCell ref="AZ36:BE36"/>
    <mergeCell ref="BL36:BQ36"/>
    <mergeCell ref="CE36:CJ36"/>
    <mergeCell ref="CW36:DB36"/>
    <mergeCell ref="CE35:CJ35"/>
    <mergeCell ref="CW35:DB35"/>
    <mergeCell ref="DQ35:DV35"/>
    <mergeCell ref="EK35:EP35"/>
    <mergeCell ref="FP35:FU35"/>
    <mergeCell ref="GM35:GR35"/>
    <mergeCell ref="AA35:AF35"/>
    <mergeCell ref="AL35:AQ35"/>
    <mergeCell ref="AZ35:BE35"/>
    <mergeCell ref="BL35:BQ35"/>
    <mergeCell ref="DQ38:DV38"/>
    <mergeCell ref="EK38:EP38"/>
    <mergeCell ref="FP38:FU38"/>
    <mergeCell ref="GM38:GR38"/>
    <mergeCell ref="HH38:HM38"/>
    <mergeCell ref="HS38:HX38"/>
    <mergeCell ref="HH37:HM37"/>
    <mergeCell ref="HS37:HX37"/>
    <mergeCell ref="AA38:AF38"/>
    <mergeCell ref="AL38:AQ38"/>
    <mergeCell ref="AZ38:BE38"/>
    <mergeCell ref="BL38:BQ38"/>
    <mergeCell ref="CE38:CJ38"/>
    <mergeCell ref="CW38:DB38"/>
    <mergeCell ref="CE37:CJ37"/>
    <mergeCell ref="CW37:DB37"/>
    <mergeCell ref="DQ37:DV37"/>
    <mergeCell ref="EK37:EP37"/>
    <mergeCell ref="FP37:FU37"/>
    <mergeCell ref="GM37:GR37"/>
    <mergeCell ref="AA37:AF37"/>
    <mergeCell ref="AL37:AQ37"/>
    <mergeCell ref="AZ37:BE37"/>
    <mergeCell ref="BL37:BQ37"/>
    <mergeCell ref="DQ40:DV40"/>
    <mergeCell ref="EK40:EP40"/>
    <mergeCell ref="FP40:FU40"/>
    <mergeCell ref="GM40:GR40"/>
    <mergeCell ref="HH40:HM40"/>
    <mergeCell ref="HS40:HX40"/>
    <mergeCell ref="HH39:HM39"/>
    <mergeCell ref="HS39:HX39"/>
    <mergeCell ref="AA40:AF40"/>
    <mergeCell ref="AL40:AQ40"/>
    <mergeCell ref="AZ40:BE40"/>
    <mergeCell ref="BL40:BQ40"/>
    <mergeCell ref="CE40:CJ40"/>
    <mergeCell ref="CW40:DB40"/>
    <mergeCell ref="CE39:CJ39"/>
    <mergeCell ref="CW39:DB39"/>
    <mergeCell ref="DQ39:DV39"/>
    <mergeCell ref="EK39:EP39"/>
    <mergeCell ref="FP39:FU39"/>
    <mergeCell ref="GM39:GR39"/>
    <mergeCell ref="AA39:AF39"/>
    <mergeCell ref="AL39:AQ39"/>
    <mergeCell ref="AZ39:BE39"/>
    <mergeCell ref="BL39:BQ39"/>
    <mergeCell ref="DQ42:DV42"/>
    <mergeCell ref="EK42:EP42"/>
    <mergeCell ref="FP42:FU42"/>
    <mergeCell ref="GM42:GR42"/>
    <mergeCell ref="HH42:HM42"/>
    <mergeCell ref="HS42:HX42"/>
    <mergeCell ref="HH41:HM41"/>
    <mergeCell ref="HS41:HX41"/>
    <mergeCell ref="AA42:AF42"/>
    <mergeCell ref="AL42:AQ42"/>
    <mergeCell ref="AZ42:BE42"/>
    <mergeCell ref="BL42:BQ42"/>
    <mergeCell ref="CE42:CJ42"/>
    <mergeCell ref="CW42:DB42"/>
    <mergeCell ref="CE41:CJ41"/>
    <mergeCell ref="CW41:DB41"/>
    <mergeCell ref="DQ41:DV41"/>
    <mergeCell ref="EK41:EP41"/>
    <mergeCell ref="FP41:FU41"/>
    <mergeCell ref="GM41:GR41"/>
    <mergeCell ref="AA41:AF41"/>
    <mergeCell ref="AL41:AQ41"/>
    <mergeCell ref="AZ41:BE41"/>
    <mergeCell ref="BL41:BQ41"/>
    <mergeCell ref="DQ44:DV44"/>
    <mergeCell ref="EK44:EP44"/>
    <mergeCell ref="FP44:FU44"/>
    <mergeCell ref="GM44:GR44"/>
    <mergeCell ref="HH44:HM44"/>
    <mergeCell ref="HS44:HX44"/>
    <mergeCell ref="HH43:HM43"/>
    <mergeCell ref="HS43:HX43"/>
    <mergeCell ref="AA44:AF44"/>
    <mergeCell ref="AL44:AQ44"/>
    <mergeCell ref="AZ44:BE44"/>
    <mergeCell ref="BL44:BQ44"/>
    <mergeCell ref="CE44:CJ44"/>
    <mergeCell ref="CW44:DB44"/>
    <mergeCell ref="CE43:CJ43"/>
    <mergeCell ref="CW43:DB43"/>
    <mergeCell ref="DQ43:DV43"/>
    <mergeCell ref="EK43:EP43"/>
    <mergeCell ref="FP43:FU43"/>
    <mergeCell ref="GM43:GR43"/>
    <mergeCell ref="AA43:AF43"/>
    <mergeCell ref="AL43:AQ43"/>
    <mergeCell ref="AZ43:BE43"/>
    <mergeCell ref="BL43:BQ43"/>
    <mergeCell ref="DQ46:DV46"/>
    <mergeCell ref="EK46:EP46"/>
    <mergeCell ref="FP46:FU46"/>
    <mergeCell ref="GM46:GR46"/>
    <mergeCell ref="HH46:HM46"/>
    <mergeCell ref="HS46:HX46"/>
    <mergeCell ref="HH45:HM45"/>
    <mergeCell ref="HS45:HX45"/>
    <mergeCell ref="AA46:AF46"/>
    <mergeCell ref="AL46:AQ46"/>
    <mergeCell ref="AZ46:BE46"/>
    <mergeCell ref="BL46:BQ46"/>
    <mergeCell ref="CE46:CJ46"/>
    <mergeCell ref="CW46:DB46"/>
    <mergeCell ref="CE45:CJ45"/>
    <mergeCell ref="CW45:DB45"/>
    <mergeCell ref="DQ45:DV45"/>
    <mergeCell ref="EK45:EP45"/>
    <mergeCell ref="FP45:FU45"/>
    <mergeCell ref="GM45:GR45"/>
    <mergeCell ref="AA45:AF45"/>
    <mergeCell ref="AL45:AQ45"/>
    <mergeCell ref="AZ45:BE45"/>
    <mergeCell ref="BL45:BQ45"/>
    <mergeCell ref="DQ48:DV48"/>
    <mergeCell ref="EK48:EP48"/>
    <mergeCell ref="FP48:FU48"/>
    <mergeCell ref="GM48:GR48"/>
    <mergeCell ref="HH48:HM48"/>
    <mergeCell ref="HS48:HX48"/>
    <mergeCell ref="HH47:HM47"/>
    <mergeCell ref="HS47:HX47"/>
    <mergeCell ref="AA48:AF48"/>
    <mergeCell ref="AL48:AQ48"/>
    <mergeCell ref="AZ48:BE48"/>
    <mergeCell ref="BL48:BQ48"/>
    <mergeCell ref="CE48:CJ48"/>
    <mergeCell ref="CW48:DB48"/>
    <mergeCell ref="CE47:CJ47"/>
    <mergeCell ref="CW47:DB47"/>
    <mergeCell ref="DQ47:DV47"/>
    <mergeCell ref="EK47:EP47"/>
    <mergeCell ref="FP47:FU47"/>
    <mergeCell ref="GM47:GR47"/>
    <mergeCell ref="AA47:AF47"/>
    <mergeCell ref="AL47:AQ47"/>
    <mergeCell ref="AZ47:BE47"/>
    <mergeCell ref="BL47:BQ47"/>
    <mergeCell ref="GM50:GR50"/>
    <mergeCell ref="HH50:HM50"/>
    <mergeCell ref="HS50:HX50"/>
    <mergeCell ref="AA51:AF51"/>
    <mergeCell ref="AL51:AQ51"/>
    <mergeCell ref="AZ51:BE51"/>
    <mergeCell ref="BL51:BQ51"/>
    <mergeCell ref="CE51:CJ51"/>
    <mergeCell ref="BL50:BQ50"/>
    <mergeCell ref="CE50:CJ50"/>
    <mergeCell ref="CW50:DB50"/>
    <mergeCell ref="DQ50:DV50"/>
    <mergeCell ref="EK50:EP50"/>
    <mergeCell ref="FP50:FU50"/>
    <mergeCell ref="EK49:EP49"/>
    <mergeCell ref="FP49:FU49"/>
    <mergeCell ref="GM49:GR49"/>
    <mergeCell ref="HH49:HM49"/>
    <mergeCell ref="HS49:HX49"/>
    <mergeCell ref="AA50:AF50"/>
    <mergeCell ref="AL50:AQ50"/>
    <mergeCell ref="AZ50:BE50"/>
    <mergeCell ref="EK52:EP52"/>
    <mergeCell ref="FP52:FU52"/>
    <mergeCell ref="GM52:GR52"/>
    <mergeCell ref="HH52:HM52"/>
    <mergeCell ref="HS52:HX52"/>
    <mergeCell ref="AA53:AF53"/>
    <mergeCell ref="AL53:AQ53"/>
    <mergeCell ref="AZ53:BE53"/>
    <mergeCell ref="HS51:HX51"/>
    <mergeCell ref="AA52:AF52"/>
    <mergeCell ref="AL52:AQ52"/>
    <mergeCell ref="AZ52:BE52"/>
    <mergeCell ref="BL52:BQ52"/>
    <mergeCell ref="CE52:CJ52"/>
    <mergeCell ref="CW52:DB52"/>
    <mergeCell ref="DQ52:DV52"/>
    <mergeCell ref="CW51:DB51"/>
    <mergeCell ref="DQ51:DV51"/>
    <mergeCell ref="EK51:EP51"/>
    <mergeCell ref="FP51:FU51"/>
    <mergeCell ref="GM51:GR51"/>
    <mergeCell ref="HH51:HM51"/>
    <mergeCell ref="HS54:HX54"/>
    <mergeCell ref="AA55:AF55"/>
    <mergeCell ref="AL55:AQ55"/>
    <mergeCell ref="AZ55:BE55"/>
    <mergeCell ref="BL55:BQ55"/>
    <mergeCell ref="CE55:CJ55"/>
    <mergeCell ref="CW55:DB55"/>
    <mergeCell ref="DQ55:DV55"/>
    <mergeCell ref="CW54:DB54"/>
    <mergeCell ref="DQ54:DV54"/>
    <mergeCell ref="EK54:EP54"/>
    <mergeCell ref="FP54:FU54"/>
    <mergeCell ref="GM54:GR54"/>
    <mergeCell ref="HH54:HM54"/>
    <mergeCell ref="GM53:GR53"/>
    <mergeCell ref="HH53:HM53"/>
    <mergeCell ref="HS53:HX53"/>
    <mergeCell ref="AA54:AF54"/>
    <mergeCell ref="AL54:AQ54"/>
    <mergeCell ref="AZ54:BE54"/>
    <mergeCell ref="BL54:BQ54"/>
    <mergeCell ref="CE54:CJ54"/>
    <mergeCell ref="BL53:BQ53"/>
    <mergeCell ref="CE53:CJ53"/>
    <mergeCell ref="CW53:DB53"/>
    <mergeCell ref="DQ53:DV53"/>
    <mergeCell ref="EK53:EP53"/>
    <mergeCell ref="FP53:FU53"/>
    <mergeCell ref="GM56:GR56"/>
    <mergeCell ref="HH56:HM56"/>
    <mergeCell ref="HS56:HX56"/>
    <mergeCell ref="AA57:AF57"/>
    <mergeCell ref="AL57:AQ57"/>
    <mergeCell ref="AZ57:BE57"/>
    <mergeCell ref="BL57:BQ57"/>
    <mergeCell ref="CE57:CJ57"/>
    <mergeCell ref="BL56:BQ56"/>
    <mergeCell ref="CE56:CJ56"/>
    <mergeCell ref="CW56:DB56"/>
    <mergeCell ref="DQ56:DV56"/>
    <mergeCell ref="EK56:EP56"/>
    <mergeCell ref="FP56:FU56"/>
    <mergeCell ref="EK55:EP55"/>
    <mergeCell ref="FP55:FU55"/>
    <mergeCell ref="GM55:GR55"/>
    <mergeCell ref="HH55:HM55"/>
    <mergeCell ref="HS55:HX55"/>
    <mergeCell ref="AA56:AF56"/>
    <mergeCell ref="AL56:AQ56"/>
    <mergeCell ref="AZ56:BE56"/>
    <mergeCell ref="EK58:EP58"/>
    <mergeCell ref="FP58:FU58"/>
    <mergeCell ref="GM58:GR58"/>
    <mergeCell ref="HH58:HM58"/>
    <mergeCell ref="HS58:HX58"/>
    <mergeCell ref="AA59:AF59"/>
    <mergeCell ref="AL59:AQ59"/>
    <mergeCell ref="AZ59:BE59"/>
    <mergeCell ref="HS57:HX57"/>
    <mergeCell ref="AA58:AF58"/>
    <mergeCell ref="AL58:AQ58"/>
    <mergeCell ref="AZ58:BE58"/>
    <mergeCell ref="BL58:BQ58"/>
    <mergeCell ref="CE58:CJ58"/>
    <mergeCell ref="CW58:DB58"/>
    <mergeCell ref="DQ58:DV58"/>
    <mergeCell ref="CW57:DB57"/>
    <mergeCell ref="DQ57:DV57"/>
    <mergeCell ref="EK57:EP57"/>
    <mergeCell ref="FP57:FU57"/>
    <mergeCell ref="GM57:GR57"/>
    <mergeCell ref="HH57:HM57"/>
    <mergeCell ref="HS60:HX60"/>
    <mergeCell ref="AA61:AF61"/>
    <mergeCell ref="AL61:AQ61"/>
    <mergeCell ref="AZ61:BE61"/>
    <mergeCell ref="BL61:BQ61"/>
    <mergeCell ref="CE61:CJ61"/>
    <mergeCell ref="CW61:DB61"/>
    <mergeCell ref="DQ61:DV61"/>
    <mergeCell ref="CW60:DB60"/>
    <mergeCell ref="DQ60:DV60"/>
    <mergeCell ref="EK60:EP60"/>
    <mergeCell ref="FP60:FU60"/>
    <mergeCell ref="GM60:GR60"/>
    <mergeCell ref="HH60:HM60"/>
    <mergeCell ref="GM59:GR59"/>
    <mergeCell ref="HH59:HM59"/>
    <mergeCell ref="HS59:HX59"/>
    <mergeCell ref="AA60:AF60"/>
    <mergeCell ref="AL60:AQ60"/>
    <mergeCell ref="AZ60:BE60"/>
    <mergeCell ref="BL60:BQ60"/>
    <mergeCell ref="CE60:CJ60"/>
    <mergeCell ref="BL59:BQ59"/>
    <mergeCell ref="CE59:CJ59"/>
    <mergeCell ref="CW59:DB59"/>
    <mergeCell ref="DQ59:DV59"/>
    <mergeCell ref="EK59:EP59"/>
    <mergeCell ref="FP59:FU59"/>
    <mergeCell ref="GM62:GR62"/>
    <mergeCell ref="HH62:HM62"/>
    <mergeCell ref="HS62:HX62"/>
    <mergeCell ref="AA63:AF63"/>
    <mergeCell ref="AL63:AQ63"/>
    <mergeCell ref="AZ63:BE63"/>
    <mergeCell ref="BL63:BQ63"/>
    <mergeCell ref="CE63:CJ63"/>
    <mergeCell ref="BL62:BQ62"/>
    <mergeCell ref="CE62:CJ62"/>
    <mergeCell ref="CW62:DB62"/>
    <mergeCell ref="DQ62:DV62"/>
    <mergeCell ref="EK62:EP62"/>
    <mergeCell ref="FP62:FU62"/>
    <mergeCell ref="EK61:EP61"/>
    <mergeCell ref="FP61:FU61"/>
    <mergeCell ref="GM61:GR61"/>
    <mergeCell ref="HH61:HM61"/>
    <mergeCell ref="HS61:HX61"/>
    <mergeCell ref="AA62:AF62"/>
    <mergeCell ref="AL62:AQ62"/>
    <mergeCell ref="AZ62:BE62"/>
    <mergeCell ref="R66:T66"/>
    <mergeCell ref="EK64:EP64"/>
    <mergeCell ref="FP64:FU64"/>
    <mergeCell ref="GM64:GR64"/>
    <mergeCell ref="HH64:HM64"/>
    <mergeCell ref="HS64:HX64"/>
    <mergeCell ref="EK65:EP65"/>
    <mergeCell ref="FP65:FU65"/>
    <mergeCell ref="GM65:GR65"/>
    <mergeCell ref="HH65:HM65"/>
    <mergeCell ref="HS65:HX65"/>
    <mergeCell ref="HS63:HX63"/>
    <mergeCell ref="AA64:AF64"/>
    <mergeCell ref="AL64:AQ64"/>
    <mergeCell ref="AZ64:BE64"/>
    <mergeCell ref="BL64:BQ64"/>
    <mergeCell ref="CE64:CJ64"/>
    <mergeCell ref="CW64:DB64"/>
    <mergeCell ref="DQ64:DV64"/>
    <mergeCell ref="CW63:DB63"/>
    <mergeCell ref="DQ63:DV63"/>
    <mergeCell ref="EK63:EP63"/>
    <mergeCell ref="FP63:FU63"/>
    <mergeCell ref="GM63:GR63"/>
    <mergeCell ref="HH63:HM63"/>
    <mergeCell ref="DQ67:DV67"/>
    <mergeCell ref="EK67:EP67"/>
    <mergeCell ref="FP67:FU67"/>
    <mergeCell ref="GM67:GR67"/>
    <mergeCell ref="HH67:HM67"/>
    <mergeCell ref="HS67:HX67"/>
    <mergeCell ref="HH66:HM66"/>
    <mergeCell ref="HS66:HX66"/>
    <mergeCell ref="AA67:AF67"/>
    <mergeCell ref="AL67:AQ67"/>
    <mergeCell ref="AZ67:BE67"/>
    <mergeCell ref="BL67:BQ67"/>
    <mergeCell ref="CE67:CJ67"/>
    <mergeCell ref="CW67:DB67"/>
    <mergeCell ref="CE66:CJ66"/>
    <mergeCell ref="CW66:DB66"/>
    <mergeCell ref="DQ66:DV66"/>
    <mergeCell ref="EK66:EP66"/>
    <mergeCell ref="FP66:FU66"/>
    <mergeCell ref="GM66:GR66"/>
    <mergeCell ref="AA66:AF66"/>
    <mergeCell ref="AL66:AQ66"/>
    <mergeCell ref="AZ66:BE66"/>
    <mergeCell ref="BL66:BQ66"/>
    <mergeCell ref="FP138:FU138"/>
    <mergeCell ref="C139:G139"/>
    <mergeCell ref="H139:K139"/>
    <mergeCell ref="L139:O139"/>
    <mergeCell ref="P139:S139"/>
    <mergeCell ref="T139:W139"/>
    <mergeCell ref="X139:AA139"/>
    <mergeCell ref="BL70:BQ70"/>
    <mergeCell ref="CE70:CJ70"/>
    <mergeCell ref="CE134:CJ134"/>
    <mergeCell ref="A135:X137"/>
    <mergeCell ref="FP135:FU135"/>
    <mergeCell ref="FP136:FU136"/>
    <mergeCell ref="FP137:FU137"/>
    <mergeCell ref="R70:T70"/>
    <mergeCell ref="HH68:HM68"/>
    <mergeCell ref="HS68:HX68"/>
    <mergeCell ref="EK69:EP69"/>
    <mergeCell ref="FP69:FU69"/>
    <mergeCell ref="GM69:GR69"/>
    <mergeCell ref="HH69:HM69"/>
    <mergeCell ref="HS69:HX69"/>
    <mergeCell ref="CE68:CJ68"/>
    <mergeCell ref="CW68:DB68"/>
    <mergeCell ref="DQ68:DV68"/>
    <mergeCell ref="EK68:EP68"/>
    <mergeCell ref="FP68:FU68"/>
    <mergeCell ref="GM68:GR68"/>
    <mergeCell ref="AA68:AF68"/>
    <mergeCell ref="AL68:AQ68"/>
    <mergeCell ref="AZ68:BE68"/>
    <mergeCell ref="BL68:BQ68"/>
    <mergeCell ref="P141:Q141"/>
    <mergeCell ref="R141:S141"/>
    <mergeCell ref="T141:U141"/>
    <mergeCell ref="V141:W141"/>
    <mergeCell ref="X141:Y141"/>
    <mergeCell ref="Z141:AA141"/>
    <mergeCell ref="R140:S140"/>
    <mergeCell ref="T140:U140"/>
    <mergeCell ref="V140:W140"/>
    <mergeCell ref="X140:Y140"/>
    <mergeCell ref="Z140:AA140"/>
    <mergeCell ref="C141:G141"/>
    <mergeCell ref="H141:I141"/>
    <mergeCell ref="J141:K141"/>
    <mergeCell ref="L141:M141"/>
    <mergeCell ref="N141:O141"/>
    <mergeCell ref="C140:G140"/>
    <mergeCell ref="H140:I140"/>
    <mergeCell ref="J140:K140"/>
    <mergeCell ref="L140:M140"/>
    <mergeCell ref="N140:O140"/>
    <mergeCell ref="P140:Q140"/>
    <mergeCell ref="P143:Q143"/>
    <mergeCell ref="R143:S143"/>
    <mergeCell ref="T143:U143"/>
    <mergeCell ref="V143:W143"/>
    <mergeCell ref="X143:Y143"/>
    <mergeCell ref="Z143:AA143"/>
    <mergeCell ref="R142:S142"/>
    <mergeCell ref="T142:U142"/>
    <mergeCell ref="V142:W142"/>
    <mergeCell ref="X142:Y142"/>
    <mergeCell ref="Z142:AA142"/>
    <mergeCell ref="C143:G143"/>
    <mergeCell ref="H143:I143"/>
    <mergeCell ref="J143:K143"/>
    <mergeCell ref="L143:M143"/>
    <mergeCell ref="N143:O143"/>
    <mergeCell ref="C142:G142"/>
    <mergeCell ref="H142:I142"/>
    <mergeCell ref="J142:K142"/>
    <mergeCell ref="L142:M142"/>
    <mergeCell ref="N142:O142"/>
    <mergeCell ref="P142:Q142"/>
    <mergeCell ref="P145:Q145"/>
    <mergeCell ref="R145:S145"/>
    <mergeCell ref="T145:U145"/>
    <mergeCell ref="V145:W145"/>
    <mergeCell ref="X145:Y145"/>
    <mergeCell ref="Z145:AA145"/>
    <mergeCell ref="R144:S144"/>
    <mergeCell ref="T144:U144"/>
    <mergeCell ref="V144:W144"/>
    <mergeCell ref="X144:Y144"/>
    <mergeCell ref="Z144:AA144"/>
    <mergeCell ref="C145:G145"/>
    <mergeCell ref="H145:I145"/>
    <mergeCell ref="J145:K145"/>
    <mergeCell ref="L145:M145"/>
    <mergeCell ref="N145:O145"/>
    <mergeCell ref="C144:G144"/>
    <mergeCell ref="H144:I144"/>
    <mergeCell ref="J144:K144"/>
    <mergeCell ref="L144:M144"/>
    <mergeCell ref="N144:O144"/>
    <mergeCell ref="P144:Q144"/>
    <mergeCell ref="P147:Q147"/>
    <mergeCell ref="R147:S147"/>
    <mergeCell ref="T147:U147"/>
    <mergeCell ref="V147:W147"/>
    <mergeCell ref="X147:Y147"/>
    <mergeCell ref="Z147:AA147"/>
    <mergeCell ref="R146:S146"/>
    <mergeCell ref="T146:U146"/>
    <mergeCell ref="V146:W146"/>
    <mergeCell ref="X146:Y146"/>
    <mergeCell ref="Z146:AA146"/>
    <mergeCell ref="C147:G147"/>
    <mergeCell ref="H147:I147"/>
    <mergeCell ref="J147:K147"/>
    <mergeCell ref="L147:M147"/>
    <mergeCell ref="N147:O147"/>
    <mergeCell ref="C146:G146"/>
    <mergeCell ref="H146:I146"/>
    <mergeCell ref="J146:K146"/>
    <mergeCell ref="L146:M146"/>
    <mergeCell ref="N146:O146"/>
    <mergeCell ref="P146:Q146"/>
    <mergeCell ref="P149:Q149"/>
    <mergeCell ref="R149:S149"/>
    <mergeCell ref="T149:U149"/>
    <mergeCell ref="V149:W149"/>
    <mergeCell ref="X149:Y149"/>
    <mergeCell ref="Z149:AA149"/>
    <mergeCell ref="R148:S148"/>
    <mergeCell ref="T148:U148"/>
    <mergeCell ref="V148:W148"/>
    <mergeCell ref="X148:Y148"/>
    <mergeCell ref="Z148:AA148"/>
    <mergeCell ref="C149:G149"/>
    <mergeCell ref="H149:I149"/>
    <mergeCell ref="J149:K149"/>
    <mergeCell ref="L149:M149"/>
    <mergeCell ref="N149:O149"/>
    <mergeCell ref="C148:G148"/>
    <mergeCell ref="H148:I148"/>
    <mergeCell ref="J148:K148"/>
    <mergeCell ref="L148:M148"/>
    <mergeCell ref="N148:O148"/>
    <mergeCell ref="P148:Q148"/>
    <mergeCell ref="P151:Q151"/>
    <mergeCell ref="R151:S151"/>
    <mergeCell ref="T151:U151"/>
    <mergeCell ref="V151:W151"/>
    <mergeCell ref="X151:Y151"/>
    <mergeCell ref="Z151:AA151"/>
    <mergeCell ref="R150:S150"/>
    <mergeCell ref="T150:U150"/>
    <mergeCell ref="V150:W150"/>
    <mergeCell ref="X150:Y150"/>
    <mergeCell ref="Z150:AA150"/>
    <mergeCell ref="C151:G151"/>
    <mergeCell ref="H151:I151"/>
    <mergeCell ref="J151:K151"/>
    <mergeCell ref="L151:M151"/>
    <mergeCell ref="N151:O151"/>
    <mergeCell ref="C150:G150"/>
    <mergeCell ref="H150:I150"/>
    <mergeCell ref="J150:K150"/>
    <mergeCell ref="L150:M150"/>
    <mergeCell ref="N150:O150"/>
    <mergeCell ref="P150:Q150"/>
    <mergeCell ref="P153:Q153"/>
    <mergeCell ref="R153:S153"/>
    <mergeCell ref="T153:U153"/>
    <mergeCell ref="V153:W153"/>
    <mergeCell ref="X153:Y153"/>
    <mergeCell ref="Z153:AA153"/>
    <mergeCell ref="R152:S152"/>
    <mergeCell ref="T152:U152"/>
    <mergeCell ref="V152:W152"/>
    <mergeCell ref="X152:Y152"/>
    <mergeCell ref="Z152:AA152"/>
    <mergeCell ref="C153:G153"/>
    <mergeCell ref="H153:I153"/>
    <mergeCell ref="J153:K153"/>
    <mergeCell ref="L153:M153"/>
    <mergeCell ref="N153:O153"/>
    <mergeCell ref="C152:G152"/>
    <mergeCell ref="H152:I152"/>
    <mergeCell ref="J152:K152"/>
    <mergeCell ref="L152:M152"/>
    <mergeCell ref="N152:O152"/>
    <mergeCell ref="P152:Q152"/>
    <mergeCell ref="P155:Q155"/>
    <mergeCell ref="R155:S155"/>
    <mergeCell ref="T155:U155"/>
    <mergeCell ref="V155:W155"/>
    <mergeCell ref="X155:Y155"/>
    <mergeCell ref="Z155:AA155"/>
    <mergeCell ref="R154:S154"/>
    <mergeCell ref="T154:U154"/>
    <mergeCell ref="V154:W154"/>
    <mergeCell ref="X154:Y154"/>
    <mergeCell ref="Z154:AA154"/>
    <mergeCell ref="C155:G155"/>
    <mergeCell ref="H155:I155"/>
    <mergeCell ref="J155:K155"/>
    <mergeCell ref="L155:M155"/>
    <mergeCell ref="N155:O155"/>
    <mergeCell ref="C154:G154"/>
    <mergeCell ref="H154:I154"/>
    <mergeCell ref="J154:K154"/>
    <mergeCell ref="L154:M154"/>
    <mergeCell ref="N154:O154"/>
    <mergeCell ref="P154:Q154"/>
    <mergeCell ref="P157:Q157"/>
    <mergeCell ref="R157:S157"/>
    <mergeCell ref="T157:U157"/>
    <mergeCell ref="V157:W157"/>
    <mergeCell ref="X157:Y157"/>
    <mergeCell ref="Z157:AA157"/>
    <mergeCell ref="R156:S156"/>
    <mergeCell ref="T156:U156"/>
    <mergeCell ref="V156:W156"/>
    <mergeCell ref="X156:Y156"/>
    <mergeCell ref="Z156:AA156"/>
    <mergeCell ref="C157:G157"/>
    <mergeCell ref="H157:I157"/>
    <mergeCell ref="J157:K157"/>
    <mergeCell ref="L157:M157"/>
    <mergeCell ref="N157:O157"/>
    <mergeCell ref="C156:G156"/>
    <mergeCell ref="H156:I156"/>
    <mergeCell ref="J156:K156"/>
    <mergeCell ref="L156:M156"/>
    <mergeCell ref="N156:O156"/>
    <mergeCell ref="P156:Q156"/>
    <mergeCell ref="P159:Q159"/>
    <mergeCell ref="R159:S159"/>
    <mergeCell ref="T159:U159"/>
    <mergeCell ref="V159:W159"/>
    <mergeCell ref="X159:Y159"/>
    <mergeCell ref="Z159:AA159"/>
    <mergeCell ref="R158:S158"/>
    <mergeCell ref="T158:U158"/>
    <mergeCell ref="V158:W158"/>
    <mergeCell ref="X158:Y158"/>
    <mergeCell ref="Z158:AA158"/>
    <mergeCell ref="C159:G159"/>
    <mergeCell ref="H159:I159"/>
    <mergeCell ref="J159:K159"/>
    <mergeCell ref="L159:M159"/>
    <mergeCell ref="N159:O159"/>
    <mergeCell ref="C158:G158"/>
    <mergeCell ref="H158:I158"/>
    <mergeCell ref="J158:K158"/>
    <mergeCell ref="L158:M158"/>
    <mergeCell ref="N158:O158"/>
    <mergeCell ref="P158:Q158"/>
    <mergeCell ref="P161:Q161"/>
    <mergeCell ref="R161:S161"/>
    <mergeCell ref="T161:U161"/>
    <mergeCell ref="V161:W161"/>
    <mergeCell ref="X161:Y161"/>
    <mergeCell ref="Z161:AA161"/>
    <mergeCell ref="R160:S160"/>
    <mergeCell ref="T160:U160"/>
    <mergeCell ref="V160:W160"/>
    <mergeCell ref="X160:Y160"/>
    <mergeCell ref="Z160:AA160"/>
    <mergeCell ref="C161:G161"/>
    <mergeCell ref="H161:I161"/>
    <mergeCell ref="J161:K161"/>
    <mergeCell ref="L161:M161"/>
    <mergeCell ref="N161:O161"/>
    <mergeCell ref="C160:G160"/>
    <mergeCell ref="H160:I160"/>
    <mergeCell ref="J160:K160"/>
    <mergeCell ref="L160:M160"/>
    <mergeCell ref="N160:O160"/>
    <mergeCell ref="P160:Q160"/>
    <mergeCell ref="P163:Q163"/>
    <mergeCell ref="R163:S163"/>
    <mergeCell ref="T163:U163"/>
    <mergeCell ref="V163:W163"/>
    <mergeCell ref="X163:Y163"/>
    <mergeCell ref="Z163:AA163"/>
    <mergeCell ref="R162:S162"/>
    <mergeCell ref="T162:U162"/>
    <mergeCell ref="V162:W162"/>
    <mergeCell ref="X162:Y162"/>
    <mergeCell ref="Z162:AA162"/>
    <mergeCell ref="C163:G163"/>
    <mergeCell ref="H163:I163"/>
    <mergeCell ref="J163:K163"/>
    <mergeCell ref="L163:M163"/>
    <mergeCell ref="N163:O163"/>
    <mergeCell ref="C162:G162"/>
    <mergeCell ref="H162:I162"/>
    <mergeCell ref="J162:K162"/>
    <mergeCell ref="L162:M162"/>
    <mergeCell ref="N162:O162"/>
    <mergeCell ref="P162:Q162"/>
    <mergeCell ref="P165:Q165"/>
    <mergeCell ref="R165:S165"/>
    <mergeCell ref="T165:U165"/>
    <mergeCell ref="V165:W165"/>
    <mergeCell ref="X165:Y165"/>
    <mergeCell ref="Z165:AA165"/>
    <mergeCell ref="R164:S164"/>
    <mergeCell ref="T164:U164"/>
    <mergeCell ref="V164:W164"/>
    <mergeCell ref="X164:Y164"/>
    <mergeCell ref="Z164:AA164"/>
    <mergeCell ref="C165:G165"/>
    <mergeCell ref="H165:I165"/>
    <mergeCell ref="J165:K165"/>
    <mergeCell ref="L165:M165"/>
    <mergeCell ref="N165:O165"/>
    <mergeCell ref="C164:G164"/>
    <mergeCell ref="H164:I164"/>
    <mergeCell ref="J164:K164"/>
    <mergeCell ref="L164:M164"/>
    <mergeCell ref="N164:O164"/>
    <mergeCell ref="P164:Q164"/>
    <mergeCell ref="P167:Q167"/>
    <mergeCell ref="R167:S167"/>
    <mergeCell ref="T167:U167"/>
    <mergeCell ref="V167:W167"/>
    <mergeCell ref="X167:Y167"/>
    <mergeCell ref="Z167:AA167"/>
    <mergeCell ref="R166:S166"/>
    <mergeCell ref="T166:U166"/>
    <mergeCell ref="V166:W166"/>
    <mergeCell ref="X166:Y166"/>
    <mergeCell ref="Z166:AA166"/>
    <mergeCell ref="C167:G167"/>
    <mergeCell ref="H167:I167"/>
    <mergeCell ref="J167:K167"/>
    <mergeCell ref="L167:M167"/>
    <mergeCell ref="N167:O167"/>
    <mergeCell ref="C166:G166"/>
    <mergeCell ref="H166:I166"/>
    <mergeCell ref="J166:K166"/>
    <mergeCell ref="L166:M166"/>
    <mergeCell ref="N166:O166"/>
    <mergeCell ref="P166:Q166"/>
    <mergeCell ref="P169:Q169"/>
    <mergeCell ref="R169:S169"/>
    <mergeCell ref="T169:U169"/>
    <mergeCell ref="V169:W169"/>
    <mergeCell ref="X169:Y169"/>
    <mergeCell ref="Z169:AA169"/>
    <mergeCell ref="R168:S168"/>
    <mergeCell ref="T168:U168"/>
    <mergeCell ref="V168:W168"/>
    <mergeCell ref="X168:Y168"/>
    <mergeCell ref="Z168:AA168"/>
    <mergeCell ref="C169:G169"/>
    <mergeCell ref="H169:I169"/>
    <mergeCell ref="J169:K169"/>
    <mergeCell ref="L169:M169"/>
    <mergeCell ref="N169:O169"/>
    <mergeCell ref="C168:G168"/>
    <mergeCell ref="H168:I168"/>
    <mergeCell ref="J168:K168"/>
    <mergeCell ref="L168:M168"/>
    <mergeCell ref="N168:O168"/>
    <mergeCell ref="P168:Q168"/>
    <mergeCell ref="P171:Q171"/>
    <mergeCell ref="R171:S171"/>
    <mergeCell ref="T171:U171"/>
    <mergeCell ref="V171:W171"/>
    <mergeCell ref="X171:Y171"/>
    <mergeCell ref="Z171:AA171"/>
    <mergeCell ref="R170:S170"/>
    <mergeCell ref="T170:U170"/>
    <mergeCell ref="V170:W170"/>
    <mergeCell ref="X170:Y170"/>
    <mergeCell ref="Z170:AA170"/>
    <mergeCell ref="C171:G171"/>
    <mergeCell ref="H171:I171"/>
    <mergeCell ref="J171:K171"/>
    <mergeCell ref="L171:M171"/>
    <mergeCell ref="N171:O171"/>
    <mergeCell ref="C170:G170"/>
    <mergeCell ref="H170:I170"/>
    <mergeCell ref="J170:K170"/>
    <mergeCell ref="L170:M170"/>
    <mergeCell ref="N170:O170"/>
    <mergeCell ref="P170:Q170"/>
    <mergeCell ref="P173:Q173"/>
    <mergeCell ref="R173:S173"/>
    <mergeCell ref="T173:U173"/>
    <mergeCell ref="V173:W173"/>
    <mergeCell ref="X173:Y173"/>
    <mergeCell ref="Z173:AA173"/>
    <mergeCell ref="R172:S172"/>
    <mergeCell ref="T172:U172"/>
    <mergeCell ref="V172:W172"/>
    <mergeCell ref="X172:Y172"/>
    <mergeCell ref="Z172:AA172"/>
    <mergeCell ref="C173:G173"/>
    <mergeCell ref="H173:I173"/>
    <mergeCell ref="J173:K173"/>
    <mergeCell ref="L173:M173"/>
    <mergeCell ref="N173:O173"/>
    <mergeCell ref="C172:G172"/>
    <mergeCell ref="H172:I172"/>
    <mergeCell ref="J172:K172"/>
    <mergeCell ref="L172:M172"/>
    <mergeCell ref="N172:O172"/>
    <mergeCell ref="P172:Q172"/>
    <mergeCell ref="P175:Q175"/>
    <mergeCell ref="R175:S175"/>
    <mergeCell ref="T175:U175"/>
    <mergeCell ref="V175:W175"/>
    <mergeCell ref="X175:Y175"/>
    <mergeCell ref="Z175:AA175"/>
    <mergeCell ref="R174:S174"/>
    <mergeCell ref="T174:U174"/>
    <mergeCell ref="V174:W174"/>
    <mergeCell ref="X174:Y174"/>
    <mergeCell ref="Z174:AA174"/>
    <mergeCell ref="C175:G175"/>
    <mergeCell ref="H175:I175"/>
    <mergeCell ref="J175:K175"/>
    <mergeCell ref="L175:M175"/>
    <mergeCell ref="N175:O175"/>
    <mergeCell ref="C174:G174"/>
    <mergeCell ref="H174:I174"/>
    <mergeCell ref="J174:K174"/>
    <mergeCell ref="L174:M174"/>
    <mergeCell ref="N174:O174"/>
    <mergeCell ref="P174:Q174"/>
    <mergeCell ref="P177:Q177"/>
    <mergeCell ref="R177:S177"/>
    <mergeCell ref="T177:U177"/>
    <mergeCell ref="V177:W177"/>
    <mergeCell ref="X177:Y177"/>
    <mergeCell ref="Z177:AA177"/>
    <mergeCell ref="R176:S176"/>
    <mergeCell ref="T176:U176"/>
    <mergeCell ref="V176:W176"/>
    <mergeCell ref="X176:Y176"/>
    <mergeCell ref="Z176:AA176"/>
    <mergeCell ref="C177:G177"/>
    <mergeCell ref="H177:I177"/>
    <mergeCell ref="J177:K177"/>
    <mergeCell ref="L177:M177"/>
    <mergeCell ref="N177:O177"/>
    <mergeCell ref="C176:G176"/>
    <mergeCell ref="H176:I176"/>
    <mergeCell ref="J176:K176"/>
    <mergeCell ref="L176:M176"/>
    <mergeCell ref="N176:O176"/>
    <mergeCell ref="P176:Q176"/>
    <mergeCell ref="P179:Q179"/>
    <mergeCell ref="R179:S179"/>
    <mergeCell ref="T179:U179"/>
    <mergeCell ref="V179:W179"/>
    <mergeCell ref="X179:Y179"/>
    <mergeCell ref="Z179:AA179"/>
    <mergeCell ref="R178:S178"/>
    <mergeCell ref="T178:U178"/>
    <mergeCell ref="V178:W178"/>
    <mergeCell ref="X178:Y178"/>
    <mergeCell ref="Z178:AA178"/>
    <mergeCell ref="C179:G179"/>
    <mergeCell ref="H179:I179"/>
    <mergeCell ref="J179:K179"/>
    <mergeCell ref="L179:M179"/>
    <mergeCell ref="N179:O179"/>
    <mergeCell ref="C178:G178"/>
    <mergeCell ref="H178:I178"/>
    <mergeCell ref="J178:K178"/>
    <mergeCell ref="L178:M178"/>
    <mergeCell ref="N178:O178"/>
    <mergeCell ref="P178:Q178"/>
    <mergeCell ref="P181:Q181"/>
    <mergeCell ref="R181:S181"/>
    <mergeCell ref="T181:U181"/>
    <mergeCell ref="V181:W181"/>
    <mergeCell ref="X181:Y181"/>
    <mergeCell ref="Z181:AA181"/>
    <mergeCell ref="R180:S180"/>
    <mergeCell ref="T180:U180"/>
    <mergeCell ref="V180:W180"/>
    <mergeCell ref="X180:Y180"/>
    <mergeCell ref="Z180:AA180"/>
    <mergeCell ref="C181:G181"/>
    <mergeCell ref="H181:I181"/>
    <mergeCell ref="J181:K181"/>
    <mergeCell ref="L181:M181"/>
    <mergeCell ref="N181:O181"/>
    <mergeCell ref="C180:G180"/>
    <mergeCell ref="H180:I180"/>
    <mergeCell ref="J180:K180"/>
    <mergeCell ref="L180:M180"/>
    <mergeCell ref="N180:O180"/>
    <mergeCell ref="P180:Q180"/>
    <mergeCell ref="P183:Q183"/>
    <mergeCell ref="R183:S183"/>
    <mergeCell ref="T183:U183"/>
    <mergeCell ref="V183:W183"/>
    <mergeCell ref="X183:Y183"/>
    <mergeCell ref="Z183:AA183"/>
    <mergeCell ref="R182:S182"/>
    <mergeCell ref="T182:U182"/>
    <mergeCell ref="V182:W182"/>
    <mergeCell ref="X182:Y182"/>
    <mergeCell ref="Z182:AA182"/>
    <mergeCell ref="C183:G183"/>
    <mergeCell ref="H183:I183"/>
    <mergeCell ref="J183:K183"/>
    <mergeCell ref="L183:M183"/>
    <mergeCell ref="N183:O183"/>
    <mergeCell ref="C182:G182"/>
    <mergeCell ref="H182:I182"/>
    <mergeCell ref="J182:K182"/>
    <mergeCell ref="L182:M182"/>
    <mergeCell ref="N182:O182"/>
    <mergeCell ref="P182:Q182"/>
    <mergeCell ref="P185:Q185"/>
    <mergeCell ref="R185:S185"/>
    <mergeCell ref="T185:U185"/>
    <mergeCell ref="V185:W185"/>
    <mergeCell ref="X185:Y185"/>
    <mergeCell ref="Z185:AA185"/>
    <mergeCell ref="R184:S184"/>
    <mergeCell ref="T184:U184"/>
    <mergeCell ref="V184:W184"/>
    <mergeCell ref="X184:Y184"/>
    <mergeCell ref="Z184:AA184"/>
    <mergeCell ref="C185:G185"/>
    <mergeCell ref="H185:I185"/>
    <mergeCell ref="J185:K185"/>
    <mergeCell ref="L185:M185"/>
    <mergeCell ref="N185:O185"/>
    <mergeCell ref="C184:G184"/>
    <mergeCell ref="H184:I184"/>
    <mergeCell ref="J184:K184"/>
    <mergeCell ref="L184:M184"/>
    <mergeCell ref="N184:O184"/>
    <mergeCell ref="P184:Q184"/>
    <mergeCell ref="P187:Q187"/>
    <mergeCell ref="R187:S187"/>
    <mergeCell ref="T187:U187"/>
    <mergeCell ref="V187:W187"/>
    <mergeCell ref="X187:Y187"/>
    <mergeCell ref="Z187:AA187"/>
    <mergeCell ref="R186:S186"/>
    <mergeCell ref="T186:U186"/>
    <mergeCell ref="V186:W186"/>
    <mergeCell ref="X186:Y186"/>
    <mergeCell ref="Z186:AA186"/>
    <mergeCell ref="C187:G187"/>
    <mergeCell ref="H187:I187"/>
    <mergeCell ref="J187:K187"/>
    <mergeCell ref="L187:M187"/>
    <mergeCell ref="N187:O187"/>
    <mergeCell ref="C186:G186"/>
    <mergeCell ref="H186:I186"/>
    <mergeCell ref="J186:K186"/>
    <mergeCell ref="L186:M186"/>
    <mergeCell ref="N186:O186"/>
    <mergeCell ref="P186:Q186"/>
    <mergeCell ref="P189:Q189"/>
    <mergeCell ref="R189:S189"/>
    <mergeCell ref="T189:U189"/>
    <mergeCell ref="V189:W189"/>
    <mergeCell ref="X189:Y189"/>
    <mergeCell ref="Z189:AA189"/>
    <mergeCell ref="R188:S188"/>
    <mergeCell ref="T188:U188"/>
    <mergeCell ref="V188:W188"/>
    <mergeCell ref="X188:Y188"/>
    <mergeCell ref="Z188:AA188"/>
    <mergeCell ref="C189:G189"/>
    <mergeCell ref="H189:I189"/>
    <mergeCell ref="J189:K189"/>
    <mergeCell ref="L189:M189"/>
    <mergeCell ref="N189:O189"/>
    <mergeCell ref="C188:G188"/>
    <mergeCell ref="H188:I188"/>
    <mergeCell ref="J188:K188"/>
    <mergeCell ref="L188:M188"/>
    <mergeCell ref="N188:O188"/>
    <mergeCell ref="P188:Q188"/>
    <mergeCell ref="P191:Q191"/>
    <mergeCell ref="R191:S191"/>
    <mergeCell ref="T191:U191"/>
    <mergeCell ref="V191:W191"/>
    <mergeCell ref="X191:Y191"/>
    <mergeCell ref="Z191:AA191"/>
    <mergeCell ref="R190:S190"/>
    <mergeCell ref="T190:U190"/>
    <mergeCell ref="V190:W190"/>
    <mergeCell ref="X190:Y190"/>
    <mergeCell ref="Z190:AA190"/>
    <mergeCell ref="C191:G191"/>
    <mergeCell ref="H191:I191"/>
    <mergeCell ref="J191:K191"/>
    <mergeCell ref="L191:M191"/>
    <mergeCell ref="N191:O191"/>
    <mergeCell ref="C190:G190"/>
    <mergeCell ref="H190:I190"/>
    <mergeCell ref="J190:K190"/>
    <mergeCell ref="L190:M190"/>
    <mergeCell ref="N190:O190"/>
    <mergeCell ref="P190:Q190"/>
    <mergeCell ref="P193:Q193"/>
    <mergeCell ref="R193:S193"/>
    <mergeCell ref="T193:U193"/>
    <mergeCell ref="V193:W193"/>
    <mergeCell ref="X193:Y193"/>
    <mergeCell ref="Z193:AA193"/>
    <mergeCell ref="R192:S192"/>
    <mergeCell ref="T192:U192"/>
    <mergeCell ref="V192:W192"/>
    <mergeCell ref="X192:Y192"/>
    <mergeCell ref="Z192:AA192"/>
    <mergeCell ref="C193:G193"/>
    <mergeCell ref="H193:I193"/>
    <mergeCell ref="J193:K193"/>
    <mergeCell ref="L193:M193"/>
    <mergeCell ref="N193:O193"/>
    <mergeCell ref="C192:G192"/>
    <mergeCell ref="H192:I192"/>
    <mergeCell ref="J192:K192"/>
    <mergeCell ref="L192:M192"/>
    <mergeCell ref="N192:O192"/>
    <mergeCell ref="P192:Q192"/>
    <mergeCell ref="P195:Q195"/>
    <mergeCell ref="R195:S195"/>
    <mergeCell ref="T195:U195"/>
    <mergeCell ref="V195:W195"/>
    <mergeCell ref="X195:Y195"/>
    <mergeCell ref="Z195:AA195"/>
    <mergeCell ref="R194:S194"/>
    <mergeCell ref="T194:U194"/>
    <mergeCell ref="V194:W194"/>
    <mergeCell ref="X194:Y194"/>
    <mergeCell ref="Z194:AA194"/>
    <mergeCell ref="C195:G195"/>
    <mergeCell ref="H195:I195"/>
    <mergeCell ref="J195:K195"/>
    <mergeCell ref="L195:M195"/>
    <mergeCell ref="N195:O195"/>
    <mergeCell ref="C194:G194"/>
    <mergeCell ref="H194:I194"/>
    <mergeCell ref="J194:K194"/>
    <mergeCell ref="L194:M194"/>
    <mergeCell ref="N194:O194"/>
    <mergeCell ref="P194:Q194"/>
    <mergeCell ref="P197:Q197"/>
    <mergeCell ref="R197:S197"/>
    <mergeCell ref="T197:U197"/>
    <mergeCell ref="V197:W197"/>
    <mergeCell ref="X197:Y197"/>
    <mergeCell ref="Z197:AA197"/>
    <mergeCell ref="R196:S196"/>
    <mergeCell ref="T196:U196"/>
    <mergeCell ref="V196:W196"/>
    <mergeCell ref="X196:Y196"/>
    <mergeCell ref="Z196:AA196"/>
    <mergeCell ref="C197:G197"/>
    <mergeCell ref="H197:I197"/>
    <mergeCell ref="J197:K197"/>
    <mergeCell ref="L197:M197"/>
    <mergeCell ref="N197:O197"/>
    <mergeCell ref="C196:G196"/>
    <mergeCell ref="H196:I196"/>
    <mergeCell ref="J196:K196"/>
    <mergeCell ref="L196:M196"/>
    <mergeCell ref="N196:O196"/>
    <mergeCell ref="P196:Q196"/>
    <mergeCell ref="P199:Q199"/>
    <mergeCell ref="R199:S199"/>
    <mergeCell ref="T199:U199"/>
    <mergeCell ref="V199:W199"/>
    <mergeCell ref="X199:Y199"/>
    <mergeCell ref="Z199:AA199"/>
    <mergeCell ref="R198:S198"/>
    <mergeCell ref="T198:U198"/>
    <mergeCell ref="V198:W198"/>
    <mergeCell ref="X198:Y198"/>
    <mergeCell ref="Z198:AA198"/>
    <mergeCell ref="C199:G199"/>
    <mergeCell ref="H199:I199"/>
    <mergeCell ref="J199:K199"/>
    <mergeCell ref="L199:M199"/>
    <mergeCell ref="N199:O199"/>
    <mergeCell ref="C198:G198"/>
    <mergeCell ref="H198:I198"/>
    <mergeCell ref="J198:K198"/>
    <mergeCell ref="L198:M198"/>
    <mergeCell ref="N198:O198"/>
    <mergeCell ref="P198:Q198"/>
    <mergeCell ref="H202:K202"/>
    <mergeCell ref="L202:O202"/>
    <mergeCell ref="P202:S202"/>
    <mergeCell ref="T202:W202"/>
    <mergeCell ref="X202:AA202"/>
    <mergeCell ref="B207:V209"/>
    <mergeCell ref="P201:Q201"/>
    <mergeCell ref="R201:S201"/>
    <mergeCell ref="T201:U201"/>
    <mergeCell ref="V201:W201"/>
    <mergeCell ref="X201:Y201"/>
    <mergeCell ref="Z201:AA201"/>
    <mergeCell ref="R200:S200"/>
    <mergeCell ref="T200:U200"/>
    <mergeCell ref="V200:W200"/>
    <mergeCell ref="X200:Y200"/>
    <mergeCell ref="Z200:AA200"/>
    <mergeCell ref="C201:G201"/>
    <mergeCell ref="H201:I201"/>
    <mergeCell ref="J201:K201"/>
    <mergeCell ref="L201:M201"/>
    <mergeCell ref="N201:O201"/>
    <mergeCell ref="C200:G200"/>
    <mergeCell ref="H200:I200"/>
    <mergeCell ref="J200:K200"/>
    <mergeCell ref="L200:M200"/>
    <mergeCell ref="N200:O200"/>
    <mergeCell ref="P200:Q200"/>
    <mergeCell ref="C223:G223"/>
    <mergeCell ref="C224:G224"/>
    <mergeCell ref="C225:G225"/>
    <mergeCell ref="C226:G226"/>
    <mergeCell ref="C227:G227"/>
    <mergeCell ref="C228:G228"/>
    <mergeCell ref="C217:G217"/>
    <mergeCell ref="C218:G218"/>
    <mergeCell ref="C219:G219"/>
    <mergeCell ref="C220:G220"/>
    <mergeCell ref="C221:G221"/>
    <mergeCell ref="C222:G222"/>
    <mergeCell ref="C212:G212"/>
    <mergeCell ref="C213:G213"/>
    <mergeCell ref="C214:G214"/>
    <mergeCell ref="C215:G215"/>
    <mergeCell ref="C216:G216"/>
    <mergeCell ref="C261:G261"/>
    <mergeCell ref="C262:G262"/>
    <mergeCell ref="C243:G243"/>
    <mergeCell ref="C244:G244"/>
    <mergeCell ref="C250:G250"/>
    <mergeCell ref="C251:G251"/>
    <mergeCell ref="C252:G252"/>
    <mergeCell ref="C248:G248"/>
    <mergeCell ref="C249:G249"/>
    <mergeCell ref="C238:G238"/>
    <mergeCell ref="C239:G239"/>
    <mergeCell ref="C240:G240"/>
    <mergeCell ref="C241:G241"/>
    <mergeCell ref="C242:G242"/>
    <mergeCell ref="C229:G229"/>
    <mergeCell ref="C230:G230"/>
    <mergeCell ref="C231:G231"/>
    <mergeCell ref="C232:G232"/>
    <mergeCell ref="C233:G233"/>
    <mergeCell ref="C234:G234"/>
    <mergeCell ref="C253:G253"/>
    <mergeCell ref="C254:G254"/>
    <mergeCell ref="C255:G255"/>
    <mergeCell ref="C256:G256"/>
    <mergeCell ref="C257:G257"/>
    <mergeCell ref="C306:H306"/>
    <mergeCell ref="C287:G287"/>
    <mergeCell ref="C288:G288"/>
    <mergeCell ref="C289:G289"/>
    <mergeCell ref="C290:G290"/>
    <mergeCell ref="C293:T293"/>
    <mergeCell ref="C294:G294"/>
    <mergeCell ref="C281:G281"/>
    <mergeCell ref="C282:G282"/>
    <mergeCell ref="C283:G283"/>
    <mergeCell ref="C284:G284"/>
    <mergeCell ref="C285:G285"/>
    <mergeCell ref="C286:G286"/>
    <mergeCell ref="C275:G275"/>
    <mergeCell ref="C276:G276"/>
    <mergeCell ref="C277:G277"/>
    <mergeCell ref="C278:G278"/>
    <mergeCell ref="C279:G279"/>
    <mergeCell ref="C280:G280"/>
    <mergeCell ref="R12:T12"/>
    <mergeCell ref="R13:T13"/>
    <mergeCell ref="R14:T14"/>
    <mergeCell ref="C15:G15"/>
    <mergeCell ref="C14:G14"/>
    <mergeCell ref="C13:G13"/>
    <mergeCell ref="C12:G12"/>
    <mergeCell ref="R8:T8"/>
    <mergeCell ref="R9:T9"/>
    <mergeCell ref="R10:T10"/>
    <mergeCell ref="C11:G11"/>
    <mergeCell ref="C10:G10"/>
    <mergeCell ref="C295:G295"/>
    <mergeCell ref="C296:G296"/>
    <mergeCell ref="C299:O299"/>
    <mergeCell ref="C300:G300"/>
    <mergeCell ref="C301:G301"/>
    <mergeCell ref="C269:G269"/>
    <mergeCell ref="C270:G270"/>
    <mergeCell ref="C271:G271"/>
    <mergeCell ref="C272:G272"/>
    <mergeCell ref="C273:G273"/>
    <mergeCell ref="C274:G274"/>
    <mergeCell ref="C263:G263"/>
    <mergeCell ref="C264:G264"/>
    <mergeCell ref="C265:G265"/>
    <mergeCell ref="C266:G266"/>
    <mergeCell ref="C267:G267"/>
    <mergeCell ref="C268:G268"/>
    <mergeCell ref="C258:G258"/>
    <mergeCell ref="C259:G259"/>
    <mergeCell ref="C260:G260"/>
    <mergeCell ref="R24:T24"/>
    <mergeCell ref="R25:T25"/>
    <mergeCell ref="R26:T26"/>
    <mergeCell ref="C26:G26"/>
    <mergeCell ref="C25:G25"/>
    <mergeCell ref="C24:G24"/>
    <mergeCell ref="R20:T20"/>
    <mergeCell ref="R21:T21"/>
    <mergeCell ref="R22:T22"/>
    <mergeCell ref="C23:G23"/>
    <mergeCell ref="C22:G22"/>
    <mergeCell ref="C21:G21"/>
    <mergeCell ref="C20:G20"/>
    <mergeCell ref="R16:T16"/>
    <mergeCell ref="R17:T17"/>
    <mergeCell ref="R18:T18"/>
    <mergeCell ref="C19:G19"/>
    <mergeCell ref="C18:G18"/>
    <mergeCell ref="C17:G17"/>
    <mergeCell ref="C16:G16"/>
    <mergeCell ref="R23:T23"/>
    <mergeCell ref="R19:T19"/>
    <mergeCell ref="R32:T32"/>
    <mergeCell ref="R33:T33"/>
    <mergeCell ref="R34:T34"/>
    <mergeCell ref="C35:G35"/>
    <mergeCell ref="C34:G34"/>
    <mergeCell ref="C33:G33"/>
    <mergeCell ref="C32:G32"/>
    <mergeCell ref="R28:T28"/>
    <mergeCell ref="R29:T29"/>
    <mergeCell ref="R30:T30"/>
    <mergeCell ref="C31:G31"/>
    <mergeCell ref="C30:G30"/>
    <mergeCell ref="C28:G28"/>
    <mergeCell ref="R39:T39"/>
    <mergeCell ref="R35:T35"/>
    <mergeCell ref="R31:T31"/>
    <mergeCell ref="C29:G29"/>
    <mergeCell ref="R44:T44"/>
    <mergeCell ref="R45:T45"/>
    <mergeCell ref="R46:T46"/>
    <mergeCell ref="C47:G47"/>
    <mergeCell ref="C46:G46"/>
    <mergeCell ref="C45:G45"/>
    <mergeCell ref="C44:G44"/>
    <mergeCell ref="R40:T40"/>
    <mergeCell ref="R41:T41"/>
    <mergeCell ref="R42:T42"/>
    <mergeCell ref="C43:G43"/>
    <mergeCell ref="C42:G42"/>
    <mergeCell ref="C41:G41"/>
    <mergeCell ref="C40:G40"/>
    <mergeCell ref="R47:T47"/>
    <mergeCell ref="R43:T43"/>
    <mergeCell ref="R36:T36"/>
    <mergeCell ref="R37:T37"/>
    <mergeCell ref="R38:T38"/>
    <mergeCell ref="C39:G39"/>
    <mergeCell ref="C38:G38"/>
    <mergeCell ref="C37:G37"/>
    <mergeCell ref="C36:G36"/>
    <mergeCell ref="R59:T59"/>
    <mergeCell ref="C59:G59"/>
    <mergeCell ref="C58:G58"/>
    <mergeCell ref="C57:G57"/>
    <mergeCell ref="R54:T54"/>
    <mergeCell ref="R55:T55"/>
    <mergeCell ref="R56:T56"/>
    <mergeCell ref="C56:G56"/>
    <mergeCell ref="C55:G55"/>
    <mergeCell ref="C54:G54"/>
    <mergeCell ref="R51:T51"/>
    <mergeCell ref="R52:T52"/>
    <mergeCell ref="R53:T53"/>
    <mergeCell ref="C53:G53"/>
    <mergeCell ref="C52:G52"/>
    <mergeCell ref="C51:G51"/>
    <mergeCell ref="R48:T48"/>
    <mergeCell ref="R49:T49"/>
    <mergeCell ref="R50:T50"/>
    <mergeCell ref="C50:G50"/>
    <mergeCell ref="C49:G49"/>
    <mergeCell ref="C48:G48"/>
    <mergeCell ref="C211:N211"/>
    <mergeCell ref="C235:G235"/>
    <mergeCell ref="C236:G236"/>
    <mergeCell ref="C237:G237"/>
    <mergeCell ref="C245:G245"/>
    <mergeCell ref="C246:G246"/>
    <mergeCell ref="C247:G247"/>
    <mergeCell ref="R134:T134"/>
    <mergeCell ref="C8:G8"/>
    <mergeCell ref="C9:G9"/>
    <mergeCell ref="C138:G138"/>
    <mergeCell ref="R67:T67"/>
    <mergeCell ref="R68:T68"/>
    <mergeCell ref="R69:T69"/>
    <mergeCell ref="C69:G69"/>
    <mergeCell ref="C68:G68"/>
    <mergeCell ref="C67:G67"/>
    <mergeCell ref="R63:T63"/>
    <mergeCell ref="R64:T64"/>
    <mergeCell ref="R65:T65"/>
    <mergeCell ref="C66:G66"/>
    <mergeCell ref="C65:G65"/>
    <mergeCell ref="C64:G64"/>
    <mergeCell ref="C63:G63"/>
    <mergeCell ref="R60:T60"/>
    <mergeCell ref="R61:T61"/>
    <mergeCell ref="R62:T62"/>
    <mergeCell ref="C62:G62"/>
    <mergeCell ref="C61:G61"/>
    <mergeCell ref="C60:G60"/>
    <mergeCell ref="R57:T57"/>
    <mergeCell ref="R58:T58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2:AO257"/>
  <sheetViews>
    <sheetView tabSelected="1" topLeftCell="Q219" zoomScale="85" zoomScaleNormal="85" workbookViewId="0">
      <pane xSplit="6" topLeftCell="W1" activePane="topRight" state="frozen"/>
      <selection activeCell="AP15" sqref="AP15"/>
      <selection pane="topRight" activeCell="Q227" sqref="Q227:S241"/>
    </sheetView>
  </sheetViews>
  <sheetFormatPr baseColWidth="10" defaultRowHeight="15" x14ac:dyDescent="0.25"/>
  <cols>
    <col min="1" max="6" width="11.42578125" hidden="1" customWidth="1"/>
    <col min="7" max="7" width="19.28515625" hidden="1" customWidth="1"/>
    <col min="8" max="8" width="14.5703125" hidden="1" customWidth="1"/>
    <col min="9" max="9" width="22.85546875" hidden="1" customWidth="1"/>
    <col min="10" max="10" width="18.5703125" hidden="1" customWidth="1"/>
    <col min="11" max="11" width="15.7109375" hidden="1" customWidth="1"/>
    <col min="12" max="12" width="16.7109375" hidden="1" customWidth="1"/>
    <col min="13" max="13" width="11.42578125" hidden="1" customWidth="1"/>
    <col min="14" max="16" width="0" hidden="1" customWidth="1"/>
    <col min="17" max="17" width="5.5703125" style="534" customWidth="1"/>
    <col min="18" max="18" width="12.5703125" customWidth="1"/>
    <col min="19" max="19" width="14.140625" customWidth="1"/>
    <col min="20" max="20" width="13" bestFit="1" customWidth="1"/>
    <col min="21" max="22" width="11.7109375" bestFit="1" customWidth="1"/>
    <col min="23" max="23" width="13.85546875" customWidth="1"/>
    <col min="24" max="27" width="11.42578125" customWidth="1"/>
    <col min="28" max="28" width="11.5703125" customWidth="1"/>
    <col min="29" max="29" width="11.42578125" customWidth="1"/>
    <col min="30" max="30" width="15.28515625" customWidth="1"/>
    <col min="31" max="31" width="14.5703125" customWidth="1"/>
    <col min="32" max="36" width="11.42578125" customWidth="1"/>
    <col min="37" max="38" width="13.140625" customWidth="1"/>
    <col min="39" max="39" width="14.28515625" customWidth="1"/>
    <col min="40" max="40" width="39" customWidth="1"/>
    <col min="42" max="42" width="11.85546875" bestFit="1" customWidth="1"/>
  </cols>
  <sheetData>
    <row r="2" spans="1:41" ht="42.75" customHeight="1" x14ac:dyDescent="0.25">
      <c r="A2" s="308"/>
      <c r="B2" s="308"/>
      <c r="C2" s="308"/>
      <c r="D2" s="308"/>
      <c r="E2" s="308"/>
      <c r="F2" s="308"/>
      <c r="G2" s="308"/>
      <c r="H2" s="308"/>
      <c r="I2" s="308"/>
      <c r="R2" s="813" t="s">
        <v>80</v>
      </c>
      <c r="S2" s="813"/>
      <c r="T2" s="813"/>
      <c r="U2" s="813"/>
      <c r="V2" s="813"/>
      <c r="W2" s="813"/>
      <c r="X2" s="813"/>
      <c r="Y2" s="813"/>
      <c r="Z2" s="813"/>
      <c r="AA2" s="813"/>
      <c r="AB2" s="813"/>
      <c r="AC2" s="813"/>
      <c r="AD2" s="813"/>
      <c r="AE2" s="813"/>
      <c r="AF2" s="813"/>
      <c r="AG2" s="813"/>
      <c r="AH2" s="813"/>
      <c r="AI2" s="813"/>
      <c r="AJ2" s="813"/>
      <c r="AK2" s="813"/>
      <c r="AL2" s="813"/>
      <c r="AM2" s="813"/>
      <c r="AN2" s="813"/>
      <c r="AO2" s="813"/>
    </row>
    <row r="3" spans="1:41" ht="30" customHeight="1" x14ac:dyDescent="0.25">
      <c r="B3" s="809" t="s">
        <v>2</v>
      </c>
      <c r="C3" s="809"/>
      <c r="D3" s="809"/>
      <c r="E3" s="809"/>
      <c r="F3" s="809"/>
      <c r="G3" s="309" t="s">
        <v>339</v>
      </c>
      <c r="H3" s="309" t="s">
        <v>338</v>
      </c>
      <c r="I3" s="309" t="s">
        <v>337</v>
      </c>
      <c r="J3" s="309" t="s">
        <v>340</v>
      </c>
      <c r="K3" s="326" t="s">
        <v>339</v>
      </c>
      <c r="L3" s="326" t="s">
        <v>365</v>
      </c>
      <c r="R3" s="809" t="s">
        <v>2</v>
      </c>
      <c r="S3" s="809"/>
      <c r="T3" s="809"/>
      <c r="U3" s="809"/>
      <c r="V3" s="809"/>
      <c r="W3" s="370" t="s">
        <v>378</v>
      </c>
      <c r="X3" s="342" t="s">
        <v>379</v>
      </c>
      <c r="Y3" s="371" t="s">
        <v>377</v>
      </c>
      <c r="Z3" s="370" t="s">
        <v>368</v>
      </c>
      <c r="AA3" s="342" t="s">
        <v>369</v>
      </c>
      <c r="AB3" s="371" t="s">
        <v>373</v>
      </c>
      <c r="AC3" s="370" t="s">
        <v>370</v>
      </c>
      <c r="AD3" s="342" t="s">
        <v>371</v>
      </c>
      <c r="AE3" s="371" t="s">
        <v>374</v>
      </c>
      <c r="AF3" s="370" t="s">
        <v>372</v>
      </c>
      <c r="AG3" s="342" t="s">
        <v>380</v>
      </c>
      <c r="AH3" s="371" t="s">
        <v>375</v>
      </c>
      <c r="AI3" s="380" t="s">
        <v>78</v>
      </c>
      <c r="AJ3" s="380" t="s">
        <v>382</v>
      </c>
      <c r="AK3" s="380" t="s">
        <v>376</v>
      </c>
      <c r="AL3" s="342" t="s">
        <v>383</v>
      </c>
      <c r="AM3" s="342" t="s">
        <v>381</v>
      </c>
      <c r="AN3" s="810" t="s">
        <v>384</v>
      </c>
      <c r="AO3" s="810"/>
    </row>
    <row r="4" spans="1:41" ht="20.100000000000001" customHeight="1" x14ac:dyDescent="0.25">
      <c r="B4" s="804" t="s">
        <v>49</v>
      </c>
      <c r="C4" s="804"/>
      <c r="D4" s="804"/>
      <c r="E4" s="804"/>
      <c r="F4" s="804"/>
      <c r="G4" s="84">
        <f>I4/0.9</f>
        <v>28.888888888888889</v>
      </c>
      <c r="H4" s="84">
        <f>G4*1.16</f>
        <v>33.511111111111106</v>
      </c>
      <c r="I4" s="84">
        <v>26</v>
      </c>
      <c r="J4" s="84">
        <f>I4*1.16</f>
        <v>30.159999999999997</v>
      </c>
      <c r="K4" s="327">
        <f>G4*0.97</f>
        <v>28.022222222222222</v>
      </c>
      <c r="L4" s="327">
        <f>I4*0.97</f>
        <v>25.22</v>
      </c>
      <c r="Q4" s="424"/>
      <c r="R4" s="804" t="s">
        <v>49</v>
      </c>
      <c r="S4" s="804"/>
      <c r="T4" s="804"/>
      <c r="U4" s="804"/>
      <c r="V4" s="804"/>
      <c r="W4" s="368">
        <v>36</v>
      </c>
      <c r="X4" s="335">
        <v>24.23</v>
      </c>
      <c r="Y4" s="369">
        <f t="shared" ref="Y4:Y19" si="0">IF(AK4 &lt; AF4+AC4+Z4+W4, MIN(AC4+AF4+Z4+W4-AK4,AI4-AH4-AE4-AB4,W4),0)</f>
        <v>0</v>
      </c>
      <c r="Z4" s="368">
        <v>70</v>
      </c>
      <c r="AA4" s="335">
        <v>19.73</v>
      </c>
      <c r="AB4" s="369">
        <f t="shared" ref="AB4:AB19" si="1">IF(AK4 &lt; AF4+AC4+Z4, MIN(AC4+AF4+Z4-AK4,AI4-AH4-AE4,Z4),0)</f>
        <v>6</v>
      </c>
      <c r="AC4" s="368">
        <v>10</v>
      </c>
      <c r="AD4" s="335">
        <v>24.43</v>
      </c>
      <c r="AE4" s="369">
        <f t="shared" ref="AE4:AE19" si="2">IF(AK4 &lt; AF4+AC4, MIN(AC4+AF4-AK4,AI4-AH4,AC4),0)</f>
        <v>0</v>
      </c>
      <c r="AF4" s="368"/>
      <c r="AG4" s="335"/>
      <c r="AH4" s="369">
        <f t="shared" ref="AH4:AH19" si="3">IF(AK4 &lt;=AF4, MIN(AF4-AK4,AI4), 0)</f>
        <v>0</v>
      </c>
      <c r="AI4" s="465">
        <v>6</v>
      </c>
      <c r="AJ4" s="465">
        <v>180</v>
      </c>
      <c r="AK4" s="465">
        <v>21</v>
      </c>
      <c r="AL4" s="342" t="str">
        <f t="shared" ref="AL4:AL19" si="4">IF(OR((W4+Z4+AC4+AF4) &gt;= (AI4+AK4), AI4 = 0), "YA", "MAS")</f>
        <v>YA</v>
      </c>
      <c r="AM4" s="337">
        <f t="shared" ref="AM4:AM19" si="5">IF(AI4=0,0,AH4*AG4+AE4*AD4+AB4*AA4+Y4*X4)</f>
        <v>118.38</v>
      </c>
      <c r="AN4" s="803">
        <f>IF(AI4 = 0, 0, AJ4-AM4)</f>
        <v>61.620000000000005</v>
      </c>
      <c r="AO4" s="803"/>
    </row>
    <row r="5" spans="1:41" ht="20.100000000000001" customHeight="1" x14ac:dyDescent="0.25">
      <c r="B5" s="804" t="s">
        <v>56</v>
      </c>
      <c r="C5" s="804"/>
      <c r="D5" s="804"/>
      <c r="E5" s="804"/>
      <c r="F5" s="804"/>
      <c r="G5" s="84">
        <f t="shared" ref="G5:G27" si="6">I5/0.9</f>
        <v>14.444444444444445</v>
      </c>
      <c r="H5" s="84">
        <f t="shared" ref="H5:H27" si="7">G5*1.16</f>
        <v>16.755555555555553</v>
      </c>
      <c r="I5" s="84">
        <v>13</v>
      </c>
      <c r="J5" s="84">
        <f t="shared" ref="J5:J27" si="8">I5*1.16</f>
        <v>15.079999999999998</v>
      </c>
      <c r="K5" s="327">
        <f t="shared" ref="K5:K27" si="9">G5*0.97</f>
        <v>14.011111111111111</v>
      </c>
      <c r="L5" s="327">
        <f t="shared" ref="L5:L27" si="10">I5*0.97</f>
        <v>12.61</v>
      </c>
      <c r="Q5" s="424"/>
      <c r="R5" s="804" t="s">
        <v>56</v>
      </c>
      <c r="S5" s="804"/>
      <c r="T5" s="804"/>
      <c r="U5" s="804"/>
      <c r="V5" s="804"/>
      <c r="W5" s="368">
        <v>40</v>
      </c>
      <c r="X5" s="335">
        <v>9.2200000000000006</v>
      </c>
      <c r="Y5" s="369">
        <f t="shared" si="0"/>
        <v>0</v>
      </c>
      <c r="Z5" s="368">
        <v>20</v>
      </c>
      <c r="AA5" s="335">
        <v>9.5399999999999991</v>
      </c>
      <c r="AB5" s="369">
        <f t="shared" si="1"/>
        <v>0</v>
      </c>
      <c r="AC5" s="368"/>
      <c r="AD5" s="335"/>
      <c r="AE5" s="369">
        <f t="shared" si="2"/>
        <v>0</v>
      </c>
      <c r="AF5" s="368"/>
      <c r="AG5" s="335"/>
      <c r="AH5" s="369">
        <f t="shared" si="3"/>
        <v>0</v>
      </c>
      <c r="AI5" s="465"/>
      <c r="AJ5" s="465"/>
      <c r="AK5" s="465"/>
      <c r="AL5" s="342" t="str">
        <f t="shared" si="4"/>
        <v>YA</v>
      </c>
      <c r="AM5" s="337">
        <f t="shared" si="5"/>
        <v>0</v>
      </c>
      <c r="AN5" s="811">
        <f t="shared" ref="AN5:AN19" si="11">AJ5-AM5</f>
        <v>0</v>
      </c>
      <c r="AO5" s="812"/>
    </row>
    <row r="6" spans="1:41" ht="20.100000000000001" customHeight="1" x14ac:dyDescent="0.25">
      <c r="B6" s="804" t="s">
        <v>50</v>
      </c>
      <c r="C6" s="804"/>
      <c r="D6" s="804"/>
      <c r="E6" s="804"/>
      <c r="F6" s="804"/>
      <c r="G6" s="84">
        <f t="shared" si="6"/>
        <v>7.7777777777777777</v>
      </c>
      <c r="H6" s="84">
        <f t="shared" si="7"/>
        <v>9.0222222222222221</v>
      </c>
      <c r="I6" s="84">
        <v>7</v>
      </c>
      <c r="J6" s="84">
        <f t="shared" si="8"/>
        <v>8.1199999999999992</v>
      </c>
      <c r="K6" s="327">
        <f t="shared" si="9"/>
        <v>7.5444444444444443</v>
      </c>
      <c r="L6" s="327">
        <f t="shared" si="10"/>
        <v>6.79</v>
      </c>
      <c r="Q6" s="424"/>
      <c r="R6" s="804" t="s">
        <v>50</v>
      </c>
      <c r="S6" s="804"/>
      <c r="T6" s="804"/>
      <c r="U6" s="804"/>
      <c r="V6" s="804"/>
      <c r="W6" s="368">
        <v>36</v>
      </c>
      <c r="X6" s="335">
        <v>5.59</v>
      </c>
      <c r="Y6" s="369">
        <f t="shared" si="0"/>
        <v>1</v>
      </c>
      <c r="Z6" s="368"/>
      <c r="AA6" s="335"/>
      <c r="AB6" s="369">
        <f t="shared" si="1"/>
        <v>0</v>
      </c>
      <c r="AC6" s="368"/>
      <c r="AD6" s="335"/>
      <c r="AE6" s="369">
        <f t="shared" si="2"/>
        <v>0</v>
      </c>
      <c r="AF6" s="368"/>
      <c r="AG6" s="335"/>
      <c r="AH6" s="369">
        <f t="shared" si="3"/>
        <v>0</v>
      </c>
      <c r="AI6" s="465">
        <v>1</v>
      </c>
      <c r="AJ6" s="465">
        <v>8</v>
      </c>
      <c r="AK6" s="465">
        <v>26</v>
      </c>
      <c r="AL6" s="342" t="str">
        <f t="shared" si="4"/>
        <v>YA</v>
      </c>
      <c r="AM6" s="337">
        <f t="shared" si="5"/>
        <v>5.59</v>
      </c>
      <c r="AN6" s="811">
        <f t="shared" si="11"/>
        <v>2.41</v>
      </c>
      <c r="AO6" s="812"/>
    </row>
    <row r="7" spans="1:41" ht="20.100000000000001" customHeight="1" x14ac:dyDescent="0.25">
      <c r="B7" s="804" t="s">
        <v>7</v>
      </c>
      <c r="C7" s="804"/>
      <c r="D7" s="804"/>
      <c r="E7" s="804"/>
      <c r="F7" s="804"/>
      <c r="G7" s="84">
        <f t="shared" si="6"/>
        <v>33.333333333333336</v>
      </c>
      <c r="H7" s="84">
        <f t="shared" si="7"/>
        <v>38.666666666666664</v>
      </c>
      <c r="I7" s="84">
        <v>30</v>
      </c>
      <c r="J7" s="84">
        <f t="shared" si="8"/>
        <v>34.799999999999997</v>
      </c>
      <c r="K7" s="327">
        <f t="shared" si="9"/>
        <v>32.333333333333336</v>
      </c>
      <c r="L7" s="327">
        <f t="shared" si="10"/>
        <v>29.099999999999998</v>
      </c>
      <c r="Q7" s="424"/>
      <c r="R7" s="804" t="s">
        <v>7</v>
      </c>
      <c r="S7" s="804"/>
      <c r="T7" s="804"/>
      <c r="U7" s="804"/>
      <c r="V7" s="804"/>
      <c r="W7" s="368">
        <v>20</v>
      </c>
      <c r="X7" s="334">
        <v>24.129629629629626</v>
      </c>
      <c r="Y7" s="369">
        <f t="shared" si="0"/>
        <v>0</v>
      </c>
      <c r="Z7" s="368">
        <v>100</v>
      </c>
      <c r="AA7" s="335">
        <v>22.79</v>
      </c>
      <c r="AB7" s="369">
        <f t="shared" si="1"/>
        <v>4</v>
      </c>
      <c r="AC7" s="368"/>
      <c r="AD7" s="335"/>
      <c r="AE7" s="369">
        <f t="shared" si="2"/>
        <v>0</v>
      </c>
      <c r="AF7" s="368"/>
      <c r="AG7" s="334"/>
      <c r="AH7" s="369">
        <f t="shared" si="3"/>
        <v>0</v>
      </c>
      <c r="AI7" s="465">
        <v>4</v>
      </c>
      <c r="AJ7" s="465">
        <v>136</v>
      </c>
      <c r="AK7" s="465">
        <v>61</v>
      </c>
      <c r="AL7" s="342" t="str">
        <f t="shared" si="4"/>
        <v>YA</v>
      </c>
      <c r="AM7" s="337">
        <f t="shared" si="5"/>
        <v>91.16</v>
      </c>
      <c r="AN7" s="811">
        <f t="shared" si="11"/>
        <v>44.84</v>
      </c>
      <c r="AO7" s="812"/>
    </row>
    <row r="8" spans="1:41" ht="20.100000000000001" customHeight="1" x14ac:dyDescent="0.25">
      <c r="B8" s="804" t="s">
        <v>6</v>
      </c>
      <c r="C8" s="804"/>
      <c r="D8" s="804"/>
      <c r="E8" s="804"/>
      <c r="F8" s="804"/>
      <c r="G8" s="84">
        <f t="shared" si="6"/>
        <v>12.222222222222221</v>
      </c>
      <c r="H8" s="84">
        <f t="shared" si="7"/>
        <v>14.177777777777775</v>
      </c>
      <c r="I8" s="84">
        <v>11</v>
      </c>
      <c r="J8" s="84">
        <f t="shared" si="8"/>
        <v>12.76</v>
      </c>
      <c r="K8" s="327">
        <f t="shared" si="9"/>
        <v>11.855555555555554</v>
      </c>
      <c r="L8" s="327">
        <f t="shared" si="10"/>
        <v>10.67</v>
      </c>
      <c r="Q8" s="424"/>
      <c r="R8" s="804" t="s">
        <v>6</v>
      </c>
      <c r="S8" s="804"/>
      <c r="T8" s="804"/>
      <c r="U8" s="804"/>
      <c r="V8" s="804"/>
      <c r="W8" s="368">
        <v>20</v>
      </c>
      <c r="X8" s="335">
        <v>7.96</v>
      </c>
      <c r="Y8" s="369">
        <f t="shared" si="0"/>
        <v>0</v>
      </c>
      <c r="Z8" s="368">
        <v>60</v>
      </c>
      <c r="AA8" s="334">
        <v>8.231481481481481</v>
      </c>
      <c r="AB8" s="369">
        <f t="shared" si="1"/>
        <v>2</v>
      </c>
      <c r="AC8" s="368"/>
      <c r="AD8" s="335"/>
      <c r="AE8" s="369">
        <f t="shared" si="2"/>
        <v>0</v>
      </c>
      <c r="AF8" s="368"/>
      <c r="AG8" s="334"/>
      <c r="AH8" s="369">
        <f t="shared" si="3"/>
        <v>0</v>
      </c>
      <c r="AI8" s="465">
        <v>2</v>
      </c>
      <c r="AJ8" s="465">
        <v>24</v>
      </c>
      <c r="AK8" s="465">
        <v>26</v>
      </c>
      <c r="AL8" s="342" t="str">
        <f t="shared" si="4"/>
        <v>YA</v>
      </c>
      <c r="AM8" s="337">
        <f t="shared" si="5"/>
        <v>16.462962962962962</v>
      </c>
      <c r="AN8" s="811">
        <f t="shared" si="11"/>
        <v>7.5370370370370381</v>
      </c>
      <c r="AO8" s="812"/>
    </row>
    <row r="9" spans="1:41" ht="20.100000000000001" customHeight="1" x14ac:dyDescent="0.25">
      <c r="B9" s="804" t="s">
        <v>232</v>
      </c>
      <c r="C9" s="804"/>
      <c r="D9" s="804"/>
      <c r="E9" s="804"/>
      <c r="F9" s="804"/>
      <c r="G9" s="84">
        <f t="shared" si="6"/>
        <v>44.444444444444443</v>
      </c>
      <c r="H9" s="84">
        <f t="shared" si="7"/>
        <v>51.55555555555555</v>
      </c>
      <c r="I9" s="84">
        <v>40</v>
      </c>
      <c r="J9" s="84">
        <f t="shared" si="8"/>
        <v>46.4</v>
      </c>
      <c r="K9" s="327">
        <f t="shared" si="9"/>
        <v>43.111111111111107</v>
      </c>
      <c r="L9" s="327">
        <f t="shared" si="10"/>
        <v>38.799999999999997</v>
      </c>
      <c r="Q9" s="424"/>
      <c r="R9" s="804" t="s">
        <v>232</v>
      </c>
      <c r="S9" s="804"/>
      <c r="T9" s="804"/>
      <c r="U9" s="804"/>
      <c r="V9" s="804"/>
      <c r="W9" s="368">
        <v>6</v>
      </c>
      <c r="X9" s="335">
        <v>40</v>
      </c>
      <c r="Y9" s="369">
        <f t="shared" si="0"/>
        <v>0</v>
      </c>
      <c r="Z9" s="368">
        <v>15</v>
      </c>
      <c r="AA9" s="335">
        <v>32.29</v>
      </c>
      <c r="AB9" s="369">
        <f t="shared" si="1"/>
        <v>0</v>
      </c>
      <c r="AC9" s="368"/>
      <c r="AD9" s="335"/>
      <c r="AE9" s="369">
        <f t="shared" si="2"/>
        <v>0</v>
      </c>
      <c r="AF9" s="368"/>
      <c r="AG9" s="335"/>
      <c r="AH9" s="369">
        <f t="shared" si="3"/>
        <v>0</v>
      </c>
      <c r="AI9" s="465"/>
      <c r="AJ9" s="465"/>
      <c r="AK9" s="465"/>
      <c r="AL9" s="342" t="str">
        <f t="shared" si="4"/>
        <v>YA</v>
      </c>
      <c r="AM9" s="337">
        <f t="shared" si="5"/>
        <v>0</v>
      </c>
      <c r="AN9" s="811">
        <f t="shared" si="11"/>
        <v>0</v>
      </c>
      <c r="AO9" s="812"/>
    </row>
    <row r="10" spans="1:41" ht="20.100000000000001" customHeight="1" x14ac:dyDescent="0.25">
      <c r="B10" s="804" t="s">
        <v>53</v>
      </c>
      <c r="C10" s="804"/>
      <c r="D10" s="804"/>
      <c r="E10" s="804"/>
      <c r="F10" s="804"/>
      <c r="G10" s="84">
        <f t="shared" si="6"/>
        <v>27.777777777777779</v>
      </c>
      <c r="H10" s="84">
        <f t="shared" si="7"/>
        <v>32.222222222222221</v>
      </c>
      <c r="I10" s="84">
        <v>25</v>
      </c>
      <c r="J10" s="84">
        <f t="shared" si="8"/>
        <v>28.999999999999996</v>
      </c>
      <c r="K10" s="327">
        <f t="shared" si="9"/>
        <v>26.944444444444443</v>
      </c>
      <c r="L10" s="327">
        <f t="shared" si="10"/>
        <v>24.25</v>
      </c>
      <c r="Q10" s="424"/>
      <c r="R10" s="804" t="s">
        <v>53</v>
      </c>
      <c r="S10" s="804"/>
      <c r="T10" s="804"/>
      <c r="U10" s="804"/>
      <c r="V10" s="804"/>
      <c r="W10" s="368"/>
      <c r="X10" s="333"/>
      <c r="Y10" s="369">
        <f t="shared" si="0"/>
        <v>0</v>
      </c>
      <c r="Z10" s="368"/>
      <c r="AA10" s="335"/>
      <c r="AB10" s="369">
        <f t="shared" si="1"/>
        <v>0</v>
      </c>
      <c r="AC10" s="368"/>
      <c r="AD10" s="335"/>
      <c r="AE10" s="369">
        <f t="shared" si="2"/>
        <v>0</v>
      </c>
      <c r="AF10" s="368"/>
      <c r="AG10" s="334"/>
      <c r="AH10" s="369">
        <f t="shared" si="3"/>
        <v>0</v>
      </c>
      <c r="AI10" s="465"/>
      <c r="AJ10" s="465"/>
      <c r="AK10" s="465"/>
      <c r="AL10" s="342" t="str">
        <f t="shared" si="4"/>
        <v>YA</v>
      </c>
      <c r="AM10" s="337">
        <f t="shared" si="5"/>
        <v>0</v>
      </c>
      <c r="AN10" s="811">
        <f t="shared" si="11"/>
        <v>0</v>
      </c>
      <c r="AO10" s="812"/>
    </row>
    <row r="11" spans="1:41" ht="20.100000000000001" customHeight="1" x14ac:dyDescent="0.25">
      <c r="B11" s="804" t="s">
        <v>55</v>
      </c>
      <c r="C11" s="804"/>
      <c r="D11" s="804"/>
      <c r="E11" s="804"/>
      <c r="F11" s="804"/>
      <c r="G11" s="84">
        <f t="shared" si="6"/>
        <v>8.8888888888888893</v>
      </c>
      <c r="H11" s="84">
        <f t="shared" si="7"/>
        <v>10.31111111111111</v>
      </c>
      <c r="I11" s="84">
        <v>8</v>
      </c>
      <c r="J11" s="84">
        <f t="shared" si="8"/>
        <v>9.2799999999999994</v>
      </c>
      <c r="K11" s="327">
        <f t="shared" si="9"/>
        <v>8.6222222222222218</v>
      </c>
      <c r="L11" s="327">
        <f t="shared" si="10"/>
        <v>7.76</v>
      </c>
      <c r="Q11" s="424"/>
      <c r="R11" s="804" t="s">
        <v>55</v>
      </c>
      <c r="S11" s="804"/>
      <c r="T11" s="804"/>
      <c r="U11" s="804"/>
      <c r="V11" s="804"/>
      <c r="W11" s="368">
        <v>12</v>
      </c>
      <c r="X11" s="335">
        <v>5.7</v>
      </c>
      <c r="Y11" s="369">
        <f t="shared" si="0"/>
        <v>0</v>
      </c>
      <c r="Z11" s="368">
        <v>48</v>
      </c>
      <c r="AA11" s="334">
        <v>5.7037037037037033</v>
      </c>
      <c r="AB11" s="369">
        <f t="shared" si="1"/>
        <v>5</v>
      </c>
      <c r="AC11" s="368"/>
      <c r="AD11" s="334"/>
      <c r="AE11" s="369">
        <f t="shared" si="2"/>
        <v>0</v>
      </c>
      <c r="AF11" s="368"/>
      <c r="AG11" s="334"/>
      <c r="AH11" s="369">
        <f t="shared" si="3"/>
        <v>0</v>
      </c>
      <c r="AI11" s="465">
        <v>5</v>
      </c>
      <c r="AJ11" s="465">
        <v>41</v>
      </c>
      <c r="AK11" s="465">
        <v>17</v>
      </c>
      <c r="AL11" s="342" t="str">
        <f t="shared" si="4"/>
        <v>YA</v>
      </c>
      <c r="AM11" s="337">
        <f t="shared" si="5"/>
        <v>28.518518518518515</v>
      </c>
      <c r="AN11" s="811">
        <f t="shared" si="11"/>
        <v>12.481481481481485</v>
      </c>
      <c r="AO11" s="812"/>
    </row>
    <row r="12" spans="1:41" ht="20.100000000000001" customHeight="1" x14ac:dyDescent="0.25">
      <c r="B12" s="804" t="s">
        <v>5</v>
      </c>
      <c r="C12" s="804"/>
      <c r="D12" s="804"/>
      <c r="E12" s="804"/>
      <c r="F12" s="804"/>
      <c r="G12" s="84">
        <f t="shared" si="6"/>
        <v>43.333333333333336</v>
      </c>
      <c r="H12" s="84">
        <f t="shared" si="7"/>
        <v>50.266666666666666</v>
      </c>
      <c r="I12" s="84">
        <v>39</v>
      </c>
      <c r="J12" s="84">
        <f t="shared" si="8"/>
        <v>45.239999999999995</v>
      </c>
      <c r="K12" s="327">
        <f t="shared" si="9"/>
        <v>42.033333333333331</v>
      </c>
      <c r="L12" s="327">
        <f t="shared" si="10"/>
        <v>37.83</v>
      </c>
      <c r="Q12" s="424"/>
      <c r="R12" s="804" t="s">
        <v>5</v>
      </c>
      <c r="S12" s="804"/>
      <c r="T12" s="804"/>
      <c r="U12" s="804"/>
      <c r="V12" s="804"/>
      <c r="W12" s="368">
        <v>60</v>
      </c>
      <c r="X12" s="334">
        <v>31.27</v>
      </c>
      <c r="Y12" s="369">
        <f t="shared" si="0"/>
        <v>0</v>
      </c>
      <c r="Z12" s="368">
        <v>70</v>
      </c>
      <c r="AA12" s="334">
        <v>29.53</v>
      </c>
      <c r="AB12" s="369">
        <f t="shared" si="1"/>
        <v>0</v>
      </c>
      <c r="AC12" s="368">
        <v>20</v>
      </c>
      <c r="AD12" s="334">
        <v>33.31</v>
      </c>
      <c r="AE12" s="369">
        <f t="shared" si="2"/>
        <v>1</v>
      </c>
      <c r="AF12" s="368"/>
      <c r="AG12" s="334"/>
      <c r="AH12" s="369">
        <f t="shared" si="3"/>
        <v>0</v>
      </c>
      <c r="AI12" s="465">
        <v>1</v>
      </c>
      <c r="AJ12" s="465">
        <v>42</v>
      </c>
      <c r="AK12" s="465">
        <v>19</v>
      </c>
      <c r="AL12" s="342" t="str">
        <f t="shared" si="4"/>
        <v>YA</v>
      </c>
      <c r="AM12" s="337">
        <f t="shared" si="5"/>
        <v>33.31</v>
      </c>
      <c r="AN12" s="811">
        <f t="shared" si="11"/>
        <v>8.6899999999999977</v>
      </c>
      <c r="AO12" s="812"/>
    </row>
    <row r="13" spans="1:41" ht="20.100000000000001" customHeight="1" x14ac:dyDescent="0.25">
      <c r="B13" s="804" t="s">
        <v>4</v>
      </c>
      <c r="C13" s="804"/>
      <c r="D13" s="804"/>
      <c r="E13" s="804"/>
      <c r="F13" s="804"/>
      <c r="G13" s="84">
        <f t="shared" si="6"/>
        <v>16.666666666666668</v>
      </c>
      <c r="H13" s="84">
        <f t="shared" si="7"/>
        <v>19.333333333333332</v>
      </c>
      <c r="I13" s="84">
        <v>15</v>
      </c>
      <c r="J13" s="84">
        <f t="shared" si="8"/>
        <v>17.399999999999999</v>
      </c>
      <c r="K13" s="327">
        <f t="shared" si="9"/>
        <v>16.166666666666668</v>
      </c>
      <c r="L13" s="327">
        <f t="shared" si="10"/>
        <v>14.549999999999999</v>
      </c>
      <c r="Q13" s="424"/>
      <c r="R13" s="804" t="s">
        <v>4</v>
      </c>
      <c r="S13" s="804"/>
      <c r="T13" s="804"/>
      <c r="U13" s="804"/>
      <c r="V13" s="804"/>
      <c r="W13" s="368">
        <v>20</v>
      </c>
      <c r="X13" s="334">
        <v>11.324074074074074</v>
      </c>
      <c r="Y13" s="369">
        <f t="shared" si="0"/>
        <v>0</v>
      </c>
      <c r="Z13" s="368">
        <v>100</v>
      </c>
      <c r="AA13" s="334">
        <v>10.69</v>
      </c>
      <c r="AB13" s="369">
        <f t="shared" si="1"/>
        <v>0</v>
      </c>
      <c r="AC13" s="368">
        <v>60</v>
      </c>
      <c r="AD13" s="334">
        <v>11.91</v>
      </c>
      <c r="AE13" s="369">
        <f t="shared" si="2"/>
        <v>12</v>
      </c>
      <c r="AF13" s="368"/>
      <c r="AG13" s="334"/>
      <c r="AH13" s="369">
        <f t="shared" si="3"/>
        <v>0</v>
      </c>
      <c r="AI13" s="465">
        <v>12</v>
      </c>
      <c r="AJ13" s="465">
        <v>179</v>
      </c>
      <c r="AK13" s="465">
        <v>44</v>
      </c>
      <c r="AL13" s="342" t="str">
        <f t="shared" si="4"/>
        <v>YA</v>
      </c>
      <c r="AM13" s="337">
        <f t="shared" si="5"/>
        <v>142.92000000000002</v>
      </c>
      <c r="AN13" s="811">
        <f t="shared" si="11"/>
        <v>36.079999999999984</v>
      </c>
      <c r="AO13" s="812"/>
    </row>
    <row r="14" spans="1:41" ht="20.100000000000001" customHeight="1" x14ac:dyDescent="0.25">
      <c r="B14" s="804" t="s">
        <v>12</v>
      </c>
      <c r="C14" s="804"/>
      <c r="D14" s="804"/>
      <c r="E14" s="804"/>
      <c r="F14" s="804"/>
      <c r="G14" s="84">
        <f>I14/0.9</f>
        <v>34.444444444444443</v>
      </c>
      <c r="H14" s="84">
        <f>G14*1.16</f>
        <v>39.955555555555549</v>
      </c>
      <c r="I14" s="84">
        <v>31</v>
      </c>
      <c r="J14" s="84">
        <f>I14*1.16</f>
        <v>35.96</v>
      </c>
      <c r="K14" s="327">
        <f t="shared" si="9"/>
        <v>33.411111111111111</v>
      </c>
      <c r="L14" s="327">
        <f t="shared" si="10"/>
        <v>30.07</v>
      </c>
      <c r="Q14" s="424"/>
      <c r="R14" s="804" t="s">
        <v>12</v>
      </c>
      <c r="S14" s="804"/>
      <c r="T14" s="804"/>
      <c r="U14" s="804"/>
      <c r="V14" s="804"/>
      <c r="W14" s="368">
        <v>200</v>
      </c>
      <c r="X14" s="334">
        <v>24.52</v>
      </c>
      <c r="Y14" s="369">
        <f t="shared" si="0"/>
        <v>5</v>
      </c>
      <c r="Z14" s="368"/>
      <c r="AA14" s="335"/>
      <c r="AB14" s="369">
        <f t="shared" si="1"/>
        <v>0</v>
      </c>
      <c r="AC14" s="368"/>
      <c r="AD14" s="335"/>
      <c r="AE14" s="369">
        <f t="shared" si="2"/>
        <v>0</v>
      </c>
      <c r="AF14" s="368"/>
      <c r="AG14" s="334"/>
      <c r="AH14" s="369">
        <f t="shared" si="3"/>
        <v>0</v>
      </c>
      <c r="AI14" s="465">
        <v>5</v>
      </c>
      <c r="AJ14" s="465">
        <v>170</v>
      </c>
      <c r="AK14" s="465">
        <v>74</v>
      </c>
      <c r="AL14" s="342" t="str">
        <f t="shared" si="4"/>
        <v>YA</v>
      </c>
      <c r="AM14" s="337">
        <f t="shared" si="5"/>
        <v>122.6</v>
      </c>
      <c r="AN14" s="811">
        <f t="shared" si="11"/>
        <v>47.400000000000006</v>
      </c>
      <c r="AO14" s="812"/>
    </row>
    <row r="15" spans="1:41" ht="20.100000000000001" customHeight="1" x14ac:dyDescent="0.25">
      <c r="B15" s="804" t="s">
        <v>204</v>
      </c>
      <c r="C15" s="804"/>
      <c r="D15" s="804"/>
      <c r="E15" s="804"/>
      <c r="F15" s="804"/>
      <c r="G15" s="84">
        <f t="shared" si="6"/>
        <v>37.777777777777779</v>
      </c>
      <c r="H15" s="84">
        <f t="shared" si="7"/>
        <v>43.822222222222223</v>
      </c>
      <c r="I15" s="84">
        <v>34</v>
      </c>
      <c r="J15" s="84">
        <f t="shared" si="8"/>
        <v>39.44</v>
      </c>
      <c r="K15" s="327">
        <f t="shared" si="9"/>
        <v>36.644444444444446</v>
      </c>
      <c r="L15" s="327">
        <f t="shared" si="10"/>
        <v>32.979999999999997</v>
      </c>
      <c r="Q15" s="424"/>
      <c r="R15" s="804" t="s">
        <v>204</v>
      </c>
      <c r="S15" s="804"/>
      <c r="T15" s="804"/>
      <c r="U15" s="804"/>
      <c r="V15" s="804"/>
      <c r="W15" s="368">
        <v>1000</v>
      </c>
      <c r="X15" s="336">
        <v>26.22</v>
      </c>
      <c r="Y15" s="369">
        <f t="shared" si="0"/>
        <v>11</v>
      </c>
      <c r="Z15" s="368">
        <v>75</v>
      </c>
      <c r="AA15" s="336">
        <v>29.43</v>
      </c>
      <c r="AB15" s="369">
        <f t="shared" si="1"/>
        <v>0</v>
      </c>
      <c r="AC15" s="368"/>
      <c r="AD15" s="336"/>
      <c r="AE15" s="369">
        <f t="shared" si="2"/>
        <v>0</v>
      </c>
      <c r="AF15" s="368"/>
      <c r="AG15" s="336"/>
      <c r="AH15" s="369">
        <f t="shared" si="3"/>
        <v>0</v>
      </c>
      <c r="AI15" s="465">
        <v>11</v>
      </c>
      <c r="AJ15" s="465">
        <v>392.12</v>
      </c>
      <c r="AK15" s="465">
        <v>125</v>
      </c>
      <c r="AL15" s="342" t="str">
        <f t="shared" si="4"/>
        <v>YA</v>
      </c>
      <c r="AM15" s="337">
        <f t="shared" si="5"/>
        <v>288.41999999999996</v>
      </c>
      <c r="AN15" s="811">
        <f t="shared" si="11"/>
        <v>103.70000000000005</v>
      </c>
      <c r="AO15" s="812"/>
    </row>
    <row r="16" spans="1:41" ht="20.100000000000001" customHeight="1" x14ac:dyDescent="0.25">
      <c r="B16" s="804" t="s">
        <v>52</v>
      </c>
      <c r="C16" s="804"/>
      <c r="D16" s="804"/>
      <c r="E16" s="804"/>
      <c r="F16" s="804"/>
      <c r="G16" s="84">
        <f t="shared" si="6"/>
        <v>67.777777777777771</v>
      </c>
      <c r="H16" s="84">
        <f t="shared" si="7"/>
        <v>78.622222222222206</v>
      </c>
      <c r="I16" s="84">
        <v>61</v>
      </c>
      <c r="J16" s="84">
        <f t="shared" si="8"/>
        <v>70.759999999999991</v>
      </c>
      <c r="K16" s="327">
        <f t="shared" si="9"/>
        <v>65.74444444444444</v>
      </c>
      <c r="L16" s="327">
        <f t="shared" si="10"/>
        <v>59.17</v>
      </c>
      <c r="Q16" s="424"/>
      <c r="R16" s="804" t="s">
        <v>52</v>
      </c>
      <c r="S16" s="804"/>
      <c r="T16" s="804"/>
      <c r="U16" s="804"/>
      <c r="V16" s="804"/>
      <c r="W16" s="368">
        <v>15</v>
      </c>
      <c r="X16" s="336">
        <v>46.63</v>
      </c>
      <c r="Y16" s="369">
        <f t="shared" si="0"/>
        <v>0</v>
      </c>
      <c r="Z16" s="368">
        <v>30</v>
      </c>
      <c r="AA16" s="335">
        <v>45.58</v>
      </c>
      <c r="AB16" s="369">
        <f t="shared" si="1"/>
        <v>0</v>
      </c>
      <c r="AC16" s="368"/>
      <c r="AD16" s="335"/>
      <c r="AE16" s="369">
        <f t="shared" si="2"/>
        <v>0</v>
      </c>
      <c r="AF16" s="368"/>
      <c r="AG16" s="336"/>
      <c r="AH16" s="369">
        <f t="shared" si="3"/>
        <v>0</v>
      </c>
      <c r="AI16" s="465"/>
      <c r="AJ16" s="465"/>
      <c r="AK16" s="465"/>
      <c r="AL16" s="342" t="str">
        <f t="shared" si="4"/>
        <v>YA</v>
      </c>
      <c r="AM16" s="337">
        <f t="shared" si="5"/>
        <v>0</v>
      </c>
      <c r="AN16" s="811">
        <f t="shared" si="11"/>
        <v>0</v>
      </c>
      <c r="AO16" s="812"/>
    </row>
    <row r="17" spans="2:41" ht="20.100000000000001" customHeight="1" x14ac:dyDescent="0.25">
      <c r="B17" s="804" t="s">
        <v>367</v>
      </c>
      <c r="C17" s="804"/>
      <c r="D17" s="804"/>
      <c r="E17" s="804"/>
      <c r="F17" s="804"/>
      <c r="G17" s="84">
        <f>I17/0.9</f>
        <v>67.777777777777771</v>
      </c>
      <c r="H17" s="84">
        <f>G17*1.16</f>
        <v>78.622222222222206</v>
      </c>
      <c r="I17" s="84">
        <v>61</v>
      </c>
      <c r="J17" s="84">
        <f>I17*1.16</f>
        <v>70.759999999999991</v>
      </c>
      <c r="K17" s="327"/>
      <c r="L17" s="327"/>
      <c r="Q17" s="424"/>
      <c r="R17" s="804" t="s">
        <v>367</v>
      </c>
      <c r="S17" s="804"/>
      <c r="T17" s="804"/>
      <c r="U17" s="804"/>
      <c r="V17" s="804"/>
      <c r="W17" s="368">
        <v>10</v>
      </c>
      <c r="X17" s="335">
        <v>67.349999999999994</v>
      </c>
      <c r="Y17" s="369">
        <f t="shared" si="0"/>
        <v>1.1000000000000001</v>
      </c>
      <c r="Z17" s="368">
        <v>6</v>
      </c>
      <c r="AA17" s="335">
        <v>71.13</v>
      </c>
      <c r="AB17" s="369">
        <f t="shared" si="1"/>
        <v>0</v>
      </c>
      <c r="AC17" s="368"/>
      <c r="AD17" s="335"/>
      <c r="AE17" s="369">
        <f t="shared" si="2"/>
        <v>0</v>
      </c>
      <c r="AF17" s="368"/>
      <c r="AG17" s="336"/>
      <c r="AH17" s="369">
        <f t="shared" si="3"/>
        <v>0</v>
      </c>
      <c r="AI17" s="465">
        <v>1.1000000000000001</v>
      </c>
      <c r="AJ17" s="465">
        <v>100</v>
      </c>
      <c r="AK17" s="465">
        <v>8</v>
      </c>
      <c r="AL17" s="342" t="str">
        <f t="shared" si="4"/>
        <v>YA</v>
      </c>
      <c r="AM17" s="337">
        <f t="shared" si="5"/>
        <v>74.084999999999994</v>
      </c>
      <c r="AN17" s="811">
        <f t="shared" si="11"/>
        <v>25.915000000000006</v>
      </c>
      <c r="AO17" s="812"/>
    </row>
    <row r="18" spans="2:41" ht="20.100000000000001" customHeight="1" x14ac:dyDescent="0.25">
      <c r="B18" s="804" t="s">
        <v>99</v>
      </c>
      <c r="C18" s="804"/>
      <c r="D18" s="804"/>
      <c r="E18" s="804"/>
      <c r="F18" s="804"/>
      <c r="G18" s="84" t="s">
        <v>336</v>
      </c>
      <c r="H18" s="84" t="s">
        <v>336</v>
      </c>
      <c r="I18" s="84" t="s">
        <v>336</v>
      </c>
      <c r="J18" s="84" t="s">
        <v>336</v>
      </c>
      <c r="K18" s="327" t="s">
        <v>336</v>
      </c>
      <c r="L18" s="327" t="s">
        <v>336</v>
      </c>
      <c r="Q18" s="424"/>
      <c r="R18" s="804" t="s">
        <v>99</v>
      </c>
      <c r="S18" s="804"/>
      <c r="T18" s="804"/>
      <c r="U18" s="804"/>
      <c r="V18" s="804"/>
      <c r="W18" s="368"/>
      <c r="X18" s="335"/>
      <c r="Y18" s="369">
        <f t="shared" si="0"/>
        <v>0</v>
      </c>
      <c r="Z18" s="368"/>
      <c r="AA18" s="335"/>
      <c r="AB18" s="369">
        <f t="shared" si="1"/>
        <v>0</v>
      </c>
      <c r="AC18" s="368"/>
      <c r="AD18" s="335"/>
      <c r="AE18" s="369">
        <f t="shared" si="2"/>
        <v>0</v>
      </c>
      <c r="AF18" s="368"/>
      <c r="AG18" s="336"/>
      <c r="AH18" s="369">
        <f t="shared" si="3"/>
        <v>0</v>
      </c>
      <c r="AI18" s="465"/>
      <c r="AJ18" s="465"/>
      <c r="AK18" s="465"/>
      <c r="AL18" s="342" t="str">
        <f t="shared" si="4"/>
        <v>YA</v>
      </c>
      <c r="AM18" s="337">
        <f t="shared" si="5"/>
        <v>0</v>
      </c>
      <c r="AN18" s="811">
        <f t="shared" si="11"/>
        <v>0</v>
      </c>
      <c r="AO18" s="812"/>
    </row>
    <row r="19" spans="2:41" ht="20.100000000000001" customHeight="1" x14ac:dyDescent="0.25">
      <c r="B19" s="804" t="s">
        <v>100</v>
      </c>
      <c r="C19" s="804"/>
      <c r="D19" s="804"/>
      <c r="E19" s="804"/>
      <c r="F19" s="804"/>
      <c r="G19" s="84" t="s">
        <v>336</v>
      </c>
      <c r="H19" s="84" t="s">
        <v>336</v>
      </c>
      <c r="I19" s="84" t="s">
        <v>336</v>
      </c>
      <c r="J19" s="84" t="s">
        <v>336</v>
      </c>
      <c r="K19" s="327" t="s">
        <v>336</v>
      </c>
      <c r="L19" s="327" t="s">
        <v>336</v>
      </c>
      <c r="Q19" s="424"/>
      <c r="R19" s="804" t="s">
        <v>100</v>
      </c>
      <c r="S19" s="804"/>
      <c r="T19" s="804"/>
      <c r="U19" s="804"/>
      <c r="V19" s="804"/>
      <c r="W19" s="368"/>
      <c r="X19" s="335"/>
      <c r="Y19" s="369">
        <f t="shared" si="0"/>
        <v>0</v>
      </c>
      <c r="Z19" s="368"/>
      <c r="AA19" s="335"/>
      <c r="AB19" s="369">
        <f t="shared" si="1"/>
        <v>0</v>
      </c>
      <c r="AC19" s="368"/>
      <c r="AD19" s="335"/>
      <c r="AE19" s="369">
        <f t="shared" si="2"/>
        <v>0</v>
      </c>
      <c r="AF19" s="368"/>
      <c r="AG19" s="336"/>
      <c r="AH19" s="369">
        <f t="shared" si="3"/>
        <v>0</v>
      </c>
      <c r="AI19" s="465"/>
      <c r="AJ19" s="465"/>
      <c r="AK19" s="465"/>
      <c r="AL19" s="342" t="str">
        <f t="shared" si="4"/>
        <v>YA</v>
      </c>
      <c r="AM19" s="337">
        <f t="shared" si="5"/>
        <v>0</v>
      </c>
      <c r="AN19" s="811">
        <f t="shared" si="11"/>
        <v>0</v>
      </c>
      <c r="AO19" s="812"/>
    </row>
    <row r="20" spans="2:41" ht="20.100000000000001" customHeight="1" x14ac:dyDescent="0.25">
      <c r="B20" s="804" t="s">
        <v>98</v>
      </c>
      <c r="C20" s="804"/>
      <c r="D20" s="804"/>
      <c r="E20" s="804"/>
      <c r="F20" s="804"/>
      <c r="G20" s="84">
        <f t="shared" si="6"/>
        <v>127.77777777777777</v>
      </c>
      <c r="H20" s="84">
        <f t="shared" si="7"/>
        <v>148.2222222222222</v>
      </c>
      <c r="I20" s="84">
        <v>115</v>
      </c>
      <c r="J20" s="84">
        <f t="shared" si="8"/>
        <v>133.39999999999998</v>
      </c>
      <c r="K20" s="327">
        <f t="shared" si="9"/>
        <v>123.94444444444443</v>
      </c>
      <c r="L20" s="327">
        <f t="shared" si="10"/>
        <v>111.55</v>
      </c>
      <c r="Q20" s="424"/>
      <c r="R20" s="804" t="s">
        <v>98</v>
      </c>
      <c r="S20" s="804"/>
      <c r="T20" s="804"/>
      <c r="U20" s="804"/>
      <c r="V20" s="804"/>
      <c r="W20" s="368">
        <v>1</v>
      </c>
      <c r="X20" s="335">
        <v>99</v>
      </c>
      <c r="Y20" s="369">
        <f t="shared" ref="Y20:Y28" si="12">IF(AK20 &lt; AF20+AC20+Z20+W20, MIN(AC20+AF20+Z20+W20-AK20,AI20-AH20-AE20-AB20,W20),0)</f>
        <v>0</v>
      </c>
      <c r="Z20" s="368"/>
      <c r="AA20" s="335"/>
      <c r="AB20" s="369">
        <f t="shared" ref="AB20:AB28" si="13">IF(AK20 &lt; AF20+AC20+Z20, MIN(AC20+AF20+Z20-AK20,AI20-AH20-AE20,Z20),0)</f>
        <v>0</v>
      </c>
      <c r="AC20" s="368"/>
      <c r="AD20" s="335"/>
      <c r="AE20" s="369">
        <f t="shared" ref="AE20:AE28" si="14">IF(AK20 &lt; AF20+AC20, MIN(AC20+AF20-AK20,AI20-AH20,AC20),0)</f>
        <v>0</v>
      </c>
      <c r="AF20" s="368"/>
      <c r="AG20" s="336"/>
      <c r="AH20" s="369">
        <f t="shared" ref="AH20:AH28" si="15">IF(AK20 &lt;=AF20, MIN(AF20-AK20,AI20), 0)</f>
        <v>0</v>
      </c>
      <c r="AI20" s="465"/>
      <c r="AJ20" s="465"/>
      <c r="AK20" s="465"/>
      <c r="AL20" s="342" t="str">
        <f t="shared" ref="AL20:AL28" si="16">IF(OR((W20+Z20+AC20+AF20) &gt;= (AI20+AK20), AI20 = 0), "YA", "MAS")</f>
        <v>YA</v>
      </c>
      <c r="AM20" s="337">
        <f t="shared" ref="AM20:AM28" si="17">IF(AI20=0,0,AH20*AG20+AE20*AD20+AB20*AA20+Y20*X20)</f>
        <v>0</v>
      </c>
      <c r="AN20" s="811">
        <f t="shared" ref="AN20:AN28" si="18">AJ20-AM20</f>
        <v>0</v>
      </c>
      <c r="AO20" s="812"/>
    </row>
    <row r="21" spans="2:41" ht="20.100000000000001" customHeight="1" x14ac:dyDescent="0.25">
      <c r="B21" s="804" t="s">
        <v>101</v>
      </c>
      <c r="C21" s="804"/>
      <c r="D21" s="804"/>
      <c r="E21" s="804"/>
      <c r="F21" s="804"/>
      <c r="G21" s="84">
        <f t="shared" si="6"/>
        <v>127.77777777777777</v>
      </c>
      <c r="H21" s="84">
        <f t="shared" si="7"/>
        <v>148.2222222222222</v>
      </c>
      <c r="I21" s="84">
        <v>115</v>
      </c>
      <c r="J21" s="84">
        <f t="shared" si="8"/>
        <v>133.39999999999998</v>
      </c>
      <c r="K21" s="327">
        <f t="shared" si="9"/>
        <v>123.94444444444443</v>
      </c>
      <c r="L21" s="327">
        <f t="shared" si="10"/>
        <v>111.55</v>
      </c>
      <c r="Q21" s="424"/>
      <c r="R21" s="804" t="s">
        <v>101</v>
      </c>
      <c r="S21" s="804"/>
      <c r="T21" s="804"/>
      <c r="U21" s="804"/>
      <c r="V21" s="804"/>
      <c r="W21" s="368">
        <v>1</v>
      </c>
      <c r="X21" s="335">
        <v>98.29</v>
      </c>
      <c r="Y21" s="369">
        <f t="shared" si="12"/>
        <v>0</v>
      </c>
      <c r="Z21" s="368"/>
      <c r="AA21" s="335"/>
      <c r="AB21" s="369">
        <f t="shared" si="13"/>
        <v>0</v>
      </c>
      <c r="AC21" s="368"/>
      <c r="AD21" s="335"/>
      <c r="AE21" s="369">
        <f t="shared" si="14"/>
        <v>0</v>
      </c>
      <c r="AF21" s="368"/>
      <c r="AG21" s="336"/>
      <c r="AH21" s="369">
        <f t="shared" si="15"/>
        <v>0</v>
      </c>
      <c r="AI21" s="465"/>
      <c r="AJ21" s="465"/>
      <c r="AK21" s="465"/>
      <c r="AL21" s="342" t="str">
        <f t="shared" si="16"/>
        <v>YA</v>
      </c>
      <c r="AM21" s="337">
        <f t="shared" si="17"/>
        <v>0</v>
      </c>
      <c r="AN21" s="811">
        <f t="shared" si="18"/>
        <v>0</v>
      </c>
      <c r="AO21" s="812"/>
    </row>
    <row r="22" spans="2:41" ht="20.100000000000001" customHeight="1" x14ac:dyDescent="0.25">
      <c r="B22" s="804" t="s">
        <v>11</v>
      </c>
      <c r="C22" s="804"/>
      <c r="D22" s="804"/>
      <c r="E22" s="804"/>
      <c r="F22" s="804"/>
      <c r="G22" s="84">
        <f t="shared" si="6"/>
        <v>117.77777777777777</v>
      </c>
      <c r="H22" s="84">
        <f t="shared" si="7"/>
        <v>136.62222222222221</v>
      </c>
      <c r="I22" s="84">
        <v>106</v>
      </c>
      <c r="J22" s="84">
        <f t="shared" si="8"/>
        <v>122.96</v>
      </c>
      <c r="K22" s="327">
        <f t="shared" si="9"/>
        <v>114.24444444444444</v>
      </c>
      <c r="L22" s="327">
        <f t="shared" si="10"/>
        <v>102.82</v>
      </c>
      <c r="Q22" s="424"/>
      <c r="R22" s="804" t="s">
        <v>11</v>
      </c>
      <c r="S22" s="804"/>
      <c r="T22" s="804"/>
      <c r="U22" s="804"/>
      <c r="V22" s="804"/>
      <c r="W22" s="368">
        <v>60</v>
      </c>
      <c r="X22" s="336">
        <v>84.777777777777771</v>
      </c>
      <c r="Y22" s="369">
        <f t="shared" si="12"/>
        <v>0</v>
      </c>
      <c r="Z22" s="368">
        <v>200</v>
      </c>
      <c r="AA22" s="336">
        <v>80.069999999999993</v>
      </c>
      <c r="AB22" s="369">
        <f t="shared" si="13"/>
        <v>3</v>
      </c>
      <c r="AC22" s="368">
        <v>20</v>
      </c>
      <c r="AD22" s="336">
        <v>95.79</v>
      </c>
      <c r="AE22" s="369">
        <f t="shared" si="14"/>
        <v>0</v>
      </c>
      <c r="AF22" s="368"/>
      <c r="AG22" s="336"/>
      <c r="AH22" s="369">
        <f t="shared" si="15"/>
        <v>0</v>
      </c>
      <c r="AI22" s="465">
        <v>3</v>
      </c>
      <c r="AJ22" s="465">
        <v>360</v>
      </c>
      <c r="AK22" s="465">
        <v>26</v>
      </c>
      <c r="AL22" s="342" t="str">
        <f t="shared" si="16"/>
        <v>YA</v>
      </c>
      <c r="AM22" s="337">
        <f t="shared" si="17"/>
        <v>240.20999999999998</v>
      </c>
      <c r="AN22" s="811">
        <f t="shared" si="18"/>
        <v>119.79000000000002</v>
      </c>
      <c r="AO22" s="812"/>
    </row>
    <row r="23" spans="2:41" ht="20.100000000000001" customHeight="1" x14ac:dyDescent="0.25">
      <c r="B23" s="804" t="s">
        <v>10</v>
      </c>
      <c r="C23" s="804"/>
      <c r="D23" s="804"/>
      <c r="E23" s="804"/>
      <c r="F23" s="804"/>
      <c r="G23" s="84">
        <f t="shared" si="6"/>
        <v>34.444444444444443</v>
      </c>
      <c r="H23" s="84">
        <f t="shared" si="7"/>
        <v>39.955555555555549</v>
      </c>
      <c r="I23" s="84">
        <v>31</v>
      </c>
      <c r="J23" s="84">
        <f t="shared" si="8"/>
        <v>35.96</v>
      </c>
      <c r="K23" s="327">
        <f t="shared" si="9"/>
        <v>33.411111111111111</v>
      </c>
      <c r="L23" s="327">
        <f t="shared" si="10"/>
        <v>30.07</v>
      </c>
      <c r="Q23" s="424"/>
      <c r="R23" s="804" t="s">
        <v>10</v>
      </c>
      <c r="S23" s="804"/>
      <c r="T23" s="804"/>
      <c r="U23" s="804"/>
      <c r="V23" s="804"/>
      <c r="W23" s="368">
        <v>60</v>
      </c>
      <c r="X23" s="336">
        <v>24.94</v>
      </c>
      <c r="Y23" s="369">
        <f t="shared" si="12"/>
        <v>0</v>
      </c>
      <c r="Z23" s="368">
        <v>260</v>
      </c>
      <c r="AA23" s="336">
        <v>23.56</v>
      </c>
      <c r="AB23" s="369">
        <f t="shared" si="13"/>
        <v>3</v>
      </c>
      <c r="AC23" s="368"/>
      <c r="AD23" s="336"/>
      <c r="AE23" s="369">
        <f t="shared" si="14"/>
        <v>0</v>
      </c>
      <c r="AF23" s="368"/>
      <c r="AG23" s="336"/>
      <c r="AH23" s="369">
        <f t="shared" si="15"/>
        <v>0</v>
      </c>
      <c r="AI23" s="465">
        <v>3</v>
      </c>
      <c r="AJ23" s="465">
        <v>101.23</v>
      </c>
      <c r="AK23" s="465">
        <v>68</v>
      </c>
      <c r="AL23" s="342" t="str">
        <f t="shared" si="16"/>
        <v>YA</v>
      </c>
      <c r="AM23" s="337">
        <f t="shared" si="17"/>
        <v>70.679999999999993</v>
      </c>
      <c r="AN23" s="811">
        <f t="shared" si="18"/>
        <v>30.550000000000011</v>
      </c>
      <c r="AO23" s="812"/>
    </row>
    <row r="24" spans="2:41" ht="20.100000000000001" customHeight="1" x14ac:dyDescent="0.25">
      <c r="B24" s="804" t="s">
        <v>9</v>
      </c>
      <c r="C24" s="804"/>
      <c r="D24" s="804"/>
      <c r="E24" s="804"/>
      <c r="F24" s="804"/>
      <c r="G24" s="84">
        <f t="shared" si="6"/>
        <v>33.333333333333336</v>
      </c>
      <c r="H24" s="84">
        <f t="shared" si="7"/>
        <v>38.666666666666664</v>
      </c>
      <c r="I24" s="84">
        <v>30</v>
      </c>
      <c r="J24" s="84">
        <f t="shared" si="8"/>
        <v>34.799999999999997</v>
      </c>
      <c r="K24" s="327">
        <f t="shared" si="9"/>
        <v>32.333333333333336</v>
      </c>
      <c r="L24" s="327">
        <f t="shared" si="10"/>
        <v>29.099999999999998</v>
      </c>
      <c r="Q24" s="424"/>
      <c r="R24" s="804" t="s">
        <v>9</v>
      </c>
      <c r="S24" s="804"/>
      <c r="T24" s="804"/>
      <c r="U24" s="804"/>
      <c r="V24" s="804"/>
      <c r="W24" s="368">
        <v>132</v>
      </c>
      <c r="X24" s="336">
        <v>22.61</v>
      </c>
      <c r="Y24" s="369">
        <f t="shared" si="12"/>
        <v>0</v>
      </c>
      <c r="Z24" s="368">
        <v>36</v>
      </c>
      <c r="AA24" s="336">
        <v>25.81</v>
      </c>
      <c r="AB24" s="369">
        <f t="shared" si="13"/>
        <v>6</v>
      </c>
      <c r="AC24" s="368"/>
      <c r="AD24" s="336"/>
      <c r="AE24" s="369">
        <f t="shared" si="14"/>
        <v>0</v>
      </c>
      <c r="AF24" s="368"/>
      <c r="AG24" s="336"/>
      <c r="AH24" s="369">
        <f t="shared" si="15"/>
        <v>0</v>
      </c>
      <c r="AI24" s="465">
        <v>6</v>
      </c>
      <c r="AJ24" s="465">
        <v>188.55</v>
      </c>
      <c r="AK24" s="465">
        <v>14</v>
      </c>
      <c r="AL24" s="342" t="str">
        <f t="shared" si="16"/>
        <v>YA</v>
      </c>
      <c r="AM24" s="337">
        <f t="shared" si="17"/>
        <v>154.85999999999999</v>
      </c>
      <c r="AN24" s="811">
        <f t="shared" si="18"/>
        <v>33.690000000000026</v>
      </c>
      <c r="AO24" s="812"/>
    </row>
    <row r="25" spans="2:41" ht="20.100000000000001" customHeight="1" x14ac:dyDescent="0.25">
      <c r="B25" s="804" t="s">
        <v>8</v>
      </c>
      <c r="C25" s="804"/>
      <c r="D25" s="804"/>
      <c r="E25" s="804"/>
      <c r="F25" s="804"/>
      <c r="G25" s="84">
        <f t="shared" si="6"/>
        <v>15.555555555555555</v>
      </c>
      <c r="H25" s="84">
        <f t="shared" si="7"/>
        <v>18.044444444444444</v>
      </c>
      <c r="I25" s="84">
        <v>14</v>
      </c>
      <c r="J25" s="84">
        <f t="shared" si="8"/>
        <v>16.239999999999998</v>
      </c>
      <c r="K25" s="327">
        <f t="shared" si="9"/>
        <v>15.088888888888889</v>
      </c>
      <c r="L25" s="327">
        <f t="shared" si="10"/>
        <v>13.58</v>
      </c>
      <c r="Q25" s="424"/>
      <c r="R25" s="804" t="s">
        <v>8</v>
      </c>
      <c r="S25" s="804"/>
      <c r="T25" s="804"/>
      <c r="U25" s="804"/>
      <c r="V25" s="804"/>
      <c r="W25" s="368">
        <v>20</v>
      </c>
      <c r="X25" s="336">
        <v>12.15</v>
      </c>
      <c r="Y25" s="369">
        <f t="shared" si="12"/>
        <v>0</v>
      </c>
      <c r="Z25" s="368">
        <v>48</v>
      </c>
      <c r="AA25" s="336">
        <v>9.89</v>
      </c>
      <c r="AB25" s="369">
        <f t="shared" si="13"/>
        <v>3</v>
      </c>
      <c r="AC25" s="368">
        <v>20</v>
      </c>
      <c r="AD25" s="336">
        <v>11.1</v>
      </c>
      <c r="AE25" s="369">
        <f t="shared" si="14"/>
        <v>0</v>
      </c>
      <c r="AF25" s="368"/>
      <c r="AG25" s="336"/>
      <c r="AH25" s="369">
        <f t="shared" si="15"/>
        <v>0</v>
      </c>
      <c r="AI25" s="465">
        <v>3</v>
      </c>
      <c r="AJ25" s="465">
        <v>45</v>
      </c>
      <c r="AK25" s="465">
        <v>23</v>
      </c>
      <c r="AL25" s="342" t="str">
        <f t="shared" si="16"/>
        <v>YA</v>
      </c>
      <c r="AM25" s="337">
        <f t="shared" si="17"/>
        <v>29.67</v>
      </c>
      <c r="AN25" s="811">
        <f t="shared" si="18"/>
        <v>15.329999999999998</v>
      </c>
      <c r="AO25" s="812"/>
    </row>
    <row r="26" spans="2:41" ht="20.100000000000001" customHeight="1" x14ac:dyDescent="0.25">
      <c r="B26" s="804" t="s">
        <v>57</v>
      </c>
      <c r="C26" s="804"/>
      <c r="D26" s="804"/>
      <c r="E26" s="804"/>
      <c r="F26" s="804"/>
      <c r="G26" s="84">
        <f t="shared" si="6"/>
        <v>55.555555555555557</v>
      </c>
      <c r="H26" s="84">
        <f t="shared" si="7"/>
        <v>64.444444444444443</v>
      </c>
      <c r="I26" s="84">
        <v>50</v>
      </c>
      <c r="J26" s="84">
        <f t="shared" si="8"/>
        <v>57.999999999999993</v>
      </c>
      <c r="K26" s="327">
        <f t="shared" si="9"/>
        <v>53.888888888888886</v>
      </c>
      <c r="L26" s="327">
        <f t="shared" si="10"/>
        <v>48.5</v>
      </c>
      <c r="Q26" s="424"/>
      <c r="R26" s="804" t="s">
        <v>57</v>
      </c>
      <c r="S26" s="804"/>
      <c r="T26" s="804"/>
      <c r="U26" s="804"/>
      <c r="V26" s="804"/>
      <c r="W26" s="368">
        <v>20</v>
      </c>
      <c r="X26" s="336">
        <v>39.287037037037031</v>
      </c>
      <c r="Y26" s="369">
        <f t="shared" si="12"/>
        <v>0</v>
      </c>
      <c r="Z26" s="368">
        <v>60</v>
      </c>
      <c r="AA26" s="336">
        <v>37.1</v>
      </c>
      <c r="AB26" s="369">
        <f t="shared" si="13"/>
        <v>1</v>
      </c>
      <c r="AC26" s="368">
        <v>20</v>
      </c>
      <c r="AD26" s="336">
        <v>44.78</v>
      </c>
      <c r="AE26" s="369">
        <f t="shared" si="14"/>
        <v>0</v>
      </c>
      <c r="AF26" s="368"/>
      <c r="AG26" s="336"/>
      <c r="AH26" s="369">
        <f t="shared" si="15"/>
        <v>0</v>
      </c>
      <c r="AI26" s="465">
        <v>1</v>
      </c>
      <c r="AJ26" s="465">
        <v>55</v>
      </c>
      <c r="AK26" s="465">
        <v>31</v>
      </c>
      <c r="AL26" s="342" t="str">
        <f t="shared" si="16"/>
        <v>YA</v>
      </c>
      <c r="AM26" s="337">
        <f t="shared" si="17"/>
        <v>37.1</v>
      </c>
      <c r="AN26" s="811">
        <f t="shared" si="18"/>
        <v>17.899999999999999</v>
      </c>
      <c r="AO26" s="812"/>
    </row>
    <row r="27" spans="2:41" ht="20.100000000000001" customHeight="1" x14ac:dyDescent="0.25">
      <c r="B27" s="804" t="s">
        <v>51</v>
      </c>
      <c r="C27" s="804"/>
      <c r="D27" s="804"/>
      <c r="E27" s="804"/>
      <c r="F27" s="804"/>
      <c r="G27" s="84">
        <f t="shared" si="6"/>
        <v>51.111111111111107</v>
      </c>
      <c r="H27" s="84">
        <f t="shared" si="7"/>
        <v>59.288888888888877</v>
      </c>
      <c r="I27" s="84">
        <v>46</v>
      </c>
      <c r="J27" s="84">
        <f t="shared" si="8"/>
        <v>53.36</v>
      </c>
      <c r="K27" s="327">
        <f t="shared" si="9"/>
        <v>49.577777777777776</v>
      </c>
      <c r="L27" s="327">
        <f t="shared" si="10"/>
        <v>44.62</v>
      </c>
      <c r="Q27" s="424"/>
      <c r="R27" s="804" t="s">
        <v>51</v>
      </c>
      <c r="S27" s="804"/>
      <c r="T27" s="804"/>
      <c r="U27" s="804"/>
      <c r="V27" s="804"/>
      <c r="W27" s="368">
        <v>20</v>
      </c>
      <c r="X27" s="336">
        <v>37.027777777777779</v>
      </c>
      <c r="Y27" s="369">
        <f t="shared" si="12"/>
        <v>0</v>
      </c>
      <c r="Z27" s="368">
        <v>40</v>
      </c>
      <c r="AA27" s="336">
        <v>34.97</v>
      </c>
      <c r="AB27" s="369">
        <f t="shared" si="13"/>
        <v>0</v>
      </c>
      <c r="AC27" s="368"/>
      <c r="AD27" s="336"/>
      <c r="AE27" s="369">
        <f t="shared" si="14"/>
        <v>0</v>
      </c>
      <c r="AF27" s="368"/>
      <c r="AG27" s="336"/>
      <c r="AH27" s="369">
        <f t="shared" si="15"/>
        <v>0</v>
      </c>
      <c r="AI27" s="465"/>
      <c r="AJ27" s="465"/>
      <c r="AK27" s="465"/>
      <c r="AL27" s="342" t="str">
        <f t="shared" si="16"/>
        <v>YA</v>
      </c>
      <c r="AM27" s="337">
        <f t="shared" si="17"/>
        <v>0</v>
      </c>
      <c r="AN27" s="811">
        <f t="shared" si="18"/>
        <v>0</v>
      </c>
      <c r="AO27" s="812"/>
    </row>
    <row r="28" spans="2:41" ht="20.100000000000001" customHeight="1" x14ac:dyDescent="0.25">
      <c r="B28" s="415"/>
      <c r="C28" s="415"/>
      <c r="D28" s="415"/>
      <c r="E28" s="415"/>
      <c r="F28" s="415"/>
      <c r="G28" s="416"/>
      <c r="H28" s="416"/>
      <c r="I28" s="416"/>
      <c r="J28" s="416"/>
      <c r="K28" s="417"/>
      <c r="L28" s="417"/>
      <c r="Q28" s="424"/>
      <c r="R28" s="804" t="s">
        <v>285</v>
      </c>
      <c r="S28" s="804"/>
      <c r="T28" s="804"/>
      <c r="U28" s="804"/>
      <c r="V28" s="804"/>
      <c r="W28" s="368">
        <v>15</v>
      </c>
      <c r="X28" s="335">
        <v>56.48</v>
      </c>
      <c r="Y28" s="369">
        <f t="shared" si="12"/>
        <v>0</v>
      </c>
      <c r="Z28" s="368"/>
      <c r="AA28" s="336"/>
      <c r="AB28" s="369">
        <f t="shared" si="13"/>
        <v>0</v>
      </c>
      <c r="AC28" s="368"/>
      <c r="AD28" s="336"/>
      <c r="AE28" s="369">
        <f t="shared" si="14"/>
        <v>0</v>
      </c>
      <c r="AF28" s="368"/>
      <c r="AG28" s="336"/>
      <c r="AH28" s="369">
        <f t="shared" si="15"/>
        <v>0</v>
      </c>
      <c r="AI28" s="465"/>
      <c r="AJ28" s="465"/>
      <c r="AK28" s="465"/>
      <c r="AL28" s="414" t="str">
        <f t="shared" si="16"/>
        <v>YA</v>
      </c>
      <c r="AM28" s="337">
        <f t="shared" si="17"/>
        <v>0</v>
      </c>
      <c r="AN28" s="811">
        <f t="shared" si="18"/>
        <v>0</v>
      </c>
      <c r="AO28" s="812"/>
    </row>
    <row r="29" spans="2:41" ht="18.75" x14ac:dyDescent="0.3">
      <c r="Q29" s="424"/>
      <c r="R29" s="331"/>
      <c r="S29" s="331"/>
      <c r="T29" s="331"/>
      <c r="U29" s="331"/>
      <c r="V29" s="331"/>
      <c r="W29" s="332"/>
      <c r="X29" s="330"/>
      <c r="Y29" s="330"/>
      <c r="Z29" s="330"/>
      <c r="AA29" s="330"/>
      <c r="AJ29" s="418">
        <f>SUM(AJ4:AJ28)</f>
        <v>2021.8999999999999</v>
      </c>
      <c r="AM29" s="418">
        <f>SUM(AM4:AM28)</f>
        <v>1453.9664814814814</v>
      </c>
      <c r="AN29" s="373">
        <f>SUM(AN4:AO28)</f>
        <v>567.93351851851867</v>
      </c>
      <c r="AO29" s="374">
        <f>AN29/AM29</f>
        <v>0.39060977385107087</v>
      </c>
    </row>
    <row r="30" spans="2:41" ht="18.75" x14ac:dyDescent="0.3">
      <c r="Q30" s="424"/>
      <c r="R30" s="331"/>
      <c r="S30" s="331"/>
      <c r="T30" s="331"/>
      <c r="U30" s="331"/>
      <c r="V30" s="331"/>
      <c r="W30" s="332"/>
      <c r="X30" s="330"/>
      <c r="Y30" s="330"/>
      <c r="Z30" s="330"/>
      <c r="AA30" s="330"/>
      <c r="AJ30" s="359"/>
      <c r="AM30" s="358"/>
      <c r="AN30" s="360"/>
      <c r="AO30" s="361"/>
    </row>
    <row r="31" spans="2:41" ht="51" customHeight="1" x14ac:dyDescent="0.25">
      <c r="B31" s="809" t="s">
        <v>2</v>
      </c>
      <c r="C31" s="809"/>
      <c r="D31" s="809"/>
      <c r="E31" s="809"/>
      <c r="F31" s="809"/>
      <c r="G31" s="309" t="s">
        <v>339</v>
      </c>
      <c r="H31" s="309" t="s">
        <v>338</v>
      </c>
      <c r="I31" s="309" t="s">
        <v>337</v>
      </c>
      <c r="J31" s="309" t="s">
        <v>340</v>
      </c>
      <c r="Q31" s="424"/>
      <c r="R31" s="813" t="s">
        <v>82</v>
      </c>
      <c r="S31" s="813"/>
      <c r="T31" s="813"/>
      <c r="U31" s="813"/>
      <c r="V31" s="813"/>
      <c r="W31" s="813"/>
      <c r="X31" s="813"/>
      <c r="Y31" s="813"/>
      <c r="Z31" s="813"/>
      <c r="AA31" s="813"/>
      <c r="AB31" s="813"/>
      <c r="AC31" s="813"/>
      <c r="AD31" s="813"/>
      <c r="AE31" s="813"/>
      <c r="AF31" s="813"/>
      <c r="AG31" s="813"/>
      <c r="AH31" s="813"/>
      <c r="AI31" s="813"/>
      <c r="AJ31" s="813"/>
      <c r="AK31" s="813"/>
      <c r="AL31" s="813"/>
      <c r="AM31" s="813"/>
      <c r="AN31" s="813"/>
      <c r="AO31" s="813"/>
    </row>
    <row r="32" spans="2:41" ht="20.100000000000001" customHeight="1" x14ac:dyDescent="0.25">
      <c r="B32" s="804" t="s">
        <v>40</v>
      </c>
      <c r="C32" s="804"/>
      <c r="D32" s="804"/>
      <c r="E32" s="804"/>
      <c r="F32" s="804"/>
      <c r="G32" s="84">
        <f>I32/0.9</f>
        <v>100</v>
      </c>
      <c r="H32" s="84">
        <f>G32*1.16</f>
        <v>115.99999999999999</v>
      </c>
      <c r="I32" s="84">
        <v>90</v>
      </c>
      <c r="J32" s="84">
        <f>I32*1.16</f>
        <v>104.39999999999999</v>
      </c>
      <c r="Q32" s="424"/>
      <c r="R32" s="809" t="s">
        <v>2</v>
      </c>
      <c r="S32" s="809"/>
      <c r="T32" s="809"/>
      <c r="U32" s="809"/>
      <c r="V32" s="809"/>
      <c r="W32" s="370" t="s">
        <v>378</v>
      </c>
      <c r="X32" s="342" t="s">
        <v>379</v>
      </c>
      <c r="Y32" s="371" t="s">
        <v>377</v>
      </c>
      <c r="Z32" s="370" t="s">
        <v>368</v>
      </c>
      <c r="AA32" s="342" t="s">
        <v>369</v>
      </c>
      <c r="AB32" s="371" t="s">
        <v>373</v>
      </c>
      <c r="AC32" s="370" t="s">
        <v>370</v>
      </c>
      <c r="AD32" s="342" t="s">
        <v>371</v>
      </c>
      <c r="AE32" s="371" t="s">
        <v>374</v>
      </c>
      <c r="AF32" s="370" t="s">
        <v>372</v>
      </c>
      <c r="AG32" s="342" t="s">
        <v>380</v>
      </c>
      <c r="AH32" s="371" t="s">
        <v>375</v>
      </c>
      <c r="AI32" s="380" t="s">
        <v>78</v>
      </c>
      <c r="AJ32" s="380" t="s">
        <v>382</v>
      </c>
      <c r="AK32" s="380" t="s">
        <v>376</v>
      </c>
      <c r="AL32" s="342" t="s">
        <v>383</v>
      </c>
      <c r="AM32" s="342" t="s">
        <v>381</v>
      </c>
      <c r="AN32" s="810" t="s">
        <v>384</v>
      </c>
      <c r="AO32" s="810"/>
    </row>
    <row r="33" spans="2:41" ht="20.100000000000001" customHeight="1" x14ac:dyDescent="0.25">
      <c r="B33" s="800" t="s">
        <v>28</v>
      </c>
      <c r="C33" s="801"/>
      <c r="D33" s="801"/>
      <c r="E33" s="801"/>
      <c r="F33" s="802"/>
      <c r="G33" s="84">
        <f t="shared" ref="G33:G63" si="19">I33/0.9</f>
        <v>33.333333333333336</v>
      </c>
      <c r="H33" s="84">
        <f t="shared" ref="H33:H63" si="20">G33*1.16</f>
        <v>38.666666666666664</v>
      </c>
      <c r="I33" s="84">
        <v>30</v>
      </c>
      <c r="J33" s="84">
        <f t="shared" ref="J33:J63" si="21">I33*1.16</f>
        <v>34.799999999999997</v>
      </c>
      <c r="Q33" s="424"/>
      <c r="R33" s="804" t="s">
        <v>385</v>
      </c>
      <c r="S33" s="804"/>
      <c r="T33" s="804"/>
      <c r="U33" s="804"/>
      <c r="V33" s="804"/>
      <c r="W33" s="368"/>
      <c r="X33" s="335"/>
      <c r="Y33" s="369">
        <f t="shared" ref="Y33:Y70" si="22">IF(AK33 &lt; AF33+AC33+Z33+W33, MIN(AC33+AF33+Z33+W33-AK33,AI33-AH33-AE33-AB33,W33),0)</f>
        <v>0</v>
      </c>
      <c r="Z33" s="368"/>
      <c r="AA33" s="334"/>
      <c r="AB33" s="369">
        <f t="shared" ref="AB33:AB70" si="23">IF(AK33 &lt; AF33+AC33+Z33, MIN(AC33+AF33+Z33-AK33,AI33-AH33-AE33,Z33),0)</f>
        <v>0</v>
      </c>
      <c r="AC33" s="368"/>
      <c r="AD33" s="335"/>
      <c r="AE33" s="369">
        <f t="shared" ref="AE33:AE70" si="24">IF(AK33 &lt; AF33+AC33, MIN(AC33+AF33-AK33,AI33-AH33,AC33),0)</f>
        <v>0</v>
      </c>
      <c r="AF33" s="368"/>
      <c r="AG33" s="334"/>
      <c r="AH33" s="369">
        <f t="shared" ref="AH33:AH70" si="25">IF(AK33 &lt;=AF33, MIN(AF33-AK33,AI33), 0)</f>
        <v>0</v>
      </c>
      <c r="AI33" s="465"/>
      <c r="AJ33" s="465"/>
      <c r="AK33" s="465"/>
      <c r="AL33" s="342" t="str">
        <f t="shared" ref="AL33:AL70" si="26">IF(OR((W33+Z33+AC33+AF33) &gt;= (AI33+AK33),AI33 = 0), "YA", "MAS")</f>
        <v>YA</v>
      </c>
      <c r="AM33" s="337">
        <f t="shared" ref="AM33:AM70" si="27">IF(AI33=0,0,AH33*AG33+AE33*AD33+AB33*AA33+Y33*X33)</f>
        <v>0</v>
      </c>
      <c r="AN33" s="803">
        <f t="shared" ref="AN33:AN70" si="28">AJ33-AM33</f>
        <v>0</v>
      </c>
      <c r="AO33" s="803"/>
    </row>
    <row r="34" spans="2:41" ht="20.100000000000001" customHeight="1" x14ac:dyDescent="0.25">
      <c r="B34" s="804" t="s">
        <v>113</v>
      </c>
      <c r="C34" s="804"/>
      <c r="D34" s="804"/>
      <c r="E34" s="804"/>
      <c r="F34" s="804"/>
      <c r="G34" s="84">
        <f t="shared" si="19"/>
        <v>33.333333333333336</v>
      </c>
      <c r="H34" s="84">
        <f t="shared" si="20"/>
        <v>38.666666666666664</v>
      </c>
      <c r="I34" s="84">
        <v>30</v>
      </c>
      <c r="J34" s="84">
        <f t="shared" si="21"/>
        <v>34.799999999999997</v>
      </c>
      <c r="Q34" s="424"/>
      <c r="R34" s="804" t="s">
        <v>308</v>
      </c>
      <c r="S34" s="804"/>
      <c r="T34" s="804"/>
      <c r="U34" s="804"/>
      <c r="V34" s="804"/>
      <c r="W34" s="368">
        <v>44</v>
      </c>
      <c r="X34" s="334">
        <v>104</v>
      </c>
      <c r="Y34" s="369">
        <f t="shared" si="22"/>
        <v>0</v>
      </c>
      <c r="Z34" s="368">
        <v>40</v>
      </c>
      <c r="AA34" s="334">
        <v>77.739999999999995</v>
      </c>
      <c r="AB34" s="369">
        <f t="shared" si="23"/>
        <v>0</v>
      </c>
      <c r="AC34" s="368"/>
      <c r="AD34" s="335"/>
      <c r="AE34" s="369">
        <f t="shared" si="24"/>
        <v>0</v>
      </c>
      <c r="AF34" s="368"/>
      <c r="AG34" s="334"/>
      <c r="AH34" s="369">
        <f t="shared" si="25"/>
        <v>0</v>
      </c>
      <c r="AI34" s="465"/>
      <c r="AJ34" s="465"/>
      <c r="AK34" s="465"/>
      <c r="AL34" s="342" t="str">
        <f t="shared" si="26"/>
        <v>YA</v>
      </c>
      <c r="AM34" s="337">
        <f t="shared" si="27"/>
        <v>0</v>
      </c>
      <c r="AN34" s="803">
        <f t="shared" si="28"/>
        <v>0</v>
      </c>
      <c r="AO34" s="803"/>
    </row>
    <row r="35" spans="2:41" ht="20.100000000000001" customHeight="1" x14ac:dyDescent="0.25">
      <c r="B35" s="804" t="s">
        <v>31</v>
      </c>
      <c r="C35" s="804"/>
      <c r="D35" s="804"/>
      <c r="E35" s="804"/>
      <c r="F35" s="804"/>
      <c r="G35" s="84">
        <f t="shared" si="19"/>
        <v>33.333333333333336</v>
      </c>
      <c r="H35" s="84">
        <f t="shared" si="20"/>
        <v>38.666666666666664</v>
      </c>
      <c r="I35" s="84">
        <v>30</v>
      </c>
      <c r="J35" s="84">
        <f t="shared" si="21"/>
        <v>34.799999999999997</v>
      </c>
      <c r="Q35" s="424"/>
      <c r="R35" s="804" t="s">
        <v>386</v>
      </c>
      <c r="S35" s="804"/>
      <c r="T35" s="804"/>
      <c r="U35" s="804"/>
      <c r="V35" s="804"/>
      <c r="W35" s="368">
        <v>48</v>
      </c>
      <c r="X35" s="335">
        <v>22.3</v>
      </c>
      <c r="Y35" s="369">
        <f t="shared" si="22"/>
        <v>0</v>
      </c>
      <c r="Z35" s="368">
        <v>32</v>
      </c>
      <c r="AA35" s="335">
        <v>18.45</v>
      </c>
      <c r="AB35" s="369">
        <f t="shared" si="23"/>
        <v>0</v>
      </c>
      <c r="AC35" s="368"/>
      <c r="AD35" s="335"/>
      <c r="AE35" s="369">
        <f t="shared" si="24"/>
        <v>0</v>
      </c>
      <c r="AF35" s="368"/>
      <c r="AG35" s="335"/>
      <c r="AH35" s="369">
        <f t="shared" si="25"/>
        <v>0</v>
      </c>
      <c r="AI35" s="465"/>
      <c r="AJ35" s="465"/>
      <c r="AK35" s="465"/>
      <c r="AL35" s="342" t="str">
        <f t="shared" si="26"/>
        <v>YA</v>
      </c>
      <c r="AM35" s="337">
        <f t="shared" si="27"/>
        <v>0</v>
      </c>
      <c r="AN35" s="803">
        <f t="shared" si="28"/>
        <v>0</v>
      </c>
      <c r="AO35" s="803"/>
    </row>
    <row r="36" spans="2:41" ht="23.25" customHeight="1" x14ac:dyDescent="0.25">
      <c r="B36" s="804" t="s">
        <v>48</v>
      </c>
      <c r="C36" s="804"/>
      <c r="D36" s="804"/>
      <c r="E36" s="804"/>
      <c r="F36" s="804"/>
      <c r="G36" s="84">
        <f t="shared" si="19"/>
        <v>111.11111111111111</v>
      </c>
      <c r="H36" s="84">
        <f t="shared" si="20"/>
        <v>128.88888888888889</v>
      </c>
      <c r="I36" s="84">
        <v>100</v>
      </c>
      <c r="J36" s="84">
        <f t="shared" si="21"/>
        <v>115.99999999999999</v>
      </c>
      <c r="R36" s="804" t="s">
        <v>387</v>
      </c>
      <c r="S36" s="804"/>
      <c r="T36" s="804"/>
      <c r="U36" s="804"/>
      <c r="V36" s="804"/>
      <c r="W36" s="368">
        <v>40</v>
      </c>
      <c r="X36" s="334">
        <v>104</v>
      </c>
      <c r="Y36" s="369">
        <f t="shared" si="22"/>
        <v>0</v>
      </c>
      <c r="Z36" s="368">
        <v>21</v>
      </c>
      <c r="AA36" s="334">
        <v>77.739999999999995</v>
      </c>
      <c r="AB36" s="369">
        <f t="shared" si="23"/>
        <v>0</v>
      </c>
      <c r="AC36" s="368"/>
      <c r="AD36" s="335"/>
      <c r="AE36" s="369">
        <f t="shared" si="24"/>
        <v>0</v>
      </c>
      <c r="AF36" s="368"/>
      <c r="AG36" s="334"/>
      <c r="AH36" s="369">
        <f t="shared" si="25"/>
        <v>0</v>
      </c>
      <c r="AI36" s="465"/>
      <c r="AJ36" s="465"/>
      <c r="AK36" s="465"/>
      <c r="AL36" s="342" t="str">
        <f t="shared" si="26"/>
        <v>YA</v>
      </c>
      <c r="AM36" s="337">
        <f t="shared" si="27"/>
        <v>0</v>
      </c>
      <c r="AN36" s="803">
        <f t="shared" si="28"/>
        <v>0</v>
      </c>
      <c r="AO36" s="803"/>
    </row>
    <row r="37" spans="2:41" ht="20.100000000000001" customHeight="1" x14ac:dyDescent="0.25">
      <c r="B37" s="804" t="s">
        <v>41</v>
      </c>
      <c r="C37" s="804"/>
      <c r="D37" s="804"/>
      <c r="E37" s="804"/>
      <c r="F37" s="804"/>
      <c r="G37" s="84">
        <f t="shared" si="19"/>
        <v>10</v>
      </c>
      <c r="H37" s="84">
        <f t="shared" si="20"/>
        <v>11.6</v>
      </c>
      <c r="I37" s="84">
        <v>9</v>
      </c>
      <c r="J37" s="84">
        <f t="shared" si="21"/>
        <v>10.44</v>
      </c>
      <c r="R37" s="804" t="s">
        <v>388</v>
      </c>
      <c r="S37" s="804"/>
      <c r="T37" s="804"/>
      <c r="U37" s="804"/>
      <c r="V37" s="804"/>
      <c r="W37" s="368">
        <v>24</v>
      </c>
      <c r="X37" s="335">
        <v>22.3</v>
      </c>
      <c r="Y37" s="369">
        <f t="shared" si="22"/>
        <v>0</v>
      </c>
      <c r="Z37" s="368">
        <v>8</v>
      </c>
      <c r="AA37" s="334">
        <v>22.3</v>
      </c>
      <c r="AB37" s="369">
        <f t="shared" si="23"/>
        <v>0</v>
      </c>
      <c r="AC37" s="368">
        <v>20</v>
      </c>
      <c r="AD37" s="335">
        <v>18.45</v>
      </c>
      <c r="AE37" s="369">
        <f t="shared" si="24"/>
        <v>0</v>
      </c>
      <c r="AF37" s="368"/>
      <c r="AG37" s="334"/>
      <c r="AH37" s="369">
        <f t="shared" si="25"/>
        <v>0</v>
      </c>
      <c r="AI37" s="465"/>
      <c r="AJ37" s="465"/>
      <c r="AK37" s="465"/>
      <c r="AL37" s="342" t="str">
        <f t="shared" si="26"/>
        <v>YA</v>
      </c>
      <c r="AM37" s="337">
        <f t="shared" si="27"/>
        <v>0</v>
      </c>
      <c r="AN37" s="803">
        <f t="shared" si="28"/>
        <v>0</v>
      </c>
      <c r="AO37" s="803"/>
    </row>
    <row r="38" spans="2:41" ht="20.100000000000001" customHeight="1" x14ac:dyDescent="0.25">
      <c r="B38" s="804" t="s">
        <v>115</v>
      </c>
      <c r="C38" s="804"/>
      <c r="D38" s="804"/>
      <c r="E38" s="804"/>
      <c r="F38" s="804"/>
      <c r="G38" s="84">
        <f t="shared" si="19"/>
        <v>10</v>
      </c>
      <c r="H38" s="84">
        <f t="shared" si="20"/>
        <v>11.6</v>
      </c>
      <c r="I38" s="84">
        <v>9</v>
      </c>
      <c r="J38" s="84">
        <f t="shared" si="21"/>
        <v>10.44</v>
      </c>
      <c r="R38" s="804" t="s">
        <v>389</v>
      </c>
      <c r="S38" s="804"/>
      <c r="T38" s="804"/>
      <c r="U38" s="804"/>
      <c r="V38" s="804"/>
      <c r="W38" s="368">
        <v>19</v>
      </c>
      <c r="X38" s="334">
        <v>104</v>
      </c>
      <c r="Y38" s="369">
        <f t="shared" si="22"/>
        <v>0</v>
      </c>
      <c r="Z38" s="368">
        <v>20</v>
      </c>
      <c r="AA38" s="334">
        <v>77.739999999999995</v>
      </c>
      <c r="AB38" s="369">
        <f t="shared" si="23"/>
        <v>0</v>
      </c>
      <c r="AC38" s="368"/>
      <c r="AD38" s="335"/>
      <c r="AE38" s="369">
        <f t="shared" si="24"/>
        <v>0</v>
      </c>
      <c r="AF38" s="368"/>
      <c r="AG38" s="334"/>
      <c r="AH38" s="369">
        <f t="shared" si="25"/>
        <v>0</v>
      </c>
      <c r="AI38" s="465"/>
      <c r="AJ38" s="465"/>
      <c r="AK38" s="465"/>
      <c r="AL38" s="342" t="str">
        <f t="shared" si="26"/>
        <v>YA</v>
      </c>
      <c r="AM38" s="337">
        <f t="shared" si="27"/>
        <v>0</v>
      </c>
      <c r="AN38" s="803">
        <f t="shared" si="28"/>
        <v>0</v>
      </c>
      <c r="AO38" s="803"/>
    </row>
    <row r="39" spans="2:41" ht="20.100000000000001" customHeight="1" x14ac:dyDescent="0.25">
      <c r="B39" s="804" t="s">
        <v>45</v>
      </c>
      <c r="C39" s="804"/>
      <c r="D39" s="804"/>
      <c r="E39" s="804"/>
      <c r="F39" s="804"/>
      <c r="G39" s="84">
        <f t="shared" si="19"/>
        <v>18.888888888888889</v>
      </c>
      <c r="H39" s="84">
        <f t="shared" si="20"/>
        <v>21.911111111111111</v>
      </c>
      <c r="I39" s="84">
        <v>17</v>
      </c>
      <c r="J39" s="84">
        <f t="shared" si="21"/>
        <v>19.72</v>
      </c>
      <c r="R39" s="804" t="s">
        <v>390</v>
      </c>
      <c r="S39" s="804"/>
      <c r="T39" s="804"/>
      <c r="U39" s="804"/>
      <c r="V39" s="804"/>
      <c r="W39" s="368">
        <v>12</v>
      </c>
      <c r="X39" s="334">
        <v>18.45</v>
      </c>
      <c r="Y39" s="369">
        <f t="shared" si="22"/>
        <v>0</v>
      </c>
      <c r="Z39" s="368"/>
      <c r="AA39" s="334"/>
      <c r="AB39" s="369">
        <f t="shared" si="23"/>
        <v>0</v>
      </c>
      <c r="AC39" s="368"/>
      <c r="AD39" s="335"/>
      <c r="AE39" s="369">
        <f t="shared" si="24"/>
        <v>0</v>
      </c>
      <c r="AF39" s="368"/>
      <c r="AG39" s="334"/>
      <c r="AH39" s="369">
        <f t="shared" si="25"/>
        <v>0</v>
      </c>
      <c r="AI39" s="465"/>
      <c r="AJ39" s="465"/>
      <c r="AK39" s="465"/>
      <c r="AL39" s="342" t="str">
        <f t="shared" si="26"/>
        <v>YA</v>
      </c>
      <c r="AM39" s="337">
        <f t="shared" si="27"/>
        <v>0</v>
      </c>
      <c r="AN39" s="803">
        <f t="shared" si="28"/>
        <v>0</v>
      </c>
      <c r="AO39" s="803"/>
    </row>
    <row r="40" spans="2:41" ht="20.100000000000001" customHeight="1" x14ac:dyDescent="0.25">
      <c r="B40" s="804" t="s">
        <v>42</v>
      </c>
      <c r="C40" s="804"/>
      <c r="D40" s="804"/>
      <c r="E40" s="804"/>
      <c r="F40" s="804"/>
      <c r="G40" s="84">
        <f t="shared" si="19"/>
        <v>10</v>
      </c>
      <c r="H40" s="84">
        <f t="shared" si="20"/>
        <v>11.6</v>
      </c>
      <c r="I40" s="84">
        <v>9</v>
      </c>
      <c r="J40" s="84">
        <f t="shared" si="21"/>
        <v>10.44</v>
      </c>
      <c r="R40" s="804" t="s">
        <v>391</v>
      </c>
      <c r="S40" s="804"/>
      <c r="T40" s="804"/>
      <c r="U40" s="804"/>
      <c r="V40" s="804"/>
      <c r="W40" s="368">
        <v>72</v>
      </c>
      <c r="X40" s="334">
        <v>6.56</v>
      </c>
      <c r="Y40" s="369">
        <f t="shared" si="22"/>
        <v>0</v>
      </c>
      <c r="Z40" s="368"/>
      <c r="AA40" s="334"/>
      <c r="AB40" s="369">
        <f t="shared" si="23"/>
        <v>0</v>
      </c>
      <c r="AC40" s="368"/>
      <c r="AD40" s="335"/>
      <c r="AE40" s="369">
        <f t="shared" si="24"/>
        <v>0</v>
      </c>
      <c r="AF40" s="368"/>
      <c r="AG40" s="334"/>
      <c r="AH40" s="369">
        <f t="shared" si="25"/>
        <v>0</v>
      </c>
      <c r="AI40" s="465"/>
      <c r="AJ40" s="465"/>
      <c r="AK40" s="465"/>
      <c r="AL40" s="342" t="str">
        <f t="shared" si="26"/>
        <v>YA</v>
      </c>
      <c r="AM40" s="337">
        <f t="shared" si="27"/>
        <v>0</v>
      </c>
      <c r="AN40" s="803">
        <f t="shared" si="28"/>
        <v>0</v>
      </c>
      <c r="AO40" s="803"/>
    </row>
    <row r="41" spans="2:41" ht="20.100000000000001" customHeight="1" x14ac:dyDescent="0.25">
      <c r="B41" s="804" t="s">
        <v>245</v>
      </c>
      <c r="C41" s="804"/>
      <c r="D41" s="804"/>
      <c r="E41" s="804"/>
      <c r="F41" s="804"/>
      <c r="G41" s="84">
        <f t="shared" si="19"/>
        <v>10</v>
      </c>
      <c r="H41" s="84">
        <f t="shared" si="20"/>
        <v>11.6</v>
      </c>
      <c r="I41" s="84">
        <v>9</v>
      </c>
      <c r="J41" s="84">
        <f t="shared" si="21"/>
        <v>10.44</v>
      </c>
      <c r="R41" s="804" t="s">
        <v>392</v>
      </c>
      <c r="S41" s="804"/>
      <c r="T41" s="804"/>
      <c r="U41" s="804"/>
      <c r="V41" s="804"/>
      <c r="W41" s="368">
        <v>1</v>
      </c>
      <c r="X41" s="336">
        <v>66.03</v>
      </c>
      <c r="Y41" s="369">
        <f t="shared" si="22"/>
        <v>0</v>
      </c>
      <c r="Z41" s="368"/>
      <c r="AA41" s="336"/>
      <c r="AB41" s="369">
        <f t="shared" si="23"/>
        <v>0</v>
      </c>
      <c r="AC41" s="368"/>
      <c r="AD41" s="335"/>
      <c r="AE41" s="369">
        <f t="shared" si="24"/>
        <v>0</v>
      </c>
      <c r="AF41" s="368"/>
      <c r="AG41" s="336"/>
      <c r="AH41" s="369">
        <f t="shared" si="25"/>
        <v>0</v>
      </c>
      <c r="AI41" s="465"/>
      <c r="AJ41" s="465"/>
      <c r="AK41" s="465"/>
      <c r="AL41" s="342" t="str">
        <f t="shared" si="26"/>
        <v>YA</v>
      </c>
      <c r="AM41" s="337">
        <f t="shared" si="27"/>
        <v>0</v>
      </c>
      <c r="AN41" s="803">
        <f t="shared" si="28"/>
        <v>0</v>
      </c>
      <c r="AO41" s="803"/>
    </row>
    <row r="42" spans="2:41" ht="20.100000000000001" customHeight="1" x14ac:dyDescent="0.25">
      <c r="B42" s="804" t="s">
        <v>114</v>
      </c>
      <c r="C42" s="804"/>
      <c r="D42" s="804"/>
      <c r="E42" s="804"/>
      <c r="F42" s="804"/>
      <c r="G42" s="84">
        <f t="shared" si="19"/>
        <v>10</v>
      </c>
      <c r="H42" s="84">
        <f t="shared" si="20"/>
        <v>11.6</v>
      </c>
      <c r="I42" s="84">
        <v>9</v>
      </c>
      <c r="J42" s="84">
        <f t="shared" si="21"/>
        <v>10.44</v>
      </c>
      <c r="R42" s="804" t="s">
        <v>393</v>
      </c>
      <c r="S42" s="804"/>
      <c r="T42" s="804"/>
      <c r="U42" s="804"/>
      <c r="V42" s="804"/>
      <c r="W42" s="368">
        <v>62</v>
      </c>
      <c r="X42" s="336">
        <v>6.1</v>
      </c>
      <c r="Y42" s="369">
        <f t="shared" si="22"/>
        <v>4</v>
      </c>
      <c r="Z42" s="368"/>
      <c r="AA42" s="336"/>
      <c r="AB42" s="369">
        <f t="shared" si="23"/>
        <v>0</v>
      </c>
      <c r="AC42" s="368"/>
      <c r="AD42" s="335"/>
      <c r="AE42" s="369">
        <f t="shared" si="24"/>
        <v>0</v>
      </c>
      <c r="AF42" s="368"/>
      <c r="AG42" s="336"/>
      <c r="AH42" s="369">
        <f t="shared" si="25"/>
        <v>0</v>
      </c>
      <c r="AI42" s="465">
        <v>4</v>
      </c>
      <c r="AJ42" s="465">
        <v>36</v>
      </c>
      <c r="AK42" s="465"/>
      <c r="AL42" s="342" t="str">
        <f t="shared" si="26"/>
        <v>YA</v>
      </c>
      <c r="AM42" s="337">
        <f t="shared" si="27"/>
        <v>24.4</v>
      </c>
      <c r="AN42" s="803">
        <f t="shared" si="28"/>
        <v>11.600000000000001</v>
      </c>
      <c r="AO42" s="803"/>
    </row>
    <row r="43" spans="2:41" ht="20.100000000000001" customHeight="1" x14ac:dyDescent="0.25">
      <c r="B43" s="404"/>
      <c r="C43" s="404"/>
      <c r="D43" s="404"/>
      <c r="E43" s="404"/>
      <c r="F43" s="404"/>
      <c r="G43" s="84"/>
      <c r="H43" s="84"/>
      <c r="I43" s="84"/>
      <c r="J43" s="84"/>
      <c r="R43" s="804" t="s">
        <v>480</v>
      </c>
      <c r="S43" s="804"/>
      <c r="T43" s="804"/>
      <c r="U43" s="804"/>
      <c r="V43" s="804"/>
      <c r="W43" s="368">
        <v>8</v>
      </c>
      <c r="X43" s="336">
        <v>11.54</v>
      </c>
      <c r="Y43" s="369">
        <f t="shared" si="22"/>
        <v>2</v>
      </c>
      <c r="Z43" s="368"/>
      <c r="AA43" s="336"/>
      <c r="AB43" s="369">
        <f t="shared" si="23"/>
        <v>0</v>
      </c>
      <c r="AC43" s="368"/>
      <c r="AD43" s="335"/>
      <c r="AE43" s="369">
        <f t="shared" si="24"/>
        <v>0</v>
      </c>
      <c r="AF43" s="368"/>
      <c r="AG43" s="336"/>
      <c r="AH43" s="369">
        <f t="shared" si="25"/>
        <v>0</v>
      </c>
      <c r="AI43" s="465">
        <v>2</v>
      </c>
      <c r="AJ43" s="465">
        <v>34</v>
      </c>
      <c r="AK43" s="465"/>
      <c r="AL43" s="405" t="str">
        <f t="shared" si="26"/>
        <v>YA</v>
      </c>
      <c r="AM43" s="337">
        <f t="shared" si="27"/>
        <v>23.08</v>
      </c>
      <c r="AN43" s="803">
        <f>AJ43-AM43</f>
        <v>10.920000000000002</v>
      </c>
      <c r="AO43" s="803"/>
    </row>
    <row r="44" spans="2:41" ht="20.100000000000001" customHeight="1" x14ac:dyDescent="0.25">
      <c r="B44" s="804" t="s">
        <v>47</v>
      </c>
      <c r="C44" s="804"/>
      <c r="D44" s="804"/>
      <c r="E44" s="804"/>
      <c r="F44" s="804"/>
      <c r="G44" s="84">
        <f t="shared" si="19"/>
        <v>18.888888888888889</v>
      </c>
      <c r="H44" s="84">
        <f t="shared" si="20"/>
        <v>21.911111111111111</v>
      </c>
      <c r="I44" s="84">
        <v>17</v>
      </c>
      <c r="J44" s="84">
        <f t="shared" si="21"/>
        <v>19.72</v>
      </c>
      <c r="R44" s="804" t="s">
        <v>394</v>
      </c>
      <c r="S44" s="804"/>
      <c r="T44" s="804"/>
      <c r="U44" s="804"/>
      <c r="V44" s="804"/>
      <c r="W44" s="368">
        <v>8</v>
      </c>
      <c r="X44" s="335">
        <v>4.84</v>
      </c>
      <c r="Y44" s="369">
        <f t="shared" si="22"/>
        <v>0</v>
      </c>
      <c r="Z44" s="368">
        <v>8</v>
      </c>
      <c r="AA44" s="336">
        <v>6.1</v>
      </c>
      <c r="AB44" s="369">
        <f t="shared" si="23"/>
        <v>0</v>
      </c>
      <c r="AC44" s="368"/>
      <c r="AD44" s="335"/>
      <c r="AE44" s="369">
        <f t="shared" si="24"/>
        <v>0</v>
      </c>
      <c r="AF44" s="368"/>
      <c r="AG44" s="336"/>
      <c r="AH44" s="369">
        <f t="shared" si="25"/>
        <v>0</v>
      </c>
      <c r="AI44" s="465"/>
      <c r="AJ44" s="465"/>
      <c r="AK44" s="465"/>
      <c r="AL44" s="342" t="str">
        <f t="shared" si="26"/>
        <v>YA</v>
      </c>
      <c r="AM44" s="337">
        <f t="shared" si="27"/>
        <v>0</v>
      </c>
      <c r="AN44" s="803">
        <f t="shared" si="28"/>
        <v>0</v>
      </c>
      <c r="AO44" s="803"/>
    </row>
    <row r="45" spans="2:41" ht="20.100000000000001" customHeight="1" x14ac:dyDescent="0.25">
      <c r="B45" s="804" t="s">
        <v>43</v>
      </c>
      <c r="C45" s="804"/>
      <c r="D45" s="804"/>
      <c r="E45" s="804"/>
      <c r="F45" s="804"/>
      <c r="G45" s="84">
        <f t="shared" si="19"/>
        <v>10</v>
      </c>
      <c r="H45" s="84">
        <f t="shared" si="20"/>
        <v>11.6</v>
      </c>
      <c r="I45" s="84">
        <v>9</v>
      </c>
      <c r="J45" s="84">
        <f t="shared" si="21"/>
        <v>10.44</v>
      </c>
      <c r="R45" s="804" t="s">
        <v>395</v>
      </c>
      <c r="S45" s="804"/>
      <c r="T45" s="804"/>
      <c r="U45" s="804"/>
      <c r="V45" s="804"/>
      <c r="W45" s="368"/>
      <c r="X45" s="336">
        <v>6.1</v>
      </c>
      <c r="Y45" s="369">
        <f t="shared" si="22"/>
        <v>0</v>
      </c>
      <c r="Z45" s="368"/>
      <c r="AA45" s="336"/>
      <c r="AB45" s="369">
        <f t="shared" si="23"/>
        <v>0</v>
      </c>
      <c r="AC45" s="368"/>
      <c r="AD45" s="335"/>
      <c r="AE45" s="369">
        <f t="shared" si="24"/>
        <v>0</v>
      </c>
      <c r="AF45" s="368"/>
      <c r="AG45" s="336"/>
      <c r="AH45" s="369">
        <f t="shared" si="25"/>
        <v>0</v>
      </c>
      <c r="AI45" s="465"/>
      <c r="AJ45" s="465"/>
      <c r="AK45" s="465"/>
      <c r="AL45" s="342" t="str">
        <f t="shared" si="26"/>
        <v>YA</v>
      </c>
      <c r="AM45" s="337">
        <f t="shared" si="27"/>
        <v>0</v>
      </c>
      <c r="AN45" s="803">
        <f t="shared" si="28"/>
        <v>0</v>
      </c>
      <c r="AO45" s="803"/>
    </row>
    <row r="46" spans="2:41" ht="20.100000000000001" customHeight="1" x14ac:dyDescent="0.25">
      <c r="B46" s="804" t="s">
        <v>46</v>
      </c>
      <c r="C46" s="804"/>
      <c r="D46" s="804"/>
      <c r="E46" s="804"/>
      <c r="F46" s="804"/>
      <c r="G46" s="84">
        <f t="shared" si="19"/>
        <v>18.888888888888889</v>
      </c>
      <c r="H46" s="84">
        <f t="shared" si="20"/>
        <v>21.911111111111111</v>
      </c>
      <c r="I46" s="84">
        <v>17</v>
      </c>
      <c r="J46" s="84">
        <f t="shared" si="21"/>
        <v>19.72</v>
      </c>
      <c r="R46" s="804" t="s">
        <v>396</v>
      </c>
      <c r="S46" s="804"/>
      <c r="T46" s="804"/>
      <c r="U46" s="804"/>
      <c r="V46" s="804"/>
      <c r="W46" s="368">
        <v>16</v>
      </c>
      <c r="X46" s="336">
        <v>6.1</v>
      </c>
      <c r="Y46" s="369">
        <f t="shared" si="22"/>
        <v>0</v>
      </c>
      <c r="Z46" s="368"/>
      <c r="AA46" s="336"/>
      <c r="AB46" s="369">
        <f t="shared" si="23"/>
        <v>0</v>
      </c>
      <c r="AC46" s="368"/>
      <c r="AD46" s="335"/>
      <c r="AE46" s="369">
        <f t="shared" si="24"/>
        <v>0</v>
      </c>
      <c r="AF46" s="368"/>
      <c r="AG46" s="336"/>
      <c r="AH46" s="369">
        <f t="shared" si="25"/>
        <v>0</v>
      </c>
      <c r="AI46" s="465"/>
      <c r="AJ46" s="465"/>
      <c r="AK46" s="465"/>
      <c r="AL46" s="342" t="str">
        <f t="shared" si="26"/>
        <v>YA</v>
      </c>
      <c r="AM46" s="337">
        <f t="shared" si="27"/>
        <v>0</v>
      </c>
      <c r="AN46" s="803">
        <f t="shared" si="28"/>
        <v>0</v>
      </c>
      <c r="AO46" s="803"/>
    </row>
    <row r="47" spans="2:41" ht="20.100000000000001" customHeight="1" x14ac:dyDescent="0.25">
      <c r="B47" s="804" t="s">
        <v>219</v>
      </c>
      <c r="C47" s="804"/>
      <c r="D47" s="804"/>
      <c r="E47" s="804"/>
      <c r="F47" s="804"/>
      <c r="G47" s="84">
        <f t="shared" si="19"/>
        <v>10</v>
      </c>
      <c r="H47" s="84">
        <f t="shared" si="20"/>
        <v>11.6</v>
      </c>
      <c r="I47" s="84">
        <v>9</v>
      </c>
      <c r="J47" s="84">
        <f t="shared" si="21"/>
        <v>10.44</v>
      </c>
      <c r="R47" s="804" t="s">
        <v>397</v>
      </c>
      <c r="S47" s="804"/>
      <c r="T47" s="804"/>
      <c r="U47" s="804"/>
      <c r="V47" s="804"/>
      <c r="W47" s="368">
        <v>20</v>
      </c>
      <c r="X47" s="336">
        <v>6.1</v>
      </c>
      <c r="Y47" s="369">
        <f t="shared" si="22"/>
        <v>0</v>
      </c>
      <c r="Z47" s="368"/>
      <c r="AA47" s="336">
        <v>6.1</v>
      </c>
      <c r="AB47" s="369">
        <f t="shared" si="23"/>
        <v>0</v>
      </c>
      <c r="AC47" s="368"/>
      <c r="AD47" s="335">
        <v>6.1</v>
      </c>
      <c r="AE47" s="369">
        <f t="shared" si="24"/>
        <v>0</v>
      </c>
      <c r="AF47" s="368"/>
      <c r="AG47" s="336">
        <v>6.1</v>
      </c>
      <c r="AH47" s="369">
        <f t="shared" si="25"/>
        <v>0</v>
      </c>
      <c r="AI47" s="465"/>
      <c r="AJ47" s="465"/>
      <c r="AK47" s="465"/>
      <c r="AL47" s="342" t="str">
        <f t="shared" si="26"/>
        <v>YA</v>
      </c>
      <c r="AM47" s="337">
        <f>IF(AI47=0,0,AH47*AG47+AE47*AD47+AB47*AA47+Y47*X47)</f>
        <v>0</v>
      </c>
      <c r="AN47" s="803">
        <f>AJ47-AM47</f>
        <v>0</v>
      </c>
      <c r="AO47" s="803"/>
    </row>
    <row r="48" spans="2:41" ht="20.100000000000001" customHeight="1" x14ac:dyDescent="0.25">
      <c r="B48" s="804" t="s">
        <v>26</v>
      </c>
      <c r="C48" s="804"/>
      <c r="D48" s="804"/>
      <c r="E48" s="804"/>
      <c r="F48" s="804"/>
      <c r="G48" s="84" t="s">
        <v>336</v>
      </c>
      <c r="H48" s="84" t="s">
        <v>336</v>
      </c>
      <c r="I48" s="84" t="s">
        <v>336</v>
      </c>
      <c r="J48" s="84" t="s">
        <v>336</v>
      </c>
      <c r="R48" s="804" t="s">
        <v>398</v>
      </c>
      <c r="S48" s="804"/>
      <c r="T48" s="804"/>
      <c r="U48" s="804"/>
      <c r="V48" s="804"/>
      <c r="W48" s="368">
        <v>16</v>
      </c>
      <c r="X48" s="336">
        <v>6.1</v>
      </c>
      <c r="Y48" s="369">
        <f t="shared" si="22"/>
        <v>0</v>
      </c>
      <c r="Z48" s="368"/>
      <c r="AA48" s="336"/>
      <c r="AB48" s="369">
        <f t="shared" si="23"/>
        <v>0</v>
      </c>
      <c r="AC48" s="368"/>
      <c r="AD48" s="335"/>
      <c r="AE48" s="369">
        <f t="shared" si="24"/>
        <v>0</v>
      </c>
      <c r="AF48" s="368"/>
      <c r="AG48" s="336"/>
      <c r="AH48" s="369">
        <f t="shared" si="25"/>
        <v>0</v>
      </c>
      <c r="AI48" s="465"/>
      <c r="AJ48" s="465"/>
      <c r="AK48" s="465"/>
      <c r="AL48" s="342" t="str">
        <f t="shared" si="26"/>
        <v>YA</v>
      </c>
      <c r="AM48" s="337">
        <f t="shared" si="27"/>
        <v>0</v>
      </c>
      <c r="AN48" s="803">
        <f t="shared" si="28"/>
        <v>0</v>
      </c>
      <c r="AO48" s="803"/>
    </row>
    <row r="49" spans="2:41" ht="20.100000000000001" customHeight="1" x14ac:dyDescent="0.25">
      <c r="B49" s="804" t="s">
        <v>35</v>
      </c>
      <c r="C49" s="804"/>
      <c r="D49" s="804"/>
      <c r="E49" s="804"/>
      <c r="F49" s="804"/>
      <c r="G49" s="84">
        <f t="shared" si="19"/>
        <v>7.7777777777777777</v>
      </c>
      <c r="H49" s="84">
        <f t="shared" si="20"/>
        <v>9.0222222222222221</v>
      </c>
      <c r="I49" s="84">
        <v>7</v>
      </c>
      <c r="J49" s="84">
        <f t="shared" si="21"/>
        <v>8.1199999999999992</v>
      </c>
      <c r="R49" s="804" t="s">
        <v>399</v>
      </c>
      <c r="S49" s="804"/>
      <c r="T49" s="804"/>
      <c r="U49" s="804"/>
      <c r="V49" s="804"/>
      <c r="W49" s="368">
        <v>8</v>
      </c>
      <c r="X49" s="336">
        <v>6.1</v>
      </c>
      <c r="Y49" s="369">
        <f t="shared" si="22"/>
        <v>0</v>
      </c>
      <c r="Z49" s="368"/>
      <c r="AA49" s="336"/>
      <c r="AB49" s="369">
        <f t="shared" si="23"/>
        <v>0</v>
      </c>
      <c r="AC49" s="368"/>
      <c r="AD49" s="335"/>
      <c r="AE49" s="369">
        <f t="shared" si="24"/>
        <v>0</v>
      </c>
      <c r="AF49" s="368"/>
      <c r="AG49" s="336"/>
      <c r="AH49" s="369">
        <f t="shared" si="25"/>
        <v>0</v>
      </c>
      <c r="AI49" s="465"/>
      <c r="AJ49" s="465"/>
      <c r="AK49" s="465"/>
      <c r="AL49" s="342" t="str">
        <f t="shared" si="26"/>
        <v>YA</v>
      </c>
      <c r="AM49" s="337">
        <f t="shared" si="27"/>
        <v>0</v>
      </c>
      <c r="AN49" s="803">
        <f t="shared" si="28"/>
        <v>0</v>
      </c>
      <c r="AO49" s="803"/>
    </row>
    <row r="50" spans="2:41" ht="20.100000000000001" customHeight="1" x14ac:dyDescent="0.25">
      <c r="B50" s="804" t="s">
        <v>33</v>
      </c>
      <c r="C50" s="804"/>
      <c r="D50" s="804"/>
      <c r="E50" s="804"/>
      <c r="F50" s="804"/>
      <c r="G50" s="84">
        <f t="shared" si="19"/>
        <v>16.666666666666668</v>
      </c>
      <c r="H50" s="84">
        <f t="shared" si="20"/>
        <v>19.333333333333332</v>
      </c>
      <c r="I50" s="84">
        <v>15</v>
      </c>
      <c r="J50" s="84">
        <f t="shared" si="21"/>
        <v>17.399999999999999</v>
      </c>
      <c r="R50" s="804" t="s">
        <v>400</v>
      </c>
      <c r="S50" s="804"/>
      <c r="T50" s="804"/>
      <c r="U50" s="804"/>
      <c r="V50" s="804"/>
      <c r="W50" s="368">
        <v>9</v>
      </c>
      <c r="X50" s="336">
        <v>6.1</v>
      </c>
      <c r="Y50" s="369">
        <f t="shared" si="22"/>
        <v>0</v>
      </c>
      <c r="Z50" s="368"/>
      <c r="AA50" s="336"/>
      <c r="AB50" s="369">
        <f t="shared" si="23"/>
        <v>0</v>
      </c>
      <c r="AC50" s="368"/>
      <c r="AD50" s="335"/>
      <c r="AE50" s="369">
        <f t="shared" si="24"/>
        <v>0</v>
      </c>
      <c r="AF50" s="368"/>
      <c r="AG50" s="336"/>
      <c r="AH50" s="369">
        <f t="shared" si="25"/>
        <v>0</v>
      </c>
      <c r="AI50" s="465"/>
      <c r="AJ50" s="465"/>
      <c r="AK50" s="465"/>
      <c r="AL50" s="342" t="str">
        <f t="shared" si="26"/>
        <v>YA</v>
      </c>
      <c r="AM50" s="337">
        <f t="shared" si="27"/>
        <v>0</v>
      </c>
      <c r="AN50" s="803">
        <f t="shared" si="28"/>
        <v>0</v>
      </c>
      <c r="AO50" s="803"/>
    </row>
    <row r="51" spans="2:41" ht="20.100000000000001" customHeight="1" x14ac:dyDescent="0.25">
      <c r="B51" s="804" t="s">
        <v>34</v>
      </c>
      <c r="C51" s="804"/>
      <c r="D51" s="804"/>
      <c r="E51" s="804"/>
      <c r="F51" s="804"/>
      <c r="G51" s="84">
        <f t="shared" si="19"/>
        <v>16.666666666666668</v>
      </c>
      <c r="H51" s="84">
        <f t="shared" si="20"/>
        <v>19.333333333333332</v>
      </c>
      <c r="I51" s="84">
        <v>15</v>
      </c>
      <c r="J51" s="84">
        <f t="shared" si="21"/>
        <v>17.399999999999999</v>
      </c>
      <c r="R51" s="804" t="s">
        <v>401</v>
      </c>
      <c r="S51" s="804"/>
      <c r="T51" s="804"/>
      <c r="U51" s="804"/>
      <c r="V51" s="804"/>
      <c r="W51" s="368"/>
      <c r="X51" s="336"/>
      <c r="Y51" s="369">
        <f t="shared" si="22"/>
        <v>0</v>
      </c>
      <c r="Z51" s="368"/>
      <c r="AA51" s="336"/>
      <c r="AB51" s="369">
        <f t="shared" si="23"/>
        <v>0</v>
      </c>
      <c r="AC51" s="368"/>
      <c r="AD51" s="335"/>
      <c r="AE51" s="369">
        <f t="shared" si="24"/>
        <v>0</v>
      </c>
      <c r="AF51" s="368"/>
      <c r="AG51" s="336"/>
      <c r="AH51" s="369">
        <f t="shared" si="25"/>
        <v>0</v>
      </c>
      <c r="AI51" s="465"/>
      <c r="AJ51" s="465"/>
      <c r="AK51" s="465"/>
      <c r="AL51" s="342" t="str">
        <f t="shared" si="26"/>
        <v>YA</v>
      </c>
      <c r="AM51" s="337">
        <f t="shared" si="27"/>
        <v>0</v>
      </c>
      <c r="AN51" s="803">
        <f t="shared" si="28"/>
        <v>0</v>
      </c>
      <c r="AO51" s="803"/>
    </row>
    <row r="52" spans="2:41" ht="20.100000000000001" customHeight="1" x14ac:dyDescent="0.25">
      <c r="B52" s="804" t="s">
        <v>32</v>
      </c>
      <c r="C52" s="804"/>
      <c r="D52" s="804"/>
      <c r="E52" s="804"/>
      <c r="F52" s="804"/>
      <c r="G52" s="84">
        <f t="shared" si="19"/>
        <v>16.666666666666668</v>
      </c>
      <c r="H52" s="84">
        <f t="shared" si="20"/>
        <v>19.333333333333332</v>
      </c>
      <c r="I52" s="84">
        <v>15</v>
      </c>
      <c r="J52" s="84">
        <f t="shared" si="21"/>
        <v>17.399999999999999</v>
      </c>
      <c r="R52" s="804" t="s">
        <v>402</v>
      </c>
      <c r="S52" s="804"/>
      <c r="T52" s="804"/>
      <c r="U52" s="804"/>
      <c r="V52" s="804"/>
      <c r="W52" s="368">
        <v>8</v>
      </c>
      <c r="X52" s="336">
        <v>3.4</v>
      </c>
      <c r="Y52" s="369">
        <f t="shared" si="22"/>
        <v>0</v>
      </c>
      <c r="Z52" s="368">
        <v>8</v>
      </c>
      <c r="AA52" s="336">
        <v>6.09</v>
      </c>
      <c r="AB52" s="369">
        <f t="shared" si="23"/>
        <v>0</v>
      </c>
      <c r="AC52" s="368"/>
      <c r="AD52" s="335"/>
      <c r="AE52" s="369">
        <f t="shared" si="24"/>
        <v>0</v>
      </c>
      <c r="AF52" s="368"/>
      <c r="AG52" s="336"/>
      <c r="AH52" s="369">
        <f t="shared" si="25"/>
        <v>0</v>
      </c>
      <c r="AI52" s="465"/>
      <c r="AJ52" s="465"/>
      <c r="AK52" s="465"/>
      <c r="AL52" s="342" t="str">
        <f t="shared" si="26"/>
        <v>YA</v>
      </c>
      <c r="AM52" s="337">
        <f t="shared" si="27"/>
        <v>0</v>
      </c>
      <c r="AN52" s="803">
        <f t="shared" si="28"/>
        <v>0</v>
      </c>
      <c r="AO52" s="803"/>
    </row>
    <row r="53" spans="2:41" ht="20.100000000000001" customHeight="1" x14ac:dyDescent="0.25">
      <c r="B53" s="804" t="s">
        <v>20</v>
      </c>
      <c r="C53" s="804"/>
      <c r="D53" s="804"/>
      <c r="E53" s="804"/>
      <c r="F53" s="804"/>
      <c r="G53" s="84">
        <f t="shared" si="19"/>
        <v>5.5555555555555554</v>
      </c>
      <c r="H53" s="84">
        <f t="shared" si="20"/>
        <v>6.4444444444444438</v>
      </c>
      <c r="I53" s="84">
        <v>5</v>
      </c>
      <c r="J53" s="84">
        <f t="shared" si="21"/>
        <v>5.8</v>
      </c>
      <c r="R53" s="804" t="s">
        <v>403</v>
      </c>
      <c r="S53" s="804"/>
      <c r="T53" s="804"/>
      <c r="U53" s="804"/>
      <c r="V53" s="804"/>
      <c r="W53" s="368">
        <v>4</v>
      </c>
      <c r="X53" s="336">
        <v>7.27</v>
      </c>
      <c r="Y53" s="369">
        <f t="shared" si="22"/>
        <v>0</v>
      </c>
      <c r="Z53" s="368"/>
      <c r="AA53" s="336"/>
      <c r="AB53" s="369">
        <f t="shared" si="23"/>
        <v>0</v>
      </c>
      <c r="AC53" s="368"/>
      <c r="AD53" s="335"/>
      <c r="AE53" s="369">
        <f t="shared" si="24"/>
        <v>0</v>
      </c>
      <c r="AF53" s="368"/>
      <c r="AG53" s="336"/>
      <c r="AH53" s="369">
        <f t="shared" si="25"/>
        <v>0</v>
      </c>
      <c r="AI53" s="465"/>
      <c r="AJ53" s="465"/>
      <c r="AK53" s="465"/>
      <c r="AL53" s="342" t="str">
        <f t="shared" si="26"/>
        <v>YA</v>
      </c>
      <c r="AM53" s="337">
        <f t="shared" si="27"/>
        <v>0</v>
      </c>
      <c r="AN53" s="803">
        <f t="shared" si="28"/>
        <v>0</v>
      </c>
      <c r="AO53" s="803"/>
    </row>
    <row r="54" spans="2:41" ht="20.100000000000001" customHeight="1" x14ac:dyDescent="0.25">
      <c r="B54" s="804" t="s">
        <v>21</v>
      </c>
      <c r="C54" s="804"/>
      <c r="D54" s="804"/>
      <c r="E54" s="804"/>
      <c r="F54" s="804"/>
      <c r="G54" s="84">
        <f t="shared" si="19"/>
        <v>11.111111111111111</v>
      </c>
      <c r="H54" s="84">
        <f t="shared" si="20"/>
        <v>12.888888888888888</v>
      </c>
      <c r="I54" s="84">
        <v>10</v>
      </c>
      <c r="J54" s="84">
        <f t="shared" si="21"/>
        <v>11.6</v>
      </c>
      <c r="R54" s="804" t="s">
        <v>404</v>
      </c>
      <c r="S54" s="804"/>
      <c r="T54" s="804"/>
      <c r="U54" s="804"/>
      <c r="V54" s="804"/>
      <c r="W54" s="368">
        <v>12</v>
      </c>
      <c r="X54" s="336">
        <v>3.87</v>
      </c>
      <c r="Y54" s="369">
        <f t="shared" si="22"/>
        <v>0</v>
      </c>
      <c r="Z54" s="368"/>
      <c r="AA54" s="336"/>
      <c r="AB54" s="369">
        <f t="shared" si="23"/>
        <v>0</v>
      </c>
      <c r="AC54" s="368"/>
      <c r="AD54" s="335"/>
      <c r="AE54" s="369">
        <f t="shared" si="24"/>
        <v>0</v>
      </c>
      <c r="AF54" s="368"/>
      <c r="AG54" s="336"/>
      <c r="AH54" s="369">
        <f t="shared" si="25"/>
        <v>0</v>
      </c>
      <c r="AI54" s="465"/>
      <c r="AJ54" s="465"/>
      <c r="AK54" s="465"/>
      <c r="AL54" s="342" t="str">
        <f t="shared" si="26"/>
        <v>YA</v>
      </c>
      <c r="AM54" s="337">
        <f t="shared" si="27"/>
        <v>0</v>
      </c>
      <c r="AN54" s="803">
        <f t="shared" si="28"/>
        <v>0</v>
      </c>
      <c r="AO54" s="803"/>
    </row>
    <row r="55" spans="2:41" ht="20.100000000000001" customHeight="1" x14ac:dyDescent="0.25">
      <c r="B55" s="804" t="s">
        <v>22</v>
      </c>
      <c r="C55" s="804"/>
      <c r="D55" s="804"/>
      <c r="E55" s="804"/>
      <c r="F55" s="804"/>
      <c r="G55" s="84">
        <f t="shared" si="19"/>
        <v>12.222222222222221</v>
      </c>
      <c r="H55" s="84">
        <f t="shared" si="20"/>
        <v>14.177777777777775</v>
      </c>
      <c r="I55" s="84">
        <v>11</v>
      </c>
      <c r="J55" s="84">
        <f t="shared" si="21"/>
        <v>12.76</v>
      </c>
      <c r="R55" s="804" t="s">
        <v>405</v>
      </c>
      <c r="S55" s="804"/>
      <c r="T55" s="804"/>
      <c r="U55" s="804"/>
      <c r="V55" s="804"/>
      <c r="W55" s="368">
        <v>10</v>
      </c>
      <c r="X55" s="335">
        <v>7.45</v>
      </c>
      <c r="Y55" s="369">
        <f t="shared" si="22"/>
        <v>0</v>
      </c>
      <c r="Z55" s="368">
        <v>50</v>
      </c>
      <c r="AA55" s="336">
        <v>6.66</v>
      </c>
      <c r="AB55" s="369">
        <f t="shared" si="23"/>
        <v>0</v>
      </c>
      <c r="AC55" s="368"/>
      <c r="AD55" s="335"/>
      <c r="AE55" s="369">
        <f t="shared" si="24"/>
        <v>0</v>
      </c>
      <c r="AF55" s="368"/>
      <c r="AG55" s="336"/>
      <c r="AH55" s="369">
        <f t="shared" si="25"/>
        <v>0</v>
      </c>
      <c r="AI55" s="465"/>
      <c r="AJ55" s="465"/>
      <c r="AK55" s="465"/>
      <c r="AL55" s="342" t="str">
        <f t="shared" si="26"/>
        <v>YA</v>
      </c>
      <c r="AM55" s="337">
        <f t="shared" si="27"/>
        <v>0</v>
      </c>
      <c r="AN55" s="803">
        <f t="shared" si="28"/>
        <v>0</v>
      </c>
      <c r="AO55" s="803"/>
    </row>
    <row r="56" spans="2:41" ht="20.100000000000001" customHeight="1" x14ac:dyDescent="0.25">
      <c r="B56" s="804" t="s">
        <v>23</v>
      </c>
      <c r="C56" s="804"/>
      <c r="D56" s="804"/>
      <c r="E56" s="804"/>
      <c r="F56" s="804"/>
      <c r="G56" s="84">
        <f t="shared" si="19"/>
        <v>4.4444444444444446</v>
      </c>
      <c r="H56" s="84">
        <f t="shared" si="20"/>
        <v>5.155555555555555</v>
      </c>
      <c r="I56" s="84">
        <v>4</v>
      </c>
      <c r="J56" s="84">
        <f t="shared" si="21"/>
        <v>4.6399999999999997</v>
      </c>
      <c r="R56" s="804" t="s">
        <v>406</v>
      </c>
      <c r="S56" s="804"/>
      <c r="T56" s="804"/>
      <c r="U56" s="804"/>
      <c r="V56" s="804"/>
      <c r="W56" s="368">
        <v>50</v>
      </c>
      <c r="X56" s="336">
        <v>27.73</v>
      </c>
      <c r="Y56" s="369">
        <f t="shared" si="22"/>
        <v>2</v>
      </c>
      <c r="Z56" s="368"/>
      <c r="AA56" s="336"/>
      <c r="AB56" s="369">
        <f t="shared" si="23"/>
        <v>0</v>
      </c>
      <c r="AC56" s="368"/>
      <c r="AD56" s="335"/>
      <c r="AE56" s="369">
        <f t="shared" si="24"/>
        <v>0</v>
      </c>
      <c r="AF56" s="368"/>
      <c r="AG56" s="336"/>
      <c r="AH56" s="369">
        <f t="shared" si="25"/>
        <v>0</v>
      </c>
      <c r="AI56" s="465">
        <v>2</v>
      </c>
      <c r="AJ56" s="465">
        <v>75</v>
      </c>
      <c r="AK56" s="465"/>
      <c r="AL56" s="342" t="str">
        <f t="shared" si="26"/>
        <v>YA</v>
      </c>
      <c r="AM56" s="337">
        <f t="shared" si="27"/>
        <v>55.46</v>
      </c>
      <c r="AN56" s="803">
        <f t="shared" si="28"/>
        <v>19.54</v>
      </c>
      <c r="AO56" s="803"/>
    </row>
    <row r="57" spans="2:41" ht="20.100000000000001" customHeight="1" x14ac:dyDescent="0.25">
      <c r="B57" s="804" t="s">
        <v>24</v>
      </c>
      <c r="C57" s="804"/>
      <c r="D57" s="804"/>
      <c r="E57" s="804"/>
      <c r="F57" s="804"/>
      <c r="G57" s="84">
        <f t="shared" si="19"/>
        <v>8.8888888888888893</v>
      </c>
      <c r="H57" s="84">
        <f t="shared" si="20"/>
        <v>10.31111111111111</v>
      </c>
      <c r="I57" s="84">
        <v>8</v>
      </c>
      <c r="J57" s="84">
        <f t="shared" si="21"/>
        <v>9.2799999999999994</v>
      </c>
      <c r="R57" s="804" t="s">
        <v>407</v>
      </c>
      <c r="S57" s="804"/>
      <c r="T57" s="804"/>
      <c r="U57" s="804"/>
      <c r="V57" s="804"/>
      <c r="W57" s="368">
        <v>1</v>
      </c>
      <c r="X57" s="336">
        <v>7</v>
      </c>
      <c r="Y57" s="369">
        <f t="shared" si="22"/>
        <v>0</v>
      </c>
      <c r="Z57" s="368"/>
      <c r="AA57" s="336"/>
      <c r="AB57" s="369">
        <f t="shared" si="23"/>
        <v>0</v>
      </c>
      <c r="AC57" s="368"/>
      <c r="AD57" s="335"/>
      <c r="AE57" s="369">
        <f t="shared" si="24"/>
        <v>0</v>
      </c>
      <c r="AF57" s="368"/>
      <c r="AG57" s="336"/>
      <c r="AH57" s="369">
        <f t="shared" si="25"/>
        <v>0</v>
      </c>
      <c r="AI57" s="465"/>
      <c r="AJ57" s="465"/>
      <c r="AK57" s="465"/>
      <c r="AL57" s="342" t="str">
        <f t="shared" si="26"/>
        <v>YA</v>
      </c>
      <c r="AM57" s="337">
        <f t="shared" si="27"/>
        <v>0</v>
      </c>
      <c r="AN57" s="803">
        <f t="shared" si="28"/>
        <v>0</v>
      </c>
      <c r="AO57" s="803"/>
    </row>
    <row r="58" spans="2:41" ht="20.100000000000001" customHeight="1" x14ac:dyDescent="0.25">
      <c r="B58" s="804" t="s">
        <v>25</v>
      </c>
      <c r="C58" s="804"/>
      <c r="D58" s="804"/>
      <c r="E58" s="804"/>
      <c r="F58" s="804"/>
      <c r="G58" s="84" t="s">
        <v>336</v>
      </c>
      <c r="H58" s="84" t="s">
        <v>336</v>
      </c>
      <c r="I58" s="84" t="s">
        <v>336</v>
      </c>
      <c r="J58" s="84" t="s">
        <v>336</v>
      </c>
      <c r="R58" s="804" t="s">
        <v>408</v>
      </c>
      <c r="S58" s="804"/>
      <c r="T58" s="804"/>
      <c r="U58" s="804"/>
      <c r="V58" s="804"/>
      <c r="W58" s="368">
        <v>12</v>
      </c>
      <c r="X58" s="336">
        <v>10.220000000000001</v>
      </c>
      <c r="Y58" s="369">
        <f t="shared" si="22"/>
        <v>0</v>
      </c>
      <c r="Z58" s="368"/>
      <c r="AA58" s="336"/>
      <c r="AB58" s="369">
        <f t="shared" si="23"/>
        <v>0</v>
      </c>
      <c r="AC58" s="368"/>
      <c r="AD58" s="335"/>
      <c r="AE58" s="369">
        <f t="shared" si="24"/>
        <v>0</v>
      </c>
      <c r="AF58" s="368"/>
      <c r="AG58" s="336"/>
      <c r="AH58" s="369">
        <f t="shared" si="25"/>
        <v>0</v>
      </c>
      <c r="AI58" s="465"/>
      <c r="AJ58" s="465"/>
      <c r="AK58" s="465"/>
      <c r="AL58" s="342" t="str">
        <f t="shared" si="26"/>
        <v>YA</v>
      </c>
      <c r="AM58" s="337">
        <f t="shared" si="27"/>
        <v>0</v>
      </c>
      <c r="AN58" s="803">
        <f t="shared" si="28"/>
        <v>0</v>
      </c>
      <c r="AO58" s="803"/>
    </row>
    <row r="59" spans="2:41" ht="20.100000000000001" customHeight="1" x14ac:dyDescent="0.25">
      <c r="B59" s="804" t="s">
        <v>36</v>
      </c>
      <c r="C59" s="804"/>
      <c r="D59" s="804"/>
      <c r="E59" s="804"/>
      <c r="F59" s="804"/>
      <c r="G59" s="84">
        <f t="shared" si="19"/>
        <v>7.7777777777777777</v>
      </c>
      <c r="H59" s="84">
        <f t="shared" si="20"/>
        <v>9.0222222222222221</v>
      </c>
      <c r="I59" s="84">
        <v>7</v>
      </c>
      <c r="J59" s="84">
        <f t="shared" si="21"/>
        <v>8.1199999999999992</v>
      </c>
      <c r="R59" s="804" t="s">
        <v>409</v>
      </c>
      <c r="S59" s="804"/>
      <c r="T59" s="804"/>
      <c r="U59" s="804"/>
      <c r="V59" s="804"/>
      <c r="W59" s="368">
        <v>12</v>
      </c>
      <c r="X59" s="336">
        <v>11.4</v>
      </c>
      <c r="Y59" s="369">
        <f t="shared" si="22"/>
        <v>0</v>
      </c>
      <c r="Z59" s="368"/>
      <c r="AA59" s="336"/>
      <c r="AB59" s="369">
        <f t="shared" si="23"/>
        <v>0</v>
      </c>
      <c r="AC59" s="368"/>
      <c r="AD59" s="335"/>
      <c r="AE59" s="369">
        <f t="shared" si="24"/>
        <v>0</v>
      </c>
      <c r="AF59" s="368"/>
      <c r="AG59" s="336"/>
      <c r="AH59" s="369">
        <f t="shared" si="25"/>
        <v>0</v>
      </c>
      <c r="AI59" s="465"/>
      <c r="AJ59" s="465"/>
      <c r="AK59" s="465"/>
      <c r="AL59" s="342" t="str">
        <f t="shared" si="26"/>
        <v>YA</v>
      </c>
      <c r="AM59" s="337">
        <f t="shared" si="27"/>
        <v>0</v>
      </c>
      <c r="AN59" s="803">
        <f t="shared" si="28"/>
        <v>0</v>
      </c>
      <c r="AO59" s="803"/>
    </row>
    <row r="60" spans="2:41" ht="20.100000000000001" customHeight="1" x14ac:dyDescent="0.25">
      <c r="B60" s="804" t="s">
        <v>38</v>
      </c>
      <c r="C60" s="804"/>
      <c r="D60" s="804"/>
      <c r="E60" s="804"/>
      <c r="F60" s="804"/>
      <c r="G60" s="84">
        <f t="shared" si="19"/>
        <v>14.444444444444445</v>
      </c>
      <c r="H60" s="84">
        <f t="shared" si="20"/>
        <v>16.755555555555553</v>
      </c>
      <c r="I60" s="84">
        <v>13</v>
      </c>
      <c r="J60" s="84">
        <f t="shared" si="21"/>
        <v>15.079999999999998</v>
      </c>
      <c r="R60" s="804" t="s">
        <v>410</v>
      </c>
      <c r="S60" s="804"/>
      <c r="T60" s="804"/>
      <c r="U60" s="804"/>
      <c r="V60" s="804"/>
      <c r="W60" s="368">
        <v>880</v>
      </c>
      <c r="X60" s="336">
        <v>11</v>
      </c>
      <c r="Y60" s="369">
        <f t="shared" si="22"/>
        <v>0</v>
      </c>
      <c r="Z60" s="368"/>
      <c r="AA60" s="336"/>
      <c r="AB60" s="369">
        <f t="shared" si="23"/>
        <v>0</v>
      </c>
      <c r="AC60" s="368"/>
      <c r="AD60" s="335"/>
      <c r="AE60" s="369">
        <f t="shared" si="24"/>
        <v>0</v>
      </c>
      <c r="AF60" s="368"/>
      <c r="AG60" s="336"/>
      <c r="AH60" s="369">
        <f t="shared" si="25"/>
        <v>0</v>
      </c>
      <c r="AI60" s="465"/>
      <c r="AJ60" s="465"/>
      <c r="AK60" s="465"/>
      <c r="AL60" s="342" t="str">
        <f t="shared" si="26"/>
        <v>YA</v>
      </c>
      <c r="AM60" s="337">
        <f t="shared" si="27"/>
        <v>0</v>
      </c>
      <c r="AN60" s="803">
        <f t="shared" si="28"/>
        <v>0</v>
      </c>
      <c r="AO60" s="803"/>
    </row>
    <row r="61" spans="2:41" ht="20.100000000000001" customHeight="1" x14ac:dyDescent="0.25">
      <c r="B61" s="804" t="s">
        <v>39</v>
      </c>
      <c r="C61" s="804"/>
      <c r="D61" s="804"/>
      <c r="E61" s="804"/>
      <c r="F61" s="804"/>
      <c r="G61" s="84">
        <f t="shared" si="19"/>
        <v>20</v>
      </c>
      <c r="H61" s="84">
        <f t="shared" si="20"/>
        <v>23.2</v>
      </c>
      <c r="I61" s="84">
        <v>18</v>
      </c>
      <c r="J61" s="84">
        <f t="shared" si="21"/>
        <v>20.88</v>
      </c>
      <c r="R61" s="804" t="s">
        <v>411</v>
      </c>
      <c r="S61" s="804"/>
      <c r="T61" s="804"/>
      <c r="U61" s="804"/>
      <c r="V61" s="804"/>
      <c r="W61" s="368">
        <v>12</v>
      </c>
      <c r="X61" s="336">
        <v>0</v>
      </c>
      <c r="Y61" s="369">
        <f t="shared" si="22"/>
        <v>0</v>
      </c>
      <c r="Z61" s="368"/>
      <c r="AA61" s="336"/>
      <c r="AB61" s="369">
        <f t="shared" si="23"/>
        <v>0</v>
      </c>
      <c r="AC61" s="368"/>
      <c r="AD61" s="335"/>
      <c r="AE61" s="369">
        <f t="shared" si="24"/>
        <v>0</v>
      </c>
      <c r="AF61" s="368"/>
      <c r="AG61" s="336"/>
      <c r="AH61" s="369">
        <f t="shared" si="25"/>
        <v>0</v>
      </c>
      <c r="AI61" s="465"/>
      <c r="AJ61" s="465"/>
      <c r="AK61" s="465"/>
      <c r="AL61" s="342" t="str">
        <f t="shared" si="26"/>
        <v>YA</v>
      </c>
      <c r="AM61" s="337">
        <f t="shared" si="27"/>
        <v>0</v>
      </c>
      <c r="AN61" s="803">
        <f t="shared" si="28"/>
        <v>0</v>
      </c>
      <c r="AO61" s="803"/>
    </row>
    <row r="62" spans="2:41" ht="20.100000000000001" customHeight="1" x14ac:dyDescent="0.25">
      <c r="B62" s="804" t="s">
        <v>276</v>
      </c>
      <c r="C62" s="804"/>
      <c r="D62" s="804"/>
      <c r="E62" s="804"/>
      <c r="F62" s="804"/>
      <c r="G62" s="84">
        <f t="shared" si="19"/>
        <v>10</v>
      </c>
      <c r="H62" s="84">
        <f t="shared" si="20"/>
        <v>11.6</v>
      </c>
      <c r="I62" s="84">
        <v>9</v>
      </c>
      <c r="J62" s="84">
        <f t="shared" si="21"/>
        <v>10.44</v>
      </c>
      <c r="R62" s="804" t="s">
        <v>412</v>
      </c>
      <c r="S62" s="804"/>
      <c r="T62" s="804"/>
      <c r="U62" s="804"/>
      <c r="V62" s="804"/>
      <c r="W62" s="368">
        <v>12</v>
      </c>
      <c r="X62" s="336">
        <v>2.33</v>
      </c>
      <c r="Y62" s="369">
        <f t="shared" si="22"/>
        <v>0</v>
      </c>
      <c r="Z62" s="368"/>
      <c r="AA62" s="336"/>
      <c r="AB62" s="369">
        <f t="shared" si="23"/>
        <v>0</v>
      </c>
      <c r="AC62" s="368"/>
      <c r="AD62" s="335"/>
      <c r="AE62" s="369">
        <f t="shared" si="24"/>
        <v>0</v>
      </c>
      <c r="AF62" s="368"/>
      <c r="AG62" s="336"/>
      <c r="AH62" s="369">
        <f t="shared" si="25"/>
        <v>0</v>
      </c>
      <c r="AI62" s="465"/>
      <c r="AJ62" s="465"/>
      <c r="AK62" s="465"/>
      <c r="AL62" s="342" t="str">
        <f t="shared" si="26"/>
        <v>YA</v>
      </c>
      <c r="AM62" s="337">
        <f t="shared" si="27"/>
        <v>0</v>
      </c>
      <c r="AN62" s="803">
        <f t="shared" si="28"/>
        <v>0</v>
      </c>
      <c r="AO62" s="803"/>
    </row>
    <row r="63" spans="2:41" ht="20.100000000000001" customHeight="1" x14ac:dyDescent="0.25">
      <c r="B63" s="804" t="s">
        <v>37</v>
      </c>
      <c r="C63" s="804"/>
      <c r="D63" s="804"/>
      <c r="E63" s="804"/>
      <c r="F63" s="804"/>
      <c r="G63" s="84">
        <f t="shared" si="19"/>
        <v>10</v>
      </c>
      <c r="H63" s="84">
        <f t="shared" si="20"/>
        <v>11.6</v>
      </c>
      <c r="I63" s="84">
        <v>9</v>
      </c>
      <c r="J63" s="84">
        <f t="shared" si="21"/>
        <v>10.44</v>
      </c>
      <c r="R63" s="804" t="s">
        <v>413</v>
      </c>
      <c r="S63" s="804"/>
      <c r="T63" s="804"/>
      <c r="U63" s="804"/>
      <c r="V63" s="804"/>
      <c r="W63" s="368">
        <v>22</v>
      </c>
      <c r="X63" s="336">
        <v>5.71</v>
      </c>
      <c r="Y63" s="369">
        <f t="shared" si="22"/>
        <v>0</v>
      </c>
      <c r="Z63" s="368"/>
      <c r="AA63" s="336"/>
      <c r="AB63" s="369">
        <f t="shared" si="23"/>
        <v>0</v>
      </c>
      <c r="AC63" s="368"/>
      <c r="AD63" s="335"/>
      <c r="AE63" s="369">
        <f t="shared" si="24"/>
        <v>0</v>
      </c>
      <c r="AF63" s="368"/>
      <c r="AG63" s="336"/>
      <c r="AH63" s="369">
        <f t="shared" si="25"/>
        <v>0</v>
      </c>
      <c r="AI63" s="465"/>
      <c r="AJ63" s="465"/>
      <c r="AK63" s="465"/>
      <c r="AL63" s="342" t="str">
        <f t="shared" si="26"/>
        <v>YA</v>
      </c>
      <c r="AM63" s="337">
        <f t="shared" si="27"/>
        <v>0</v>
      </c>
      <c r="AN63" s="803">
        <f t="shared" si="28"/>
        <v>0</v>
      </c>
      <c r="AO63" s="803"/>
    </row>
    <row r="64" spans="2:41" x14ac:dyDescent="0.25">
      <c r="R64" s="804" t="s">
        <v>414</v>
      </c>
      <c r="S64" s="804"/>
      <c r="T64" s="804"/>
      <c r="U64" s="804"/>
      <c r="V64" s="804"/>
      <c r="W64" s="368">
        <v>2</v>
      </c>
      <c r="X64" s="336">
        <v>18.059999999999999</v>
      </c>
      <c r="Y64" s="369">
        <f t="shared" si="22"/>
        <v>0</v>
      </c>
      <c r="Z64" s="368"/>
      <c r="AA64" s="336"/>
      <c r="AB64" s="369">
        <f t="shared" si="23"/>
        <v>0</v>
      </c>
      <c r="AC64" s="368"/>
      <c r="AD64" s="335"/>
      <c r="AE64" s="369">
        <f t="shared" si="24"/>
        <v>0</v>
      </c>
      <c r="AF64" s="368"/>
      <c r="AG64" s="336"/>
      <c r="AH64" s="369">
        <f t="shared" si="25"/>
        <v>0</v>
      </c>
      <c r="AI64" s="465"/>
      <c r="AJ64" s="465"/>
      <c r="AK64" s="465"/>
      <c r="AL64" s="342" t="str">
        <f>IF(OR((W64+Z64+AC64+AF64) &gt;= (AI64+AK64),AI64 = 0), "YA", "MAS")</f>
        <v>YA</v>
      </c>
      <c r="AM64" s="337">
        <f t="shared" si="27"/>
        <v>0</v>
      </c>
      <c r="AN64" s="803">
        <f t="shared" si="28"/>
        <v>0</v>
      </c>
      <c r="AO64" s="803"/>
    </row>
    <row r="65" spans="2:41" x14ac:dyDescent="0.25">
      <c r="R65" s="804" t="s">
        <v>415</v>
      </c>
      <c r="S65" s="804"/>
      <c r="T65" s="804"/>
      <c r="U65" s="804"/>
      <c r="V65" s="804"/>
      <c r="W65" s="368">
        <v>1</v>
      </c>
      <c r="X65" s="336">
        <v>35</v>
      </c>
      <c r="Y65" s="369">
        <f t="shared" si="22"/>
        <v>0</v>
      </c>
      <c r="Z65" s="368"/>
      <c r="AA65" s="336"/>
      <c r="AB65" s="369">
        <f t="shared" si="23"/>
        <v>0</v>
      </c>
      <c r="AC65" s="368"/>
      <c r="AD65" s="335"/>
      <c r="AE65" s="369">
        <f t="shared" si="24"/>
        <v>0</v>
      </c>
      <c r="AF65" s="368"/>
      <c r="AG65" s="336"/>
      <c r="AH65" s="369">
        <f t="shared" si="25"/>
        <v>0</v>
      </c>
      <c r="AI65" s="465"/>
      <c r="AJ65" s="465"/>
      <c r="AK65" s="465"/>
      <c r="AL65" s="342" t="str">
        <f t="shared" si="26"/>
        <v>YA</v>
      </c>
      <c r="AM65" s="337">
        <f t="shared" si="27"/>
        <v>0</v>
      </c>
      <c r="AN65" s="803">
        <f t="shared" si="28"/>
        <v>0</v>
      </c>
      <c r="AO65" s="803"/>
    </row>
    <row r="66" spans="2:41" ht="18.75" x14ac:dyDescent="0.25">
      <c r="B66" s="809" t="s">
        <v>2</v>
      </c>
      <c r="C66" s="809"/>
      <c r="D66" s="809"/>
      <c r="E66" s="809"/>
      <c r="F66" s="809"/>
      <c r="R66" s="804" t="s">
        <v>416</v>
      </c>
      <c r="S66" s="804"/>
      <c r="T66" s="804"/>
      <c r="U66" s="804"/>
      <c r="V66" s="804"/>
      <c r="W66" s="368">
        <v>40</v>
      </c>
      <c r="X66" s="335">
        <v>3.23</v>
      </c>
      <c r="Y66" s="369">
        <f t="shared" si="22"/>
        <v>0</v>
      </c>
      <c r="Z66" s="368">
        <v>50</v>
      </c>
      <c r="AA66" s="336">
        <v>2.89</v>
      </c>
      <c r="AB66" s="369">
        <f t="shared" si="23"/>
        <v>0</v>
      </c>
      <c r="AC66" s="368"/>
      <c r="AD66" s="335"/>
      <c r="AE66" s="369">
        <f t="shared" si="24"/>
        <v>0</v>
      </c>
      <c r="AF66" s="368"/>
      <c r="AG66" s="336"/>
      <c r="AH66" s="369">
        <f t="shared" si="25"/>
        <v>0</v>
      </c>
      <c r="AI66" s="465"/>
      <c r="AJ66" s="465"/>
      <c r="AK66" s="465"/>
      <c r="AL66" s="342" t="str">
        <f t="shared" si="26"/>
        <v>YA</v>
      </c>
      <c r="AM66" s="337">
        <f t="shared" si="27"/>
        <v>0</v>
      </c>
      <c r="AN66" s="803">
        <f t="shared" si="28"/>
        <v>0</v>
      </c>
      <c r="AO66" s="803"/>
    </row>
    <row r="67" spans="2:41" x14ac:dyDescent="0.25">
      <c r="B67" s="804" t="s">
        <v>49</v>
      </c>
      <c r="C67" s="804"/>
      <c r="D67" s="804"/>
      <c r="E67" s="804"/>
      <c r="F67" s="804"/>
      <c r="G67" s="310">
        <v>30</v>
      </c>
      <c r="H67" s="378">
        <v>50</v>
      </c>
      <c r="R67" s="804" t="s">
        <v>417</v>
      </c>
      <c r="S67" s="804"/>
      <c r="T67" s="804"/>
      <c r="U67" s="804"/>
      <c r="V67" s="804"/>
      <c r="W67" s="368">
        <v>50</v>
      </c>
      <c r="X67" s="336">
        <v>6.55</v>
      </c>
      <c r="Y67" s="369">
        <f t="shared" si="22"/>
        <v>1</v>
      </c>
      <c r="Z67" s="368"/>
      <c r="AA67" s="336"/>
      <c r="AB67" s="369">
        <f t="shared" si="23"/>
        <v>0</v>
      </c>
      <c r="AC67" s="368"/>
      <c r="AD67" s="335"/>
      <c r="AE67" s="369">
        <f t="shared" si="24"/>
        <v>0</v>
      </c>
      <c r="AF67" s="368"/>
      <c r="AG67" s="336"/>
      <c r="AH67" s="369">
        <f t="shared" si="25"/>
        <v>0</v>
      </c>
      <c r="AI67" s="465">
        <v>1</v>
      </c>
      <c r="AJ67" s="465">
        <v>10</v>
      </c>
      <c r="AK67" s="465"/>
      <c r="AL67" s="342" t="str">
        <f t="shared" si="26"/>
        <v>YA</v>
      </c>
      <c r="AM67" s="337">
        <f t="shared" si="27"/>
        <v>6.55</v>
      </c>
      <c r="AN67" s="803">
        <f t="shared" si="28"/>
        <v>3.45</v>
      </c>
      <c r="AO67" s="803"/>
    </row>
    <row r="68" spans="2:41" x14ac:dyDescent="0.25">
      <c r="B68" s="804" t="s">
        <v>56</v>
      </c>
      <c r="C68" s="804"/>
      <c r="D68" s="804"/>
      <c r="E68" s="804"/>
      <c r="F68" s="804"/>
      <c r="G68" s="310">
        <v>0</v>
      </c>
      <c r="H68" s="378"/>
      <c r="R68" s="804" t="s">
        <v>345</v>
      </c>
      <c r="S68" s="804"/>
      <c r="T68" s="804"/>
      <c r="U68" s="804"/>
      <c r="V68" s="804"/>
      <c r="W68" s="368">
        <v>30</v>
      </c>
      <c r="X68" s="336">
        <v>13</v>
      </c>
      <c r="Y68" s="369">
        <f t="shared" si="22"/>
        <v>0</v>
      </c>
      <c r="Z68" s="368"/>
      <c r="AA68" s="336"/>
      <c r="AB68" s="369">
        <f t="shared" si="23"/>
        <v>0</v>
      </c>
      <c r="AC68" s="368"/>
      <c r="AD68" s="335"/>
      <c r="AE68" s="369">
        <f t="shared" si="24"/>
        <v>0</v>
      </c>
      <c r="AF68" s="368"/>
      <c r="AG68" s="336"/>
      <c r="AH68" s="369">
        <f t="shared" si="25"/>
        <v>0</v>
      </c>
      <c r="AI68" s="465"/>
      <c r="AJ68" s="465"/>
      <c r="AK68" s="465"/>
      <c r="AL68" s="342" t="str">
        <f t="shared" si="26"/>
        <v>YA</v>
      </c>
      <c r="AM68" s="337">
        <f t="shared" si="27"/>
        <v>0</v>
      </c>
      <c r="AN68" s="803">
        <f t="shared" si="28"/>
        <v>0</v>
      </c>
      <c r="AO68" s="803"/>
    </row>
    <row r="69" spans="2:41" x14ac:dyDescent="0.25">
      <c r="B69" s="804" t="s">
        <v>50</v>
      </c>
      <c r="C69" s="804"/>
      <c r="D69" s="804"/>
      <c r="E69" s="804"/>
      <c r="F69" s="804"/>
      <c r="G69" s="310">
        <v>0</v>
      </c>
      <c r="H69" s="378"/>
      <c r="R69" s="804" t="s">
        <v>418</v>
      </c>
      <c r="S69" s="804"/>
      <c r="T69" s="804"/>
      <c r="U69" s="804"/>
      <c r="V69" s="804"/>
      <c r="W69" s="368"/>
      <c r="X69" s="335"/>
      <c r="Y69" s="369">
        <f t="shared" si="22"/>
        <v>0</v>
      </c>
      <c r="Z69" s="368"/>
      <c r="AA69" s="336"/>
      <c r="AB69" s="369">
        <f t="shared" si="23"/>
        <v>0</v>
      </c>
      <c r="AC69" s="368"/>
      <c r="AD69" s="335"/>
      <c r="AE69" s="369">
        <f t="shared" si="24"/>
        <v>0</v>
      </c>
      <c r="AF69" s="368"/>
      <c r="AG69" s="336"/>
      <c r="AH69" s="369">
        <f t="shared" si="25"/>
        <v>0</v>
      </c>
      <c r="AI69" s="465"/>
      <c r="AJ69" s="465"/>
      <c r="AK69" s="465"/>
      <c r="AL69" s="342" t="str">
        <f t="shared" si="26"/>
        <v>YA</v>
      </c>
      <c r="AM69" s="337">
        <f t="shared" si="27"/>
        <v>0</v>
      </c>
      <c r="AN69" s="803">
        <f t="shared" si="28"/>
        <v>0</v>
      </c>
      <c r="AO69" s="803"/>
    </row>
    <row r="70" spans="2:41" x14ac:dyDescent="0.25">
      <c r="B70" s="804" t="s">
        <v>7</v>
      </c>
      <c r="C70" s="804"/>
      <c r="D70" s="804"/>
      <c r="E70" s="804"/>
      <c r="F70" s="804"/>
      <c r="G70" s="310">
        <v>0</v>
      </c>
      <c r="H70" s="378">
        <v>20</v>
      </c>
      <c r="R70" s="804" t="s">
        <v>419</v>
      </c>
      <c r="S70" s="804"/>
      <c r="T70" s="804"/>
      <c r="U70" s="804"/>
      <c r="V70" s="804"/>
      <c r="W70" s="368">
        <v>6</v>
      </c>
      <c r="X70" s="335"/>
      <c r="Y70" s="369">
        <f t="shared" si="22"/>
        <v>0</v>
      </c>
      <c r="Z70" s="368"/>
      <c r="AA70" s="336"/>
      <c r="AB70" s="369">
        <f t="shared" si="23"/>
        <v>0</v>
      </c>
      <c r="AC70" s="368"/>
      <c r="AD70" s="335"/>
      <c r="AE70" s="369">
        <f t="shared" si="24"/>
        <v>0</v>
      </c>
      <c r="AF70" s="368"/>
      <c r="AG70" s="336"/>
      <c r="AH70" s="369">
        <f t="shared" si="25"/>
        <v>0</v>
      </c>
      <c r="AI70" s="465"/>
      <c r="AJ70" s="465"/>
      <c r="AK70" s="465"/>
      <c r="AL70" s="342" t="str">
        <f t="shared" si="26"/>
        <v>YA</v>
      </c>
      <c r="AM70" s="337">
        <f t="shared" si="27"/>
        <v>0</v>
      </c>
      <c r="AN70" s="803">
        <f t="shared" si="28"/>
        <v>0</v>
      </c>
      <c r="AO70" s="803"/>
    </row>
    <row r="71" spans="2:41" ht="18.75" customHeight="1" x14ac:dyDescent="0.3">
      <c r="B71" s="804" t="s">
        <v>6</v>
      </c>
      <c r="C71" s="804"/>
      <c r="D71" s="804"/>
      <c r="E71" s="804"/>
      <c r="F71" s="804"/>
      <c r="G71" s="310">
        <v>0</v>
      </c>
      <c r="H71" s="378"/>
      <c r="W71" s="340"/>
      <c r="AJ71" s="372">
        <f>SUM(AJ33:AJ70)</f>
        <v>155</v>
      </c>
      <c r="AM71" s="372">
        <f>SUM(AM33:AM70)</f>
        <v>109.49</v>
      </c>
      <c r="AN71" s="375">
        <f>SUM(AN33:AO70)</f>
        <v>45.510000000000005</v>
      </c>
      <c r="AO71" s="376">
        <f>AN71/AM71</f>
        <v>0.415654397661887</v>
      </c>
    </row>
    <row r="72" spans="2:41" ht="18.75" customHeight="1" x14ac:dyDescent="0.3">
      <c r="B72" s="341"/>
      <c r="C72" s="341"/>
      <c r="D72" s="341"/>
      <c r="E72" s="341"/>
      <c r="F72" s="341"/>
      <c r="G72" s="343"/>
      <c r="H72" s="378"/>
      <c r="W72" s="340"/>
      <c r="AJ72" s="359"/>
      <c r="AM72" s="358"/>
      <c r="AN72" s="360"/>
      <c r="AO72" s="361"/>
    </row>
    <row r="73" spans="2:41" ht="38.25" customHeight="1" x14ac:dyDescent="0.25">
      <c r="B73" s="804" t="s">
        <v>232</v>
      </c>
      <c r="C73" s="804"/>
      <c r="D73" s="804"/>
      <c r="E73" s="804"/>
      <c r="F73" s="804"/>
      <c r="G73" s="310">
        <v>0</v>
      </c>
      <c r="H73" s="378"/>
      <c r="R73" s="813" t="s">
        <v>420</v>
      </c>
      <c r="S73" s="813"/>
      <c r="T73" s="813"/>
      <c r="U73" s="813"/>
      <c r="V73" s="813"/>
      <c r="W73" s="813"/>
      <c r="X73" s="813"/>
      <c r="Y73" s="813"/>
      <c r="Z73" s="813"/>
      <c r="AA73" s="813"/>
      <c r="AB73" s="813"/>
      <c r="AC73" s="813"/>
      <c r="AD73" s="813"/>
      <c r="AE73" s="813"/>
      <c r="AF73" s="813"/>
      <c r="AG73" s="813"/>
      <c r="AH73" s="813"/>
      <c r="AI73" s="813"/>
      <c r="AJ73" s="813"/>
      <c r="AK73" s="813"/>
      <c r="AL73" s="813"/>
      <c r="AM73" s="813"/>
      <c r="AN73" s="813"/>
      <c r="AO73" s="813"/>
    </row>
    <row r="74" spans="2:41" ht="15" customHeight="1" x14ac:dyDescent="0.25">
      <c r="B74" s="804" t="s">
        <v>53</v>
      </c>
      <c r="C74" s="804"/>
      <c r="D74" s="804"/>
      <c r="E74" s="804"/>
      <c r="F74" s="804"/>
      <c r="G74" s="310">
        <v>0</v>
      </c>
      <c r="H74" s="378"/>
      <c r="R74" s="809" t="s">
        <v>2</v>
      </c>
      <c r="S74" s="809"/>
      <c r="T74" s="809"/>
      <c r="U74" s="809"/>
      <c r="V74" s="809"/>
      <c r="W74" s="370" t="s">
        <v>378</v>
      </c>
      <c r="X74" s="342" t="s">
        <v>379</v>
      </c>
      <c r="Y74" s="371" t="s">
        <v>377</v>
      </c>
      <c r="Z74" s="370" t="s">
        <v>368</v>
      </c>
      <c r="AA74" s="342" t="s">
        <v>369</v>
      </c>
      <c r="AB74" s="371" t="s">
        <v>373</v>
      </c>
      <c r="AC74" s="370" t="s">
        <v>370</v>
      </c>
      <c r="AD74" s="342" t="s">
        <v>371</v>
      </c>
      <c r="AE74" s="371" t="s">
        <v>374</v>
      </c>
      <c r="AF74" s="370" t="s">
        <v>372</v>
      </c>
      <c r="AG74" s="342" t="s">
        <v>380</v>
      </c>
      <c r="AH74" s="371" t="s">
        <v>375</v>
      </c>
      <c r="AI74" s="380" t="s">
        <v>78</v>
      </c>
      <c r="AJ74" s="380" t="s">
        <v>382</v>
      </c>
      <c r="AK74" s="380" t="s">
        <v>376</v>
      </c>
      <c r="AL74" s="342" t="s">
        <v>383</v>
      </c>
      <c r="AM74" s="342" t="s">
        <v>381</v>
      </c>
      <c r="AN74" s="810" t="s">
        <v>384</v>
      </c>
      <c r="AO74" s="810"/>
    </row>
    <row r="75" spans="2:41" ht="15" customHeight="1" x14ac:dyDescent="0.25">
      <c r="B75" s="804" t="s">
        <v>55</v>
      </c>
      <c r="C75" s="804"/>
      <c r="D75" s="804"/>
      <c r="E75" s="804"/>
      <c r="F75" s="804"/>
      <c r="G75" s="310">
        <v>0</v>
      </c>
      <c r="H75" s="378"/>
      <c r="R75" s="804" t="s">
        <v>421</v>
      </c>
      <c r="S75" s="804"/>
      <c r="T75" s="804"/>
      <c r="U75" s="804"/>
      <c r="V75" s="804"/>
      <c r="W75" s="368">
        <v>10</v>
      </c>
      <c r="X75" s="335">
        <v>26.69</v>
      </c>
      <c r="Y75" s="369">
        <f t="shared" ref="Y75:Y90" si="29">IF(AK75 &lt; AF75+AC75+Z75+W75, MIN(AC75+AF75+Z75+W75-AK75,AI75-AH75-AE75-AB75,W75),0)</f>
        <v>0</v>
      </c>
      <c r="Z75" s="368">
        <v>2</v>
      </c>
      <c r="AA75" s="335">
        <v>22.5</v>
      </c>
      <c r="AB75" s="369">
        <f t="shared" ref="AB75:AB90" si="30">IF(AK75 &lt; AF75+AC75+Z75, MIN(AC75+AF75+Z75-AK75,AI75-AH75-AE75,Z75),0)</f>
        <v>0</v>
      </c>
      <c r="AC75" s="368">
        <v>10</v>
      </c>
      <c r="AD75" s="335">
        <v>17.04</v>
      </c>
      <c r="AE75" s="369">
        <f t="shared" ref="AE75:AE90" si="31">IF(AK75 &lt; AF75+AC75, MIN(AC75+AF75-AK75,AI75-AH75,AC75),0)</f>
        <v>0</v>
      </c>
      <c r="AF75" s="368"/>
      <c r="AG75" s="335"/>
      <c r="AH75" s="369">
        <f t="shared" ref="AH75:AH90" si="32">IF(AK75 &lt;=AF75, MIN(AF75-AK75,AI75), 0)</f>
        <v>0</v>
      </c>
      <c r="AI75" s="465"/>
      <c r="AJ75" s="465"/>
      <c r="AK75" s="465"/>
      <c r="AL75" s="342" t="str">
        <f t="shared" ref="AL75:AL90" si="33">IF(OR((W75+Z75+AC75+AF75) &gt;= (AI75+AK75), AI75 = 0), "YA", "MAS")</f>
        <v>YA</v>
      </c>
      <c r="AM75" s="337">
        <f t="shared" ref="AM75:AM90" si="34">IF(AI75=0,0,AH75*AG75+AE75*AD75+AB75*AA75+Y75*X75)</f>
        <v>0</v>
      </c>
      <c r="AN75" s="803">
        <f t="shared" ref="AN75:AN90" si="35">AJ75-AM75</f>
        <v>0</v>
      </c>
      <c r="AO75" s="803"/>
    </row>
    <row r="76" spans="2:41" ht="15" customHeight="1" x14ac:dyDescent="0.25">
      <c r="B76" s="804" t="s">
        <v>5</v>
      </c>
      <c r="C76" s="804"/>
      <c r="D76" s="804"/>
      <c r="E76" s="804"/>
      <c r="F76" s="804"/>
      <c r="G76" s="310">
        <v>30</v>
      </c>
      <c r="H76" s="378">
        <v>50</v>
      </c>
      <c r="R76" s="804" t="s">
        <v>422</v>
      </c>
      <c r="S76" s="804"/>
      <c r="T76" s="804"/>
      <c r="U76" s="804"/>
      <c r="V76" s="804"/>
      <c r="W76" s="368">
        <v>10</v>
      </c>
      <c r="X76" s="335">
        <v>15.18</v>
      </c>
      <c r="Y76" s="369">
        <f t="shared" si="29"/>
        <v>0</v>
      </c>
      <c r="Z76" s="368">
        <v>4</v>
      </c>
      <c r="AA76" s="335">
        <v>13</v>
      </c>
      <c r="AB76" s="369">
        <f t="shared" si="30"/>
        <v>1</v>
      </c>
      <c r="AC76" s="368"/>
      <c r="AD76" s="335"/>
      <c r="AE76" s="369">
        <f t="shared" si="31"/>
        <v>0</v>
      </c>
      <c r="AF76" s="368"/>
      <c r="AG76" s="335"/>
      <c r="AH76" s="369">
        <f t="shared" si="32"/>
        <v>0</v>
      </c>
      <c r="AI76" s="465">
        <v>1</v>
      </c>
      <c r="AJ76" s="465">
        <v>19</v>
      </c>
      <c r="AK76" s="465"/>
      <c r="AL76" s="342" t="str">
        <f t="shared" si="33"/>
        <v>YA</v>
      </c>
      <c r="AM76" s="337">
        <f t="shared" si="34"/>
        <v>13</v>
      </c>
      <c r="AN76" s="803">
        <f t="shared" si="35"/>
        <v>6</v>
      </c>
      <c r="AO76" s="803"/>
    </row>
    <row r="77" spans="2:41" ht="15" customHeight="1" x14ac:dyDescent="0.25">
      <c r="B77" s="804" t="s">
        <v>4</v>
      </c>
      <c r="C77" s="804"/>
      <c r="D77" s="804"/>
      <c r="E77" s="804"/>
      <c r="F77" s="804"/>
      <c r="G77" s="310">
        <v>0</v>
      </c>
      <c r="H77" s="378"/>
      <c r="R77" s="804" t="s">
        <v>423</v>
      </c>
      <c r="S77" s="804"/>
      <c r="T77" s="804"/>
      <c r="U77" s="804"/>
      <c r="V77" s="804"/>
      <c r="W77" s="368">
        <v>5</v>
      </c>
      <c r="X77" s="335">
        <v>10.97</v>
      </c>
      <c r="Y77" s="369">
        <f t="shared" si="29"/>
        <v>0</v>
      </c>
      <c r="Z77" s="368">
        <v>10</v>
      </c>
      <c r="AA77" s="335">
        <v>10.58</v>
      </c>
      <c r="AB77" s="369">
        <f t="shared" si="30"/>
        <v>0</v>
      </c>
      <c r="AC77" s="368"/>
      <c r="AD77" s="335"/>
      <c r="AE77" s="369">
        <f t="shared" si="31"/>
        <v>0</v>
      </c>
      <c r="AF77" s="368"/>
      <c r="AG77" s="335"/>
      <c r="AH77" s="369">
        <f t="shared" si="32"/>
        <v>0</v>
      </c>
      <c r="AI77" s="465"/>
      <c r="AJ77" s="465"/>
      <c r="AK77" s="465"/>
      <c r="AL77" s="342" t="str">
        <f t="shared" si="33"/>
        <v>YA</v>
      </c>
      <c r="AM77" s="337">
        <f t="shared" si="34"/>
        <v>0</v>
      </c>
      <c r="AN77" s="803">
        <f>AJ77-AM77</f>
        <v>0</v>
      </c>
      <c r="AO77" s="803"/>
    </row>
    <row r="78" spans="2:41" ht="15" customHeight="1" x14ac:dyDescent="0.25">
      <c r="B78" s="804" t="s">
        <v>12</v>
      </c>
      <c r="C78" s="804"/>
      <c r="D78" s="804"/>
      <c r="E78" s="804"/>
      <c r="F78" s="804"/>
      <c r="G78" s="310">
        <v>0</v>
      </c>
      <c r="H78" s="378">
        <v>60</v>
      </c>
      <c r="R78" s="804" t="s">
        <v>424</v>
      </c>
      <c r="S78" s="804"/>
      <c r="T78" s="804"/>
      <c r="U78" s="804"/>
      <c r="V78" s="804"/>
      <c r="W78" s="368">
        <v>28</v>
      </c>
      <c r="X78" s="334">
        <v>14.5</v>
      </c>
      <c r="Y78" s="369">
        <f t="shared" si="29"/>
        <v>0</v>
      </c>
      <c r="Z78" s="368">
        <v>20</v>
      </c>
      <c r="AA78" s="334">
        <v>13.5</v>
      </c>
      <c r="AB78" s="369">
        <f t="shared" si="30"/>
        <v>0</v>
      </c>
      <c r="AC78" s="368"/>
      <c r="AD78" s="335"/>
      <c r="AE78" s="369">
        <f t="shared" si="31"/>
        <v>0</v>
      </c>
      <c r="AF78" s="368"/>
      <c r="AG78" s="334"/>
      <c r="AH78" s="369">
        <f t="shared" si="32"/>
        <v>0</v>
      </c>
      <c r="AI78" s="465"/>
      <c r="AJ78" s="465"/>
      <c r="AK78" s="465"/>
      <c r="AL78" s="342" t="str">
        <f t="shared" si="33"/>
        <v>YA</v>
      </c>
      <c r="AM78" s="337">
        <f t="shared" si="34"/>
        <v>0</v>
      </c>
      <c r="AN78" s="803">
        <f t="shared" si="35"/>
        <v>0</v>
      </c>
      <c r="AO78" s="803"/>
    </row>
    <row r="79" spans="2:41" x14ac:dyDescent="0.25">
      <c r="B79" s="804" t="s">
        <v>204</v>
      </c>
      <c r="C79" s="804"/>
      <c r="D79" s="804"/>
      <c r="E79" s="804"/>
      <c r="F79" s="804"/>
      <c r="G79" s="310">
        <v>200</v>
      </c>
      <c r="H79" s="378">
        <v>300</v>
      </c>
      <c r="R79" s="804" t="s">
        <v>425</v>
      </c>
      <c r="S79" s="804"/>
      <c r="T79" s="804"/>
      <c r="U79" s="804"/>
      <c r="V79" s="804"/>
      <c r="W79" s="368"/>
      <c r="X79" s="334"/>
      <c r="Y79" s="369">
        <f t="shared" si="29"/>
        <v>0</v>
      </c>
      <c r="Z79" s="368"/>
      <c r="AA79" s="334"/>
      <c r="AB79" s="369">
        <f t="shared" si="30"/>
        <v>0</v>
      </c>
      <c r="AC79" s="368"/>
      <c r="AD79" s="335"/>
      <c r="AE79" s="369">
        <f t="shared" si="31"/>
        <v>0</v>
      </c>
      <c r="AF79" s="368"/>
      <c r="AG79" s="334"/>
      <c r="AH79" s="369">
        <f t="shared" si="32"/>
        <v>0</v>
      </c>
      <c r="AI79" s="465"/>
      <c r="AJ79" s="465"/>
      <c r="AK79" s="465"/>
      <c r="AL79" s="342" t="str">
        <f t="shared" si="33"/>
        <v>YA</v>
      </c>
      <c r="AM79" s="337">
        <f t="shared" si="34"/>
        <v>0</v>
      </c>
      <c r="AN79" s="803">
        <f t="shared" si="35"/>
        <v>0</v>
      </c>
      <c r="AO79" s="803"/>
    </row>
    <row r="80" spans="2:41" ht="15" customHeight="1" x14ac:dyDescent="0.25">
      <c r="B80" s="804" t="s">
        <v>52</v>
      </c>
      <c r="C80" s="804"/>
      <c r="D80" s="804"/>
      <c r="E80" s="804"/>
      <c r="F80" s="804"/>
      <c r="G80" s="310">
        <v>15</v>
      </c>
      <c r="H80" s="378">
        <v>15</v>
      </c>
      <c r="R80" s="804" t="s">
        <v>426</v>
      </c>
      <c r="S80" s="804"/>
      <c r="T80" s="804"/>
      <c r="U80" s="804"/>
      <c r="V80" s="804"/>
      <c r="W80" s="368">
        <v>2</v>
      </c>
      <c r="X80" s="335">
        <v>16.5</v>
      </c>
      <c r="Y80" s="369">
        <f t="shared" si="29"/>
        <v>0</v>
      </c>
      <c r="Z80" s="368"/>
      <c r="AA80" s="335"/>
      <c r="AB80" s="369">
        <f t="shared" si="30"/>
        <v>0</v>
      </c>
      <c r="AC80" s="368"/>
      <c r="AD80" s="335"/>
      <c r="AE80" s="369">
        <f t="shared" si="31"/>
        <v>0</v>
      </c>
      <c r="AF80" s="368"/>
      <c r="AG80" s="335"/>
      <c r="AH80" s="369">
        <f t="shared" si="32"/>
        <v>0</v>
      </c>
      <c r="AI80" s="465"/>
      <c r="AJ80" s="465"/>
      <c r="AK80" s="465"/>
      <c r="AL80" s="342" t="str">
        <f t="shared" si="33"/>
        <v>YA</v>
      </c>
      <c r="AM80" s="337">
        <f t="shared" si="34"/>
        <v>0</v>
      </c>
      <c r="AN80" s="803">
        <f t="shared" si="35"/>
        <v>0</v>
      </c>
      <c r="AO80" s="803"/>
    </row>
    <row r="81" spans="2:41" ht="15" customHeight="1" x14ac:dyDescent="0.25">
      <c r="B81" s="804" t="s">
        <v>99</v>
      </c>
      <c r="C81" s="804"/>
      <c r="D81" s="804"/>
      <c r="E81" s="804"/>
      <c r="F81" s="804"/>
      <c r="G81" s="310">
        <v>0</v>
      </c>
      <c r="H81" s="378"/>
      <c r="R81" s="804" t="s">
        <v>427</v>
      </c>
      <c r="S81" s="804"/>
      <c r="T81" s="804"/>
      <c r="U81" s="804"/>
      <c r="V81" s="804"/>
      <c r="W81" s="368"/>
      <c r="X81" s="334"/>
      <c r="Y81" s="369">
        <f t="shared" si="29"/>
        <v>0</v>
      </c>
      <c r="Z81" s="368"/>
      <c r="AA81" s="334"/>
      <c r="AB81" s="369">
        <f t="shared" si="30"/>
        <v>0</v>
      </c>
      <c r="AC81" s="368"/>
      <c r="AD81" s="335"/>
      <c r="AE81" s="369">
        <f t="shared" si="31"/>
        <v>0</v>
      </c>
      <c r="AF81" s="368"/>
      <c r="AG81" s="334"/>
      <c r="AH81" s="369">
        <f t="shared" si="32"/>
        <v>0</v>
      </c>
      <c r="AI81" s="465"/>
      <c r="AJ81" s="465"/>
      <c r="AK81" s="465"/>
      <c r="AL81" s="342" t="str">
        <f t="shared" si="33"/>
        <v>YA</v>
      </c>
      <c r="AM81" s="337">
        <f t="shared" si="34"/>
        <v>0</v>
      </c>
      <c r="AN81" s="803">
        <f t="shared" si="35"/>
        <v>0</v>
      </c>
      <c r="AO81" s="803"/>
    </row>
    <row r="82" spans="2:41" ht="15" customHeight="1" x14ac:dyDescent="0.25">
      <c r="B82" s="804" t="s">
        <v>100</v>
      </c>
      <c r="C82" s="804"/>
      <c r="D82" s="804"/>
      <c r="E82" s="804"/>
      <c r="F82" s="804"/>
      <c r="G82" s="310">
        <v>0</v>
      </c>
      <c r="H82" s="378"/>
      <c r="R82" s="804" t="s">
        <v>428</v>
      </c>
      <c r="S82" s="804"/>
      <c r="T82" s="804"/>
      <c r="U82" s="804"/>
      <c r="V82" s="804"/>
      <c r="W82" s="368">
        <v>36</v>
      </c>
      <c r="X82" s="334">
        <v>12</v>
      </c>
      <c r="Y82" s="369">
        <f t="shared" si="29"/>
        <v>0</v>
      </c>
      <c r="Z82" s="368">
        <v>19</v>
      </c>
      <c r="AA82" s="334">
        <v>13.5</v>
      </c>
      <c r="AB82" s="369">
        <f t="shared" si="30"/>
        <v>0</v>
      </c>
      <c r="AC82" s="368"/>
      <c r="AD82" s="335"/>
      <c r="AE82" s="369">
        <f t="shared" si="31"/>
        <v>0</v>
      </c>
      <c r="AF82" s="368"/>
      <c r="AG82" s="334"/>
      <c r="AH82" s="369">
        <f t="shared" si="32"/>
        <v>0</v>
      </c>
      <c r="AI82" s="465"/>
      <c r="AJ82" s="465"/>
      <c r="AK82" s="465"/>
      <c r="AL82" s="342" t="str">
        <f t="shared" si="33"/>
        <v>YA</v>
      </c>
      <c r="AM82" s="337">
        <f t="shared" si="34"/>
        <v>0</v>
      </c>
      <c r="AN82" s="803">
        <f t="shared" si="35"/>
        <v>0</v>
      </c>
      <c r="AO82" s="803"/>
    </row>
    <row r="83" spans="2:41" ht="15" customHeight="1" x14ac:dyDescent="0.25">
      <c r="B83" s="804" t="s">
        <v>98</v>
      </c>
      <c r="C83" s="804"/>
      <c r="D83" s="804"/>
      <c r="E83" s="804"/>
      <c r="F83" s="804"/>
      <c r="G83" s="310">
        <v>0</v>
      </c>
      <c r="H83" s="378"/>
      <c r="R83" s="804" t="s">
        <v>429</v>
      </c>
      <c r="S83" s="804"/>
      <c r="T83" s="804"/>
      <c r="U83" s="804"/>
      <c r="V83" s="804"/>
      <c r="W83" s="368">
        <v>50</v>
      </c>
      <c r="X83" s="334">
        <v>22.25</v>
      </c>
      <c r="Y83" s="369">
        <f t="shared" si="29"/>
        <v>0</v>
      </c>
      <c r="Z83" s="368"/>
      <c r="AA83" s="334"/>
      <c r="AB83" s="369">
        <f t="shared" si="30"/>
        <v>0</v>
      </c>
      <c r="AC83" s="368"/>
      <c r="AD83" s="335"/>
      <c r="AE83" s="369">
        <f t="shared" si="31"/>
        <v>0</v>
      </c>
      <c r="AF83" s="368"/>
      <c r="AG83" s="334"/>
      <c r="AH83" s="369">
        <f t="shared" si="32"/>
        <v>0</v>
      </c>
      <c r="AI83" s="465"/>
      <c r="AJ83" s="465"/>
      <c r="AK83" s="465"/>
      <c r="AL83" s="342" t="str">
        <f t="shared" si="33"/>
        <v>YA</v>
      </c>
      <c r="AM83" s="337">
        <f t="shared" si="34"/>
        <v>0</v>
      </c>
      <c r="AN83" s="803">
        <f t="shared" si="35"/>
        <v>0</v>
      </c>
      <c r="AO83" s="803"/>
    </row>
    <row r="84" spans="2:41" ht="15" customHeight="1" x14ac:dyDescent="0.25">
      <c r="B84" s="804" t="s">
        <v>101</v>
      </c>
      <c r="C84" s="804"/>
      <c r="D84" s="804"/>
      <c r="E84" s="804"/>
      <c r="F84" s="804"/>
      <c r="G84" s="310">
        <v>0</v>
      </c>
      <c r="H84" s="378"/>
      <c r="R84" s="804" t="s">
        <v>430</v>
      </c>
      <c r="S84" s="804"/>
      <c r="T84" s="804"/>
      <c r="U84" s="804"/>
      <c r="V84" s="804"/>
      <c r="W84" s="368">
        <v>20</v>
      </c>
      <c r="X84" s="334">
        <v>10</v>
      </c>
      <c r="Y84" s="369">
        <f t="shared" si="29"/>
        <v>0</v>
      </c>
      <c r="Z84" s="368"/>
      <c r="AA84" s="334"/>
      <c r="AB84" s="369">
        <f t="shared" si="30"/>
        <v>0</v>
      </c>
      <c r="AC84" s="368"/>
      <c r="AD84" s="335"/>
      <c r="AE84" s="369">
        <f t="shared" si="31"/>
        <v>0</v>
      </c>
      <c r="AF84" s="368"/>
      <c r="AG84" s="334"/>
      <c r="AH84" s="369">
        <f t="shared" si="32"/>
        <v>0</v>
      </c>
      <c r="AI84" s="465"/>
      <c r="AJ84" s="465"/>
      <c r="AK84" s="465"/>
      <c r="AL84" s="342" t="str">
        <f t="shared" si="33"/>
        <v>YA</v>
      </c>
      <c r="AM84" s="337">
        <f t="shared" si="34"/>
        <v>0</v>
      </c>
      <c r="AN84" s="803">
        <f t="shared" si="35"/>
        <v>0</v>
      </c>
      <c r="AO84" s="803"/>
    </row>
    <row r="85" spans="2:41" x14ac:dyDescent="0.25">
      <c r="B85" s="804" t="s">
        <v>11</v>
      </c>
      <c r="C85" s="804"/>
      <c r="D85" s="804"/>
      <c r="E85" s="804"/>
      <c r="F85" s="804"/>
      <c r="G85" s="310">
        <v>30</v>
      </c>
      <c r="H85" s="378">
        <v>50</v>
      </c>
      <c r="R85" s="804" t="s">
        <v>431</v>
      </c>
      <c r="S85" s="804"/>
      <c r="T85" s="804"/>
      <c r="U85" s="804"/>
      <c r="V85" s="804"/>
      <c r="W85" s="368">
        <v>25</v>
      </c>
      <c r="X85" s="334">
        <v>11.3</v>
      </c>
      <c r="Y85" s="369">
        <f t="shared" si="29"/>
        <v>0</v>
      </c>
      <c r="Z85" s="368">
        <v>50</v>
      </c>
      <c r="AA85" s="334">
        <v>9</v>
      </c>
      <c r="AB85" s="369">
        <f t="shared" si="30"/>
        <v>0</v>
      </c>
      <c r="AC85" s="368">
        <v>30</v>
      </c>
      <c r="AD85" s="335">
        <v>8.0500000000000007</v>
      </c>
      <c r="AE85" s="369">
        <f t="shared" si="31"/>
        <v>-30</v>
      </c>
      <c r="AF85" s="368">
        <v>30</v>
      </c>
      <c r="AG85" s="334">
        <v>6.5</v>
      </c>
      <c r="AH85" s="369">
        <f t="shared" si="32"/>
        <v>30</v>
      </c>
      <c r="AI85" s="465"/>
      <c r="AJ85" s="465"/>
      <c r="AK85" s="465"/>
      <c r="AL85" s="342" t="str">
        <f t="shared" si="33"/>
        <v>YA</v>
      </c>
      <c r="AM85" s="337">
        <f t="shared" si="34"/>
        <v>0</v>
      </c>
      <c r="AN85" s="803">
        <f t="shared" si="35"/>
        <v>0</v>
      </c>
      <c r="AO85" s="803"/>
    </row>
    <row r="86" spans="2:41" ht="15" customHeight="1" x14ac:dyDescent="0.25">
      <c r="B86" s="804" t="s">
        <v>10</v>
      </c>
      <c r="C86" s="804"/>
      <c r="D86" s="804"/>
      <c r="E86" s="804"/>
      <c r="F86" s="804"/>
      <c r="G86" s="310">
        <v>20</v>
      </c>
      <c r="H86" s="378">
        <v>40</v>
      </c>
      <c r="R86" s="804" t="s">
        <v>432</v>
      </c>
      <c r="S86" s="804"/>
      <c r="T86" s="804"/>
      <c r="U86" s="804"/>
      <c r="V86" s="804"/>
      <c r="W86" s="368">
        <v>20</v>
      </c>
      <c r="X86" s="336">
        <v>8</v>
      </c>
      <c r="Y86" s="369">
        <f t="shared" si="29"/>
        <v>0</v>
      </c>
      <c r="Z86" s="368"/>
      <c r="AA86" s="336"/>
      <c r="AB86" s="369">
        <f t="shared" si="30"/>
        <v>0</v>
      </c>
      <c r="AC86" s="368"/>
      <c r="AD86" s="335"/>
      <c r="AE86" s="369">
        <f t="shared" si="31"/>
        <v>0</v>
      </c>
      <c r="AF86" s="368"/>
      <c r="AG86" s="336"/>
      <c r="AH86" s="369">
        <f t="shared" si="32"/>
        <v>0</v>
      </c>
      <c r="AI86" s="465"/>
      <c r="AJ86" s="465"/>
      <c r="AK86" s="465"/>
      <c r="AL86" s="342" t="str">
        <f t="shared" si="33"/>
        <v>YA</v>
      </c>
      <c r="AM86" s="337">
        <f t="shared" si="34"/>
        <v>0</v>
      </c>
      <c r="AN86" s="803">
        <f t="shared" si="35"/>
        <v>0</v>
      </c>
      <c r="AO86" s="803"/>
    </row>
    <row r="87" spans="2:41" ht="15" customHeight="1" x14ac:dyDescent="0.25">
      <c r="B87" s="804" t="s">
        <v>9</v>
      </c>
      <c r="C87" s="804"/>
      <c r="D87" s="804"/>
      <c r="E87" s="804"/>
      <c r="F87" s="804"/>
      <c r="G87" s="310">
        <v>30</v>
      </c>
      <c r="H87" s="378">
        <v>70</v>
      </c>
      <c r="R87" s="804" t="s">
        <v>433</v>
      </c>
      <c r="S87" s="804"/>
      <c r="T87" s="804"/>
      <c r="U87" s="804"/>
      <c r="V87" s="804"/>
      <c r="W87" s="368">
        <v>50</v>
      </c>
      <c r="X87" s="336">
        <v>13</v>
      </c>
      <c r="Y87" s="369">
        <f t="shared" si="29"/>
        <v>0</v>
      </c>
      <c r="Z87" s="368">
        <v>20</v>
      </c>
      <c r="AA87" s="336">
        <v>13.5</v>
      </c>
      <c r="AB87" s="369">
        <f t="shared" si="30"/>
        <v>0</v>
      </c>
      <c r="AC87" s="368"/>
      <c r="AD87" s="335"/>
      <c r="AE87" s="369">
        <f t="shared" si="31"/>
        <v>0</v>
      </c>
      <c r="AF87" s="368"/>
      <c r="AG87" s="336"/>
      <c r="AH87" s="369">
        <f t="shared" si="32"/>
        <v>0</v>
      </c>
      <c r="AI87" s="465"/>
      <c r="AJ87" s="465"/>
      <c r="AK87" s="465"/>
      <c r="AL87" s="342" t="str">
        <f t="shared" si="33"/>
        <v>YA</v>
      </c>
      <c r="AM87" s="337">
        <f t="shared" si="34"/>
        <v>0</v>
      </c>
      <c r="AN87" s="803">
        <f t="shared" si="35"/>
        <v>0</v>
      </c>
      <c r="AO87" s="803"/>
    </row>
    <row r="88" spans="2:41" x14ac:dyDescent="0.25">
      <c r="B88" s="804" t="s">
        <v>8</v>
      </c>
      <c r="C88" s="804"/>
      <c r="D88" s="804"/>
      <c r="E88" s="804"/>
      <c r="F88" s="804"/>
      <c r="G88" s="310">
        <v>0</v>
      </c>
      <c r="H88" s="378"/>
      <c r="R88" s="804" t="s">
        <v>434</v>
      </c>
      <c r="S88" s="804"/>
      <c r="T88" s="804"/>
      <c r="U88" s="804"/>
      <c r="V88" s="804"/>
      <c r="W88" s="368"/>
      <c r="X88" s="336"/>
      <c r="Y88" s="369">
        <f t="shared" si="29"/>
        <v>0</v>
      </c>
      <c r="Z88" s="368"/>
      <c r="AA88" s="336"/>
      <c r="AB88" s="369">
        <f t="shared" si="30"/>
        <v>0</v>
      </c>
      <c r="AC88" s="368"/>
      <c r="AD88" s="335"/>
      <c r="AE88" s="369">
        <f t="shared" si="31"/>
        <v>0</v>
      </c>
      <c r="AF88" s="368"/>
      <c r="AG88" s="336"/>
      <c r="AH88" s="369">
        <f t="shared" si="32"/>
        <v>0</v>
      </c>
      <c r="AI88" s="465"/>
      <c r="AJ88" s="465"/>
      <c r="AK88" s="465"/>
      <c r="AL88" s="342" t="str">
        <f t="shared" si="33"/>
        <v>YA</v>
      </c>
      <c r="AM88" s="337">
        <f t="shared" si="34"/>
        <v>0</v>
      </c>
      <c r="AN88" s="803">
        <f t="shared" si="35"/>
        <v>0</v>
      </c>
      <c r="AO88" s="803"/>
    </row>
    <row r="89" spans="2:41" x14ac:dyDescent="0.25">
      <c r="B89" s="804" t="s">
        <v>57</v>
      </c>
      <c r="C89" s="804"/>
      <c r="D89" s="804"/>
      <c r="E89" s="804"/>
      <c r="F89" s="804"/>
      <c r="G89" s="310">
        <v>30</v>
      </c>
      <c r="H89" s="378">
        <v>60</v>
      </c>
      <c r="R89" s="804" t="s">
        <v>435</v>
      </c>
      <c r="S89" s="804"/>
      <c r="T89" s="804"/>
      <c r="U89" s="804"/>
      <c r="V89" s="804"/>
      <c r="W89" s="368">
        <v>10</v>
      </c>
      <c r="X89" s="336">
        <v>15.83</v>
      </c>
      <c r="Y89" s="369">
        <f t="shared" si="29"/>
        <v>0</v>
      </c>
      <c r="Z89" s="368"/>
      <c r="AA89" s="336"/>
      <c r="AB89" s="369">
        <f t="shared" si="30"/>
        <v>0</v>
      </c>
      <c r="AC89" s="368"/>
      <c r="AD89" s="335"/>
      <c r="AE89" s="369">
        <f t="shared" si="31"/>
        <v>0</v>
      </c>
      <c r="AF89" s="368"/>
      <c r="AG89" s="336"/>
      <c r="AH89" s="369">
        <f t="shared" si="32"/>
        <v>0</v>
      </c>
      <c r="AI89" s="465"/>
      <c r="AJ89" s="465"/>
      <c r="AK89" s="465"/>
      <c r="AL89" s="342" t="str">
        <f t="shared" si="33"/>
        <v>YA</v>
      </c>
      <c r="AM89" s="337">
        <f t="shared" si="34"/>
        <v>0</v>
      </c>
      <c r="AN89" s="803">
        <f t="shared" si="35"/>
        <v>0</v>
      </c>
      <c r="AO89" s="803"/>
    </row>
    <row r="90" spans="2:41" x14ac:dyDescent="0.25">
      <c r="B90" s="804" t="s">
        <v>51</v>
      </c>
      <c r="C90" s="804"/>
      <c r="D90" s="804"/>
      <c r="E90" s="804"/>
      <c r="F90" s="804"/>
      <c r="G90" s="310">
        <v>0</v>
      </c>
      <c r="R90" s="804" t="s">
        <v>436</v>
      </c>
      <c r="S90" s="804"/>
      <c r="T90" s="804"/>
      <c r="U90" s="804"/>
      <c r="V90" s="804"/>
      <c r="W90" s="368"/>
      <c r="X90" s="336"/>
      <c r="Y90" s="369">
        <f t="shared" si="29"/>
        <v>0</v>
      </c>
      <c r="Z90" s="368"/>
      <c r="AA90" s="336"/>
      <c r="AB90" s="369">
        <f t="shared" si="30"/>
        <v>0</v>
      </c>
      <c r="AC90" s="368"/>
      <c r="AD90" s="335"/>
      <c r="AE90" s="369">
        <f t="shared" si="31"/>
        <v>0</v>
      </c>
      <c r="AF90" s="368"/>
      <c r="AG90" s="336"/>
      <c r="AH90" s="369">
        <f t="shared" si="32"/>
        <v>0</v>
      </c>
      <c r="AI90" s="465"/>
      <c r="AJ90" s="465"/>
      <c r="AK90" s="465"/>
      <c r="AL90" s="342" t="str">
        <f t="shared" si="33"/>
        <v>YA</v>
      </c>
      <c r="AM90" s="337">
        <f t="shared" si="34"/>
        <v>0</v>
      </c>
      <c r="AN90" s="803">
        <f t="shared" si="35"/>
        <v>0</v>
      </c>
      <c r="AO90" s="803"/>
    </row>
    <row r="91" spans="2:41" x14ac:dyDescent="0.25">
      <c r="R91" s="804" t="s">
        <v>437</v>
      </c>
      <c r="S91" s="804"/>
      <c r="T91" s="804"/>
      <c r="U91" s="804"/>
      <c r="V91" s="804"/>
      <c r="W91" s="368">
        <v>10</v>
      </c>
      <c r="X91" s="336">
        <v>10.59</v>
      </c>
      <c r="Y91" s="369">
        <f t="shared" ref="Y91:Y104" si="36">IF(AK91 &lt; AF91+AC91+Z91+W91, MIN(AC91+AF91+Z91+W91-AK91,AI91-AH91-AE91-AB91,W91),0)</f>
        <v>0</v>
      </c>
      <c r="Z91" s="368">
        <v>10</v>
      </c>
      <c r="AA91" s="336">
        <v>5.58</v>
      </c>
      <c r="AB91" s="369">
        <f t="shared" ref="AB91:AB104" si="37">IF(AK91 &lt; AF91+AC91+Z91, MIN(AC91+AF91+Z91-AK91,AI91-AH91-AE91,Z91),0)</f>
        <v>0</v>
      </c>
      <c r="AC91" s="368"/>
      <c r="AD91" s="335"/>
      <c r="AE91" s="369">
        <f t="shared" ref="AE91:AE104" si="38">IF(AK91 &lt; AF91+AC91, MIN(AC91+AF91-AK91,AI91-AH91,AC91),0)</f>
        <v>0</v>
      </c>
      <c r="AF91" s="368"/>
      <c r="AG91" s="336"/>
      <c r="AH91" s="369">
        <f t="shared" ref="AH91:AH104" si="39">IF(AK91 &lt;=AF91, MIN(AF91-AK91,AI91), 0)</f>
        <v>0</v>
      </c>
      <c r="AI91" s="465"/>
      <c r="AJ91" s="465"/>
      <c r="AK91" s="465"/>
      <c r="AL91" s="342" t="str">
        <f t="shared" ref="AL91:AL104" si="40">IF(OR((W91+Z91+AC91+AF91) &gt;= (AI91+AK91), AI91 = 0), "YA", "MAS")</f>
        <v>YA</v>
      </c>
      <c r="AM91" s="337">
        <f t="shared" ref="AM91:AM104" si="41">IF(AI91=0,0,AH91*AG91+AE91*AD91+AB91*AA91+Y91*X91)</f>
        <v>0</v>
      </c>
      <c r="AN91" s="803">
        <f t="shared" ref="AN91:AN104" si="42">AJ91-AM91</f>
        <v>0</v>
      </c>
      <c r="AO91" s="803"/>
    </row>
    <row r="92" spans="2:41" x14ac:dyDescent="0.25">
      <c r="R92" s="804" t="s">
        <v>438</v>
      </c>
      <c r="S92" s="804"/>
      <c r="T92" s="804"/>
      <c r="U92" s="804"/>
      <c r="V92" s="804"/>
      <c r="W92" s="368">
        <v>15</v>
      </c>
      <c r="X92" s="336">
        <v>8.33</v>
      </c>
      <c r="Y92" s="369">
        <f t="shared" si="36"/>
        <v>0</v>
      </c>
      <c r="Z92" s="368">
        <v>10</v>
      </c>
      <c r="AA92" s="336">
        <v>5.05</v>
      </c>
      <c r="AB92" s="369">
        <f t="shared" si="37"/>
        <v>0</v>
      </c>
      <c r="AC92" s="368"/>
      <c r="AD92" s="335"/>
      <c r="AE92" s="369">
        <f t="shared" si="38"/>
        <v>0</v>
      </c>
      <c r="AF92" s="368"/>
      <c r="AG92" s="336"/>
      <c r="AH92" s="369">
        <f t="shared" si="39"/>
        <v>0</v>
      </c>
      <c r="AI92" s="465"/>
      <c r="AJ92" s="465"/>
      <c r="AK92" s="465"/>
      <c r="AL92" s="342" t="str">
        <f t="shared" si="40"/>
        <v>YA</v>
      </c>
      <c r="AM92" s="337">
        <f t="shared" si="41"/>
        <v>0</v>
      </c>
      <c r="AN92" s="803">
        <f t="shared" si="42"/>
        <v>0</v>
      </c>
      <c r="AO92" s="803"/>
    </row>
    <row r="93" spans="2:41" x14ac:dyDescent="0.25">
      <c r="R93" s="804" t="s">
        <v>439</v>
      </c>
      <c r="S93" s="804"/>
      <c r="T93" s="804"/>
      <c r="U93" s="804"/>
      <c r="V93" s="804"/>
      <c r="W93" s="368">
        <v>10</v>
      </c>
      <c r="X93" s="335">
        <v>9.92</v>
      </c>
      <c r="Y93" s="369">
        <f t="shared" si="36"/>
        <v>0</v>
      </c>
      <c r="Z93" s="368">
        <v>6</v>
      </c>
      <c r="AA93" s="336">
        <v>11.8</v>
      </c>
      <c r="AB93" s="369">
        <f t="shared" si="37"/>
        <v>0</v>
      </c>
      <c r="AC93" s="368">
        <v>10</v>
      </c>
      <c r="AD93" s="335">
        <v>7.75</v>
      </c>
      <c r="AE93" s="369">
        <f t="shared" si="38"/>
        <v>-30</v>
      </c>
      <c r="AF93" s="368">
        <v>30</v>
      </c>
      <c r="AG93" s="336">
        <v>6.73</v>
      </c>
      <c r="AH93" s="369">
        <f t="shared" si="39"/>
        <v>30</v>
      </c>
      <c r="AI93" s="465"/>
      <c r="AJ93" s="465"/>
      <c r="AK93" s="465"/>
      <c r="AL93" s="342" t="str">
        <f t="shared" si="40"/>
        <v>YA</v>
      </c>
      <c r="AM93" s="337">
        <f t="shared" si="41"/>
        <v>0</v>
      </c>
      <c r="AN93" s="803">
        <f t="shared" si="42"/>
        <v>0</v>
      </c>
      <c r="AO93" s="803"/>
    </row>
    <row r="94" spans="2:41" x14ac:dyDescent="0.25">
      <c r="R94" s="804" t="s">
        <v>440</v>
      </c>
      <c r="S94" s="804"/>
      <c r="T94" s="804"/>
      <c r="U94" s="804"/>
      <c r="V94" s="804"/>
      <c r="W94" s="368">
        <v>10</v>
      </c>
      <c r="X94" s="335">
        <v>7.26</v>
      </c>
      <c r="Y94" s="369">
        <f t="shared" si="36"/>
        <v>0</v>
      </c>
      <c r="Z94" s="368">
        <v>15</v>
      </c>
      <c r="AA94" s="336">
        <v>7.56</v>
      </c>
      <c r="AB94" s="369">
        <f t="shared" si="37"/>
        <v>0</v>
      </c>
      <c r="AC94" s="368"/>
      <c r="AD94" s="335"/>
      <c r="AE94" s="369">
        <f t="shared" si="38"/>
        <v>0</v>
      </c>
      <c r="AF94" s="368"/>
      <c r="AG94" s="336"/>
      <c r="AH94" s="369">
        <f t="shared" si="39"/>
        <v>0</v>
      </c>
      <c r="AI94" s="465"/>
      <c r="AJ94" s="465"/>
      <c r="AK94" s="465"/>
      <c r="AL94" s="342" t="str">
        <f t="shared" si="40"/>
        <v>YA</v>
      </c>
      <c r="AM94" s="337">
        <f t="shared" si="41"/>
        <v>0</v>
      </c>
      <c r="AN94" s="803">
        <f t="shared" si="42"/>
        <v>0</v>
      </c>
      <c r="AO94" s="803"/>
    </row>
    <row r="95" spans="2:41" x14ac:dyDescent="0.25">
      <c r="R95" s="804" t="s">
        <v>441</v>
      </c>
      <c r="S95" s="804"/>
      <c r="T95" s="804"/>
      <c r="U95" s="804"/>
      <c r="V95" s="804"/>
      <c r="W95" s="368">
        <v>5</v>
      </c>
      <c r="X95" s="336">
        <v>18.29</v>
      </c>
      <c r="Y95" s="369">
        <f t="shared" si="36"/>
        <v>0</v>
      </c>
      <c r="Z95" s="368"/>
      <c r="AA95" s="336"/>
      <c r="AB95" s="369">
        <f t="shared" si="37"/>
        <v>0</v>
      </c>
      <c r="AC95" s="368"/>
      <c r="AD95" s="335"/>
      <c r="AE95" s="369">
        <f t="shared" si="38"/>
        <v>0</v>
      </c>
      <c r="AF95" s="368"/>
      <c r="AG95" s="336"/>
      <c r="AH95" s="369">
        <f t="shared" si="39"/>
        <v>0</v>
      </c>
      <c r="AI95" s="465"/>
      <c r="AJ95" s="465"/>
      <c r="AK95" s="465"/>
      <c r="AL95" s="342" t="str">
        <f t="shared" si="40"/>
        <v>YA</v>
      </c>
      <c r="AM95" s="337">
        <f t="shared" si="41"/>
        <v>0</v>
      </c>
      <c r="AN95" s="803">
        <f t="shared" si="42"/>
        <v>0</v>
      </c>
      <c r="AO95" s="803"/>
    </row>
    <row r="96" spans="2:41" x14ac:dyDescent="0.25">
      <c r="R96" s="804" t="s">
        <v>442</v>
      </c>
      <c r="S96" s="804"/>
      <c r="T96" s="804"/>
      <c r="U96" s="804"/>
      <c r="V96" s="804"/>
      <c r="W96" s="368">
        <v>5</v>
      </c>
      <c r="X96" s="336">
        <v>19.510000000000002</v>
      </c>
      <c r="Y96" s="369">
        <f t="shared" si="36"/>
        <v>0</v>
      </c>
      <c r="Z96" s="368"/>
      <c r="AA96" s="336"/>
      <c r="AB96" s="369">
        <f t="shared" si="37"/>
        <v>0</v>
      </c>
      <c r="AC96" s="368"/>
      <c r="AD96" s="335"/>
      <c r="AE96" s="369">
        <f t="shared" si="38"/>
        <v>0</v>
      </c>
      <c r="AF96" s="368"/>
      <c r="AG96" s="336"/>
      <c r="AH96" s="369">
        <f t="shared" si="39"/>
        <v>0</v>
      </c>
      <c r="AI96" s="465"/>
      <c r="AJ96" s="465"/>
      <c r="AK96" s="465"/>
      <c r="AL96" s="342" t="str">
        <f t="shared" si="40"/>
        <v>YA</v>
      </c>
      <c r="AM96" s="337">
        <f t="shared" si="41"/>
        <v>0</v>
      </c>
      <c r="AN96" s="803">
        <f t="shared" si="42"/>
        <v>0</v>
      </c>
      <c r="AO96" s="803"/>
    </row>
    <row r="97" spans="18:41" x14ac:dyDescent="0.25">
      <c r="R97" s="804" t="s">
        <v>443</v>
      </c>
      <c r="S97" s="804"/>
      <c r="T97" s="804"/>
      <c r="U97" s="804"/>
      <c r="V97" s="804"/>
      <c r="W97" s="368">
        <v>5</v>
      </c>
      <c r="X97" s="336">
        <v>13</v>
      </c>
      <c r="Y97" s="369">
        <f t="shared" ref="Y97" si="43">IF(AK97 &lt; AF97+AC97+Z97+W97, MIN(AC97+AF97+Z97+W97-AK97,AI97-AH97-AE97-AB97,W97),0)</f>
        <v>0</v>
      </c>
      <c r="Z97" s="368">
        <v>20</v>
      </c>
      <c r="AA97" s="336">
        <v>12.25</v>
      </c>
      <c r="AB97" s="369">
        <f t="shared" ref="AB97" si="44">IF(AK97 &lt; AF97+AC97+Z97, MIN(AC97+AF97+Z97-AK97,AI97-AH97-AE97,Z97),0)</f>
        <v>0</v>
      </c>
      <c r="AC97" s="368">
        <v>50</v>
      </c>
      <c r="AD97" s="335">
        <v>9.73</v>
      </c>
      <c r="AE97" s="369">
        <f t="shared" ref="AE97" si="45">IF(AK97 &lt; AF97+AC97, MIN(AC97+AF97-AK97,AI97-AH97,AC97),0)</f>
        <v>4</v>
      </c>
      <c r="AF97" s="368"/>
      <c r="AG97" s="336"/>
      <c r="AH97" s="369">
        <f t="shared" ref="AH97" si="46">IF(AK97 &lt;=AF97, MIN(AF97-AK97,AI97), 0)</f>
        <v>0</v>
      </c>
      <c r="AI97" s="465">
        <v>4</v>
      </c>
      <c r="AJ97" s="465">
        <v>46.71</v>
      </c>
      <c r="AK97" s="465"/>
      <c r="AL97" s="491" t="str">
        <f t="shared" ref="AL97" si="47">IF(OR((W97+Z97+AC97+AF97) &gt;= (AI97+AK97), AI97 = 0), "YA", "MAS")</f>
        <v>YA</v>
      </c>
      <c r="AM97" s="337">
        <f t="shared" ref="AM97" si="48">IF(AI97=0,0,AH97*AG97+AE97*AD97+AB97*AA97+Y97*X97)</f>
        <v>38.92</v>
      </c>
      <c r="AN97" s="803">
        <f t="shared" ref="AN97" si="49">AJ97-AM97</f>
        <v>7.7899999999999991</v>
      </c>
      <c r="AO97" s="803"/>
    </row>
    <row r="98" spans="18:41" x14ac:dyDescent="0.25">
      <c r="R98" s="804" t="s">
        <v>616</v>
      </c>
      <c r="S98" s="804"/>
      <c r="T98" s="804"/>
      <c r="U98" s="804"/>
      <c r="V98" s="804"/>
      <c r="W98" s="368">
        <v>10</v>
      </c>
      <c r="X98" s="336">
        <v>15.54</v>
      </c>
      <c r="Y98" s="369">
        <f t="shared" si="36"/>
        <v>5</v>
      </c>
      <c r="Z98" s="368"/>
      <c r="AA98" s="336"/>
      <c r="AB98" s="369">
        <f t="shared" si="37"/>
        <v>0</v>
      </c>
      <c r="AC98" s="368"/>
      <c r="AD98" s="335"/>
      <c r="AE98" s="369">
        <f t="shared" si="38"/>
        <v>0</v>
      </c>
      <c r="AF98" s="368"/>
      <c r="AG98" s="336"/>
      <c r="AH98" s="369">
        <f t="shared" si="39"/>
        <v>0</v>
      </c>
      <c r="AI98" s="465">
        <v>5</v>
      </c>
      <c r="AJ98" s="465">
        <v>110</v>
      </c>
      <c r="AK98" s="465"/>
      <c r="AL98" s="406" t="str">
        <f t="shared" si="40"/>
        <v>YA</v>
      </c>
      <c r="AM98" s="337">
        <f t="shared" si="41"/>
        <v>77.699999999999989</v>
      </c>
      <c r="AN98" s="803">
        <f t="shared" si="42"/>
        <v>32.300000000000011</v>
      </c>
      <c r="AO98" s="803"/>
    </row>
    <row r="99" spans="18:41" x14ac:dyDescent="0.25">
      <c r="R99" s="800" t="s">
        <v>484</v>
      </c>
      <c r="S99" s="801"/>
      <c r="T99" s="801"/>
      <c r="U99" s="801"/>
      <c r="V99" s="802"/>
      <c r="W99" s="368">
        <v>10</v>
      </c>
      <c r="X99" s="336">
        <v>10.56</v>
      </c>
      <c r="Y99" s="369">
        <f t="shared" si="36"/>
        <v>0</v>
      </c>
      <c r="Z99" s="368"/>
      <c r="AA99" s="336"/>
      <c r="AB99" s="369">
        <f t="shared" si="37"/>
        <v>0</v>
      </c>
      <c r="AC99" s="368"/>
      <c r="AD99" s="335"/>
      <c r="AE99" s="369">
        <f t="shared" si="38"/>
        <v>0</v>
      </c>
      <c r="AF99" s="368"/>
      <c r="AG99" s="336"/>
      <c r="AH99" s="369">
        <f t="shared" si="39"/>
        <v>0</v>
      </c>
      <c r="AI99" s="465"/>
      <c r="AJ99" s="465"/>
      <c r="AK99" s="465"/>
      <c r="AL99" s="406" t="str">
        <f t="shared" si="40"/>
        <v>YA</v>
      </c>
      <c r="AM99" s="337">
        <f t="shared" si="41"/>
        <v>0</v>
      </c>
      <c r="AN99" s="803">
        <f t="shared" si="42"/>
        <v>0</v>
      </c>
      <c r="AO99" s="803"/>
    </row>
    <row r="100" spans="18:41" x14ac:dyDescent="0.25">
      <c r="R100" s="800" t="s">
        <v>482</v>
      </c>
      <c r="S100" s="801"/>
      <c r="T100" s="801"/>
      <c r="U100" s="801"/>
      <c r="V100" s="802"/>
      <c r="W100" s="368">
        <v>10</v>
      </c>
      <c r="X100" s="336">
        <v>12.5</v>
      </c>
      <c r="Y100" s="369">
        <f t="shared" si="36"/>
        <v>0</v>
      </c>
      <c r="Z100" s="368"/>
      <c r="AA100" s="336"/>
      <c r="AB100" s="369">
        <f t="shared" si="37"/>
        <v>0</v>
      </c>
      <c r="AC100" s="368"/>
      <c r="AD100" s="335"/>
      <c r="AE100" s="369">
        <f t="shared" si="38"/>
        <v>0</v>
      </c>
      <c r="AF100" s="368"/>
      <c r="AG100" s="336"/>
      <c r="AH100" s="369">
        <f t="shared" si="39"/>
        <v>0</v>
      </c>
      <c r="AI100" s="465"/>
      <c r="AJ100" s="465"/>
      <c r="AK100" s="465"/>
      <c r="AL100" s="406" t="str">
        <f t="shared" si="40"/>
        <v>YA</v>
      </c>
      <c r="AM100" s="337">
        <f t="shared" si="41"/>
        <v>0</v>
      </c>
      <c r="AN100" s="803">
        <f t="shared" si="42"/>
        <v>0</v>
      </c>
      <c r="AO100" s="803"/>
    </row>
    <row r="101" spans="18:41" x14ac:dyDescent="0.25">
      <c r="R101" s="800" t="s">
        <v>483</v>
      </c>
      <c r="S101" s="801"/>
      <c r="T101" s="801"/>
      <c r="U101" s="801"/>
      <c r="V101" s="802"/>
      <c r="W101" s="368">
        <v>5</v>
      </c>
      <c r="X101" s="336">
        <v>25.61</v>
      </c>
      <c r="Y101" s="369">
        <f t="shared" si="36"/>
        <v>0</v>
      </c>
      <c r="Z101" s="368"/>
      <c r="AA101" s="336"/>
      <c r="AB101" s="369">
        <f t="shared" si="37"/>
        <v>0</v>
      </c>
      <c r="AC101" s="368"/>
      <c r="AD101" s="335"/>
      <c r="AE101" s="369">
        <f t="shared" si="38"/>
        <v>0</v>
      </c>
      <c r="AF101" s="368"/>
      <c r="AG101" s="336"/>
      <c r="AH101" s="369">
        <f t="shared" si="39"/>
        <v>0</v>
      </c>
      <c r="AI101" s="465"/>
      <c r="AJ101" s="465"/>
      <c r="AK101" s="465"/>
      <c r="AL101" s="406" t="str">
        <f t="shared" si="40"/>
        <v>YA</v>
      </c>
      <c r="AM101" s="337">
        <f t="shared" si="41"/>
        <v>0</v>
      </c>
      <c r="AN101" s="811">
        <f t="shared" si="42"/>
        <v>0</v>
      </c>
      <c r="AO101" s="812"/>
    </row>
    <row r="102" spans="18:41" x14ac:dyDescent="0.25">
      <c r="R102" s="800" t="s">
        <v>627</v>
      </c>
      <c r="S102" s="801"/>
      <c r="T102" s="801"/>
      <c r="U102" s="801"/>
      <c r="V102" s="802"/>
      <c r="W102" s="368">
        <v>10</v>
      </c>
      <c r="X102" s="336">
        <v>5.88</v>
      </c>
      <c r="Y102" s="369">
        <f t="shared" ref="Y102:Y103" si="50">IF(AK102 &lt; AF102+AC102+Z102+W102, MIN(AC102+AF102+Z102+W102-AK102,AI102-AH102-AE102-AB102,W102),0)</f>
        <v>0</v>
      </c>
      <c r="Z102" s="368"/>
      <c r="AA102" s="336"/>
      <c r="AB102" s="369">
        <f t="shared" ref="AB102:AB103" si="51">IF(AK102 &lt; AF102+AC102+Z102, MIN(AC102+AF102+Z102-AK102,AI102-AH102-AE102,Z102),0)</f>
        <v>0</v>
      </c>
      <c r="AC102" s="368"/>
      <c r="AD102" s="335"/>
      <c r="AE102" s="369">
        <f t="shared" ref="AE102:AE103" si="52">IF(AK102 &lt; AF102+AC102, MIN(AC102+AF102-AK102,AI102-AH102,AC102),0)</f>
        <v>0</v>
      </c>
      <c r="AF102" s="368"/>
      <c r="AG102" s="336"/>
      <c r="AH102" s="369">
        <f t="shared" ref="AH102:AH103" si="53">IF(AK102 &lt;=AF102, MIN(AF102-AK102,AI102), 0)</f>
        <v>0</v>
      </c>
      <c r="AI102" s="465"/>
      <c r="AJ102" s="465"/>
      <c r="AK102" s="465"/>
      <c r="AL102" s="499" t="str">
        <f t="shared" ref="AL102:AL103" si="54">IF(OR((W102+Z102+AC102+AF102) &gt;= (AI102+AK102), AI102 = 0), "YA", "MAS")</f>
        <v>YA</v>
      </c>
      <c r="AM102" s="337">
        <f t="shared" ref="AM102:AM103" si="55">IF(AI102=0,0,AH102*AG102+AE102*AD102+AB102*AA102+Y102*X102)</f>
        <v>0</v>
      </c>
      <c r="AN102" s="811">
        <f t="shared" ref="AN102:AN103" si="56">AJ102-AM102</f>
        <v>0</v>
      </c>
      <c r="AO102" s="812"/>
    </row>
    <row r="103" spans="18:41" x14ac:dyDescent="0.25">
      <c r="R103" s="800" t="s">
        <v>628</v>
      </c>
      <c r="S103" s="801"/>
      <c r="T103" s="801"/>
      <c r="U103" s="801"/>
      <c r="V103" s="802"/>
      <c r="W103" s="368">
        <v>10</v>
      </c>
      <c r="X103" s="336">
        <v>6.42</v>
      </c>
      <c r="Y103" s="369">
        <f t="shared" si="50"/>
        <v>0</v>
      </c>
      <c r="Z103" s="368"/>
      <c r="AA103" s="336"/>
      <c r="AB103" s="369">
        <f t="shared" si="51"/>
        <v>0</v>
      </c>
      <c r="AC103" s="368"/>
      <c r="AD103" s="335"/>
      <c r="AE103" s="369">
        <f t="shared" si="52"/>
        <v>0</v>
      </c>
      <c r="AF103" s="368"/>
      <c r="AG103" s="336"/>
      <c r="AH103" s="369">
        <f t="shared" si="53"/>
        <v>0</v>
      </c>
      <c r="AI103" s="465"/>
      <c r="AJ103" s="465"/>
      <c r="AK103" s="465"/>
      <c r="AL103" s="499" t="str">
        <f t="shared" si="54"/>
        <v>YA</v>
      </c>
      <c r="AM103" s="337">
        <f t="shared" si="55"/>
        <v>0</v>
      </c>
      <c r="AN103" s="811">
        <f t="shared" si="56"/>
        <v>0</v>
      </c>
      <c r="AO103" s="812"/>
    </row>
    <row r="104" spans="18:41" x14ac:dyDescent="0.25">
      <c r="R104" s="800" t="s">
        <v>485</v>
      </c>
      <c r="S104" s="801"/>
      <c r="T104" s="801"/>
      <c r="U104" s="801"/>
      <c r="V104" s="802"/>
      <c r="W104" s="368">
        <v>10</v>
      </c>
      <c r="X104" s="336">
        <v>67</v>
      </c>
      <c r="Y104" s="369">
        <f t="shared" si="36"/>
        <v>0</v>
      </c>
      <c r="Z104" s="368"/>
      <c r="AA104" s="336"/>
      <c r="AB104" s="369">
        <f t="shared" si="37"/>
        <v>0</v>
      </c>
      <c r="AC104" s="368"/>
      <c r="AD104" s="335"/>
      <c r="AE104" s="369">
        <f t="shared" si="38"/>
        <v>0</v>
      </c>
      <c r="AF104" s="368"/>
      <c r="AG104" s="336"/>
      <c r="AH104" s="369">
        <f t="shared" si="39"/>
        <v>0</v>
      </c>
      <c r="AI104" s="465"/>
      <c r="AJ104" s="465"/>
      <c r="AK104" s="465"/>
      <c r="AL104" s="406" t="str">
        <f t="shared" si="40"/>
        <v>YA</v>
      </c>
      <c r="AM104" s="337">
        <f t="shared" si="41"/>
        <v>0</v>
      </c>
      <c r="AN104" s="811">
        <f t="shared" si="42"/>
        <v>0</v>
      </c>
      <c r="AO104" s="812"/>
    </row>
    <row r="105" spans="18:41" ht="18.75" x14ac:dyDescent="0.25">
      <c r="R105" s="331"/>
      <c r="S105" s="331"/>
      <c r="T105" s="331"/>
      <c r="U105" s="331"/>
      <c r="V105" s="331"/>
      <c r="W105" s="332"/>
      <c r="X105" s="330"/>
      <c r="Y105" s="330"/>
      <c r="Z105" s="330"/>
      <c r="AA105" s="330"/>
      <c r="AJ105" s="377">
        <f>SUM(AJ75:AJ104)</f>
        <v>175.71</v>
      </c>
      <c r="AK105" s="338"/>
      <c r="AM105" s="377">
        <f>SUM(AM75:AM104)</f>
        <v>129.62</v>
      </c>
      <c r="AN105" s="375">
        <f>SUM(AN75:AN104)</f>
        <v>46.090000000000011</v>
      </c>
      <c r="AO105" s="376">
        <f>AN105/AM105</f>
        <v>0.35557784292547451</v>
      </c>
    </row>
    <row r="106" spans="18:41" x14ac:dyDescent="0.25">
      <c r="R106" s="339"/>
    </row>
    <row r="107" spans="18:41" ht="44.25" customHeight="1" x14ac:dyDescent="0.25">
      <c r="R107" s="806" t="s">
        <v>444</v>
      </c>
      <c r="S107" s="807"/>
      <c r="T107" s="807"/>
      <c r="U107" s="807"/>
      <c r="V107" s="807"/>
      <c r="W107" s="807"/>
      <c r="X107" s="807"/>
      <c r="Y107" s="807"/>
      <c r="Z107" s="807"/>
      <c r="AA107" s="807"/>
      <c r="AB107" s="807"/>
      <c r="AC107" s="807"/>
      <c r="AD107" s="807"/>
      <c r="AE107" s="807"/>
      <c r="AF107" s="807"/>
      <c r="AG107" s="807"/>
      <c r="AH107" s="807"/>
      <c r="AI107" s="807"/>
      <c r="AJ107" s="807"/>
      <c r="AK107" s="807"/>
      <c r="AL107" s="807"/>
      <c r="AM107" s="807"/>
      <c r="AN107" s="807"/>
      <c r="AO107" s="808"/>
    </row>
    <row r="108" spans="18:41" ht="18.75" x14ac:dyDescent="0.25">
      <c r="R108" s="809" t="s">
        <v>2</v>
      </c>
      <c r="S108" s="809"/>
      <c r="T108" s="809"/>
      <c r="U108" s="809"/>
      <c r="V108" s="809"/>
      <c r="W108" s="370" t="s">
        <v>378</v>
      </c>
      <c r="X108" s="342" t="s">
        <v>379</v>
      </c>
      <c r="Y108" s="371" t="s">
        <v>377</v>
      </c>
      <c r="Z108" s="370" t="s">
        <v>368</v>
      </c>
      <c r="AA108" s="342" t="s">
        <v>369</v>
      </c>
      <c r="AB108" s="371" t="s">
        <v>373</v>
      </c>
      <c r="AC108" s="370" t="s">
        <v>370</v>
      </c>
      <c r="AD108" s="342" t="s">
        <v>371</v>
      </c>
      <c r="AE108" s="371" t="s">
        <v>374</v>
      </c>
      <c r="AF108" s="370" t="s">
        <v>372</v>
      </c>
      <c r="AG108" s="342" t="s">
        <v>380</v>
      </c>
      <c r="AH108" s="371" t="s">
        <v>375</v>
      </c>
      <c r="AI108" s="380" t="s">
        <v>78</v>
      </c>
      <c r="AJ108" s="380" t="s">
        <v>382</v>
      </c>
      <c r="AK108" s="380" t="s">
        <v>376</v>
      </c>
      <c r="AL108" s="342" t="s">
        <v>383</v>
      </c>
      <c r="AM108" s="342" t="s">
        <v>381</v>
      </c>
      <c r="AN108" s="810" t="s">
        <v>384</v>
      </c>
      <c r="AO108" s="810"/>
    </row>
    <row r="109" spans="18:41" x14ac:dyDescent="0.25">
      <c r="R109" s="804" t="s">
        <v>445</v>
      </c>
      <c r="S109" s="804"/>
      <c r="T109" s="804"/>
      <c r="U109" s="804"/>
      <c r="V109" s="804"/>
      <c r="W109" s="368">
        <v>6</v>
      </c>
      <c r="X109" s="335">
        <v>120</v>
      </c>
      <c r="Y109" s="369">
        <f t="shared" ref="Y109:Y121" si="57">IF(AK109 &lt; AF109+AC109+Z109+W109, MIN(AC109+AF109+Z109+W109-AK109,AI109-AH109-AE109-AB109,W109),0)</f>
        <v>0</v>
      </c>
      <c r="Z109" s="368">
        <v>7</v>
      </c>
      <c r="AA109" s="335">
        <v>100</v>
      </c>
      <c r="AB109" s="369">
        <f t="shared" ref="AB109:AB121" si="58">IF(AK109 &lt; AF109+AC109+Z109, MIN(AC109+AF109+Z109-AK109,AI109-AH109-AE109,Z109),0)</f>
        <v>1</v>
      </c>
      <c r="AC109" s="368"/>
      <c r="AD109" s="335"/>
      <c r="AE109" s="369">
        <f t="shared" ref="AE109:AE121" si="59">IF(AK109 &lt; AF109+AC109, MIN(AC109+AF109-AK109,AI109-AH109,AC109),0)</f>
        <v>0</v>
      </c>
      <c r="AF109" s="368"/>
      <c r="AG109" s="335"/>
      <c r="AH109" s="369">
        <f t="shared" ref="AH109:AH121" si="60">IF(AK109 &lt;=AF109, MIN(AF109-AK109,AI109), 0)</f>
        <v>0</v>
      </c>
      <c r="AI109" s="465">
        <v>1</v>
      </c>
      <c r="AJ109" s="465">
        <v>125</v>
      </c>
      <c r="AK109" s="465"/>
      <c r="AL109" s="342" t="str">
        <f t="shared" ref="AL109:AL121" si="61">IF(OR((W109+Z109+AC109+AF109) &gt;= (AI109+AK109), AI109 = 0), "YA", "MAS")</f>
        <v>YA</v>
      </c>
      <c r="AM109" s="337">
        <f t="shared" ref="AM109:AM121" si="62">IF(AI109=0,0,AH109*AG109+AE109*AD109+AB109*AA109+Y109*X109)</f>
        <v>100</v>
      </c>
      <c r="AN109" s="803">
        <f t="shared" ref="AN109:AN121" si="63">AJ109-AM109</f>
        <v>25</v>
      </c>
      <c r="AO109" s="803"/>
    </row>
    <row r="110" spans="18:41" x14ac:dyDescent="0.25">
      <c r="R110" s="804" t="s">
        <v>446</v>
      </c>
      <c r="S110" s="804"/>
      <c r="T110" s="804"/>
      <c r="U110" s="804"/>
      <c r="V110" s="804"/>
      <c r="W110" s="368">
        <v>6</v>
      </c>
      <c r="X110" s="333">
        <v>65</v>
      </c>
      <c r="Y110" s="369">
        <f t="shared" si="57"/>
        <v>1</v>
      </c>
      <c r="Z110" s="368"/>
      <c r="AA110" s="335"/>
      <c r="AB110" s="369">
        <f t="shared" si="58"/>
        <v>0</v>
      </c>
      <c r="AC110" s="368"/>
      <c r="AD110" s="335"/>
      <c r="AE110" s="369">
        <f t="shared" si="59"/>
        <v>0</v>
      </c>
      <c r="AF110" s="368"/>
      <c r="AG110" s="335"/>
      <c r="AH110" s="369">
        <f t="shared" si="60"/>
        <v>0</v>
      </c>
      <c r="AI110" s="465">
        <v>1</v>
      </c>
      <c r="AJ110" s="465">
        <v>80</v>
      </c>
      <c r="AK110" s="465"/>
      <c r="AL110" s="342" t="str">
        <f t="shared" si="61"/>
        <v>YA</v>
      </c>
      <c r="AM110" s="337">
        <f t="shared" si="62"/>
        <v>65</v>
      </c>
      <c r="AN110" s="803">
        <f t="shared" si="63"/>
        <v>15</v>
      </c>
      <c r="AO110" s="803"/>
    </row>
    <row r="111" spans="18:41" x14ac:dyDescent="0.25">
      <c r="R111" s="804" t="s">
        <v>722</v>
      </c>
      <c r="S111" s="804"/>
      <c r="T111" s="804"/>
      <c r="U111" s="804"/>
      <c r="V111" s="804"/>
      <c r="W111" s="368">
        <v>5</v>
      </c>
      <c r="X111" s="333">
        <v>60</v>
      </c>
      <c r="Y111" s="369">
        <f t="shared" ref="Y111" si="64">IF(AK111 &lt; AF111+AC111+Z111+W111, MIN(AC111+AF111+Z111+W111-AK111,AI111-AH111-AE111-AB111,W111),0)</f>
        <v>0</v>
      </c>
      <c r="Z111" s="368">
        <v>6</v>
      </c>
      <c r="AA111" s="335">
        <v>55</v>
      </c>
      <c r="AB111" s="369">
        <f t="shared" ref="AB111" si="65">IF(AK111 &lt; AF111+AC111+Z111, MIN(AC111+AF111+Z111-AK111,AI111-AH111-AE111,Z111),0)</f>
        <v>0</v>
      </c>
      <c r="AC111" s="368"/>
      <c r="AD111" s="335"/>
      <c r="AE111" s="369">
        <f t="shared" ref="AE111" si="66">IF(AK111 &lt; AF111+AC111, MIN(AC111+AF111-AK111,AI111-AH111,AC111),0)</f>
        <v>0</v>
      </c>
      <c r="AF111" s="368"/>
      <c r="AG111" s="335"/>
      <c r="AH111" s="369">
        <f t="shared" ref="AH111" si="67">IF(AK111 &lt;=AF111, MIN(AF111-AK111,AI111), 0)</f>
        <v>0</v>
      </c>
      <c r="AI111" s="465"/>
      <c r="AJ111" s="465"/>
      <c r="AK111" s="465"/>
      <c r="AL111" s="483" t="str">
        <f t="shared" ref="AL111" si="68">IF(OR((W111+Z111+AC111+AF111) &gt;= (AI111+AK111), AI111 = 0), "YA", "MAS")</f>
        <v>YA</v>
      </c>
      <c r="AM111" s="337">
        <f t="shared" ref="AM111" si="69">IF(AI111=0,0,AH111*AG111+AE111*AD111+AB111*AA111+Y111*X111)</f>
        <v>0</v>
      </c>
      <c r="AN111" s="803">
        <f t="shared" ref="AN111" si="70">AJ111-AM111</f>
        <v>0</v>
      </c>
      <c r="AO111" s="803"/>
    </row>
    <row r="112" spans="18:41" x14ac:dyDescent="0.25">
      <c r="R112" s="804" t="s">
        <v>447</v>
      </c>
      <c r="S112" s="804"/>
      <c r="T112" s="804"/>
      <c r="U112" s="804"/>
      <c r="V112" s="804"/>
      <c r="W112" s="368">
        <v>10</v>
      </c>
      <c r="X112" s="335">
        <v>80</v>
      </c>
      <c r="Y112" s="369">
        <f t="shared" si="57"/>
        <v>0</v>
      </c>
      <c r="Z112" s="368">
        <v>9</v>
      </c>
      <c r="AA112" s="335">
        <v>65</v>
      </c>
      <c r="AB112" s="369">
        <f t="shared" si="58"/>
        <v>1</v>
      </c>
      <c r="AC112" s="368"/>
      <c r="AD112" s="335"/>
      <c r="AE112" s="369">
        <f t="shared" si="59"/>
        <v>0</v>
      </c>
      <c r="AF112" s="368"/>
      <c r="AG112" s="335"/>
      <c r="AH112" s="369">
        <f t="shared" si="60"/>
        <v>0</v>
      </c>
      <c r="AI112" s="465">
        <v>1</v>
      </c>
      <c r="AJ112" s="465">
        <v>85</v>
      </c>
      <c r="AK112" s="465"/>
      <c r="AL112" s="342" t="str">
        <f t="shared" si="61"/>
        <v>YA</v>
      </c>
      <c r="AM112" s="337">
        <f t="shared" si="62"/>
        <v>65</v>
      </c>
      <c r="AN112" s="803">
        <f t="shared" si="63"/>
        <v>20</v>
      </c>
      <c r="AO112" s="803"/>
    </row>
    <row r="113" spans="18:41" x14ac:dyDescent="0.25">
      <c r="R113" s="804" t="s">
        <v>448</v>
      </c>
      <c r="S113" s="804"/>
      <c r="T113" s="804"/>
      <c r="U113" s="804"/>
      <c r="V113" s="804"/>
      <c r="W113" s="368">
        <v>9</v>
      </c>
      <c r="X113" s="335">
        <v>80</v>
      </c>
      <c r="Y113" s="369">
        <f t="shared" si="57"/>
        <v>0</v>
      </c>
      <c r="Z113" s="368">
        <v>6</v>
      </c>
      <c r="AA113" s="334">
        <v>85</v>
      </c>
      <c r="AB113" s="369">
        <f t="shared" si="58"/>
        <v>0</v>
      </c>
      <c r="AC113" s="368">
        <v>6</v>
      </c>
      <c r="AD113" s="335">
        <v>80</v>
      </c>
      <c r="AE113" s="369">
        <f t="shared" si="59"/>
        <v>0</v>
      </c>
      <c r="AF113" s="368"/>
      <c r="AG113" s="334"/>
      <c r="AH113" s="369">
        <f t="shared" si="60"/>
        <v>0</v>
      </c>
      <c r="AI113" s="465"/>
      <c r="AJ113" s="465"/>
      <c r="AK113" s="465"/>
      <c r="AL113" s="342" t="str">
        <f t="shared" si="61"/>
        <v>YA</v>
      </c>
      <c r="AM113" s="337">
        <f t="shared" si="62"/>
        <v>0</v>
      </c>
      <c r="AN113" s="803">
        <f t="shared" si="63"/>
        <v>0</v>
      </c>
      <c r="AO113" s="803"/>
    </row>
    <row r="114" spans="18:41" x14ac:dyDescent="0.25">
      <c r="R114" s="804" t="s">
        <v>449</v>
      </c>
      <c r="S114" s="804"/>
      <c r="T114" s="804"/>
      <c r="U114" s="804"/>
      <c r="V114" s="804"/>
      <c r="W114" s="368">
        <v>3</v>
      </c>
      <c r="X114" s="333">
        <v>120</v>
      </c>
      <c r="Y114" s="369">
        <f t="shared" si="57"/>
        <v>0</v>
      </c>
      <c r="Z114" s="368">
        <v>3</v>
      </c>
      <c r="AA114" s="335">
        <v>100</v>
      </c>
      <c r="AB114" s="369">
        <f t="shared" si="58"/>
        <v>2</v>
      </c>
      <c r="AC114" s="368"/>
      <c r="AD114" s="335"/>
      <c r="AE114" s="369">
        <f t="shared" si="59"/>
        <v>0</v>
      </c>
      <c r="AF114" s="368"/>
      <c r="AG114" s="334"/>
      <c r="AH114" s="369">
        <f t="shared" si="60"/>
        <v>0</v>
      </c>
      <c r="AI114" s="465">
        <v>2</v>
      </c>
      <c r="AJ114" s="465">
        <v>220</v>
      </c>
      <c r="AK114" s="465"/>
      <c r="AL114" s="342" t="str">
        <f t="shared" si="61"/>
        <v>YA</v>
      </c>
      <c r="AM114" s="337">
        <f t="shared" si="62"/>
        <v>200</v>
      </c>
      <c r="AN114" s="803">
        <f t="shared" si="63"/>
        <v>20</v>
      </c>
      <c r="AO114" s="803"/>
    </row>
    <row r="115" spans="18:41" x14ac:dyDescent="0.25">
      <c r="R115" s="804" t="s">
        <v>450</v>
      </c>
      <c r="S115" s="804"/>
      <c r="T115" s="804"/>
      <c r="U115" s="804"/>
      <c r="V115" s="804"/>
      <c r="W115" s="368">
        <v>3</v>
      </c>
      <c r="X115" s="335">
        <v>180</v>
      </c>
      <c r="Y115" s="369">
        <f t="shared" si="57"/>
        <v>0</v>
      </c>
      <c r="Z115" s="368"/>
      <c r="AA115" s="334"/>
      <c r="AB115" s="369">
        <f t="shared" si="58"/>
        <v>0</v>
      </c>
      <c r="AC115" s="368"/>
      <c r="AD115" s="335"/>
      <c r="AE115" s="369">
        <f t="shared" si="59"/>
        <v>0</v>
      </c>
      <c r="AF115" s="368"/>
      <c r="AG115" s="335"/>
      <c r="AH115" s="369">
        <f t="shared" si="60"/>
        <v>0</v>
      </c>
      <c r="AI115" s="465"/>
      <c r="AJ115" s="465"/>
      <c r="AK115" s="465"/>
      <c r="AL115" s="342" t="str">
        <f t="shared" si="61"/>
        <v>YA</v>
      </c>
      <c r="AM115" s="337">
        <f t="shared" si="62"/>
        <v>0</v>
      </c>
      <c r="AN115" s="803">
        <f t="shared" si="63"/>
        <v>0</v>
      </c>
      <c r="AO115" s="803"/>
    </row>
    <row r="116" spans="18:41" x14ac:dyDescent="0.25">
      <c r="R116" s="804" t="s">
        <v>721</v>
      </c>
      <c r="S116" s="804"/>
      <c r="T116" s="804"/>
      <c r="U116" s="804"/>
      <c r="V116" s="804"/>
      <c r="W116" s="368">
        <v>6</v>
      </c>
      <c r="X116" s="335">
        <v>85</v>
      </c>
      <c r="Y116" s="369">
        <f t="shared" si="57"/>
        <v>0</v>
      </c>
      <c r="Z116" s="368">
        <v>6</v>
      </c>
      <c r="AA116" s="335">
        <v>88</v>
      </c>
      <c r="AB116" s="369">
        <f t="shared" si="58"/>
        <v>0</v>
      </c>
      <c r="AC116" s="368">
        <v>20</v>
      </c>
      <c r="AD116" s="334">
        <v>80</v>
      </c>
      <c r="AE116" s="369">
        <f t="shared" si="59"/>
        <v>1</v>
      </c>
      <c r="AF116" s="368"/>
      <c r="AG116" s="334"/>
      <c r="AH116" s="369">
        <f t="shared" si="60"/>
        <v>0</v>
      </c>
      <c r="AI116" s="465">
        <v>1</v>
      </c>
      <c r="AJ116" s="465">
        <v>93.33</v>
      </c>
      <c r="AK116" s="465"/>
      <c r="AL116" s="342" t="str">
        <f t="shared" si="61"/>
        <v>YA</v>
      </c>
      <c r="AM116" s="337">
        <f t="shared" si="62"/>
        <v>80</v>
      </c>
      <c r="AN116" s="803">
        <f t="shared" si="63"/>
        <v>13.329999999999998</v>
      </c>
      <c r="AO116" s="803"/>
    </row>
    <row r="117" spans="18:41" x14ac:dyDescent="0.25">
      <c r="R117" s="804" t="s">
        <v>452</v>
      </c>
      <c r="S117" s="804"/>
      <c r="T117" s="804"/>
      <c r="U117" s="804"/>
      <c r="V117" s="804"/>
      <c r="W117" s="368">
        <v>1</v>
      </c>
      <c r="X117" s="335">
        <v>250</v>
      </c>
      <c r="Y117" s="369">
        <f t="shared" si="57"/>
        <v>0</v>
      </c>
      <c r="Z117" s="368">
        <v>1</v>
      </c>
      <c r="AA117" s="335">
        <v>210</v>
      </c>
      <c r="AB117" s="369">
        <f t="shared" si="58"/>
        <v>0</v>
      </c>
      <c r="AC117" s="368"/>
      <c r="AD117" s="334"/>
      <c r="AE117" s="369">
        <f t="shared" si="59"/>
        <v>0</v>
      </c>
      <c r="AF117" s="368"/>
      <c r="AG117" s="334"/>
      <c r="AH117" s="369">
        <f t="shared" si="60"/>
        <v>0</v>
      </c>
      <c r="AI117" s="465"/>
      <c r="AJ117" s="465"/>
      <c r="AK117" s="465"/>
      <c r="AL117" s="402" t="str">
        <f t="shared" si="61"/>
        <v>YA</v>
      </c>
      <c r="AM117" s="337">
        <f t="shared" si="62"/>
        <v>0</v>
      </c>
      <c r="AN117" s="803">
        <f t="shared" si="63"/>
        <v>0</v>
      </c>
      <c r="AO117" s="803"/>
    </row>
    <row r="118" spans="18:41" ht="14.25" customHeight="1" x14ac:dyDescent="0.25">
      <c r="R118" s="804" t="s">
        <v>476</v>
      </c>
      <c r="S118" s="804"/>
      <c r="T118" s="804"/>
      <c r="U118" s="804"/>
      <c r="V118" s="804"/>
      <c r="W118" s="368">
        <v>2</v>
      </c>
      <c r="X118" s="335">
        <v>87.54</v>
      </c>
      <c r="Y118" s="369">
        <f t="shared" si="57"/>
        <v>0</v>
      </c>
      <c r="Z118" s="368">
        <v>5</v>
      </c>
      <c r="AA118" s="335">
        <v>95.08</v>
      </c>
      <c r="AB118" s="369">
        <f t="shared" si="58"/>
        <v>0</v>
      </c>
      <c r="AC118" s="368"/>
      <c r="AD118" s="334"/>
      <c r="AE118" s="369">
        <f t="shared" si="59"/>
        <v>0</v>
      </c>
      <c r="AF118" s="368"/>
      <c r="AG118" s="334"/>
      <c r="AH118" s="369">
        <f t="shared" si="60"/>
        <v>0</v>
      </c>
      <c r="AI118" s="465"/>
      <c r="AJ118" s="465"/>
      <c r="AK118" s="465"/>
      <c r="AL118" s="402" t="str">
        <f t="shared" si="61"/>
        <v>YA</v>
      </c>
      <c r="AM118" s="337">
        <f t="shared" si="62"/>
        <v>0</v>
      </c>
      <c r="AN118" s="803">
        <f t="shared" si="63"/>
        <v>0</v>
      </c>
      <c r="AO118" s="803"/>
    </row>
    <row r="119" spans="18:41" ht="14.25" customHeight="1" x14ac:dyDescent="0.25">
      <c r="R119" s="804" t="s">
        <v>705</v>
      </c>
      <c r="S119" s="804"/>
      <c r="T119" s="804"/>
      <c r="U119" s="804"/>
      <c r="V119" s="804"/>
      <c r="W119" s="368">
        <v>3</v>
      </c>
      <c r="X119" s="335">
        <v>12</v>
      </c>
      <c r="Y119" s="369">
        <f t="shared" si="57"/>
        <v>0</v>
      </c>
      <c r="Z119" s="368"/>
      <c r="AA119" s="335"/>
      <c r="AB119" s="369">
        <f t="shared" si="58"/>
        <v>0</v>
      </c>
      <c r="AC119" s="368"/>
      <c r="AD119" s="334"/>
      <c r="AE119" s="369">
        <f t="shared" si="59"/>
        <v>0</v>
      </c>
      <c r="AF119" s="368"/>
      <c r="AG119" s="334"/>
      <c r="AH119" s="369">
        <f t="shared" si="60"/>
        <v>0</v>
      </c>
      <c r="AI119" s="465"/>
      <c r="AJ119" s="465"/>
      <c r="AK119" s="465"/>
      <c r="AL119" s="523" t="str">
        <f t="shared" ref="AL119" si="71">IF(OR((W119+Z119+AC119+AF119) &gt;= (AI119+AK119), AI119 = 0), "YA", "MAS")</f>
        <v>YA</v>
      </c>
      <c r="AM119" s="337">
        <f t="shared" ref="AM119" si="72">IF(AI119=0,0,AH119*AG119+AE119*AD119+AB119*AA119+Y119*X119)</f>
        <v>0</v>
      </c>
      <c r="AN119" s="803">
        <f t="shared" ref="AN119" si="73">AJ119-AM119</f>
        <v>0</v>
      </c>
      <c r="AO119" s="803"/>
    </row>
    <row r="120" spans="18:41" x14ac:dyDescent="0.25">
      <c r="R120" s="804" t="s">
        <v>477</v>
      </c>
      <c r="S120" s="804"/>
      <c r="T120" s="804"/>
      <c r="U120" s="804"/>
      <c r="V120" s="804"/>
      <c r="W120" s="368">
        <v>2</v>
      </c>
      <c r="X120" s="333">
        <v>97.47</v>
      </c>
      <c r="Y120" s="369">
        <f t="shared" si="57"/>
        <v>0</v>
      </c>
      <c r="Z120" s="368">
        <v>6</v>
      </c>
      <c r="AA120" s="335">
        <v>105.33</v>
      </c>
      <c r="AB120" s="369">
        <f t="shared" si="58"/>
        <v>0</v>
      </c>
      <c r="AC120" s="368"/>
      <c r="AD120" s="335"/>
      <c r="AE120" s="369">
        <f t="shared" si="59"/>
        <v>0</v>
      </c>
      <c r="AF120" s="368"/>
      <c r="AG120" s="334"/>
      <c r="AH120" s="369">
        <f t="shared" si="60"/>
        <v>0</v>
      </c>
      <c r="AI120" s="465"/>
      <c r="AJ120" s="465"/>
      <c r="AK120" s="465"/>
      <c r="AL120" s="342" t="str">
        <f t="shared" si="61"/>
        <v>YA</v>
      </c>
      <c r="AM120" s="337">
        <f t="shared" si="62"/>
        <v>0</v>
      </c>
      <c r="AN120" s="803">
        <f t="shared" si="63"/>
        <v>0</v>
      </c>
      <c r="AO120" s="803"/>
    </row>
    <row r="121" spans="18:41" x14ac:dyDescent="0.25">
      <c r="R121" s="804" t="s">
        <v>495</v>
      </c>
      <c r="S121" s="804"/>
      <c r="T121" s="804"/>
      <c r="U121" s="804"/>
      <c r="V121" s="804"/>
      <c r="W121" s="368">
        <v>1</v>
      </c>
      <c r="X121" s="333">
        <v>395</v>
      </c>
      <c r="Y121" s="369">
        <f t="shared" si="57"/>
        <v>0</v>
      </c>
      <c r="Z121" s="368"/>
      <c r="AA121" s="335"/>
      <c r="AB121" s="369">
        <f t="shared" si="58"/>
        <v>0</v>
      </c>
      <c r="AC121" s="368"/>
      <c r="AD121" s="335"/>
      <c r="AE121" s="369">
        <f t="shared" si="59"/>
        <v>0</v>
      </c>
      <c r="AF121" s="368"/>
      <c r="AG121" s="334"/>
      <c r="AH121" s="369">
        <f t="shared" si="60"/>
        <v>0</v>
      </c>
      <c r="AI121" s="465"/>
      <c r="AJ121" s="465"/>
      <c r="AK121" s="465"/>
      <c r="AL121" s="414" t="str">
        <f t="shared" si="61"/>
        <v>YA</v>
      </c>
      <c r="AM121" s="337">
        <f t="shared" si="62"/>
        <v>0</v>
      </c>
      <c r="AN121" s="803">
        <f t="shared" si="63"/>
        <v>0</v>
      </c>
      <c r="AO121" s="803"/>
    </row>
    <row r="122" spans="18:41" ht="18.75" x14ac:dyDescent="0.3">
      <c r="R122" s="331"/>
      <c r="S122" s="331"/>
      <c r="T122" s="331"/>
      <c r="U122" s="331"/>
      <c r="V122" s="331"/>
      <c r="W122" s="332"/>
      <c r="X122" s="330"/>
      <c r="Y122" s="330"/>
      <c r="Z122" s="330"/>
      <c r="AA122" s="330"/>
      <c r="AJ122" s="418">
        <f>SUM(AJ109:AJ121)</f>
        <v>603.33000000000004</v>
      </c>
      <c r="AK122" s="338"/>
      <c r="AM122" s="418">
        <f>SUM(AM109:AM121)</f>
        <v>510</v>
      </c>
      <c r="AN122" s="419">
        <f>SUM(AN109:AO121)</f>
        <v>93.33</v>
      </c>
      <c r="AO122" s="420">
        <f>AN122/AM122</f>
        <v>0.183</v>
      </c>
    </row>
    <row r="124" spans="18:41" ht="43.5" customHeight="1" x14ac:dyDescent="0.25">
      <c r="R124" s="806" t="s">
        <v>453</v>
      </c>
      <c r="S124" s="807"/>
      <c r="T124" s="807"/>
      <c r="U124" s="807"/>
      <c r="V124" s="807"/>
      <c r="W124" s="807"/>
      <c r="X124" s="807"/>
      <c r="Y124" s="807"/>
      <c r="Z124" s="807"/>
      <c r="AA124" s="807"/>
      <c r="AB124" s="807"/>
      <c r="AC124" s="807"/>
      <c r="AD124" s="807"/>
      <c r="AE124" s="807"/>
      <c r="AF124" s="807"/>
      <c r="AG124" s="807"/>
      <c r="AH124" s="807"/>
      <c r="AI124" s="807"/>
      <c r="AJ124" s="807"/>
      <c r="AK124" s="807"/>
      <c r="AL124" s="807"/>
      <c r="AM124" s="807"/>
      <c r="AN124" s="807"/>
      <c r="AO124" s="808"/>
    </row>
    <row r="125" spans="18:41" ht="18.75" x14ac:dyDescent="0.25">
      <c r="R125" s="809" t="s">
        <v>2</v>
      </c>
      <c r="S125" s="809"/>
      <c r="T125" s="809"/>
      <c r="U125" s="809"/>
      <c r="V125" s="809"/>
      <c r="W125" s="370" t="s">
        <v>378</v>
      </c>
      <c r="X125" s="342" t="s">
        <v>379</v>
      </c>
      <c r="Y125" s="371" t="s">
        <v>377</v>
      </c>
      <c r="Z125" s="370" t="s">
        <v>368</v>
      </c>
      <c r="AA125" s="342" t="s">
        <v>369</v>
      </c>
      <c r="AB125" s="371" t="s">
        <v>373</v>
      </c>
      <c r="AC125" s="370" t="s">
        <v>370</v>
      </c>
      <c r="AD125" s="342" t="s">
        <v>371</v>
      </c>
      <c r="AE125" s="371" t="s">
        <v>374</v>
      </c>
      <c r="AF125" s="370" t="s">
        <v>372</v>
      </c>
      <c r="AG125" s="342" t="s">
        <v>380</v>
      </c>
      <c r="AH125" s="371" t="s">
        <v>375</v>
      </c>
      <c r="AI125" s="380" t="s">
        <v>78</v>
      </c>
      <c r="AJ125" s="380" t="s">
        <v>382</v>
      </c>
      <c r="AK125" s="380" t="s">
        <v>376</v>
      </c>
      <c r="AL125" s="342" t="s">
        <v>383</v>
      </c>
      <c r="AM125" s="342" t="s">
        <v>381</v>
      </c>
      <c r="AN125" s="810" t="s">
        <v>384</v>
      </c>
      <c r="AO125" s="810"/>
    </row>
    <row r="126" spans="18:41" x14ac:dyDescent="0.25">
      <c r="R126" s="804" t="s">
        <v>454</v>
      </c>
      <c r="S126" s="804"/>
      <c r="T126" s="804"/>
      <c r="U126" s="804"/>
      <c r="V126" s="804"/>
      <c r="W126" s="368">
        <v>20</v>
      </c>
      <c r="X126" s="333">
        <v>3</v>
      </c>
      <c r="Y126" s="369">
        <f t="shared" ref="Y126:Y147" si="74">IF(AK126 &lt; AF126+AC126+Z126+W126, MIN(AC126+AF126+Z126+W126-AK126,AI126-AH126-AE126-AB126,W126),0)</f>
        <v>0</v>
      </c>
      <c r="Z126" s="368"/>
      <c r="AA126" s="335"/>
      <c r="AB126" s="369">
        <f t="shared" ref="AB126:AB147" si="75">IF(AK126 &lt; AF126+AC126+Z126, MIN(AC126+AF126+Z126-AK126,AI126-AH126-AE126,Z126),0)</f>
        <v>0</v>
      </c>
      <c r="AC126" s="368"/>
      <c r="AD126" s="335"/>
      <c r="AE126" s="369">
        <f t="shared" ref="AE126:AE147" si="76">IF(AK126 &lt; AF126+AC126, MIN(AC126+AF126-AK126,AI126-AH126,AC126),0)</f>
        <v>0</v>
      </c>
      <c r="AF126" s="368"/>
      <c r="AG126" s="335"/>
      <c r="AH126" s="369">
        <f t="shared" ref="AH126:AH147" si="77">IF(AK126 &lt;=AF126, MIN(AF126-AK126,AI126), 0)</f>
        <v>0</v>
      </c>
      <c r="AI126" s="465"/>
      <c r="AJ126" s="465"/>
      <c r="AK126" s="465"/>
      <c r="AL126" s="342" t="str">
        <f t="shared" ref="AL126:AL147" si="78">IF(OR((W126+Z126+AC126+AF126) &gt;= (AI126+AK126), AI126 = 0), "YA", "MAS")</f>
        <v>YA</v>
      </c>
      <c r="AM126" s="337">
        <f t="shared" ref="AM126:AM147" si="79">IF(AI126=0,0,AH126*AG126+AE126*AD126+AB126*AA126+Y126*X126)</f>
        <v>0</v>
      </c>
      <c r="AN126" s="803">
        <f t="shared" ref="AN126:AN147" si="80">AJ126-AM126</f>
        <v>0</v>
      </c>
      <c r="AO126" s="803"/>
    </row>
    <row r="127" spans="18:41" x14ac:dyDescent="0.25">
      <c r="R127" s="804" t="s">
        <v>455</v>
      </c>
      <c r="S127" s="804"/>
      <c r="T127" s="804"/>
      <c r="U127" s="804"/>
      <c r="V127" s="804"/>
      <c r="W127" s="368">
        <v>3</v>
      </c>
      <c r="X127" s="335">
        <v>3.97</v>
      </c>
      <c r="Y127" s="369">
        <f t="shared" si="74"/>
        <v>0</v>
      </c>
      <c r="Z127" s="368"/>
      <c r="AA127" s="335"/>
      <c r="AB127" s="369">
        <f t="shared" si="75"/>
        <v>0</v>
      </c>
      <c r="AC127" s="368"/>
      <c r="AD127" s="335"/>
      <c r="AE127" s="369">
        <f t="shared" si="76"/>
        <v>0</v>
      </c>
      <c r="AF127" s="368"/>
      <c r="AG127" s="335"/>
      <c r="AH127" s="369">
        <f t="shared" si="77"/>
        <v>0</v>
      </c>
      <c r="AI127" s="465"/>
      <c r="AJ127" s="465"/>
      <c r="AK127" s="465"/>
      <c r="AL127" s="342" t="str">
        <f t="shared" si="78"/>
        <v>YA</v>
      </c>
      <c r="AM127" s="337">
        <f t="shared" si="79"/>
        <v>0</v>
      </c>
      <c r="AN127" s="803">
        <f t="shared" si="80"/>
        <v>0</v>
      </c>
      <c r="AO127" s="803"/>
    </row>
    <row r="128" spans="18:41" x14ac:dyDescent="0.25">
      <c r="R128" s="804" t="s">
        <v>456</v>
      </c>
      <c r="S128" s="804"/>
      <c r="T128" s="804"/>
      <c r="U128" s="804"/>
      <c r="V128" s="804"/>
      <c r="W128" s="368">
        <v>9</v>
      </c>
      <c r="X128" s="333">
        <v>9.32</v>
      </c>
      <c r="Y128" s="369">
        <f t="shared" si="74"/>
        <v>0</v>
      </c>
      <c r="Z128" s="368">
        <v>8</v>
      </c>
      <c r="AA128" s="335">
        <v>9.48</v>
      </c>
      <c r="AB128" s="369">
        <f t="shared" si="75"/>
        <v>0</v>
      </c>
      <c r="AC128" s="368">
        <v>8</v>
      </c>
      <c r="AD128" s="335">
        <v>9.01</v>
      </c>
      <c r="AE128" s="369">
        <f t="shared" si="76"/>
        <v>2</v>
      </c>
      <c r="AF128" s="368"/>
      <c r="AG128" s="335"/>
      <c r="AH128" s="369">
        <f t="shared" si="77"/>
        <v>0</v>
      </c>
      <c r="AI128" s="465">
        <v>2</v>
      </c>
      <c r="AJ128" s="465">
        <v>26</v>
      </c>
      <c r="AK128" s="465"/>
      <c r="AL128" s="342" t="str">
        <f t="shared" si="78"/>
        <v>YA</v>
      </c>
      <c r="AM128" s="337">
        <f t="shared" si="79"/>
        <v>18.02</v>
      </c>
      <c r="AN128" s="803">
        <f t="shared" si="80"/>
        <v>7.98</v>
      </c>
      <c r="AO128" s="803"/>
    </row>
    <row r="129" spans="18:41" x14ac:dyDescent="0.25">
      <c r="R129" s="804" t="s">
        <v>457</v>
      </c>
      <c r="S129" s="804"/>
      <c r="T129" s="804"/>
      <c r="U129" s="804"/>
      <c r="V129" s="804"/>
      <c r="W129" s="368">
        <v>18</v>
      </c>
      <c r="X129" s="333">
        <v>3.66</v>
      </c>
      <c r="Y129" s="369">
        <f t="shared" si="74"/>
        <v>0</v>
      </c>
      <c r="Z129" s="368">
        <v>4</v>
      </c>
      <c r="AA129" s="335">
        <v>5</v>
      </c>
      <c r="AB129" s="369">
        <f t="shared" si="75"/>
        <v>0</v>
      </c>
      <c r="AC129" s="368">
        <v>36</v>
      </c>
      <c r="AD129" s="335">
        <v>3.25</v>
      </c>
      <c r="AE129" s="369">
        <f t="shared" si="76"/>
        <v>0</v>
      </c>
      <c r="AF129" s="368"/>
      <c r="AG129" s="335"/>
      <c r="AH129" s="369">
        <f t="shared" si="77"/>
        <v>0</v>
      </c>
      <c r="AI129" s="465"/>
      <c r="AJ129" s="465"/>
      <c r="AK129" s="465"/>
      <c r="AL129" s="401" t="str">
        <f t="shared" si="78"/>
        <v>YA</v>
      </c>
      <c r="AM129" s="337">
        <f t="shared" si="79"/>
        <v>0</v>
      </c>
      <c r="AN129" s="803">
        <f t="shared" si="80"/>
        <v>0</v>
      </c>
      <c r="AO129" s="803"/>
    </row>
    <row r="130" spans="18:41" x14ac:dyDescent="0.25">
      <c r="R130" s="804" t="s">
        <v>474</v>
      </c>
      <c r="S130" s="804"/>
      <c r="T130" s="804"/>
      <c r="U130" s="804"/>
      <c r="V130" s="804"/>
      <c r="W130" s="368">
        <v>48</v>
      </c>
      <c r="X130" s="333">
        <v>21</v>
      </c>
      <c r="Y130" s="369">
        <f t="shared" si="74"/>
        <v>1</v>
      </c>
      <c r="Z130" s="368"/>
      <c r="AA130" s="335"/>
      <c r="AB130" s="369">
        <f t="shared" si="75"/>
        <v>0</v>
      </c>
      <c r="AC130" s="368"/>
      <c r="AD130" s="334"/>
      <c r="AE130" s="369">
        <f t="shared" si="76"/>
        <v>0</v>
      </c>
      <c r="AF130" s="368"/>
      <c r="AG130" s="334"/>
      <c r="AH130" s="369">
        <f t="shared" si="77"/>
        <v>0</v>
      </c>
      <c r="AI130" s="465">
        <v>1</v>
      </c>
      <c r="AJ130" s="465">
        <v>28</v>
      </c>
      <c r="AK130" s="465">
        <v>15</v>
      </c>
      <c r="AL130" s="406" t="str">
        <f t="shared" si="78"/>
        <v>YA</v>
      </c>
      <c r="AM130" s="337">
        <f t="shared" si="79"/>
        <v>21</v>
      </c>
      <c r="AN130" s="803">
        <f t="shared" si="80"/>
        <v>7</v>
      </c>
      <c r="AO130" s="803"/>
    </row>
    <row r="131" spans="18:41" x14ac:dyDescent="0.25">
      <c r="R131" s="804" t="s">
        <v>486</v>
      </c>
      <c r="S131" s="804"/>
      <c r="T131" s="804"/>
      <c r="U131" s="804"/>
      <c r="V131" s="804"/>
      <c r="W131" s="368">
        <v>30</v>
      </c>
      <c r="X131" s="333">
        <v>1.35</v>
      </c>
      <c r="Y131" s="369">
        <f t="shared" si="74"/>
        <v>0</v>
      </c>
      <c r="Z131" s="368"/>
      <c r="AA131" s="335"/>
      <c r="AB131" s="369">
        <f t="shared" si="75"/>
        <v>0</v>
      </c>
      <c r="AC131" s="368"/>
      <c r="AD131" s="334"/>
      <c r="AE131" s="369">
        <f t="shared" si="76"/>
        <v>0</v>
      </c>
      <c r="AF131" s="368"/>
      <c r="AG131" s="334"/>
      <c r="AH131" s="369">
        <f t="shared" si="77"/>
        <v>0</v>
      </c>
      <c r="AI131" s="465"/>
      <c r="AJ131" s="465"/>
      <c r="AK131" s="465"/>
      <c r="AL131" s="406" t="str">
        <f t="shared" si="78"/>
        <v>YA</v>
      </c>
      <c r="AM131" s="337">
        <f t="shared" si="79"/>
        <v>0</v>
      </c>
      <c r="AN131" s="803">
        <f t="shared" si="80"/>
        <v>0</v>
      </c>
      <c r="AO131" s="803"/>
    </row>
    <row r="132" spans="18:41" x14ac:dyDescent="0.25">
      <c r="R132" s="804" t="s">
        <v>487</v>
      </c>
      <c r="S132" s="804"/>
      <c r="T132" s="804"/>
      <c r="U132" s="804"/>
      <c r="V132" s="804"/>
      <c r="W132" s="368">
        <v>6</v>
      </c>
      <c r="X132" s="333">
        <v>5.65</v>
      </c>
      <c r="Y132" s="369">
        <f t="shared" si="74"/>
        <v>0</v>
      </c>
      <c r="Z132" s="368"/>
      <c r="AA132" s="335"/>
      <c r="AB132" s="369">
        <f t="shared" si="75"/>
        <v>0</v>
      </c>
      <c r="AC132" s="368"/>
      <c r="AD132" s="334"/>
      <c r="AE132" s="369">
        <f t="shared" si="76"/>
        <v>0</v>
      </c>
      <c r="AF132" s="368"/>
      <c r="AG132" s="334"/>
      <c r="AH132" s="369">
        <f t="shared" si="77"/>
        <v>0</v>
      </c>
      <c r="AI132" s="465"/>
      <c r="AJ132" s="465"/>
      <c r="AK132" s="465"/>
      <c r="AL132" s="406" t="str">
        <f t="shared" si="78"/>
        <v>YA</v>
      </c>
      <c r="AM132" s="337">
        <f t="shared" si="79"/>
        <v>0</v>
      </c>
      <c r="AN132" s="803">
        <f t="shared" si="80"/>
        <v>0</v>
      </c>
      <c r="AO132" s="803"/>
    </row>
    <row r="133" spans="18:41" x14ac:dyDescent="0.25">
      <c r="R133" s="804" t="s">
        <v>488</v>
      </c>
      <c r="S133" s="804"/>
      <c r="T133" s="804"/>
      <c r="U133" s="804"/>
      <c r="V133" s="804"/>
      <c r="W133" s="368">
        <v>12</v>
      </c>
      <c r="X133" s="333">
        <v>1.97</v>
      </c>
      <c r="Y133" s="369">
        <f t="shared" si="74"/>
        <v>0</v>
      </c>
      <c r="Z133" s="368"/>
      <c r="AA133" s="335"/>
      <c r="AB133" s="369">
        <f t="shared" si="75"/>
        <v>0</v>
      </c>
      <c r="AC133" s="368"/>
      <c r="AD133" s="334"/>
      <c r="AE133" s="369">
        <f t="shared" si="76"/>
        <v>0</v>
      </c>
      <c r="AF133" s="368"/>
      <c r="AG133" s="334"/>
      <c r="AH133" s="369">
        <f t="shared" si="77"/>
        <v>0</v>
      </c>
      <c r="AI133" s="465"/>
      <c r="AJ133" s="465"/>
      <c r="AK133" s="465"/>
      <c r="AL133" s="406" t="str">
        <f t="shared" si="78"/>
        <v>YA</v>
      </c>
      <c r="AM133" s="337">
        <f t="shared" si="79"/>
        <v>0</v>
      </c>
      <c r="AN133" s="803">
        <f t="shared" si="80"/>
        <v>0</v>
      </c>
      <c r="AO133" s="803"/>
    </row>
    <row r="134" spans="18:41" x14ac:dyDescent="0.25">
      <c r="R134" s="804" t="s">
        <v>489</v>
      </c>
      <c r="S134" s="804"/>
      <c r="T134" s="804"/>
      <c r="U134" s="804"/>
      <c r="V134" s="804"/>
      <c r="W134" s="368">
        <v>12</v>
      </c>
      <c r="X134" s="333">
        <v>5.38</v>
      </c>
      <c r="Y134" s="369">
        <f t="shared" si="74"/>
        <v>1</v>
      </c>
      <c r="Z134" s="368"/>
      <c r="AA134" s="335"/>
      <c r="AB134" s="369">
        <f t="shared" si="75"/>
        <v>0</v>
      </c>
      <c r="AC134" s="368"/>
      <c r="AD134" s="334"/>
      <c r="AE134" s="369">
        <f t="shared" si="76"/>
        <v>0</v>
      </c>
      <c r="AF134" s="368"/>
      <c r="AG134" s="334"/>
      <c r="AH134" s="369">
        <f t="shared" si="77"/>
        <v>0</v>
      </c>
      <c r="AI134" s="465">
        <v>1</v>
      </c>
      <c r="AJ134" s="465">
        <v>7</v>
      </c>
      <c r="AK134" s="465"/>
      <c r="AL134" s="406" t="str">
        <f t="shared" si="78"/>
        <v>YA</v>
      </c>
      <c r="AM134" s="337">
        <f t="shared" si="79"/>
        <v>5.38</v>
      </c>
      <c r="AN134" s="803">
        <f t="shared" si="80"/>
        <v>1.62</v>
      </c>
      <c r="AO134" s="803"/>
    </row>
    <row r="135" spans="18:41" x14ac:dyDescent="0.25">
      <c r="R135" s="804" t="s">
        <v>490</v>
      </c>
      <c r="S135" s="804"/>
      <c r="T135" s="804"/>
      <c r="U135" s="804"/>
      <c r="V135" s="804"/>
      <c r="W135" s="368">
        <v>24</v>
      </c>
      <c r="X135" s="333">
        <v>0.71</v>
      </c>
      <c r="Y135" s="369">
        <f t="shared" si="74"/>
        <v>1</v>
      </c>
      <c r="Z135" s="368"/>
      <c r="AA135" s="335"/>
      <c r="AB135" s="369">
        <f t="shared" si="75"/>
        <v>0</v>
      </c>
      <c r="AC135" s="368"/>
      <c r="AD135" s="334"/>
      <c r="AE135" s="369">
        <f t="shared" si="76"/>
        <v>0</v>
      </c>
      <c r="AF135" s="368"/>
      <c r="AG135" s="334"/>
      <c r="AH135" s="369">
        <f t="shared" si="77"/>
        <v>0</v>
      </c>
      <c r="AI135" s="465">
        <v>1</v>
      </c>
      <c r="AJ135" s="465">
        <v>1</v>
      </c>
      <c r="AK135" s="465"/>
      <c r="AL135" s="406" t="str">
        <f t="shared" si="78"/>
        <v>YA</v>
      </c>
      <c r="AM135" s="337">
        <f t="shared" si="79"/>
        <v>0.71</v>
      </c>
      <c r="AN135" s="803">
        <f t="shared" si="80"/>
        <v>0.29000000000000004</v>
      </c>
      <c r="AO135" s="803"/>
    </row>
    <row r="136" spans="18:41" x14ac:dyDescent="0.25">
      <c r="R136" s="804" t="s">
        <v>491</v>
      </c>
      <c r="S136" s="804"/>
      <c r="T136" s="804"/>
      <c r="U136" s="804"/>
      <c r="V136" s="804"/>
      <c r="W136" s="368">
        <v>12</v>
      </c>
      <c r="X136" s="333">
        <v>1.7</v>
      </c>
      <c r="Y136" s="369">
        <f t="shared" si="74"/>
        <v>0</v>
      </c>
      <c r="Z136" s="368">
        <v>36</v>
      </c>
      <c r="AA136" s="335">
        <v>1.07</v>
      </c>
      <c r="AB136" s="369">
        <f t="shared" si="75"/>
        <v>0</v>
      </c>
      <c r="AC136" s="368"/>
      <c r="AD136" s="334"/>
      <c r="AE136" s="369">
        <f t="shared" si="76"/>
        <v>0</v>
      </c>
      <c r="AF136" s="368"/>
      <c r="AG136" s="334"/>
      <c r="AH136" s="369">
        <f t="shared" si="77"/>
        <v>0</v>
      </c>
      <c r="AI136" s="465"/>
      <c r="AJ136" s="465"/>
      <c r="AK136" s="465"/>
      <c r="AL136" s="406" t="str">
        <f t="shared" si="78"/>
        <v>YA</v>
      </c>
      <c r="AM136" s="337">
        <f t="shared" si="79"/>
        <v>0</v>
      </c>
      <c r="AN136" s="803">
        <f t="shared" si="80"/>
        <v>0</v>
      </c>
      <c r="AO136" s="803"/>
    </row>
    <row r="137" spans="18:41" x14ac:dyDescent="0.25">
      <c r="R137" s="804" t="s">
        <v>492</v>
      </c>
      <c r="S137" s="804"/>
      <c r="T137" s="804"/>
      <c r="U137" s="804"/>
      <c r="V137" s="804"/>
      <c r="W137" s="368">
        <v>50</v>
      </c>
      <c r="X137" s="333">
        <v>0.49</v>
      </c>
      <c r="Y137" s="369">
        <f t="shared" si="74"/>
        <v>0</v>
      </c>
      <c r="Z137" s="368"/>
      <c r="AA137" s="335"/>
      <c r="AB137" s="369">
        <f t="shared" si="75"/>
        <v>0</v>
      </c>
      <c r="AC137" s="368"/>
      <c r="AD137" s="334"/>
      <c r="AE137" s="369">
        <f t="shared" si="76"/>
        <v>0</v>
      </c>
      <c r="AF137" s="368"/>
      <c r="AG137" s="334"/>
      <c r="AH137" s="369">
        <f t="shared" si="77"/>
        <v>0</v>
      </c>
      <c r="AI137" s="465"/>
      <c r="AJ137" s="465"/>
      <c r="AK137" s="465"/>
      <c r="AL137" s="406" t="str">
        <f t="shared" si="78"/>
        <v>YA</v>
      </c>
      <c r="AM137" s="337">
        <f t="shared" si="79"/>
        <v>0</v>
      </c>
      <c r="AN137" s="803">
        <f t="shared" si="80"/>
        <v>0</v>
      </c>
      <c r="AO137" s="803"/>
    </row>
    <row r="138" spans="18:41" x14ac:dyDescent="0.25">
      <c r="R138" s="800" t="s">
        <v>597</v>
      </c>
      <c r="S138" s="801"/>
      <c r="T138" s="801"/>
      <c r="U138" s="801"/>
      <c r="V138" s="802"/>
      <c r="W138" s="368">
        <v>12</v>
      </c>
      <c r="X138" s="333">
        <v>2.23</v>
      </c>
      <c r="Y138" s="369">
        <f t="shared" si="74"/>
        <v>0</v>
      </c>
      <c r="Z138" s="368"/>
      <c r="AA138" s="335"/>
      <c r="AB138" s="369">
        <f t="shared" si="75"/>
        <v>0</v>
      </c>
      <c r="AC138" s="368"/>
      <c r="AD138" s="334"/>
      <c r="AE138" s="369">
        <f t="shared" si="76"/>
        <v>0</v>
      </c>
      <c r="AF138" s="368"/>
      <c r="AG138" s="334"/>
      <c r="AH138" s="369">
        <f t="shared" si="77"/>
        <v>0</v>
      </c>
      <c r="AI138" s="465"/>
      <c r="AJ138" s="465"/>
      <c r="AK138" s="465"/>
      <c r="AL138" s="480" t="str">
        <f t="shared" ref="AL138:AL140" si="81">IF(OR((W138+Z138+AC138+AF138) &gt;= (AI138+AK138), AI138 = 0), "YA", "MAS")</f>
        <v>YA</v>
      </c>
      <c r="AM138" s="337">
        <f t="shared" ref="AM138:AM140" si="82">IF(AI138=0,0,AH138*AG138+AE138*AD138+AB138*AA138+Y138*X138)</f>
        <v>0</v>
      </c>
      <c r="AN138" s="803">
        <f t="shared" ref="AN138" si="83">AJ138-AM138</f>
        <v>0</v>
      </c>
      <c r="AO138" s="803"/>
    </row>
    <row r="139" spans="18:41" x14ac:dyDescent="0.25">
      <c r="R139" s="804" t="s">
        <v>703</v>
      </c>
      <c r="S139" s="804"/>
      <c r="T139" s="804"/>
      <c r="U139" s="804"/>
      <c r="V139" s="804"/>
      <c r="W139" s="368">
        <v>28</v>
      </c>
      <c r="X139" s="333">
        <v>2.91</v>
      </c>
      <c r="Y139" s="369">
        <f t="shared" si="74"/>
        <v>0</v>
      </c>
      <c r="Z139" s="368"/>
      <c r="AA139" s="335"/>
      <c r="AB139" s="369">
        <f t="shared" si="75"/>
        <v>0</v>
      </c>
      <c r="AC139" s="368"/>
      <c r="AD139" s="334"/>
      <c r="AE139" s="369">
        <f t="shared" si="76"/>
        <v>0</v>
      </c>
      <c r="AF139" s="368"/>
      <c r="AG139" s="334"/>
      <c r="AH139" s="369">
        <f t="shared" si="77"/>
        <v>0</v>
      </c>
      <c r="AI139" s="465"/>
      <c r="AJ139" s="465"/>
      <c r="AK139" s="465"/>
      <c r="AL139" s="523" t="str">
        <f t="shared" si="81"/>
        <v>YA</v>
      </c>
      <c r="AM139" s="337">
        <f t="shared" si="82"/>
        <v>0</v>
      </c>
      <c r="AN139" s="803">
        <f t="shared" ref="AN139:AN140" si="84">AJ139-AM139</f>
        <v>0</v>
      </c>
      <c r="AO139" s="803"/>
    </row>
    <row r="140" spans="18:41" x14ac:dyDescent="0.25">
      <c r="R140" s="804" t="s">
        <v>704</v>
      </c>
      <c r="S140" s="804"/>
      <c r="T140" s="804"/>
      <c r="U140" s="804"/>
      <c r="V140" s="804"/>
      <c r="W140" s="368">
        <v>20</v>
      </c>
      <c r="X140" s="333">
        <v>2.91</v>
      </c>
      <c r="Y140" s="369">
        <f t="shared" si="74"/>
        <v>0</v>
      </c>
      <c r="Z140" s="368"/>
      <c r="AA140" s="335"/>
      <c r="AB140" s="369">
        <f t="shared" si="75"/>
        <v>0</v>
      </c>
      <c r="AC140" s="368"/>
      <c r="AD140" s="334"/>
      <c r="AE140" s="369">
        <f t="shared" si="76"/>
        <v>0</v>
      </c>
      <c r="AF140" s="368"/>
      <c r="AG140" s="334"/>
      <c r="AH140" s="369">
        <f t="shared" si="77"/>
        <v>0</v>
      </c>
      <c r="AI140" s="465"/>
      <c r="AJ140" s="465"/>
      <c r="AK140" s="465"/>
      <c r="AL140" s="523" t="str">
        <f t="shared" si="81"/>
        <v>YA</v>
      </c>
      <c r="AM140" s="337">
        <f t="shared" si="82"/>
        <v>0</v>
      </c>
      <c r="AN140" s="803">
        <f t="shared" si="84"/>
        <v>0</v>
      </c>
      <c r="AO140" s="803"/>
    </row>
    <row r="141" spans="18:41" x14ac:dyDescent="0.25">
      <c r="R141" s="800" t="s">
        <v>566</v>
      </c>
      <c r="S141" s="801"/>
      <c r="T141" s="801"/>
      <c r="U141" s="801"/>
      <c r="V141" s="802"/>
      <c r="W141" s="368">
        <v>6</v>
      </c>
      <c r="X141" s="333">
        <v>30.76</v>
      </c>
      <c r="Y141" s="369">
        <f t="shared" si="74"/>
        <v>0</v>
      </c>
      <c r="Z141" s="368"/>
      <c r="AA141" s="335"/>
      <c r="AB141" s="369">
        <f t="shared" si="75"/>
        <v>0</v>
      </c>
      <c r="AC141" s="368"/>
      <c r="AD141" s="334"/>
      <c r="AE141" s="369">
        <f t="shared" si="76"/>
        <v>0</v>
      </c>
      <c r="AF141" s="368"/>
      <c r="AG141" s="334"/>
      <c r="AH141" s="369">
        <f t="shared" si="77"/>
        <v>0</v>
      </c>
      <c r="AI141" s="465"/>
      <c r="AJ141" s="465"/>
      <c r="AK141" s="465"/>
      <c r="AL141" s="438" t="str">
        <f t="shared" si="78"/>
        <v>YA</v>
      </c>
      <c r="AM141" s="337">
        <f t="shared" si="79"/>
        <v>0</v>
      </c>
      <c r="AN141" s="803">
        <f t="shared" si="80"/>
        <v>0</v>
      </c>
      <c r="AO141" s="803"/>
    </row>
    <row r="142" spans="18:41" x14ac:dyDescent="0.25">
      <c r="R142" s="800" t="s">
        <v>712</v>
      </c>
      <c r="S142" s="801"/>
      <c r="T142" s="801"/>
      <c r="U142" s="801"/>
      <c r="V142" s="802"/>
      <c r="W142" s="368">
        <v>6</v>
      </c>
      <c r="X142" s="333">
        <v>6.98</v>
      </c>
      <c r="Y142" s="369">
        <f t="shared" ref="Y142:Y146" si="85">IF(AK142 &lt; AF142+AC142+Z142+W142, MIN(AC142+AF142+Z142+W142-AK142,AI142-AH142-AE142-AB142,W142),0)</f>
        <v>0</v>
      </c>
      <c r="Z142" s="368"/>
      <c r="AA142" s="335"/>
      <c r="AB142" s="369">
        <f t="shared" ref="AB142:AB146" si="86">IF(AK142 &lt; AF142+AC142+Z142, MIN(AC142+AF142+Z142-AK142,AI142-AH142-AE142,Z142),0)</f>
        <v>0</v>
      </c>
      <c r="AC142" s="368"/>
      <c r="AD142" s="334"/>
      <c r="AE142" s="369">
        <f t="shared" ref="AE142:AE146" si="87">IF(AK142 &lt; AF142+AC142, MIN(AC142+AF142-AK142,AI142-AH142,AC142),0)</f>
        <v>0</v>
      </c>
      <c r="AF142" s="368"/>
      <c r="AG142" s="334"/>
      <c r="AH142" s="369">
        <f t="shared" ref="AH142:AH146" si="88">IF(AK142 &lt;=AF142, MIN(AF142-AK142,AI142), 0)</f>
        <v>0</v>
      </c>
      <c r="AI142" s="465"/>
      <c r="AJ142" s="465"/>
      <c r="AK142" s="465"/>
      <c r="AL142" s="526" t="str">
        <f t="shared" ref="AL142:AL146" si="89">IF(OR((W142+Z142+AC142+AF142) &gt;= (AI142+AK142), AI142 = 0), "YA", "MAS")</f>
        <v>YA</v>
      </c>
      <c r="AM142" s="337">
        <f t="shared" ref="AM142:AM146" si="90">IF(AI142=0,0,AH142*AG142+AE142*AD142+AB142*AA142+Y142*X142)</f>
        <v>0</v>
      </c>
      <c r="AN142" s="803">
        <f t="shared" ref="AN142:AN146" si="91">AJ142-AM142</f>
        <v>0</v>
      </c>
      <c r="AO142" s="803"/>
    </row>
    <row r="143" spans="18:41" x14ac:dyDescent="0.25">
      <c r="R143" s="800" t="s">
        <v>713</v>
      </c>
      <c r="S143" s="801"/>
      <c r="T143" s="801"/>
      <c r="U143" s="801"/>
      <c r="V143" s="802"/>
      <c r="W143" s="368">
        <v>6</v>
      </c>
      <c r="X143" s="333">
        <v>9.31</v>
      </c>
      <c r="Y143" s="369">
        <f t="shared" si="85"/>
        <v>1</v>
      </c>
      <c r="Z143" s="368"/>
      <c r="AA143" s="335"/>
      <c r="AB143" s="369">
        <f t="shared" si="86"/>
        <v>0</v>
      </c>
      <c r="AC143" s="368"/>
      <c r="AD143" s="334"/>
      <c r="AE143" s="369">
        <f t="shared" si="87"/>
        <v>0</v>
      </c>
      <c r="AF143" s="368"/>
      <c r="AG143" s="334"/>
      <c r="AH143" s="369">
        <f t="shared" si="88"/>
        <v>0</v>
      </c>
      <c r="AI143" s="465">
        <v>1</v>
      </c>
      <c r="AJ143" s="465">
        <v>13</v>
      </c>
      <c r="AK143" s="465">
        <v>3</v>
      </c>
      <c r="AL143" s="526" t="str">
        <f t="shared" si="89"/>
        <v>YA</v>
      </c>
      <c r="AM143" s="337">
        <f t="shared" si="90"/>
        <v>9.31</v>
      </c>
      <c r="AN143" s="803">
        <f t="shared" si="91"/>
        <v>3.6899999999999995</v>
      </c>
      <c r="AO143" s="803"/>
    </row>
    <row r="144" spans="18:41" x14ac:dyDescent="0.25">
      <c r="R144" s="800" t="s">
        <v>714</v>
      </c>
      <c r="S144" s="801"/>
      <c r="T144" s="801"/>
      <c r="U144" s="801"/>
      <c r="V144" s="802"/>
      <c r="W144" s="368">
        <v>6</v>
      </c>
      <c r="X144" s="333">
        <v>8.7200000000000006</v>
      </c>
      <c r="Y144" s="369">
        <f t="shared" si="85"/>
        <v>0</v>
      </c>
      <c r="Z144" s="368"/>
      <c r="AA144" s="335"/>
      <c r="AB144" s="369">
        <f t="shared" si="86"/>
        <v>0</v>
      </c>
      <c r="AC144" s="368"/>
      <c r="AD144" s="334"/>
      <c r="AE144" s="369">
        <f t="shared" si="87"/>
        <v>0</v>
      </c>
      <c r="AF144" s="368"/>
      <c r="AG144" s="334"/>
      <c r="AH144" s="369">
        <f t="shared" si="88"/>
        <v>0</v>
      </c>
      <c r="AI144" s="465"/>
      <c r="AJ144" s="465"/>
      <c r="AK144" s="465"/>
      <c r="AL144" s="526" t="str">
        <f t="shared" si="89"/>
        <v>YA</v>
      </c>
      <c r="AM144" s="337">
        <f t="shared" si="90"/>
        <v>0</v>
      </c>
      <c r="AN144" s="803">
        <f t="shared" si="91"/>
        <v>0</v>
      </c>
      <c r="AO144" s="803"/>
    </row>
    <row r="145" spans="18:41" x14ac:dyDescent="0.25">
      <c r="R145" s="800" t="s">
        <v>715</v>
      </c>
      <c r="S145" s="801"/>
      <c r="T145" s="801"/>
      <c r="U145" s="801"/>
      <c r="V145" s="802"/>
      <c r="W145" s="368">
        <v>6</v>
      </c>
      <c r="X145" s="333">
        <v>12.69</v>
      </c>
      <c r="Y145" s="369">
        <f t="shared" si="85"/>
        <v>0</v>
      </c>
      <c r="Z145" s="368"/>
      <c r="AA145" s="335"/>
      <c r="AB145" s="369">
        <f t="shared" si="86"/>
        <v>0</v>
      </c>
      <c r="AC145" s="368"/>
      <c r="AD145" s="334"/>
      <c r="AE145" s="369">
        <f t="shared" si="87"/>
        <v>0</v>
      </c>
      <c r="AF145" s="368"/>
      <c r="AG145" s="334"/>
      <c r="AH145" s="369">
        <f t="shared" si="88"/>
        <v>0</v>
      </c>
      <c r="AI145" s="465"/>
      <c r="AJ145" s="465"/>
      <c r="AK145" s="465"/>
      <c r="AL145" s="526" t="str">
        <f t="shared" si="89"/>
        <v>YA</v>
      </c>
      <c r="AM145" s="337">
        <f t="shared" si="90"/>
        <v>0</v>
      </c>
      <c r="AN145" s="803">
        <f t="shared" si="91"/>
        <v>0</v>
      </c>
      <c r="AO145" s="803"/>
    </row>
    <row r="146" spans="18:41" x14ac:dyDescent="0.25">
      <c r="R146" s="800" t="s">
        <v>716</v>
      </c>
      <c r="S146" s="801"/>
      <c r="T146" s="801"/>
      <c r="U146" s="801"/>
      <c r="V146" s="802"/>
      <c r="W146" s="368">
        <v>6</v>
      </c>
      <c r="X146" s="333">
        <v>12.69</v>
      </c>
      <c r="Y146" s="369">
        <f t="shared" si="85"/>
        <v>0</v>
      </c>
      <c r="Z146" s="368"/>
      <c r="AA146" s="335"/>
      <c r="AB146" s="369">
        <f t="shared" si="86"/>
        <v>0</v>
      </c>
      <c r="AC146" s="368"/>
      <c r="AD146" s="334"/>
      <c r="AE146" s="369">
        <f t="shared" si="87"/>
        <v>0</v>
      </c>
      <c r="AF146" s="368"/>
      <c r="AG146" s="334"/>
      <c r="AH146" s="369">
        <f t="shared" si="88"/>
        <v>0</v>
      </c>
      <c r="AI146" s="465"/>
      <c r="AJ146" s="465"/>
      <c r="AK146" s="465"/>
      <c r="AL146" s="526" t="str">
        <f t="shared" si="89"/>
        <v>YA</v>
      </c>
      <c r="AM146" s="337">
        <f t="shared" si="90"/>
        <v>0</v>
      </c>
      <c r="AN146" s="803">
        <f t="shared" si="91"/>
        <v>0</v>
      </c>
      <c r="AO146" s="803"/>
    </row>
    <row r="147" spans="18:41" x14ac:dyDescent="0.25">
      <c r="R147" s="804" t="s">
        <v>493</v>
      </c>
      <c r="S147" s="804"/>
      <c r="T147" s="804"/>
      <c r="U147" s="804"/>
      <c r="V147" s="804"/>
      <c r="W147" s="368">
        <v>24</v>
      </c>
      <c r="X147" s="333">
        <v>1.03</v>
      </c>
      <c r="Y147" s="369">
        <f t="shared" si="74"/>
        <v>0</v>
      </c>
      <c r="Z147" s="368"/>
      <c r="AA147" s="335"/>
      <c r="AB147" s="369">
        <f t="shared" si="75"/>
        <v>0</v>
      </c>
      <c r="AC147" s="368"/>
      <c r="AD147" s="334"/>
      <c r="AE147" s="369">
        <f t="shared" si="76"/>
        <v>0</v>
      </c>
      <c r="AF147" s="368"/>
      <c r="AG147" s="334"/>
      <c r="AH147" s="369">
        <f t="shared" si="77"/>
        <v>0</v>
      </c>
      <c r="AI147" s="465"/>
      <c r="AJ147" s="465"/>
      <c r="AK147" s="465"/>
      <c r="AL147" s="406" t="str">
        <f t="shared" si="78"/>
        <v>YA</v>
      </c>
      <c r="AM147" s="337">
        <f t="shared" si="79"/>
        <v>0</v>
      </c>
      <c r="AN147" s="803">
        <f t="shared" si="80"/>
        <v>0</v>
      </c>
      <c r="AO147" s="803"/>
    </row>
    <row r="148" spans="18:41" ht="18.75" x14ac:dyDescent="0.3">
      <c r="R148" s="331"/>
      <c r="S148" s="331"/>
      <c r="T148" s="331"/>
      <c r="U148" s="331"/>
      <c r="V148" s="331"/>
      <c r="W148" s="332"/>
      <c r="X148" s="365"/>
      <c r="Y148" s="365"/>
      <c r="Z148" s="365"/>
      <c r="AA148" s="365"/>
      <c r="AB148" s="366"/>
      <c r="AC148" s="365"/>
      <c r="AD148" s="365"/>
      <c r="AE148" s="366"/>
      <c r="AF148" s="365"/>
      <c r="AG148" s="365"/>
      <c r="AH148" s="366"/>
      <c r="AJ148" s="372">
        <f>SUM(AJ126:AJ147)</f>
        <v>75</v>
      </c>
      <c r="AK148" s="338"/>
      <c r="AM148" s="372">
        <f>SUM(AM126:AM147)</f>
        <v>54.42</v>
      </c>
      <c r="AN148" s="375">
        <f>SUM(AN126:AN147)</f>
        <v>20.58</v>
      </c>
      <c r="AO148" s="376">
        <f>AN148/AM148</f>
        <v>0.37816979051819177</v>
      </c>
    </row>
    <row r="149" spans="18:41" ht="18.75" x14ac:dyDescent="0.3">
      <c r="R149" s="331"/>
      <c r="S149" s="331"/>
      <c r="T149" s="331"/>
      <c r="U149" s="331"/>
      <c r="V149" s="331"/>
      <c r="W149" s="332"/>
      <c r="X149" s="365"/>
      <c r="Y149" s="366"/>
      <c r="Z149" s="365"/>
      <c r="AA149" s="365"/>
      <c r="AB149" s="366"/>
      <c r="AC149" s="365"/>
      <c r="AD149" s="365"/>
      <c r="AE149" s="366"/>
      <c r="AF149" s="365"/>
      <c r="AG149" s="365"/>
      <c r="AH149" s="365"/>
      <c r="AK149" s="338"/>
      <c r="AM149" s="357"/>
      <c r="AN149" s="362"/>
      <c r="AO149" s="363"/>
    </row>
    <row r="150" spans="18:41" ht="31.5" x14ac:dyDescent="0.25">
      <c r="R150" s="806" t="s">
        <v>639</v>
      </c>
      <c r="S150" s="807"/>
      <c r="T150" s="807"/>
      <c r="U150" s="807"/>
      <c r="V150" s="807"/>
      <c r="W150" s="807"/>
      <c r="X150" s="807"/>
      <c r="Y150" s="807"/>
      <c r="Z150" s="807"/>
      <c r="AA150" s="807"/>
      <c r="AB150" s="807"/>
      <c r="AC150" s="807"/>
      <c r="AD150" s="807"/>
      <c r="AE150" s="807"/>
      <c r="AF150" s="807"/>
      <c r="AG150" s="807"/>
      <c r="AH150" s="807"/>
      <c r="AI150" s="807"/>
      <c r="AJ150" s="807"/>
      <c r="AK150" s="807"/>
      <c r="AL150" s="807"/>
      <c r="AM150" s="807"/>
      <c r="AN150" s="807"/>
      <c r="AO150" s="808"/>
    </row>
    <row r="151" spans="18:41" ht="18.75" x14ac:dyDescent="0.25">
      <c r="R151" s="809" t="s">
        <v>2</v>
      </c>
      <c r="S151" s="809"/>
      <c r="T151" s="809"/>
      <c r="U151" s="809"/>
      <c r="V151" s="809"/>
      <c r="W151" s="370" t="s">
        <v>378</v>
      </c>
      <c r="X151" s="510" t="s">
        <v>379</v>
      </c>
      <c r="Y151" s="371" t="s">
        <v>377</v>
      </c>
      <c r="Z151" s="370" t="s">
        <v>368</v>
      </c>
      <c r="AA151" s="510" t="s">
        <v>369</v>
      </c>
      <c r="AB151" s="371" t="s">
        <v>373</v>
      </c>
      <c r="AC151" s="370" t="s">
        <v>370</v>
      </c>
      <c r="AD151" s="510" t="s">
        <v>371</v>
      </c>
      <c r="AE151" s="371" t="s">
        <v>374</v>
      </c>
      <c r="AF151" s="370" t="s">
        <v>372</v>
      </c>
      <c r="AG151" s="510" t="s">
        <v>380</v>
      </c>
      <c r="AH151" s="371" t="s">
        <v>375</v>
      </c>
      <c r="AI151" s="380" t="s">
        <v>78</v>
      </c>
      <c r="AJ151" s="380" t="s">
        <v>382</v>
      </c>
      <c r="AK151" s="380" t="s">
        <v>376</v>
      </c>
      <c r="AL151" s="510" t="s">
        <v>383</v>
      </c>
      <c r="AM151" s="510" t="s">
        <v>381</v>
      </c>
      <c r="AN151" s="810" t="s">
        <v>384</v>
      </c>
      <c r="AO151" s="810"/>
    </row>
    <row r="152" spans="18:41" x14ac:dyDescent="0.25">
      <c r="R152" s="804" t="s">
        <v>640</v>
      </c>
      <c r="S152" s="804"/>
      <c r="T152" s="804"/>
      <c r="U152" s="804"/>
      <c r="V152" s="804"/>
      <c r="W152" s="368">
        <v>6</v>
      </c>
      <c r="X152" s="333">
        <v>5.82</v>
      </c>
      <c r="Y152" s="369">
        <f t="shared" ref="Y152:Y210" si="92">IF(AK152 &lt; AF152+AC152+Z152+W152, MIN(AC152+AF152+Z152+W152-AK152,AI152-AH152-AE152-AB152,W152),0)</f>
        <v>0</v>
      </c>
      <c r="Z152" s="368"/>
      <c r="AA152" s="335"/>
      <c r="AB152" s="369">
        <f t="shared" ref="AB152:AB210" si="93">IF(AK152 &lt; AF152+AC152+Z152, MIN(AC152+AF152+Z152-AK152,AI152-AH152-AE152,Z152),0)</f>
        <v>0</v>
      </c>
      <c r="AC152" s="368"/>
      <c r="AD152" s="335"/>
      <c r="AE152" s="369">
        <f t="shared" ref="AE152:AE210" si="94">IF(AK152 &lt; AF152+AC152, MIN(AC152+AF152-AK152,AI152-AH152,AC152),0)</f>
        <v>0</v>
      </c>
      <c r="AF152" s="368"/>
      <c r="AG152" s="335"/>
      <c r="AH152" s="369">
        <f t="shared" ref="AH152:AH210" si="95">IF(AK152 &lt;=AF152, MIN(AF152-AK152,AI152), 0)</f>
        <v>0</v>
      </c>
      <c r="AI152" s="465"/>
      <c r="AJ152" s="465"/>
      <c r="AK152" s="465"/>
      <c r="AL152" s="510" t="str">
        <f t="shared" ref="AL152:AL210" si="96">IF(OR((W152+Z152+AC152+AF152) &gt;= (AI152+AK152), AI152 = 0), "YA", "MAS")</f>
        <v>YA</v>
      </c>
      <c r="AM152" s="337">
        <f t="shared" ref="AM152:AM210" si="97">IF(AI152=0,0,AH152*AG152+AE152*AD152+AB152*AA152+Y152*X152)</f>
        <v>0</v>
      </c>
      <c r="AN152" s="803">
        <f t="shared" ref="AN152:AN210" si="98">AJ152-AM152</f>
        <v>0</v>
      </c>
      <c r="AO152" s="803"/>
    </row>
    <row r="153" spans="18:41" x14ac:dyDescent="0.25">
      <c r="R153" s="804" t="s">
        <v>641</v>
      </c>
      <c r="S153" s="804"/>
      <c r="T153" s="804"/>
      <c r="U153" s="804"/>
      <c r="V153" s="804"/>
      <c r="W153" s="368">
        <v>4</v>
      </c>
      <c r="X153" s="335">
        <v>20.010000000000002</v>
      </c>
      <c r="Y153" s="369">
        <f t="shared" si="92"/>
        <v>0</v>
      </c>
      <c r="Z153" s="368"/>
      <c r="AA153" s="335"/>
      <c r="AB153" s="369">
        <f t="shared" si="93"/>
        <v>0</v>
      </c>
      <c r="AC153" s="368"/>
      <c r="AD153" s="335"/>
      <c r="AE153" s="369">
        <f t="shared" si="94"/>
        <v>0</v>
      </c>
      <c r="AF153" s="368"/>
      <c r="AG153" s="335"/>
      <c r="AH153" s="369">
        <f t="shared" si="95"/>
        <v>0</v>
      </c>
      <c r="AI153" s="465"/>
      <c r="AJ153" s="465"/>
      <c r="AK153" s="465"/>
      <c r="AL153" s="510" t="str">
        <f t="shared" si="96"/>
        <v>YA</v>
      </c>
      <c r="AM153" s="337">
        <f t="shared" si="97"/>
        <v>0</v>
      </c>
      <c r="AN153" s="803">
        <f t="shared" si="98"/>
        <v>0</v>
      </c>
      <c r="AO153" s="803"/>
    </row>
    <row r="154" spans="18:41" ht="17.25" customHeight="1" x14ac:dyDescent="0.25">
      <c r="R154" s="804" t="s">
        <v>642</v>
      </c>
      <c r="S154" s="804"/>
      <c r="T154" s="804"/>
      <c r="U154" s="804"/>
      <c r="V154" s="804"/>
      <c r="W154" s="368">
        <v>4</v>
      </c>
      <c r="X154" s="333">
        <v>20.010000000000002</v>
      </c>
      <c r="Y154" s="369">
        <f t="shared" si="92"/>
        <v>0</v>
      </c>
      <c r="Z154" s="368"/>
      <c r="AA154" s="335"/>
      <c r="AB154" s="369">
        <f t="shared" si="93"/>
        <v>0</v>
      </c>
      <c r="AC154" s="368"/>
      <c r="AD154" s="335"/>
      <c r="AE154" s="369">
        <f t="shared" si="94"/>
        <v>0</v>
      </c>
      <c r="AF154" s="368"/>
      <c r="AG154" s="335"/>
      <c r="AH154" s="369">
        <f t="shared" si="95"/>
        <v>0</v>
      </c>
      <c r="AI154" s="465"/>
      <c r="AJ154" s="465"/>
      <c r="AK154" s="465"/>
      <c r="AL154" s="510" t="str">
        <f t="shared" si="96"/>
        <v>YA</v>
      </c>
      <c r="AM154" s="337">
        <f t="shared" si="97"/>
        <v>0</v>
      </c>
      <c r="AN154" s="803">
        <f t="shared" si="98"/>
        <v>0</v>
      </c>
      <c r="AO154" s="803"/>
    </row>
    <row r="155" spans="18:41" x14ac:dyDescent="0.25">
      <c r="R155" s="805" t="s">
        <v>643</v>
      </c>
      <c r="S155" s="805"/>
      <c r="T155" s="805"/>
      <c r="U155" s="805"/>
      <c r="V155" s="805"/>
      <c r="W155" s="368">
        <v>12</v>
      </c>
      <c r="X155" s="333">
        <v>19</v>
      </c>
      <c r="Y155" s="369">
        <f t="shared" si="92"/>
        <v>3</v>
      </c>
      <c r="Z155" s="368"/>
      <c r="AA155" s="335"/>
      <c r="AB155" s="369">
        <f t="shared" si="93"/>
        <v>0</v>
      </c>
      <c r="AC155" s="368"/>
      <c r="AD155" s="335"/>
      <c r="AE155" s="369">
        <f t="shared" si="94"/>
        <v>0</v>
      </c>
      <c r="AF155" s="368"/>
      <c r="AG155" s="335"/>
      <c r="AH155" s="369">
        <f t="shared" si="95"/>
        <v>0</v>
      </c>
      <c r="AI155" s="465">
        <v>3</v>
      </c>
      <c r="AJ155" s="465">
        <v>73</v>
      </c>
      <c r="AK155" s="465"/>
      <c r="AL155" s="510" t="str">
        <f t="shared" si="96"/>
        <v>YA</v>
      </c>
      <c r="AM155" s="337">
        <f t="shared" si="97"/>
        <v>57</v>
      </c>
      <c r="AN155" s="803">
        <f t="shared" si="98"/>
        <v>16</v>
      </c>
      <c r="AO155" s="803"/>
    </row>
    <row r="156" spans="18:41" x14ac:dyDescent="0.25">
      <c r="R156" s="804" t="s">
        <v>644</v>
      </c>
      <c r="S156" s="804"/>
      <c r="T156" s="804"/>
      <c r="U156" s="804"/>
      <c r="V156" s="804"/>
      <c r="W156" s="368">
        <v>4</v>
      </c>
      <c r="X156" s="333">
        <v>20.010000000000002</v>
      </c>
      <c r="Y156" s="369">
        <f t="shared" si="92"/>
        <v>0</v>
      </c>
      <c r="Z156" s="368"/>
      <c r="AA156" s="335"/>
      <c r="AB156" s="369">
        <f t="shared" si="93"/>
        <v>0</v>
      </c>
      <c r="AC156" s="368"/>
      <c r="AD156" s="334"/>
      <c r="AE156" s="369">
        <f t="shared" si="94"/>
        <v>0</v>
      </c>
      <c r="AF156" s="368"/>
      <c r="AG156" s="334"/>
      <c r="AH156" s="369">
        <f t="shared" si="95"/>
        <v>0</v>
      </c>
      <c r="AI156" s="465"/>
      <c r="AJ156" s="465"/>
      <c r="AK156" s="465"/>
      <c r="AL156" s="510" t="str">
        <f t="shared" si="96"/>
        <v>YA</v>
      </c>
      <c r="AM156" s="337">
        <f t="shared" si="97"/>
        <v>0</v>
      </c>
      <c r="AN156" s="803">
        <f t="shared" si="98"/>
        <v>0</v>
      </c>
      <c r="AO156" s="803"/>
    </row>
    <row r="157" spans="18:41" x14ac:dyDescent="0.25">
      <c r="R157" s="804" t="s">
        <v>645</v>
      </c>
      <c r="S157" s="804"/>
      <c r="T157" s="804"/>
      <c r="U157" s="804"/>
      <c r="V157" s="804"/>
      <c r="W157" s="368">
        <v>4</v>
      </c>
      <c r="X157" s="333">
        <v>18.510000000000002</v>
      </c>
      <c r="Y157" s="369">
        <f t="shared" si="92"/>
        <v>0</v>
      </c>
      <c r="Z157" s="368"/>
      <c r="AA157" s="335"/>
      <c r="AB157" s="369">
        <f t="shared" si="93"/>
        <v>0</v>
      </c>
      <c r="AC157" s="368"/>
      <c r="AD157" s="334"/>
      <c r="AE157" s="369">
        <f t="shared" si="94"/>
        <v>0</v>
      </c>
      <c r="AF157" s="368"/>
      <c r="AG157" s="334"/>
      <c r="AH157" s="369">
        <f t="shared" si="95"/>
        <v>0</v>
      </c>
      <c r="AI157" s="465"/>
      <c r="AJ157" s="465"/>
      <c r="AK157" s="465"/>
      <c r="AL157" s="510" t="str">
        <f t="shared" si="96"/>
        <v>YA</v>
      </c>
      <c r="AM157" s="337">
        <f t="shared" si="97"/>
        <v>0</v>
      </c>
      <c r="AN157" s="803">
        <f t="shared" si="98"/>
        <v>0</v>
      </c>
      <c r="AO157" s="803"/>
    </row>
    <row r="158" spans="18:41" x14ac:dyDescent="0.25">
      <c r="R158" s="804" t="s">
        <v>646</v>
      </c>
      <c r="S158" s="804"/>
      <c r="T158" s="804"/>
      <c r="U158" s="804"/>
      <c r="V158" s="804"/>
      <c r="W158" s="368">
        <v>4</v>
      </c>
      <c r="X158" s="333">
        <v>16.91</v>
      </c>
      <c r="Y158" s="369">
        <f t="shared" si="92"/>
        <v>0</v>
      </c>
      <c r="Z158" s="368"/>
      <c r="AA158" s="335"/>
      <c r="AB158" s="369">
        <f t="shared" si="93"/>
        <v>0</v>
      </c>
      <c r="AC158" s="368"/>
      <c r="AD158" s="334"/>
      <c r="AE158" s="369">
        <f t="shared" si="94"/>
        <v>0</v>
      </c>
      <c r="AF158" s="368"/>
      <c r="AG158" s="334"/>
      <c r="AH158" s="369">
        <f t="shared" si="95"/>
        <v>0</v>
      </c>
      <c r="AI158" s="465"/>
      <c r="AJ158" s="465"/>
      <c r="AK158" s="465"/>
      <c r="AL158" s="510" t="str">
        <f t="shared" si="96"/>
        <v>YA</v>
      </c>
      <c r="AM158" s="337">
        <f t="shared" si="97"/>
        <v>0</v>
      </c>
      <c r="AN158" s="803">
        <f t="shared" si="98"/>
        <v>0</v>
      </c>
      <c r="AO158" s="803"/>
    </row>
    <row r="159" spans="18:41" x14ac:dyDescent="0.25">
      <c r="R159" s="804" t="s">
        <v>647</v>
      </c>
      <c r="S159" s="804"/>
      <c r="T159" s="804"/>
      <c r="U159" s="804"/>
      <c r="V159" s="804"/>
      <c r="W159" s="368">
        <v>4</v>
      </c>
      <c r="X159" s="333">
        <v>56.5</v>
      </c>
      <c r="Y159" s="369">
        <f t="shared" si="92"/>
        <v>0</v>
      </c>
      <c r="Z159" s="368"/>
      <c r="AA159" s="335"/>
      <c r="AB159" s="369">
        <f t="shared" si="93"/>
        <v>0</v>
      </c>
      <c r="AC159" s="368"/>
      <c r="AD159" s="334"/>
      <c r="AE159" s="369">
        <f t="shared" si="94"/>
        <v>0</v>
      </c>
      <c r="AF159" s="368"/>
      <c r="AG159" s="334"/>
      <c r="AH159" s="369">
        <f t="shared" si="95"/>
        <v>0</v>
      </c>
      <c r="AI159" s="465"/>
      <c r="AJ159" s="465"/>
      <c r="AK159" s="465"/>
      <c r="AL159" s="510" t="str">
        <f t="shared" si="96"/>
        <v>YA</v>
      </c>
      <c r="AM159" s="337">
        <f t="shared" si="97"/>
        <v>0</v>
      </c>
      <c r="AN159" s="803">
        <f t="shared" si="98"/>
        <v>0</v>
      </c>
      <c r="AO159" s="803"/>
    </row>
    <row r="160" spans="18:41" x14ac:dyDescent="0.25">
      <c r="R160" s="805" t="s">
        <v>648</v>
      </c>
      <c r="S160" s="805"/>
      <c r="T160" s="805"/>
      <c r="U160" s="805"/>
      <c r="V160" s="805"/>
      <c r="W160" s="368">
        <v>20</v>
      </c>
      <c r="X160" s="333">
        <v>8.5</v>
      </c>
      <c r="Y160" s="369">
        <f t="shared" si="92"/>
        <v>3</v>
      </c>
      <c r="Z160" s="368"/>
      <c r="AA160" s="335"/>
      <c r="AB160" s="369">
        <f t="shared" si="93"/>
        <v>0</v>
      </c>
      <c r="AC160" s="368"/>
      <c r="AD160" s="334"/>
      <c r="AE160" s="369">
        <f t="shared" si="94"/>
        <v>0</v>
      </c>
      <c r="AF160" s="368"/>
      <c r="AG160" s="334"/>
      <c r="AH160" s="369">
        <f t="shared" si="95"/>
        <v>0</v>
      </c>
      <c r="AI160" s="465">
        <v>3</v>
      </c>
      <c r="AJ160" s="465">
        <v>33</v>
      </c>
      <c r="AK160" s="465"/>
      <c r="AL160" s="510" t="str">
        <f t="shared" si="96"/>
        <v>YA</v>
      </c>
      <c r="AM160" s="337">
        <f t="shared" si="97"/>
        <v>25.5</v>
      </c>
      <c r="AN160" s="803">
        <f t="shared" si="98"/>
        <v>7.5</v>
      </c>
      <c r="AO160" s="803"/>
    </row>
    <row r="161" spans="18:41" ht="18" customHeight="1" x14ac:dyDescent="0.25">
      <c r="R161" s="804" t="s">
        <v>649</v>
      </c>
      <c r="S161" s="804"/>
      <c r="T161" s="804"/>
      <c r="U161" s="804"/>
      <c r="V161" s="804"/>
      <c r="W161" s="368">
        <v>8</v>
      </c>
      <c r="X161" s="333">
        <v>8.23</v>
      </c>
      <c r="Y161" s="369">
        <f t="shared" si="92"/>
        <v>1</v>
      </c>
      <c r="Z161" s="368"/>
      <c r="AA161" s="335"/>
      <c r="AB161" s="369">
        <f t="shared" si="93"/>
        <v>0</v>
      </c>
      <c r="AC161" s="368"/>
      <c r="AD161" s="334"/>
      <c r="AE161" s="369">
        <f t="shared" si="94"/>
        <v>0</v>
      </c>
      <c r="AF161" s="368"/>
      <c r="AG161" s="334"/>
      <c r="AH161" s="369">
        <f t="shared" si="95"/>
        <v>0</v>
      </c>
      <c r="AI161" s="465">
        <v>1</v>
      </c>
      <c r="AJ161" s="465">
        <v>10</v>
      </c>
      <c r="AK161" s="465"/>
      <c r="AL161" s="510" t="str">
        <f t="shared" si="96"/>
        <v>YA</v>
      </c>
      <c r="AM161" s="337">
        <f t="shared" si="97"/>
        <v>8.23</v>
      </c>
      <c r="AN161" s="803">
        <f t="shared" si="98"/>
        <v>1.7699999999999996</v>
      </c>
      <c r="AO161" s="803"/>
    </row>
    <row r="162" spans="18:41" ht="17.25" customHeight="1" x14ac:dyDescent="0.25">
      <c r="R162" s="805" t="s">
        <v>650</v>
      </c>
      <c r="S162" s="805"/>
      <c r="T162" s="805"/>
      <c r="U162" s="805"/>
      <c r="V162" s="805"/>
      <c r="W162" s="368">
        <v>8</v>
      </c>
      <c r="X162" s="333">
        <v>10.14</v>
      </c>
      <c r="Y162" s="369">
        <f t="shared" si="92"/>
        <v>1</v>
      </c>
      <c r="Z162" s="368"/>
      <c r="AA162" s="335"/>
      <c r="AB162" s="369">
        <f t="shared" si="93"/>
        <v>0</v>
      </c>
      <c r="AC162" s="368"/>
      <c r="AD162" s="334"/>
      <c r="AE162" s="369">
        <f t="shared" si="94"/>
        <v>0</v>
      </c>
      <c r="AF162" s="368"/>
      <c r="AG162" s="334"/>
      <c r="AH162" s="369">
        <f t="shared" si="95"/>
        <v>0</v>
      </c>
      <c r="AI162" s="465">
        <v>1</v>
      </c>
      <c r="AJ162" s="465">
        <v>13</v>
      </c>
      <c r="AK162" s="465"/>
      <c r="AL162" s="510" t="str">
        <f t="shared" si="96"/>
        <v>YA</v>
      </c>
      <c r="AM162" s="337">
        <f t="shared" si="97"/>
        <v>10.14</v>
      </c>
      <c r="AN162" s="803">
        <f t="shared" si="98"/>
        <v>2.8599999999999994</v>
      </c>
      <c r="AO162" s="803"/>
    </row>
    <row r="163" spans="18:41" x14ac:dyDescent="0.25">
      <c r="R163" s="804" t="s">
        <v>651</v>
      </c>
      <c r="S163" s="804"/>
      <c r="T163" s="804"/>
      <c r="U163" s="804"/>
      <c r="V163" s="804"/>
      <c r="W163" s="368">
        <v>4</v>
      </c>
      <c r="X163" s="333">
        <v>11.14</v>
      </c>
      <c r="Y163" s="369">
        <f t="shared" si="92"/>
        <v>0</v>
      </c>
      <c r="Z163" s="368"/>
      <c r="AA163" s="335"/>
      <c r="AB163" s="369">
        <f t="shared" si="93"/>
        <v>0</v>
      </c>
      <c r="AC163" s="368"/>
      <c r="AD163" s="334"/>
      <c r="AE163" s="369">
        <f t="shared" si="94"/>
        <v>0</v>
      </c>
      <c r="AF163" s="368"/>
      <c r="AG163" s="334"/>
      <c r="AH163" s="369">
        <f t="shared" si="95"/>
        <v>0</v>
      </c>
      <c r="AI163" s="465"/>
      <c r="AJ163" s="465"/>
      <c r="AK163" s="465"/>
      <c r="AL163" s="510" t="str">
        <f t="shared" si="96"/>
        <v>YA</v>
      </c>
      <c r="AM163" s="337">
        <f t="shared" si="97"/>
        <v>0</v>
      </c>
      <c r="AN163" s="803">
        <f t="shared" si="98"/>
        <v>0</v>
      </c>
      <c r="AO163" s="803"/>
    </row>
    <row r="164" spans="18:41" x14ac:dyDescent="0.25">
      <c r="R164" s="622" t="s">
        <v>652</v>
      </c>
      <c r="S164" s="623"/>
      <c r="T164" s="623"/>
      <c r="U164" s="623"/>
      <c r="V164" s="624"/>
      <c r="W164" s="368">
        <v>4</v>
      </c>
      <c r="X164" s="333">
        <v>19.399999999999999</v>
      </c>
      <c r="Y164" s="369">
        <f t="shared" si="92"/>
        <v>0</v>
      </c>
      <c r="Z164" s="368"/>
      <c r="AA164" s="335"/>
      <c r="AB164" s="369">
        <f t="shared" si="93"/>
        <v>0</v>
      </c>
      <c r="AC164" s="368"/>
      <c r="AD164" s="334"/>
      <c r="AE164" s="369">
        <f t="shared" si="94"/>
        <v>0</v>
      </c>
      <c r="AF164" s="368"/>
      <c r="AG164" s="334"/>
      <c r="AH164" s="369">
        <f t="shared" si="95"/>
        <v>0</v>
      </c>
      <c r="AI164" s="465"/>
      <c r="AJ164" s="465"/>
      <c r="AK164" s="465"/>
      <c r="AL164" s="510" t="str">
        <f t="shared" si="96"/>
        <v>YA</v>
      </c>
      <c r="AM164" s="337">
        <f t="shared" si="97"/>
        <v>0</v>
      </c>
      <c r="AN164" s="803">
        <f t="shared" si="98"/>
        <v>0</v>
      </c>
      <c r="AO164" s="803"/>
    </row>
    <row r="165" spans="18:41" x14ac:dyDescent="0.25">
      <c r="R165" s="800" t="s">
        <v>653</v>
      </c>
      <c r="S165" s="801"/>
      <c r="T165" s="801"/>
      <c r="U165" s="801"/>
      <c r="V165" s="802"/>
      <c r="W165" s="368">
        <v>4</v>
      </c>
      <c r="X165" s="333">
        <v>20.34</v>
      </c>
      <c r="Y165" s="369">
        <f t="shared" si="92"/>
        <v>0</v>
      </c>
      <c r="Z165" s="368"/>
      <c r="AA165" s="335"/>
      <c r="AB165" s="369">
        <f t="shared" si="93"/>
        <v>0</v>
      </c>
      <c r="AC165" s="368"/>
      <c r="AD165" s="334"/>
      <c r="AE165" s="369">
        <f t="shared" si="94"/>
        <v>0</v>
      </c>
      <c r="AF165" s="368"/>
      <c r="AG165" s="334"/>
      <c r="AH165" s="369">
        <f t="shared" si="95"/>
        <v>0</v>
      </c>
      <c r="AI165" s="465"/>
      <c r="AJ165" s="465"/>
      <c r="AK165" s="465"/>
      <c r="AL165" s="510" t="str">
        <f t="shared" si="96"/>
        <v>YA</v>
      </c>
      <c r="AM165" s="337">
        <f t="shared" si="97"/>
        <v>0</v>
      </c>
      <c r="AN165" s="803">
        <f t="shared" si="98"/>
        <v>0</v>
      </c>
      <c r="AO165" s="803"/>
    </row>
    <row r="166" spans="18:41" x14ac:dyDescent="0.25">
      <c r="R166" s="622" t="s">
        <v>654</v>
      </c>
      <c r="S166" s="623"/>
      <c r="T166" s="623"/>
      <c r="U166" s="623"/>
      <c r="V166" s="624"/>
      <c r="W166" s="368">
        <v>32</v>
      </c>
      <c r="X166" s="333">
        <v>5.46</v>
      </c>
      <c r="Y166" s="369">
        <f t="shared" ref="Y166:Y209" si="99">IF(AK166 &lt; AF166+AC166+Z166+W166, MIN(AC166+AF166+Z166+W166-AK166,AI166-AH166-AE166-AB166,W166),0)</f>
        <v>24</v>
      </c>
      <c r="Z166" s="368"/>
      <c r="AA166" s="335"/>
      <c r="AB166" s="369">
        <f t="shared" ref="AB166:AB209" si="100">IF(AK166 &lt; AF166+AC166+Z166, MIN(AC166+AF166+Z166-AK166,AI166-AH166-AE166,Z166),0)</f>
        <v>0</v>
      </c>
      <c r="AC166" s="368"/>
      <c r="AD166" s="334"/>
      <c r="AE166" s="369">
        <f t="shared" ref="AE166:AE209" si="101">IF(AK166 &lt; AF166+AC166, MIN(AC166+AF166-AK166,AI166-AH166,AC166),0)</f>
        <v>0</v>
      </c>
      <c r="AF166" s="368"/>
      <c r="AG166" s="334"/>
      <c r="AH166" s="369">
        <f t="shared" ref="AH166:AH209" si="102">IF(AK166 &lt;=AF166, MIN(AF166-AK166,AI166), 0)</f>
        <v>0</v>
      </c>
      <c r="AI166" s="465">
        <v>24</v>
      </c>
      <c r="AJ166" s="465">
        <v>168</v>
      </c>
      <c r="AK166" s="465"/>
      <c r="AL166" s="510" t="str">
        <f t="shared" ref="AL166:AL209" si="103">IF(OR((W166+Z166+AC166+AF166) &gt;= (AI166+AK166), AI166 = 0), "YA", "MAS")</f>
        <v>YA</v>
      </c>
      <c r="AM166" s="337">
        <f t="shared" ref="AM166:AM209" si="104">IF(AI166=0,0,AH166*AG166+AE166*AD166+AB166*AA166+Y166*X166)</f>
        <v>131.04</v>
      </c>
      <c r="AN166" s="803">
        <f t="shared" ref="AN166:AN209" si="105">AJ166-AM166</f>
        <v>36.960000000000008</v>
      </c>
      <c r="AO166" s="803"/>
    </row>
    <row r="167" spans="18:41" x14ac:dyDescent="0.25">
      <c r="R167" s="800" t="s">
        <v>655</v>
      </c>
      <c r="S167" s="801"/>
      <c r="T167" s="801"/>
      <c r="U167" s="801"/>
      <c r="V167" s="802"/>
      <c r="W167" s="368">
        <v>8</v>
      </c>
      <c r="X167" s="333">
        <v>5.46</v>
      </c>
      <c r="Y167" s="369">
        <f t="shared" si="99"/>
        <v>0</v>
      </c>
      <c r="Z167" s="368"/>
      <c r="AA167" s="335"/>
      <c r="AB167" s="369">
        <f t="shared" si="100"/>
        <v>0</v>
      </c>
      <c r="AC167" s="368"/>
      <c r="AD167" s="334"/>
      <c r="AE167" s="369">
        <f t="shared" si="101"/>
        <v>0</v>
      </c>
      <c r="AF167" s="368"/>
      <c r="AG167" s="334"/>
      <c r="AH167" s="369">
        <f t="shared" si="102"/>
        <v>0</v>
      </c>
      <c r="AI167" s="465"/>
      <c r="AJ167" s="465"/>
      <c r="AK167" s="465"/>
      <c r="AL167" s="510" t="str">
        <f t="shared" si="103"/>
        <v>YA</v>
      </c>
      <c r="AM167" s="337">
        <f t="shared" si="104"/>
        <v>0</v>
      </c>
      <c r="AN167" s="803">
        <f t="shared" si="105"/>
        <v>0</v>
      </c>
      <c r="AO167" s="803"/>
    </row>
    <row r="168" spans="18:41" x14ac:dyDescent="0.25">
      <c r="R168" s="800" t="s">
        <v>656</v>
      </c>
      <c r="S168" s="801"/>
      <c r="T168" s="801"/>
      <c r="U168" s="801"/>
      <c r="V168" s="802"/>
      <c r="W168" s="368">
        <v>8</v>
      </c>
      <c r="X168" s="333">
        <v>5.46</v>
      </c>
      <c r="Y168" s="369">
        <f t="shared" si="99"/>
        <v>0</v>
      </c>
      <c r="Z168" s="368"/>
      <c r="AA168" s="335"/>
      <c r="AB168" s="369">
        <f t="shared" si="100"/>
        <v>0</v>
      </c>
      <c r="AC168" s="368"/>
      <c r="AD168" s="334"/>
      <c r="AE168" s="369">
        <f t="shared" si="101"/>
        <v>0</v>
      </c>
      <c r="AF168" s="368"/>
      <c r="AG168" s="334"/>
      <c r="AH168" s="369">
        <f t="shared" si="102"/>
        <v>0</v>
      </c>
      <c r="AI168" s="465"/>
      <c r="AJ168" s="465"/>
      <c r="AK168" s="465"/>
      <c r="AL168" s="510" t="str">
        <f t="shared" si="103"/>
        <v>YA</v>
      </c>
      <c r="AM168" s="337">
        <f t="shared" si="104"/>
        <v>0</v>
      </c>
      <c r="AN168" s="803">
        <f t="shared" si="105"/>
        <v>0</v>
      </c>
      <c r="AO168" s="803"/>
    </row>
    <row r="169" spans="18:41" x14ac:dyDescent="0.25">
      <c r="R169" s="800" t="s">
        <v>657</v>
      </c>
      <c r="S169" s="801"/>
      <c r="T169" s="801"/>
      <c r="U169" s="801"/>
      <c r="V169" s="802"/>
      <c r="W169" s="368">
        <v>4</v>
      </c>
      <c r="X169" s="333">
        <v>5.46</v>
      </c>
      <c r="Y169" s="369">
        <f t="shared" si="99"/>
        <v>0</v>
      </c>
      <c r="Z169" s="368"/>
      <c r="AA169" s="335"/>
      <c r="AB169" s="369">
        <f t="shared" si="100"/>
        <v>0</v>
      </c>
      <c r="AC169" s="368"/>
      <c r="AD169" s="334"/>
      <c r="AE169" s="369">
        <f t="shared" si="101"/>
        <v>0</v>
      </c>
      <c r="AF169" s="368"/>
      <c r="AG169" s="334"/>
      <c r="AH169" s="369">
        <f t="shared" si="102"/>
        <v>0</v>
      </c>
      <c r="AI169" s="465"/>
      <c r="AJ169" s="465"/>
      <c r="AK169" s="465"/>
      <c r="AL169" s="510" t="str">
        <f t="shared" si="103"/>
        <v>YA</v>
      </c>
      <c r="AM169" s="337">
        <f t="shared" si="104"/>
        <v>0</v>
      </c>
      <c r="AN169" s="803">
        <f t="shared" si="105"/>
        <v>0</v>
      </c>
      <c r="AO169" s="803"/>
    </row>
    <row r="170" spans="18:41" x14ac:dyDescent="0.25">
      <c r="R170" s="800" t="s">
        <v>658</v>
      </c>
      <c r="S170" s="801"/>
      <c r="T170" s="801"/>
      <c r="U170" s="801"/>
      <c r="V170" s="802"/>
      <c r="W170" s="368">
        <v>4</v>
      </c>
      <c r="X170" s="333">
        <v>5.46</v>
      </c>
      <c r="Y170" s="369">
        <f t="shared" si="99"/>
        <v>0</v>
      </c>
      <c r="Z170" s="368"/>
      <c r="AA170" s="335"/>
      <c r="AB170" s="369">
        <f t="shared" si="100"/>
        <v>0</v>
      </c>
      <c r="AC170" s="368"/>
      <c r="AD170" s="334"/>
      <c r="AE170" s="369">
        <f t="shared" si="101"/>
        <v>0</v>
      </c>
      <c r="AF170" s="368"/>
      <c r="AG170" s="334"/>
      <c r="AH170" s="369">
        <f t="shared" si="102"/>
        <v>0</v>
      </c>
      <c r="AI170" s="465"/>
      <c r="AJ170" s="465"/>
      <c r="AK170" s="465"/>
      <c r="AL170" s="510" t="str">
        <f t="shared" si="103"/>
        <v>YA</v>
      </c>
      <c r="AM170" s="337">
        <f t="shared" si="104"/>
        <v>0</v>
      </c>
      <c r="AN170" s="803">
        <f t="shared" si="105"/>
        <v>0</v>
      </c>
      <c r="AO170" s="803"/>
    </row>
    <row r="171" spans="18:41" x14ac:dyDescent="0.25">
      <c r="R171" s="800" t="s">
        <v>659</v>
      </c>
      <c r="S171" s="801"/>
      <c r="T171" s="801"/>
      <c r="U171" s="801"/>
      <c r="V171" s="802"/>
      <c r="W171" s="368">
        <v>4</v>
      </c>
      <c r="X171" s="333">
        <v>5.46</v>
      </c>
      <c r="Y171" s="369">
        <f t="shared" si="99"/>
        <v>0</v>
      </c>
      <c r="Z171" s="368"/>
      <c r="AA171" s="335"/>
      <c r="AB171" s="369">
        <f t="shared" si="100"/>
        <v>0</v>
      </c>
      <c r="AC171" s="368"/>
      <c r="AD171" s="334"/>
      <c r="AE171" s="369">
        <f t="shared" si="101"/>
        <v>0</v>
      </c>
      <c r="AF171" s="368"/>
      <c r="AG171" s="334"/>
      <c r="AH171" s="369">
        <f t="shared" si="102"/>
        <v>0</v>
      </c>
      <c r="AI171" s="465"/>
      <c r="AJ171" s="465"/>
      <c r="AK171" s="465"/>
      <c r="AL171" s="510" t="str">
        <f t="shared" si="103"/>
        <v>YA</v>
      </c>
      <c r="AM171" s="337">
        <f t="shared" si="104"/>
        <v>0</v>
      </c>
      <c r="AN171" s="803">
        <f t="shared" si="105"/>
        <v>0</v>
      </c>
      <c r="AO171" s="803"/>
    </row>
    <row r="172" spans="18:41" x14ac:dyDescent="0.25">
      <c r="R172" s="800" t="s">
        <v>660</v>
      </c>
      <c r="S172" s="801"/>
      <c r="T172" s="801"/>
      <c r="U172" s="801"/>
      <c r="V172" s="802"/>
      <c r="W172" s="368">
        <v>4</v>
      </c>
      <c r="X172" s="333">
        <v>5.46</v>
      </c>
      <c r="Y172" s="369">
        <f t="shared" si="99"/>
        <v>0</v>
      </c>
      <c r="Z172" s="368"/>
      <c r="AA172" s="335"/>
      <c r="AB172" s="369">
        <f t="shared" si="100"/>
        <v>0</v>
      </c>
      <c r="AC172" s="368"/>
      <c r="AD172" s="334"/>
      <c r="AE172" s="369">
        <f t="shared" si="101"/>
        <v>0</v>
      </c>
      <c r="AF172" s="368"/>
      <c r="AG172" s="334"/>
      <c r="AH172" s="369">
        <f t="shared" si="102"/>
        <v>0</v>
      </c>
      <c r="AI172" s="465"/>
      <c r="AJ172" s="465"/>
      <c r="AK172" s="465"/>
      <c r="AL172" s="510" t="str">
        <f t="shared" si="103"/>
        <v>YA</v>
      </c>
      <c r="AM172" s="337">
        <f t="shared" si="104"/>
        <v>0</v>
      </c>
      <c r="AN172" s="803">
        <f t="shared" si="105"/>
        <v>0</v>
      </c>
      <c r="AO172" s="803"/>
    </row>
    <row r="173" spans="18:41" x14ac:dyDescent="0.25">
      <c r="R173" s="800" t="s">
        <v>661</v>
      </c>
      <c r="S173" s="801"/>
      <c r="T173" s="801"/>
      <c r="U173" s="801"/>
      <c r="V173" s="802"/>
      <c r="W173" s="368">
        <v>4</v>
      </c>
      <c r="X173" s="333">
        <v>5.46</v>
      </c>
      <c r="Y173" s="369">
        <f t="shared" si="99"/>
        <v>0</v>
      </c>
      <c r="Z173" s="368"/>
      <c r="AA173" s="335"/>
      <c r="AB173" s="369">
        <f t="shared" si="100"/>
        <v>0</v>
      </c>
      <c r="AC173" s="368"/>
      <c r="AD173" s="334"/>
      <c r="AE173" s="369">
        <f t="shared" si="101"/>
        <v>0</v>
      </c>
      <c r="AF173" s="368"/>
      <c r="AG173" s="334"/>
      <c r="AH173" s="369">
        <f t="shared" si="102"/>
        <v>0</v>
      </c>
      <c r="AI173" s="465"/>
      <c r="AJ173" s="465"/>
      <c r="AK173" s="465"/>
      <c r="AL173" s="510" t="str">
        <f t="shared" si="103"/>
        <v>YA</v>
      </c>
      <c r="AM173" s="337">
        <f t="shared" si="104"/>
        <v>0</v>
      </c>
      <c r="AN173" s="803">
        <f t="shared" si="105"/>
        <v>0</v>
      </c>
      <c r="AO173" s="803"/>
    </row>
    <row r="174" spans="18:41" x14ac:dyDescent="0.25">
      <c r="R174" s="800" t="s">
        <v>662</v>
      </c>
      <c r="S174" s="801"/>
      <c r="T174" s="801"/>
      <c r="U174" s="801"/>
      <c r="V174" s="802"/>
      <c r="W174" s="368">
        <v>4</v>
      </c>
      <c r="X174" s="333">
        <v>5.46</v>
      </c>
      <c r="Y174" s="369">
        <f t="shared" si="99"/>
        <v>0</v>
      </c>
      <c r="Z174" s="368"/>
      <c r="AA174" s="335"/>
      <c r="AB174" s="369">
        <f t="shared" si="100"/>
        <v>0</v>
      </c>
      <c r="AC174" s="368"/>
      <c r="AD174" s="334"/>
      <c r="AE174" s="369">
        <f t="shared" si="101"/>
        <v>0</v>
      </c>
      <c r="AF174" s="368"/>
      <c r="AG174" s="334"/>
      <c r="AH174" s="369">
        <f t="shared" si="102"/>
        <v>0</v>
      </c>
      <c r="AI174" s="465"/>
      <c r="AJ174" s="465"/>
      <c r="AK174" s="465"/>
      <c r="AL174" s="510" t="str">
        <f t="shared" si="103"/>
        <v>YA</v>
      </c>
      <c r="AM174" s="337">
        <f t="shared" si="104"/>
        <v>0</v>
      </c>
      <c r="AN174" s="803">
        <f t="shared" si="105"/>
        <v>0</v>
      </c>
      <c r="AO174" s="803"/>
    </row>
    <row r="175" spans="18:41" x14ac:dyDescent="0.25">
      <c r="R175" s="800" t="s">
        <v>663</v>
      </c>
      <c r="S175" s="801"/>
      <c r="T175" s="801"/>
      <c r="U175" s="801"/>
      <c r="V175" s="802"/>
      <c r="W175" s="368">
        <v>4</v>
      </c>
      <c r="X175" s="333">
        <v>5.46</v>
      </c>
      <c r="Y175" s="369">
        <f t="shared" si="99"/>
        <v>0</v>
      </c>
      <c r="Z175" s="368"/>
      <c r="AA175" s="335"/>
      <c r="AB175" s="369">
        <f t="shared" si="100"/>
        <v>0</v>
      </c>
      <c r="AC175" s="368"/>
      <c r="AD175" s="334"/>
      <c r="AE175" s="369">
        <f t="shared" si="101"/>
        <v>0</v>
      </c>
      <c r="AF175" s="368"/>
      <c r="AG175" s="334"/>
      <c r="AH175" s="369">
        <f t="shared" si="102"/>
        <v>0</v>
      </c>
      <c r="AI175" s="465"/>
      <c r="AJ175" s="465"/>
      <c r="AK175" s="465"/>
      <c r="AL175" s="510" t="str">
        <f t="shared" si="103"/>
        <v>YA</v>
      </c>
      <c r="AM175" s="337">
        <f t="shared" si="104"/>
        <v>0</v>
      </c>
      <c r="AN175" s="803">
        <f t="shared" si="105"/>
        <v>0</v>
      </c>
      <c r="AO175" s="803"/>
    </row>
    <row r="176" spans="18:41" x14ac:dyDescent="0.25">
      <c r="R176" s="800" t="s">
        <v>664</v>
      </c>
      <c r="S176" s="801"/>
      <c r="T176" s="801"/>
      <c r="U176" s="801"/>
      <c r="V176" s="802"/>
      <c r="W176" s="368">
        <v>4</v>
      </c>
      <c r="X176" s="333">
        <v>5.46</v>
      </c>
      <c r="Y176" s="369">
        <f t="shared" si="99"/>
        <v>0</v>
      </c>
      <c r="Z176" s="368"/>
      <c r="AA176" s="335"/>
      <c r="AB176" s="369">
        <f t="shared" si="100"/>
        <v>0</v>
      </c>
      <c r="AC176" s="368"/>
      <c r="AD176" s="334"/>
      <c r="AE176" s="369">
        <f t="shared" si="101"/>
        <v>0</v>
      </c>
      <c r="AF176" s="368"/>
      <c r="AG176" s="334"/>
      <c r="AH176" s="369">
        <f t="shared" si="102"/>
        <v>0</v>
      </c>
      <c r="AI176" s="465"/>
      <c r="AJ176" s="465"/>
      <c r="AK176" s="465"/>
      <c r="AL176" s="510" t="str">
        <f t="shared" si="103"/>
        <v>YA</v>
      </c>
      <c r="AM176" s="337">
        <f t="shared" si="104"/>
        <v>0</v>
      </c>
      <c r="AN176" s="803">
        <f t="shared" si="105"/>
        <v>0</v>
      </c>
      <c r="AO176" s="803"/>
    </row>
    <row r="177" spans="18:41" x14ac:dyDescent="0.25">
      <c r="R177" s="800" t="s">
        <v>665</v>
      </c>
      <c r="S177" s="801"/>
      <c r="T177" s="801"/>
      <c r="U177" s="801"/>
      <c r="V177" s="802"/>
      <c r="W177" s="368">
        <v>4</v>
      </c>
      <c r="X177" s="333">
        <v>5.46</v>
      </c>
      <c r="Y177" s="369">
        <f t="shared" si="99"/>
        <v>0</v>
      </c>
      <c r="Z177" s="368"/>
      <c r="AA177" s="335"/>
      <c r="AB177" s="369">
        <f t="shared" si="100"/>
        <v>0</v>
      </c>
      <c r="AC177" s="368"/>
      <c r="AD177" s="334"/>
      <c r="AE177" s="369">
        <f t="shared" si="101"/>
        <v>0</v>
      </c>
      <c r="AF177" s="368"/>
      <c r="AG177" s="334"/>
      <c r="AH177" s="369">
        <f t="shared" si="102"/>
        <v>0</v>
      </c>
      <c r="AI177" s="465"/>
      <c r="AJ177" s="465"/>
      <c r="AK177" s="465"/>
      <c r="AL177" s="510" t="str">
        <f t="shared" si="103"/>
        <v>YA</v>
      </c>
      <c r="AM177" s="337">
        <f t="shared" si="104"/>
        <v>0</v>
      </c>
      <c r="AN177" s="803">
        <f t="shared" si="105"/>
        <v>0</v>
      </c>
      <c r="AO177" s="803"/>
    </row>
    <row r="178" spans="18:41" x14ac:dyDescent="0.25">
      <c r="R178" s="800" t="s">
        <v>666</v>
      </c>
      <c r="S178" s="801"/>
      <c r="T178" s="801"/>
      <c r="U178" s="801"/>
      <c r="V178" s="802"/>
      <c r="W178" s="368">
        <v>8</v>
      </c>
      <c r="X178" s="333">
        <v>5.46</v>
      </c>
      <c r="Y178" s="369">
        <f t="shared" si="99"/>
        <v>0</v>
      </c>
      <c r="Z178" s="368"/>
      <c r="AA178" s="335"/>
      <c r="AB178" s="369">
        <f t="shared" si="100"/>
        <v>0</v>
      </c>
      <c r="AC178" s="368"/>
      <c r="AD178" s="334"/>
      <c r="AE178" s="369">
        <f t="shared" si="101"/>
        <v>0</v>
      </c>
      <c r="AF178" s="368"/>
      <c r="AG178" s="334"/>
      <c r="AH178" s="369">
        <f t="shared" si="102"/>
        <v>0</v>
      </c>
      <c r="AI178" s="465"/>
      <c r="AJ178" s="465"/>
      <c r="AK178" s="465"/>
      <c r="AL178" s="510" t="str">
        <f t="shared" si="103"/>
        <v>YA</v>
      </c>
      <c r="AM178" s="337">
        <f t="shared" si="104"/>
        <v>0</v>
      </c>
      <c r="AN178" s="803">
        <f t="shared" si="105"/>
        <v>0</v>
      </c>
      <c r="AO178" s="803"/>
    </row>
    <row r="179" spans="18:41" x14ac:dyDescent="0.25">
      <c r="R179" s="800" t="s">
        <v>667</v>
      </c>
      <c r="S179" s="801"/>
      <c r="T179" s="801"/>
      <c r="U179" s="801"/>
      <c r="V179" s="802"/>
      <c r="W179" s="368">
        <v>4</v>
      </c>
      <c r="X179" s="333">
        <v>5.46</v>
      </c>
      <c r="Y179" s="369">
        <f t="shared" si="99"/>
        <v>0</v>
      </c>
      <c r="Z179" s="368"/>
      <c r="AA179" s="335"/>
      <c r="AB179" s="369">
        <f t="shared" si="100"/>
        <v>0</v>
      </c>
      <c r="AC179" s="368"/>
      <c r="AD179" s="334"/>
      <c r="AE179" s="369">
        <f t="shared" si="101"/>
        <v>0</v>
      </c>
      <c r="AF179" s="368"/>
      <c r="AG179" s="334"/>
      <c r="AH179" s="369">
        <f t="shared" si="102"/>
        <v>0</v>
      </c>
      <c r="AI179" s="465"/>
      <c r="AJ179" s="465"/>
      <c r="AK179" s="465"/>
      <c r="AL179" s="510" t="str">
        <f t="shared" si="103"/>
        <v>YA</v>
      </c>
      <c r="AM179" s="337">
        <f t="shared" si="104"/>
        <v>0</v>
      </c>
      <c r="AN179" s="803">
        <f t="shared" si="105"/>
        <v>0</v>
      </c>
      <c r="AO179" s="803"/>
    </row>
    <row r="180" spans="18:41" x14ac:dyDescent="0.25">
      <c r="R180" s="800" t="s">
        <v>668</v>
      </c>
      <c r="S180" s="801"/>
      <c r="T180" s="801"/>
      <c r="U180" s="801"/>
      <c r="V180" s="802"/>
      <c r="W180" s="368">
        <v>4</v>
      </c>
      <c r="X180" s="333">
        <v>5.46</v>
      </c>
      <c r="Y180" s="369">
        <f t="shared" si="99"/>
        <v>0</v>
      </c>
      <c r="Z180" s="368"/>
      <c r="AA180" s="335"/>
      <c r="AB180" s="369">
        <f t="shared" si="100"/>
        <v>0</v>
      </c>
      <c r="AC180" s="368"/>
      <c r="AD180" s="334"/>
      <c r="AE180" s="369">
        <f t="shared" si="101"/>
        <v>0</v>
      </c>
      <c r="AF180" s="368"/>
      <c r="AG180" s="334"/>
      <c r="AH180" s="369">
        <f t="shared" si="102"/>
        <v>0</v>
      </c>
      <c r="AI180" s="465"/>
      <c r="AJ180" s="465"/>
      <c r="AK180" s="465"/>
      <c r="AL180" s="510" t="str">
        <f t="shared" si="103"/>
        <v>YA</v>
      </c>
      <c r="AM180" s="337">
        <f t="shared" si="104"/>
        <v>0</v>
      </c>
      <c r="AN180" s="803">
        <f t="shared" si="105"/>
        <v>0</v>
      </c>
      <c r="AO180" s="803"/>
    </row>
    <row r="181" spans="18:41" x14ac:dyDescent="0.25">
      <c r="R181" s="800" t="s">
        <v>669</v>
      </c>
      <c r="S181" s="801"/>
      <c r="T181" s="801"/>
      <c r="U181" s="801"/>
      <c r="V181" s="802"/>
      <c r="W181" s="368">
        <v>4</v>
      </c>
      <c r="X181" s="333">
        <v>5.46</v>
      </c>
      <c r="Y181" s="369">
        <f t="shared" si="99"/>
        <v>0</v>
      </c>
      <c r="Z181" s="368"/>
      <c r="AA181" s="335"/>
      <c r="AB181" s="369">
        <f t="shared" si="100"/>
        <v>0</v>
      </c>
      <c r="AC181" s="368"/>
      <c r="AD181" s="334"/>
      <c r="AE181" s="369">
        <f t="shared" si="101"/>
        <v>0</v>
      </c>
      <c r="AF181" s="368"/>
      <c r="AG181" s="334"/>
      <c r="AH181" s="369">
        <f t="shared" si="102"/>
        <v>0</v>
      </c>
      <c r="AI181" s="465"/>
      <c r="AJ181" s="465"/>
      <c r="AK181" s="465"/>
      <c r="AL181" s="510" t="str">
        <f t="shared" si="103"/>
        <v>YA</v>
      </c>
      <c r="AM181" s="337">
        <f t="shared" si="104"/>
        <v>0</v>
      </c>
      <c r="AN181" s="803">
        <f t="shared" si="105"/>
        <v>0</v>
      </c>
      <c r="AO181" s="803"/>
    </row>
    <row r="182" spans="18:41" x14ac:dyDescent="0.25">
      <c r="R182" s="800" t="s">
        <v>670</v>
      </c>
      <c r="S182" s="801"/>
      <c r="T182" s="801"/>
      <c r="U182" s="801"/>
      <c r="V182" s="802"/>
      <c r="W182" s="368">
        <v>4</v>
      </c>
      <c r="X182" s="333">
        <v>5.46</v>
      </c>
      <c r="Y182" s="369">
        <f t="shared" si="99"/>
        <v>0</v>
      </c>
      <c r="Z182" s="368"/>
      <c r="AA182" s="335"/>
      <c r="AB182" s="369">
        <f t="shared" si="100"/>
        <v>0</v>
      </c>
      <c r="AC182" s="368"/>
      <c r="AD182" s="334"/>
      <c r="AE182" s="369">
        <f t="shared" si="101"/>
        <v>0</v>
      </c>
      <c r="AF182" s="368"/>
      <c r="AG182" s="334"/>
      <c r="AH182" s="369">
        <f t="shared" si="102"/>
        <v>0</v>
      </c>
      <c r="AI182" s="465"/>
      <c r="AJ182" s="465"/>
      <c r="AK182" s="465"/>
      <c r="AL182" s="510" t="str">
        <f t="shared" si="103"/>
        <v>YA</v>
      </c>
      <c r="AM182" s="337">
        <f t="shared" si="104"/>
        <v>0</v>
      </c>
      <c r="AN182" s="803">
        <f t="shared" si="105"/>
        <v>0</v>
      </c>
      <c r="AO182" s="803"/>
    </row>
    <row r="183" spans="18:41" x14ac:dyDescent="0.25">
      <c r="R183" s="800" t="s">
        <v>685</v>
      </c>
      <c r="S183" s="801"/>
      <c r="T183" s="801"/>
      <c r="U183" s="801"/>
      <c r="V183" s="802"/>
      <c r="W183" s="368">
        <v>8</v>
      </c>
      <c r="X183" s="333">
        <v>5.46</v>
      </c>
      <c r="Y183" s="369">
        <f t="shared" si="99"/>
        <v>0</v>
      </c>
      <c r="Z183" s="368"/>
      <c r="AA183" s="335"/>
      <c r="AB183" s="369">
        <f t="shared" si="100"/>
        <v>0</v>
      </c>
      <c r="AC183" s="368"/>
      <c r="AD183" s="334"/>
      <c r="AE183" s="369">
        <f t="shared" si="101"/>
        <v>0</v>
      </c>
      <c r="AF183" s="368"/>
      <c r="AG183" s="334"/>
      <c r="AH183" s="369">
        <f t="shared" si="102"/>
        <v>0</v>
      </c>
      <c r="AI183" s="465"/>
      <c r="AJ183" s="465"/>
      <c r="AK183" s="465"/>
      <c r="AL183" s="510" t="str">
        <f t="shared" si="103"/>
        <v>YA</v>
      </c>
      <c r="AM183" s="337">
        <f t="shared" si="104"/>
        <v>0</v>
      </c>
      <c r="AN183" s="803">
        <f t="shared" si="105"/>
        <v>0</v>
      </c>
      <c r="AO183" s="803"/>
    </row>
    <row r="184" spans="18:41" x14ac:dyDescent="0.25">
      <c r="R184" s="622" t="s">
        <v>671</v>
      </c>
      <c r="S184" s="623"/>
      <c r="T184" s="623"/>
      <c r="U184" s="623"/>
      <c r="V184" s="624"/>
      <c r="W184" s="368">
        <v>5</v>
      </c>
      <c r="X184" s="333">
        <v>19</v>
      </c>
      <c r="Y184" s="369">
        <f t="shared" ref="Y184:Y189" si="106">IF(AK184 &lt; AF184+AC184+Z184+W184, MIN(AC184+AF184+Z184+W184-AK184,AI184-AH184-AE184-AB184,W184),0)</f>
        <v>4</v>
      </c>
      <c r="Z184" s="368"/>
      <c r="AA184" s="335"/>
      <c r="AB184" s="369">
        <f t="shared" ref="AB184:AB189" si="107">IF(AK184 &lt; AF184+AC184+Z184, MIN(AC184+AF184+Z184-AK184,AI184-AH184-AE184,Z184),0)</f>
        <v>0</v>
      </c>
      <c r="AC184" s="368"/>
      <c r="AD184" s="334"/>
      <c r="AE184" s="369">
        <f t="shared" ref="AE184:AE189" si="108">IF(AK184 &lt; AF184+AC184, MIN(AC184+AF184-AK184,AI184-AH184,AC184),0)</f>
        <v>0</v>
      </c>
      <c r="AF184" s="368"/>
      <c r="AG184" s="334"/>
      <c r="AH184" s="369">
        <f t="shared" ref="AH184:AH189" si="109">IF(AK184 &lt;=AF184, MIN(AF184-AK184,AI184), 0)</f>
        <v>0</v>
      </c>
      <c r="AI184" s="465">
        <v>4</v>
      </c>
      <c r="AJ184" s="465">
        <v>96</v>
      </c>
      <c r="AK184" s="465"/>
      <c r="AL184" s="510" t="str">
        <f t="shared" ref="AL184:AL189" si="110">IF(OR((W184+Z184+AC184+AF184) &gt;= (AI184+AK184), AI184 = 0), "YA", "MAS")</f>
        <v>YA</v>
      </c>
      <c r="AM184" s="337">
        <f t="shared" ref="AM184:AM189" si="111">IF(AI184=0,0,AH184*AG184+AE184*AD184+AB184*AA184+Y184*X184)</f>
        <v>76</v>
      </c>
      <c r="AN184" s="803">
        <f t="shared" ref="AN184:AN189" si="112">AJ184-AM184</f>
        <v>20</v>
      </c>
      <c r="AO184" s="803"/>
    </row>
    <row r="185" spans="18:41" x14ac:dyDescent="0.25">
      <c r="R185" s="800" t="s">
        <v>672</v>
      </c>
      <c r="S185" s="801"/>
      <c r="T185" s="801"/>
      <c r="U185" s="801"/>
      <c r="V185" s="802"/>
      <c r="W185" s="368">
        <v>2</v>
      </c>
      <c r="X185" s="333">
        <v>19</v>
      </c>
      <c r="Y185" s="369">
        <f t="shared" si="106"/>
        <v>0</v>
      </c>
      <c r="Z185" s="368"/>
      <c r="AA185" s="335"/>
      <c r="AB185" s="369">
        <f t="shared" si="107"/>
        <v>0</v>
      </c>
      <c r="AC185" s="368"/>
      <c r="AD185" s="334"/>
      <c r="AE185" s="369">
        <f t="shared" si="108"/>
        <v>0</v>
      </c>
      <c r="AF185" s="368"/>
      <c r="AG185" s="334"/>
      <c r="AH185" s="369">
        <f t="shared" si="109"/>
        <v>0</v>
      </c>
      <c r="AI185" s="465"/>
      <c r="AJ185" s="465"/>
      <c r="AK185" s="465"/>
      <c r="AL185" s="510" t="str">
        <f t="shared" si="110"/>
        <v>YA</v>
      </c>
      <c r="AM185" s="337">
        <f t="shared" si="111"/>
        <v>0</v>
      </c>
      <c r="AN185" s="803">
        <f t="shared" si="112"/>
        <v>0</v>
      </c>
      <c r="AO185" s="803"/>
    </row>
    <row r="186" spans="18:41" x14ac:dyDescent="0.25">
      <c r="R186" s="800" t="s">
        <v>673</v>
      </c>
      <c r="S186" s="801"/>
      <c r="T186" s="801"/>
      <c r="U186" s="801"/>
      <c r="V186" s="802"/>
      <c r="W186" s="368">
        <v>4</v>
      </c>
      <c r="X186" s="333">
        <v>35.69</v>
      </c>
      <c r="Y186" s="369">
        <f t="shared" si="106"/>
        <v>0</v>
      </c>
      <c r="Z186" s="368"/>
      <c r="AA186" s="335"/>
      <c r="AB186" s="369">
        <f t="shared" si="107"/>
        <v>0</v>
      </c>
      <c r="AC186" s="368"/>
      <c r="AD186" s="334"/>
      <c r="AE186" s="369">
        <f t="shared" si="108"/>
        <v>0</v>
      </c>
      <c r="AF186" s="368"/>
      <c r="AG186" s="334"/>
      <c r="AH186" s="369">
        <f t="shared" si="109"/>
        <v>0</v>
      </c>
      <c r="AI186" s="465"/>
      <c r="AJ186" s="465"/>
      <c r="AK186" s="465"/>
      <c r="AL186" s="510" t="str">
        <f t="shared" si="110"/>
        <v>YA</v>
      </c>
      <c r="AM186" s="337">
        <f t="shared" si="111"/>
        <v>0</v>
      </c>
      <c r="AN186" s="803">
        <f t="shared" si="112"/>
        <v>0</v>
      </c>
      <c r="AO186" s="803"/>
    </row>
    <row r="187" spans="18:41" x14ac:dyDescent="0.25">
      <c r="R187" s="622" t="s">
        <v>674</v>
      </c>
      <c r="S187" s="623"/>
      <c r="T187" s="623"/>
      <c r="U187" s="623"/>
      <c r="V187" s="624"/>
      <c r="W187" s="368">
        <v>6</v>
      </c>
      <c r="X187" s="333">
        <v>5.67</v>
      </c>
      <c r="Y187" s="369">
        <f t="shared" si="106"/>
        <v>4</v>
      </c>
      <c r="Z187" s="368"/>
      <c r="AA187" s="335"/>
      <c r="AB187" s="369">
        <f t="shared" si="107"/>
        <v>0</v>
      </c>
      <c r="AC187" s="368"/>
      <c r="AD187" s="334"/>
      <c r="AE187" s="369">
        <f t="shared" si="108"/>
        <v>0</v>
      </c>
      <c r="AF187" s="368"/>
      <c r="AG187" s="334"/>
      <c r="AH187" s="369">
        <f t="shared" si="109"/>
        <v>0</v>
      </c>
      <c r="AI187" s="465">
        <v>4</v>
      </c>
      <c r="AJ187" s="465">
        <v>28</v>
      </c>
      <c r="AK187" s="465"/>
      <c r="AL187" s="510" t="str">
        <f t="shared" si="110"/>
        <v>YA</v>
      </c>
      <c r="AM187" s="337">
        <f t="shared" si="111"/>
        <v>22.68</v>
      </c>
      <c r="AN187" s="803">
        <f t="shared" si="112"/>
        <v>5.32</v>
      </c>
      <c r="AO187" s="803"/>
    </row>
    <row r="188" spans="18:41" x14ac:dyDescent="0.25">
      <c r="R188" s="800" t="s">
        <v>675</v>
      </c>
      <c r="S188" s="801"/>
      <c r="T188" s="801"/>
      <c r="U188" s="801"/>
      <c r="V188" s="802"/>
      <c r="W188" s="368">
        <v>6</v>
      </c>
      <c r="X188" s="333">
        <v>5.67</v>
      </c>
      <c r="Y188" s="369">
        <f t="shared" si="106"/>
        <v>0</v>
      </c>
      <c r="Z188" s="368"/>
      <c r="AA188" s="335"/>
      <c r="AB188" s="369">
        <f t="shared" si="107"/>
        <v>0</v>
      </c>
      <c r="AC188" s="368"/>
      <c r="AD188" s="334"/>
      <c r="AE188" s="369">
        <f t="shared" si="108"/>
        <v>0</v>
      </c>
      <c r="AF188" s="368"/>
      <c r="AG188" s="334"/>
      <c r="AH188" s="369">
        <f t="shared" si="109"/>
        <v>0</v>
      </c>
      <c r="AI188" s="465"/>
      <c r="AJ188" s="465"/>
      <c r="AK188" s="465"/>
      <c r="AL188" s="510" t="str">
        <f t="shared" si="110"/>
        <v>YA</v>
      </c>
      <c r="AM188" s="337">
        <f t="shared" si="111"/>
        <v>0</v>
      </c>
      <c r="AN188" s="803">
        <f t="shared" si="112"/>
        <v>0</v>
      </c>
      <c r="AO188" s="803"/>
    </row>
    <row r="189" spans="18:41" x14ac:dyDescent="0.25">
      <c r="R189" s="800" t="s">
        <v>676</v>
      </c>
      <c r="S189" s="801"/>
      <c r="T189" s="801"/>
      <c r="U189" s="801"/>
      <c r="V189" s="802"/>
      <c r="W189" s="368">
        <v>12</v>
      </c>
      <c r="X189" s="333">
        <v>5.67</v>
      </c>
      <c r="Y189" s="369">
        <f t="shared" si="106"/>
        <v>0</v>
      </c>
      <c r="Z189" s="368"/>
      <c r="AA189" s="335"/>
      <c r="AB189" s="369">
        <f t="shared" si="107"/>
        <v>0</v>
      </c>
      <c r="AC189" s="368"/>
      <c r="AD189" s="334"/>
      <c r="AE189" s="369">
        <f t="shared" si="108"/>
        <v>0</v>
      </c>
      <c r="AF189" s="368"/>
      <c r="AG189" s="334"/>
      <c r="AH189" s="369">
        <f t="shared" si="109"/>
        <v>0</v>
      </c>
      <c r="AI189" s="465"/>
      <c r="AJ189" s="465"/>
      <c r="AK189" s="465"/>
      <c r="AL189" s="510" t="str">
        <f t="shared" si="110"/>
        <v>YA</v>
      </c>
      <c r="AM189" s="337">
        <f t="shared" si="111"/>
        <v>0</v>
      </c>
      <c r="AN189" s="803">
        <f t="shared" si="112"/>
        <v>0</v>
      </c>
      <c r="AO189" s="803"/>
    </row>
    <row r="190" spans="18:41" x14ac:dyDescent="0.25">
      <c r="R190" s="800" t="s">
        <v>677</v>
      </c>
      <c r="S190" s="801"/>
      <c r="T190" s="801"/>
      <c r="U190" s="801"/>
      <c r="V190" s="802"/>
      <c r="W190" s="368">
        <v>6</v>
      </c>
      <c r="X190" s="333">
        <v>5.67</v>
      </c>
      <c r="Y190" s="369">
        <f t="shared" si="99"/>
        <v>0</v>
      </c>
      <c r="Z190" s="368"/>
      <c r="AA190" s="335"/>
      <c r="AB190" s="369">
        <f t="shared" si="100"/>
        <v>0</v>
      </c>
      <c r="AC190" s="368"/>
      <c r="AD190" s="334"/>
      <c r="AE190" s="369">
        <f t="shared" si="101"/>
        <v>0</v>
      </c>
      <c r="AF190" s="368"/>
      <c r="AG190" s="334"/>
      <c r="AH190" s="369">
        <f t="shared" si="102"/>
        <v>0</v>
      </c>
      <c r="AI190" s="465"/>
      <c r="AJ190" s="465"/>
      <c r="AK190" s="465"/>
      <c r="AL190" s="510" t="str">
        <f t="shared" si="103"/>
        <v>YA</v>
      </c>
      <c r="AM190" s="337">
        <f t="shared" si="104"/>
        <v>0</v>
      </c>
      <c r="AN190" s="803">
        <f t="shared" si="105"/>
        <v>0</v>
      </c>
      <c r="AO190" s="803"/>
    </row>
    <row r="191" spans="18:41" x14ac:dyDescent="0.25">
      <c r="R191" s="800" t="s">
        <v>678</v>
      </c>
      <c r="S191" s="801"/>
      <c r="T191" s="801"/>
      <c r="U191" s="801"/>
      <c r="V191" s="802"/>
      <c r="W191" s="368">
        <v>6</v>
      </c>
      <c r="X191" s="333">
        <v>5.67</v>
      </c>
      <c r="Y191" s="369">
        <f t="shared" si="99"/>
        <v>0</v>
      </c>
      <c r="Z191" s="368"/>
      <c r="AA191" s="335"/>
      <c r="AB191" s="369">
        <f t="shared" si="100"/>
        <v>0</v>
      </c>
      <c r="AC191" s="368"/>
      <c r="AD191" s="334"/>
      <c r="AE191" s="369">
        <f t="shared" si="101"/>
        <v>0</v>
      </c>
      <c r="AF191" s="368"/>
      <c r="AG191" s="334"/>
      <c r="AH191" s="369">
        <f t="shared" si="102"/>
        <v>0</v>
      </c>
      <c r="AI191" s="465"/>
      <c r="AJ191" s="465"/>
      <c r="AK191" s="465"/>
      <c r="AL191" s="510" t="str">
        <f t="shared" si="103"/>
        <v>YA</v>
      </c>
      <c r="AM191" s="337">
        <f t="shared" si="104"/>
        <v>0</v>
      </c>
      <c r="AN191" s="803">
        <f t="shared" si="105"/>
        <v>0</v>
      </c>
      <c r="AO191" s="803"/>
    </row>
    <row r="192" spans="18:41" x14ac:dyDescent="0.25">
      <c r="R192" s="800" t="s">
        <v>679</v>
      </c>
      <c r="S192" s="801"/>
      <c r="T192" s="801"/>
      <c r="U192" s="801"/>
      <c r="V192" s="802"/>
      <c r="W192" s="368">
        <v>6</v>
      </c>
      <c r="X192" s="333">
        <v>5.67</v>
      </c>
      <c r="Y192" s="369">
        <f t="shared" si="99"/>
        <v>0</v>
      </c>
      <c r="Z192" s="368"/>
      <c r="AA192" s="335"/>
      <c r="AB192" s="369">
        <f t="shared" si="100"/>
        <v>0</v>
      </c>
      <c r="AC192" s="368"/>
      <c r="AD192" s="334"/>
      <c r="AE192" s="369">
        <f t="shared" si="101"/>
        <v>0</v>
      </c>
      <c r="AF192" s="368"/>
      <c r="AG192" s="334"/>
      <c r="AH192" s="369">
        <f t="shared" si="102"/>
        <v>0</v>
      </c>
      <c r="AI192" s="465"/>
      <c r="AJ192" s="465"/>
      <c r="AK192" s="465"/>
      <c r="AL192" s="510" t="str">
        <f t="shared" si="103"/>
        <v>YA</v>
      </c>
      <c r="AM192" s="337">
        <f t="shared" si="104"/>
        <v>0</v>
      </c>
      <c r="AN192" s="803">
        <f t="shared" si="105"/>
        <v>0</v>
      </c>
      <c r="AO192" s="803"/>
    </row>
    <row r="193" spans="18:41" x14ac:dyDescent="0.25">
      <c r="R193" s="800" t="s">
        <v>680</v>
      </c>
      <c r="S193" s="801"/>
      <c r="T193" s="801"/>
      <c r="U193" s="801"/>
      <c r="V193" s="802"/>
      <c r="W193" s="368">
        <v>12</v>
      </c>
      <c r="X193" s="333">
        <v>5.67</v>
      </c>
      <c r="Y193" s="369">
        <f t="shared" si="99"/>
        <v>0</v>
      </c>
      <c r="Z193" s="368"/>
      <c r="AA193" s="335"/>
      <c r="AB193" s="369">
        <f t="shared" si="100"/>
        <v>0</v>
      </c>
      <c r="AC193" s="368"/>
      <c r="AD193" s="334"/>
      <c r="AE193" s="369">
        <f t="shared" si="101"/>
        <v>0</v>
      </c>
      <c r="AF193" s="368"/>
      <c r="AG193" s="334"/>
      <c r="AH193" s="369">
        <f t="shared" si="102"/>
        <v>0</v>
      </c>
      <c r="AI193" s="465"/>
      <c r="AJ193" s="465"/>
      <c r="AK193" s="465"/>
      <c r="AL193" s="510" t="str">
        <f t="shared" si="103"/>
        <v>YA</v>
      </c>
      <c r="AM193" s="337">
        <f t="shared" si="104"/>
        <v>0</v>
      </c>
      <c r="AN193" s="803">
        <f t="shared" si="105"/>
        <v>0</v>
      </c>
      <c r="AO193" s="803"/>
    </row>
    <row r="194" spans="18:41" x14ac:dyDescent="0.25">
      <c r="R194" s="800" t="s">
        <v>681</v>
      </c>
      <c r="S194" s="801"/>
      <c r="T194" s="801"/>
      <c r="U194" s="801"/>
      <c r="V194" s="802"/>
      <c r="W194" s="368">
        <v>12</v>
      </c>
      <c r="X194" s="333">
        <v>5.67</v>
      </c>
      <c r="Y194" s="369">
        <f t="shared" si="99"/>
        <v>0</v>
      </c>
      <c r="Z194" s="368"/>
      <c r="AA194" s="335"/>
      <c r="AB194" s="369">
        <f t="shared" si="100"/>
        <v>0</v>
      </c>
      <c r="AC194" s="368"/>
      <c r="AD194" s="334"/>
      <c r="AE194" s="369">
        <f t="shared" si="101"/>
        <v>0</v>
      </c>
      <c r="AF194" s="368"/>
      <c r="AG194" s="334"/>
      <c r="AH194" s="369">
        <f t="shared" si="102"/>
        <v>0</v>
      </c>
      <c r="AI194" s="465"/>
      <c r="AJ194" s="465"/>
      <c r="AK194" s="465"/>
      <c r="AL194" s="510" t="str">
        <f t="shared" si="103"/>
        <v>YA</v>
      </c>
      <c r="AM194" s="337">
        <f t="shared" si="104"/>
        <v>0</v>
      </c>
      <c r="AN194" s="803">
        <f t="shared" si="105"/>
        <v>0</v>
      </c>
      <c r="AO194" s="803"/>
    </row>
    <row r="195" spans="18:41" x14ac:dyDescent="0.25">
      <c r="R195" s="800" t="s">
        <v>682</v>
      </c>
      <c r="S195" s="801"/>
      <c r="T195" s="801"/>
      <c r="U195" s="801"/>
      <c r="V195" s="802"/>
      <c r="W195" s="368">
        <v>24</v>
      </c>
      <c r="X195" s="333">
        <v>5.67</v>
      </c>
      <c r="Y195" s="369">
        <f t="shared" ref="Y195:Y208" si="113">IF(AK195 &lt; AF195+AC195+Z195+W195, MIN(AC195+AF195+Z195+W195-AK195,AI195-AH195-AE195-AB195,W195),0)</f>
        <v>0</v>
      </c>
      <c r="Z195" s="368"/>
      <c r="AA195" s="335"/>
      <c r="AB195" s="369">
        <f t="shared" ref="AB195:AB208" si="114">IF(AK195 &lt; AF195+AC195+Z195, MIN(AC195+AF195+Z195-AK195,AI195-AH195-AE195,Z195),0)</f>
        <v>0</v>
      </c>
      <c r="AC195" s="368"/>
      <c r="AD195" s="334"/>
      <c r="AE195" s="369">
        <f t="shared" ref="AE195:AE208" si="115">IF(AK195 &lt; AF195+AC195, MIN(AC195+AF195-AK195,AI195-AH195,AC195),0)</f>
        <v>0</v>
      </c>
      <c r="AF195" s="368"/>
      <c r="AG195" s="334"/>
      <c r="AH195" s="369">
        <f t="shared" ref="AH195:AH208" si="116">IF(AK195 &lt;=AF195, MIN(AF195-AK195,AI195), 0)</f>
        <v>0</v>
      </c>
      <c r="AI195" s="465"/>
      <c r="AJ195" s="465"/>
      <c r="AK195" s="465"/>
      <c r="AL195" s="510" t="str">
        <f t="shared" ref="AL195:AL208" si="117">IF(OR((W195+Z195+AC195+AF195) &gt;= (AI195+AK195), AI195 = 0), "YA", "MAS")</f>
        <v>YA</v>
      </c>
      <c r="AM195" s="337">
        <f t="shared" ref="AM195:AM208" si="118">IF(AI195=0,0,AH195*AG195+AE195*AD195+AB195*AA195+Y195*X195)</f>
        <v>0</v>
      </c>
      <c r="AN195" s="803">
        <f t="shared" ref="AN195:AN208" si="119">AJ195-AM195</f>
        <v>0</v>
      </c>
      <c r="AO195" s="803"/>
    </row>
    <row r="196" spans="18:41" x14ac:dyDescent="0.25">
      <c r="R196" s="800" t="s">
        <v>683</v>
      </c>
      <c r="S196" s="801"/>
      <c r="T196" s="801"/>
      <c r="U196" s="801"/>
      <c r="V196" s="802"/>
      <c r="W196" s="368">
        <v>12</v>
      </c>
      <c r="X196" s="333">
        <v>6</v>
      </c>
      <c r="Y196" s="369">
        <f t="shared" si="113"/>
        <v>0</v>
      </c>
      <c r="Z196" s="368"/>
      <c r="AA196" s="335"/>
      <c r="AB196" s="369">
        <f t="shared" si="114"/>
        <v>0</v>
      </c>
      <c r="AC196" s="368"/>
      <c r="AD196" s="334"/>
      <c r="AE196" s="369">
        <f t="shared" si="115"/>
        <v>0</v>
      </c>
      <c r="AF196" s="368"/>
      <c r="AG196" s="334"/>
      <c r="AH196" s="369">
        <f t="shared" si="116"/>
        <v>0</v>
      </c>
      <c r="AI196" s="465"/>
      <c r="AJ196" s="465"/>
      <c r="AK196" s="465"/>
      <c r="AL196" s="510" t="str">
        <f t="shared" si="117"/>
        <v>YA</v>
      </c>
      <c r="AM196" s="337">
        <f t="shared" si="118"/>
        <v>0</v>
      </c>
      <c r="AN196" s="803">
        <f t="shared" si="119"/>
        <v>0</v>
      </c>
      <c r="AO196" s="803"/>
    </row>
    <row r="197" spans="18:41" x14ac:dyDescent="0.25">
      <c r="R197" s="800" t="s">
        <v>684</v>
      </c>
      <c r="S197" s="801"/>
      <c r="T197" s="801"/>
      <c r="U197" s="801"/>
      <c r="V197" s="802"/>
      <c r="W197" s="368">
        <v>12</v>
      </c>
      <c r="X197" s="333">
        <v>5.36</v>
      </c>
      <c r="Y197" s="369">
        <f t="shared" si="113"/>
        <v>0</v>
      </c>
      <c r="Z197" s="368"/>
      <c r="AA197" s="335"/>
      <c r="AB197" s="369">
        <f t="shared" si="114"/>
        <v>0</v>
      </c>
      <c r="AC197" s="368"/>
      <c r="AD197" s="334"/>
      <c r="AE197" s="369">
        <f t="shared" si="115"/>
        <v>0</v>
      </c>
      <c r="AF197" s="368"/>
      <c r="AG197" s="334"/>
      <c r="AH197" s="369">
        <f t="shared" si="116"/>
        <v>0</v>
      </c>
      <c r="AI197" s="465"/>
      <c r="AJ197" s="465"/>
      <c r="AK197" s="465"/>
      <c r="AL197" s="510" t="str">
        <f t="shared" si="117"/>
        <v>YA</v>
      </c>
      <c r="AM197" s="337">
        <f t="shared" si="118"/>
        <v>0</v>
      </c>
      <c r="AN197" s="803">
        <f t="shared" si="119"/>
        <v>0</v>
      </c>
      <c r="AO197" s="803"/>
    </row>
    <row r="198" spans="18:41" x14ac:dyDescent="0.25">
      <c r="R198" s="800" t="s">
        <v>645</v>
      </c>
      <c r="S198" s="801"/>
      <c r="T198" s="801"/>
      <c r="U198" s="801"/>
      <c r="V198" s="802"/>
      <c r="W198" s="368">
        <v>8</v>
      </c>
      <c r="X198" s="333">
        <v>18.510000000000002</v>
      </c>
      <c r="Y198" s="369">
        <f t="shared" si="113"/>
        <v>0</v>
      </c>
      <c r="Z198" s="368"/>
      <c r="AA198" s="335"/>
      <c r="AB198" s="369">
        <f t="shared" si="114"/>
        <v>0</v>
      </c>
      <c r="AC198" s="368"/>
      <c r="AD198" s="334"/>
      <c r="AE198" s="369">
        <f t="shared" si="115"/>
        <v>0</v>
      </c>
      <c r="AF198" s="368"/>
      <c r="AG198" s="334"/>
      <c r="AH198" s="369">
        <f t="shared" si="116"/>
        <v>0</v>
      </c>
      <c r="AI198" s="465"/>
      <c r="AJ198" s="465"/>
      <c r="AK198" s="465"/>
      <c r="AL198" s="510" t="str">
        <f t="shared" si="117"/>
        <v>YA</v>
      </c>
      <c r="AM198" s="337">
        <f t="shared" si="118"/>
        <v>0</v>
      </c>
      <c r="AN198" s="803">
        <f t="shared" si="119"/>
        <v>0</v>
      </c>
      <c r="AO198" s="803"/>
    </row>
    <row r="199" spans="18:41" x14ac:dyDescent="0.25">
      <c r="R199" s="800" t="s">
        <v>690</v>
      </c>
      <c r="S199" s="801"/>
      <c r="T199" s="801"/>
      <c r="U199" s="801"/>
      <c r="V199" s="802"/>
      <c r="W199" s="368">
        <v>18</v>
      </c>
      <c r="X199" s="333">
        <v>11.4</v>
      </c>
      <c r="Y199" s="369">
        <f t="shared" si="113"/>
        <v>3</v>
      </c>
      <c r="Z199" s="368"/>
      <c r="AA199" s="335"/>
      <c r="AB199" s="369">
        <f t="shared" si="114"/>
        <v>0</v>
      </c>
      <c r="AC199" s="368"/>
      <c r="AD199" s="334"/>
      <c r="AE199" s="369">
        <f t="shared" si="115"/>
        <v>0</v>
      </c>
      <c r="AF199" s="368"/>
      <c r="AG199" s="334"/>
      <c r="AH199" s="369">
        <f t="shared" si="116"/>
        <v>0</v>
      </c>
      <c r="AI199" s="465">
        <v>3</v>
      </c>
      <c r="AJ199" s="465">
        <v>45</v>
      </c>
      <c r="AK199" s="465"/>
      <c r="AL199" s="510" t="str">
        <f t="shared" si="117"/>
        <v>YA</v>
      </c>
      <c r="AM199" s="337">
        <f t="shared" si="118"/>
        <v>34.200000000000003</v>
      </c>
      <c r="AN199" s="803">
        <f t="shared" si="119"/>
        <v>10.799999999999997</v>
      </c>
      <c r="AO199" s="803"/>
    </row>
    <row r="200" spans="18:41" x14ac:dyDescent="0.25">
      <c r="R200" s="622" t="s">
        <v>698</v>
      </c>
      <c r="S200" s="623"/>
      <c r="T200" s="623"/>
      <c r="U200" s="623"/>
      <c r="V200" s="624"/>
      <c r="W200" s="368">
        <v>100</v>
      </c>
      <c r="X200" s="333">
        <v>19</v>
      </c>
      <c r="Y200" s="369">
        <f t="shared" si="113"/>
        <v>0</v>
      </c>
      <c r="Z200" s="368"/>
      <c r="AA200" s="335"/>
      <c r="AB200" s="369">
        <f t="shared" si="114"/>
        <v>0</v>
      </c>
      <c r="AC200" s="368"/>
      <c r="AD200" s="334"/>
      <c r="AE200" s="369">
        <f t="shared" si="115"/>
        <v>0</v>
      </c>
      <c r="AF200" s="368"/>
      <c r="AG200" s="334"/>
      <c r="AH200" s="369">
        <f t="shared" si="116"/>
        <v>0</v>
      </c>
      <c r="AI200" s="465"/>
      <c r="AJ200" s="465"/>
      <c r="AK200" s="465"/>
      <c r="AL200" s="510" t="str">
        <f t="shared" si="117"/>
        <v>YA</v>
      </c>
      <c r="AM200" s="337">
        <f t="shared" si="118"/>
        <v>0</v>
      </c>
      <c r="AN200" s="803">
        <f t="shared" si="119"/>
        <v>0</v>
      </c>
      <c r="AO200" s="803"/>
    </row>
    <row r="201" spans="18:41" x14ac:dyDescent="0.25">
      <c r="R201" s="800" t="s">
        <v>710</v>
      </c>
      <c r="S201" s="801"/>
      <c r="T201" s="801"/>
      <c r="U201" s="801"/>
      <c r="V201" s="802"/>
      <c r="W201" s="368">
        <v>4</v>
      </c>
      <c r="X201" s="333">
        <v>46.5</v>
      </c>
      <c r="Y201" s="369">
        <f t="shared" si="113"/>
        <v>0</v>
      </c>
      <c r="Z201" s="368"/>
      <c r="AA201" s="335"/>
      <c r="AB201" s="369">
        <f t="shared" si="114"/>
        <v>0</v>
      </c>
      <c r="AC201" s="368"/>
      <c r="AD201" s="334"/>
      <c r="AE201" s="369">
        <f t="shared" si="115"/>
        <v>0</v>
      </c>
      <c r="AF201" s="368"/>
      <c r="AG201" s="334"/>
      <c r="AH201" s="369">
        <f t="shared" si="116"/>
        <v>0</v>
      </c>
      <c r="AI201" s="465"/>
      <c r="AJ201" s="465"/>
      <c r="AK201" s="465"/>
      <c r="AL201" s="510" t="str">
        <f t="shared" si="117"/>
        <v>YA</v>
      </c>
      <c r="AM201" s="337">
        <f t="shared" si="118"/>
        <v>0</v>
      </c>
      <c r="AN201" s="803">
        <f t="shared" si="119"/>
        <v>0</v>
      </c>
      <c r="AO201" s="803"/>
    </row>
    <row r="202" spans="18:41" x14ac:dyDescent="0.25">
      <c r="R202" s="800" t="s">
        <v>711</v>
      </c>
      <c r="S202" s="801"/>
      <c r="T202" s="801"/>
      <c r="U202" s="801"/>
      <c r="V202" s="802"/>
      <c r="W202" s="368">
        <v>12</v>
      </c>
      <c r="X202" s="333">
        <v>4.8</v>
      </c>
      <c r="Y202" s="369">
        <f t="shared" si="113"/>
        <v>0</v>
      </c>
      <c r="Z202" s="368"/>
      <c r="AA202" s="335"/>
      <c r="AB202" s="369">
        <f t="shared" si="114"/>
        <v>0</v>
      </c>
      <c r="AC202" s="368"/>
      <c r="AD202" s="334"/>
      <c r="AE202" s="369">
        <f t="shared" si="115"/>
        <v>0</v>
      </c>
      <c r="AF202" s="368"/>
      <c r="AG202" s="334"/>
      <c r="AH202" s="369">
        <f t="shared" si="116"/>
        <v>0</v>
      </c>
      <c r="AI202" s="465"/>
      <c r="AJ202" s="465"/>
      <c r="AK202" s="465"/>
      <c r="AL202" s="510" t="str">
        <f t="shared" si="117"/>
        <v>YA</v>
      </c>
      <c r="AM202" s="337">
        <f t="shared" si="118"/>
        <v>0</v>
      </c>
      <c r="AN202" s="803">
        <f t="shared" si="119"/>
        <v>0</v>
      </c>
      <c r="AO202" s="803"/>
    </row>
    <row r="203" spans="18:41" x14ac:dyDescent="0.25">
      <c r="R203" s="800"/>
      <c r="S203" s="801"/>
      <c r="T203" s="801"/>
      <c r="U203" s="801"/>
      <c r="V203" s="802"/>
      <c r="W203" s="368"/>
      <c r="X203" s="333"/>
      <c r="Y203" s="369">
        <f t="shared" si="113"/>
        <v>0</v>
      </c>
      <c r="Z203" s="368"/>
      <c r="AA203" s="335"/>
      <c r="AB203" s="369">
        <f t="shared" si="114"/>
        <v>0</v>
      </c>
      <c r="AC203" s="368"/>
      <c r="AD203" s="334"/>
      <c r="AE203" s="369">
        <f t="shared" si="115"/>
        <v>0</v>
      </c>
      <c r="AF203" s="368"/>
      <c r="AG203" s="334"/>
      <c r="AH203" s="369">
        <f t="shared" si="116"/>
        <v>0</v>
      </c>
      <c r="AI203" s="465"/>
      <c r="AJ203" s="465"/>
      <c r="AK203" s="465"/>
      <c r="AL203" s="510" t="str">
        <f t="shared" si="117"/>
        <v>YA</v>
      </c>
      <c r="AM203" s="337">
        <f t="shared" si="118"/>
        <v>0</v>
      </c>
      <c r="AN203" s="803">
        <f t="shared" si="119"/>
        <v>0</v>
      </c>
      <c r="AO203" s="803"/>
    </row>
    <row r="204" spans="18:41" x14ac:dyDescent="0.25">
      <c r="R204" s="800"/>
      <c r="S204" s="801"/>
      <c r="T204" s="801"/>
      <c r="U204" s="801"/>
      <c r="V204" s="802"/>
      <c r="W204" s="368"/>
      <c r="X204" s="333"/>
      <c r="Y204" s="369">
        <f t="shared" si="113"/>
        <v>0</v>
      </c>
      <c r="Z204" s="368"/>
      <c r="AA204" s="335"/>
      <c r="AB204" s="369">
        <f t="shared" si="114"/>
        <v>0</v>
      </c>
      <c r="AC204" s="368"/>
      <c r="AD204" s="334"/>
      <c r="AE204" s="369">
        <f t="shared" si="115"/>
        <v>0</v>
      </c>
      <c r="AF204" s="368"/>
      <c r="AG204" s="334"/>
      <c r="AH204" s="369">
        <f t="shared" si="116"/>
        <v>0</v>
      </c>
      <c r="AI204" s="465"/>
      <c r="AJ204" s="465"/>
      <c r="AK204" s="465"/>
      <c r="AL204" s="510" t="str">
        <f t="shared" si="117"/>
        <v>YA</v>
      </c>
      <c r="AM204" s="337">
        <f t="shared" si="118"/>
        <v>0</v>
      </c>
      <c r="AN204" s="803">
        <f t="shared" si="119"/>
        <v>0</v>
      </c>
      <c r="AO204" s="803"/>
    </row>
    <row r="205" spans="18:41" x14ac:dyDescent="0.25">
      <c r="R205" s="800"/>
      <c r="S205" s="801"/>
      <c r="T205" s="801"/>
      <c r="U205" s="801"/>
      <c r="V205" s="802"/>
      <c r="W205" s="368"/>
      <c r="X205" s="333"/>
      <c r="Y205" s="369">
        <f t="shared" si="113"/>
        <v>0</v>
      </c>
      <c r="Z205" s="368"/>
      <c r="AA205" s="335"/>
      <c r="AB205" s="369">
        <f t="shared" si="114"/>
        <v>0</v>
      </c>
      <c r="AC205" s="368"/>
      <c r="AD205" s="334"/>
      <c r="AE205" s="369">
        <f t="shared" si="115"/>
        <v>0</v>
      </c>
      <c r="AF205" s="368"/>
      <c r="AG205" s="334"/>
      <c r="AH205" s="369">
        <f t="shared" si="116"/>
        <v>0</v>
      </c>
      <c r="AI205" s="465"/>
      <c r="AJ205" s="465"/>
      <c r="AK205" s="465"/>
      <c r="AL205" s="510" t="str">
        <f t="shared" si="117"/>
        <v>YA</v>
      </c>
      <c r="AM205" s="337">
        <f t="shared" si="118"/>
        <v>0</v>
      </c>
      <c r="AN205" s="803">
        <f t="shared" si="119"/>
        <v>0</v>
      </c>
      <c r="AO205" s="803"/>
    </row>
    <row r="206" spans="18:41" x14ac:dyDescent="0.25">
      <c r="R206" s="800"/>
      <c r="S206" s="801"/>
      <c r="T206" s="801"/>
      <c r="U206" s="801"/>
      <c r="V206" s="802"/>
      <c r="W206" s="368"/>
      <c r="X206" s="333"/>
      <c r="Y206" s="369">
        <f t="shared" si="113"/>
        <v>0</v>
      </c>
      <c r="Z206" s="368"/>
      <c r="AA206" s="335"/>
      <c r="AB206" s="369">
        <f t="shared" si="114"/>
        <v>0</v>
      </c>
      <c r="AC206" s="368"/>
      <c r="AD206" s="334"/>
      <c r="AE206" s="369">
        <f t="shared" si="115"/>
        <v>0</v>
      </c>
      <c r="AF206" s="368"/>
      <c r="AG206" s="334"/>
      <c r="AH206" s="369">
        <f t="shared" si="116"/>
        <v>0</v>
      </c>
      <c r="AI206" s="465"/>
      <c r="AJ206" s="465"/>
      <c r="AK206" s="465"/>
      <c r="AL206" s="510" t="str">
        <f t="shared" si="117"/>
        <v>YA</v>
      </c>
      <c r="AM206" s="337">
        <f t="shared" si="118"/>
        <v>0</v>
      </c>
      <c r="AN206" s="803">
        <f t="shared" si="119"/>
        <v>0</v>
      </c>
      <c r="AO206" s="803"/>
    </row>
    <row r="207" spans="18:41" x14ac:dyDescent="0.25">
      <c r="R207" s="800"/>
      <c r="S207" s="801"/>
      <c r="T207" s="801"/>
      <c r="U207" s="801"/>
      <c r="V207" s="802"/>
      <c r="W207" s="368"/>
      <c r="X207" s="333"/>
      <c r="Y207" s="369">
        <f t="shared" si="113"/>
        <v>0</v>
      </c>
      <c r="Z207" s="368"/>
      <c r="AA207" s="335"/>
      <c r="AB207" s="369">
        <f t="shared" si="114"/>
        <v>0</v>
      </c>
      <c r="AC207" s="368"/>
      <c r="AD207" s="334"/>
      <c r="AE207" s="369">
        <f t="shared" si="115"/>
        <v>0</v>
      </c>
      <c r="AF207" s="368"/>
      <c r="AG207" s="334"/>
      <c r="AH207" s="369">
        <f t="shared" si="116"/>
        <v>0</v>
      </c>
      <c r="AI207" s="465"/>
      <c r="AJ207" s="465"/>
      <c r="AK207" s="465"/>
      <c r="AL207" s="510" t="str">
        <f t="shared" si="117"/>
        <v>YA</v>
      </c>
      <c r="AM207" s="337">
        <f t="shared" si="118"/>
        <v>0</v>
      </c>
      <c r="AN207" s="803">
        <f t="shared" si="119"/>
        <v>0</v>
      </c>
      <c r="AO207" s="803"/>
    </row>
    <row r="208" spans="18:41" x14ac:dyDescent="0.25">
      <c r="R208" s="800"/>
      <c r="S208" s="801"/>
      <c r="T208" s="801"/>
      <c r="U208" s="801"/>
      <c r="V208" s="802"/>
      <c r="W208" s="368"/>
      <c r="X208" s="333"/>
      <c r="Y208" s="369">
        <f t="shared" si="113"/>
        <v>0</v>
      </c>
      <c r="Z208" s="368"/>
      <c r="AA208" s="335"/>
      <c r="AB208" s="369">
        <f t="shared" si="114"/>
        <v>0</v>
      </c>
      <c r="AC208" s="368"/>
      <c r="AD208" s="334"/>
      <c r="AE208" s="369">
        <f t="shared" si="115"/>
        <v>0</v>
      </c>
      <c r="AF208" s="368"/>
      <c r="AG208" s="334"/>
      <c r="AH208" s="369">
        <f t="shared" si="116"/>
        <v>0</v>
      </c>
      <c r="AI208" s="465"/>
      <c r="AJ208" s="465"/>
      <c r="AK208" s="465"/>
      <c r="AL208" s="510" t="str">
        <f t="shared" si="117"/>
        <v>YA</v>
      </c>
      <c r="AM208" s="337">
        <f t="shared" si="118"/>
        <v>0</v>
      </c>
      <c r="AN208" s="803">
        <f t="shared" si="119"/>
        <v>0</v>
      </c>
      <c r="AO208" s="803"/>
    </row>
    <row r="209" spans="18:41" x14ac:dyDescent="0.25">
      <c r="R209" s="800"/>
      <c r="S209" s="801"/>
      <c r="T209" s="801"/>
      <c r="U209" s="801"/>
      <c r="V209" s="802"/>
      <c r="W209" s="368"/>
      <c r="X209" s="333"/>
      <c r="Y209" s="369">
        <f t="shared" si="99"/>
        <v>0</v>
      </c>
      <c r="Z209" s="368"/>
      <c r="AA209" s="335"/>
      <c r="AB209" s="369">
        <f t="shared" si="100"/>
        <v>0</v>
      </c>
      <c r="AC209" s="368"/>
      <c r="AD209" s="334"/>
      <c r="AE209" s="369">
        <f t="shared" si="101"/>
        <v>0</v>
      </c>
      <c r="AF209" s="368"/>
      <c r="AG209" s="334"/>
      <c r="AH209" s="369">
        <f t="shared" si="102"/>
        <v>0</v>
      </c>
      <c r="AI209" s="465"/>
      <c r="AJ209" s="465"/>
      <c r="AK209" s="465"/>
      <c r="AL209" s="510" t="str">
        <f t="shared" si="103"/>
        <v>YA</v>
      </c>
      <c r="AM209" s="337">
        <f t="shared" si="104"/>
        <v>0</v>
      </c>
      <c r="AN209" s="803">
        <f t="shared" si="105"/>
        <v>0</v>
      </c>
      <c r="AO209" s="803"/>
    </row>
    <row r="210" spans="18:41" x14ac:dyDescent="0.25">
      <c r="R210" s="804"/>
      <c r="S210" s="804"/>
      <c r="T210" s="804"/>
      <c r="U210" s="804"/>
      <c r="V210" s="804"/>
      <c r="W210" s="368"/>
      <c r="X210" s="333"/>
      <c r="Y210" s="369">
        <f t="shared" si="92"/>
        <v>0</v>
      </c>
      <c r="Z210" s="368"/>
      <c r="AA210" s="335"/>
      <c r="AB210" s="369">
        <f t="shared" si="93"/>
        <v>0</v>
      </c>
      <c r="AC210" s="368"/>
      <c r="AD210" s="334"/>
      <c r="AE210" s="369">
        <f t="shared" si="94"/>
        <v>0</v>
      </c>
      <c r="AF210" s="368"/>
      <c r="AG210" s="334"/>
      <c r="AH210" s="369">
        <f t="shared" si="95"/>
        <v>0</v>
      </c>
      <c r="AI210" s="465"/>
      <c r="AJ210" s="465"/>
      <c r="AK210" s="465"/>
      <c r="AL210" s="510" t="str">
        <f t="shared" si="96"/>
        <v>YA</v>
      </c>
      <c r="AM210" s="337">
        <f t="shared" si="97"/>
        <v>0</v>
      </c>
      <c r="AN210" s="803">
        <f t="shared" si="98"/>
        <v>0</v>
      </c>
      <c r="AO210" s="803"/>
    </row>
    <row r="211" spans="18:41" ht="18.75" x14ac:dyDescent="0.3">
      <c r="R211" s="331"/>
      <c r="S211" s="331"/>
      <c r="T211" s="331"/>
      <c r="U211" s="331"/>
      <c r="V211" s="331"/>
      <c r="W211" s="332"/>
      <c r="X211" s="365"/>
      <c r="Y211" s="365"/>
      <c r="Z211" s="365"/>
      <c r="AA211" s="365"/>
      <c r="AB211" s="366"/>
      <c r="AC211" s="365"/>
      <c r="AD211" s="365"/>
      <c r="AE211" s="366"/>
      <c r="AF211" s="365"/>
      <c r="AG211" s="365"/>
      <c r="AH211" s="366"/>
      <c r="AJ211" s="372">
        <f>SUM(AJ152:AJ210)</f>
        <v>466</v>
      </c>
      <c r="AK211" s="338"/>
      <c r="AM211" s="372">
        <f>SUM(AM152:AM210)</f>
        <v>364.78999999999996</v>
      </c>
      <c r="AN211" s="375">
        <f>SUM(AN152:AN210)</f>
        <v>101.21</v>
      </c>
      <c r="AO211" s="376">
        <f>AN211/AM211</f>
        <v>0.27744729844568111</v>
      </c>
    </row>
    <row r="212" spans="18:41" ht="18.75" x14ac:dyDescent="0.3">
      <c r="R212" s="331"/>
      <c r="S212" s="331"/>
      <c r="T212" s="331"/>
      <c r="U212" s="331"/>
      <c r="V212" s="331"/>
      <c r="W212" s="332"/>
      <c r="X212" s="365"/>
      <c r="Y212" s="367"/>
      <c r="Z212" s="365"/>
      <c r="AA212" s="365"/>
      <c r="AB212" s="367"/>
      <c r="AC212" s="365"/>
      <c r="AD212" s="365"/>
      <c r="AE212" s="367"/>
      <c r="AF212" s="365"/>
      <c r="AG212" s="365"/>
      <c r="AH212" s="365"/>
      <c r="AK212" s="338"/>
      <c r="AM212" s="357"/>
      <c r="AN212" s="362"/>
      <c r="AO212" s="363"/>
    </row>
    <row r="213" spans="18:41" ht="19.5" thickBot="1" x14ac:dyDescent="0.35">
      <c r="R213" s="330"/>
      <c r="S213" s="330"/>
      <c r="T213" s="330"/>
      <c r="U213" s="330"/>
      <c r="W213" s="332"/>
      <c r="X213" s="365"/>
      <c r="Y213" s="365"/>
      <c r="Z213" s="365"/>
      <c r="AA213" s="365"/>
      <c r="AB213" s="365"/>
      <c r="AC213" s="365"/>
      <c r="AD213" s="365"/>
      <c r="AE213" s="365"/>
      <c r="AF213" s="365"/>
      <c r="AG213" s="365"/>
      <c r="AH213" s="365"/>
      <c r="AK213" s="338"/>
      <c r="AM213" s="357"/>
      <c r="AN213" s="362"/>
      <c r="AO213" s="363"/>
    </row>
    <row r="214" spans="18:41" ht="19.5" thickBot="1" x14ac:dyDescent="0.35">
      <c r="R214" s="794" t="s">
        <v>91</v>
      </c>
      <c r="S214" s="795"/>
      <c r="T214" s="795"/>
      <c r="U214" s="795"/>
      <c r="V214" s="796"/>
      <c r="W214" s="332"/>
      <c r="X214" s="330"/>
      <c r="Y214" s="330"/>
      <c r="Z214" s="330"/>
      <c r="AA214" s="330"/>
      <c r="AK214" s="338"/>
      <c r="AM214" s="357"/>
      <c r="AN214" s="362"/>
      <c r="AO214" s="363"/>
    </row>
    <row r="215" spans="18:41" ht="37.5" x14ac:dyDescent="0.25">
      <c r="R215" s="344"/>
      <c r="S215" s="345" t="s">
        <v>88</v>
      </c>
      <c r="T215" s="345" t="s">
        <v>87</v>
      </c>
      <c r="U215" s="346" t="s">
        <v>75</v>
      </c>
      <c r="V215" s="347" t="s">
        <v>92</v>
      </c>
      <c r="W215" s="332"/>
      <c r="AI215" s="381" t="s">
        <v>72</v>
      </c>
      <c r="AJ215" s="382" t="s">
        <v>80</v>
      </c>
      <c r="AK215" s="309" t="s">
        <v>82</v>
      </c>
      <c r="AL215" s="309" t="s">
        <v>420</v>
      </c>
      <c r="AM215" s="382" t="s">
        <v>444</v>
      </c>
      <c r="AN215" s="309" t="s">
        <v>453</v>
      </c>
      <c r="AO215" s="512" t="s">
        <v>639</v>
      </c>
    </row>
    <row r="216" spans="18:41" ht="37.5" x14ac:dyDescent="0.25">
      <c r="R216" s="348" t="s">
        <v>80</v>
      </c>
      <c r="S216" s="349">
        <f>AJ29</f>
        <v>2021.8999999999999</v>
      </c>
      <c r="T216" s="349">
        <f>AM29</f>
        <v>1453.9664814814814</v>
      </c>
      <c r="U216" s="350">
        <f>AN29</f>
        <v>567.93351851851867</v>
      </c>
      <c r="V216" s="351">
        <f>AO29</f>
        <v>0.39060977385107087</v>
      </c>
      <c r="W216" s="9"/>
      <c r="AI216" s="337">
        <f>U222</f>
        <v>874.65351851851881</v>
      </c>
      <c r="AJ216" s="337">
        <f>U216</f>
        <v>567.93351851851867</v>
      </c>
      <c r="AK216" s="337">
        <f>U217</f>
        <v>45.510000000000005</v>
      </c>
      <c r="AL216" s="337">
        <f>U218</f>
        <v>46.090000000000011</v>
      </c>
      <c r="AM216" s="337">
        <f>U219</f>
        <v>93.33</v>
      </c>
      <c r="AN216" s="337">
        <f>U220</f>
        <v>20.58</v>
      </c>
      <c r="AO216" s="513">
        <f>U221</f>
        <v>101.21</v>
      </c>
    </row>
    <row r="217" spans="18:41" ht="18.75" x14ac:dyDescent="0.25">
      <c r="R217" s="352" t="s">
        <v>82</v>
      </c>
      <c r="S217" s="353">
        <f>AJ71</f>
        <v>155</v>
      </c>
      <c r="T217" s="353">
        <f>AM71</f>
        <v>109.49</v>
      </c>
      <c r="U217" s="350">
        <f>AN71</f>
        <v>45.510000000000005</v>
      </c>
      <c r="V217" s="351">
        <f>AO71</f>
        <v>0.415654397661887</v>
      </c>
      <c r="AN217" s="364"/>
      <c r="AO217" s="364"/>
    </row>
    <row r="218" spans="18:41" ht="37.5" x14ac:dyDescent="0.25">
      <c r="R218" s="352" t="s">
        <v>420</v>
      </c>
      <c r="S218" s="353">
        <f>AJ105</f>
        <v>175.71</v>
      </c>
      <c r="T218" s="353">
        <f>AM105</f>
        <v>129.62</v>
      </c>
      <c r="U218" s="350">
        <f>AN105</f>
        <v>46.090000000000011</v>
      </c>
      <c r="V218" s="351">
        <f>AO105</f>
        <v>0.35557784292547451</v>
      </c>
    </row>
    <row r="219" spans="18:41" ht="37.5" x14ac:dyDescent="0.25">
      <c r="R219" s="348" t="s">
        <v>444</v>
      </c>
      <c r="S219" s="353">
        <f>AJ122</f>
        <v>603.33000000000004</v>
      </c>
      <c r="T219" s="353">
        <f>AM122</f>
        <v>510</v>
      </c>
      <c r="U219" s="350">
        <f>AN122</f>
        <v>93.33</v>
      </c>
      <c r="V219" s="351">
        <f>AO122</f>
        <v>0.183</v>
      </c>
    </row>
    <row r="220" spans="18:41" ht="37.5" x14ac:dyDescent="0.25">
      <c r="R220" s="352" t="s">
        <v>453</v>
      </c>
      <c r="S220" s="353">
        <f>AJ148</f>
        <v>75</v>
      </c>
      <c r="T220" s="353">
        <f>AM148</f>
        <v>54.42</v>
      </c>
      <c r="U220" s="350">
        <f>AN148</f>
        <v>20.58</v>
      </c>
      <c r="V220" s="351">
        <f>AO148</f>
        <v>0.37816979051819177</v>
      </c>
    </row>
    <row r="221" spans="18:41" ht="18.75" x14ac:dyDescent="0.25">
      <c r="R221" s="352" t="s">
        <v>639</v>
      </c>
      <c r="S221" s="353">
        <f>AJ211</f>
        <v>466</v>
      </c>
      <c r="T221" s="353">
        <f>AM211</f>
        <v>364.78999999999996</v>
      </c>
      <c r="U221" s="350">
        <f>AN211</f>
        <v>101.21</v>
      </c>
      <c r="V221" s="351">
        <f>AO211</f>
        <v>0.27744729844568111</v>
      </c>
    </row>
    <row r="222" spans="18:41" ht="18.75" x14ac:dyDescent="0.25">
      <c r="R222" s="354" t="s">
        <v>72</v>
      </c>
      <c r="S222" s="355">
        <f>SUM(S216:S221)</f>
        <v>3496.9399999999996</v>
      </c>
      <c r="T222" s="355">
        <f>SUM(T216:T221)</f>
        <v>2622.2864814814816</v>
      </c>
      <c r="U222" s="350">
        <f>SUM(U216:U221)</f>
        <v>874.65351851851881</v>
      </c>
      <c r="V222" s="356">
        <f>U222/T222</f>
        <v>0.3335461341448766</v>
      </c>
      <c r="AN222" s="330"/>
      <c r="AO222" s="330"/>
    </row>
    <row r="223" spans="18:41" ht="18.75" x14ac:dyDescent="0.25">
      <c r="R223" s="793"/>
      <c r="S223" s="793"/>
      <c r="AN223" s="330"/>
      <c r="AO223" s="330"/>
    </row>
    <row r="224" spans="18:41" x14ac:dyDescent="0.25">
      <c r="Z224" s="410"/>
      <c r="AA224" s="410"/>
      <c r="AN224" s="330"/>
      <c r="AO224" s="330"/>
    </row>
    <row r="225" spans="17:41" x14ac:dyDescent="0.25">
      <c r="Z225" s="410"/>
      <c r="AA225" s="410"/>
      <c r="AC225" s="403"/>
      <c r="AN225" s="318"/>
      <c r="AO225" s="318"/>
    </row>
    <row r="226" spans="17:41" x14ac:dyDescent="0.25">
      <c r="Z226" s="410"/>
      <c r="AA226" s="410"/>
      <c r="AC226" s="403"/>
      <c r="AN226" s="318"/>
      <c r="AO226" s="318"/>
    </row>
    <row r="227" spans="17:41" ht="27.75" customHeight="1" x14ac:dyDescent="0.25">
      <c r="Q227" s="588"/>
      <c r="R227" s="589">
        <v>151</v>
      </c>
      <c r="S227" s="589" t="s">
        <v>72</v>
      </c>
      <c r="Z227" s="410"/>
      <c r="AA227" s="410"/>
      <c r="AC227" s="403"/>
      <c r="AN227" s="424"/>
      <c r="AO227" s="424"/>
    </row>
    <row r="228" spans="17:41" ht="26.25" customHeight="1" thickBot="1" x14ac:dyDescent="0.3">
      <c r="Q228" s="604" t="s">
        <v>731</v>
      </c>
      <c r="R228" s="590">
        <v>200</v>
      </c>
      <c r="S228" s="591" t="s">
        <v>686</v>
      </c>
      <c r="Z228" s="410"/>
      <c r="AA228" s="410"/>
      <c r="AC228" s="403"/>
      <c r="AN228" s="424"/>
      <c r="AO228" s="424"/>
    </row>
    <row r="229" spans="17:41" ht="26.25" hidden="1" customHeight="1" x14ac:dyDescent="0.25">
      <c r="Q229" s="604"/>
      <c r="R229" s="590"/>
      <c r="S229" s="591"/>
      <c r="Z229" s="612"/>
      <c r="AA229" s="612"/>
      <c r="AC229" s="403"/>
      <c r="AN229" s="424"/>
      <c r="AO229" s="424"/>
    </row>
    <row r="230" spans="17:41" ht="26.25" hidden="1" customHeight="1" x14ac:dyDescent="0.25">
      <c r="Q230" s="604"/>
      <c r="R230" s="590"/>
      <c r="S230" s="591"/>
      <c r="Z230" s="612"/>
      <c r="AA230" s="612"/>
      <c r="AC230" s="403"/>
      <c r="AN230" s="424"/>
      <c r="AO230" s="424"/>
    </row>
    <row r="231" spans="17:41" ht="26.25" hidden="1" customHeight="1" x14ac:dyDescent="0.25">
      <c r="Q231" s="604"/>
      <c r="R231" s="590"/>
      <c r="S231" s="591"/>
      <c r="Z231" s="612"/>
      <c r="AA231" s="612"/>
      <c r="AC231" s="403"/>
      <c r="AN231" s="424"/>
      <c r="AO231" s="424"/>
    </row>
    <row r="232" spans="17:41" ht="26.25" hidden="1" customHeight="1" x14ac:dyDescent="0.25">
      <c r="Q232" s="604"/>
      <c r="R232" s="590"/>
      <c r="Z232" s="612"/>
      <c r="AA232" s="612"/>
      <c r="AC232" s="403"/>
      <c r="AN232" s="424"/>
      <c r="AO232" s="424"/>
    </row>
    <row r="233" spans="17:41" ht="26.25" hidden="1" customHeight="1" x14ac:dyDescent="0.25">
      <c r="Q233" s="604"/>
      <c r="R233" s="590"/>
      <c r="S233" s="591"/>
      <c r="Z233" s="612"/>
      <c r="AA233" s="612"/>
      <c r="AC233" s="403"/>
      <c r="AN233" s="424"/>
      <c r="AO233" s="424"/>
    </row>
    <row r="234" spans="17:41" ht="45" hidden="1" customHeight="1" thickBot="1" x14ac:dyDescent="0.3">
      <c r="Q234" s="604" t="s">
        <v>336</v>
      </c>
      <c r="R234" s="590">
        <v>255</v>
      </c>
      <c r="S234" s="592" t="s">
        <v>832</v>
      </c>
      <c r="V234" s="609"/>
      <c r="Y234" s="411"/>
      <c r="Z234" s="429"/>
      <c r="AA234" s="429"/>
      <c r="AC234" s="403"/>
      <c r="AN234" s="427"/>
      <c r="AO234" s="427"/>
    </row>
    <row r="235" spans="17:41" ht="45.75" hidden="1" customHeight="1" x14ac:dyDescent="0.25">
      <c r="Q235" s="604" t="s">
        <v>336</v>
      </c>
      <c r="R235" s="590">
        <v>15</v>
      </c>
      <c r="S235" s="592" t="s">
        <v>819</v>
      </c>
      <c r="Y235" s="411"/>
      <c r="Z235" s="522"/>
      <c r="AA235" s="522"/>
      <c r="AC235" s="403"/>
      <c r="AN235" s="427"/>
      <c r="AO235" s="427"/>
    </row>
    <row r="236" spans="17:41" ht="45" hidden="1" customHeight="1" x14ac:dyDescent="0.25">
      <c r="Q236" s="604" t="s">
        <v>731</v>
      </c>
      <c r="R236" s="590">
        <v>8.3000000000000007</v>
      </c>
      <c r="S236" s="592" t="s">
        <v>820</v>
      </c>
      <c r="Y236" s="411"/>
      <c r="Z236" s="524"/>
      <c r="AA236" s="524"/>
      <c r="AC236" s="403"/>
      <c r="AN236" s="427"/>
      <c r="AO236" s="427"/>
    </row>
    <row r="237" spans="17:41" ht="43.5" hidden="1" customHeight="1" x14ac:dyDescent="0.25">
      <c r="Q237" s="610" t="s">
        <v>336</v>
      </c>
      <c r="R237" s="593">
        <v>8.3000000000000007</v>
      </c>
      <c r="S237" s="594" t="s">
        <v>822</v>
      </c>
      <c r="Y237" s="411"/>
      <c r="Z237" s="525"/>
      <c r="AA237" s="525"/>
      <c r="AC237" s="403"/>
      <c r="AN237" s="427"/>
      <c r="AO237" s="427"/>
    </row>
    <row r="238" spans="17:41" ht="42.75" hidden="1" thickBot="1" x14ac:dyDescent="0.3">
      <c r="Q238" s="610" t="s">
        <v>336</v>
      </c>
      <c r="R238" s="593">
        <v>1</v>
      </c>
      <c r="S238" s="595" t="s">
        <v>826</v>
      </c>
      <c r="Y238" s="330"/>
      <c r="Z238" s="330"/>
      <c r="AA238" s="330"/>
      <c r="AB238" s="330"/>
      <c r="AC238" s="330"/>
      <c r="AD238" s="330"/>
      <c r="AE238" s="330"/>
      <c r="AN238" s="424"/>
      <c r="AO238" s="424"/>
    </row>
    <row r="239" spans="17:41" ht="21.75" thickBot="1" x14ac:dyDescent="0.4">
      <c r="Q239" s="797">
        <v>351</v>
      </c>
      <c r="R239" s="798"/>
      <c r="S239" s="596" t="s">
        <v>687</v>
      </c>
      <c r="Y239" s="430"/>
      <c r="Z239" s="430"/>
      <c r="AA239" s="430"/>
      <c r="AB239" s="430"/>
      <c r="AC239" s="430"/>
      <c r="AD239" s="332"/>
      <c r="AE239" s="332"/>
      <c r="AN239" s="424"/>
      <c r="AO239" s="424"/>
    </row>
    <row r="240" spans="17:41" ht="23.25" x14ac:dyDescent="0.25">
      <c r="Q240" s="799">
        <v>49</v>
      </c>
      <c r="R240" s="799"/>
      <c r="S240" s="597" t="s">
        <v>804</v>
      </c>
      <c r="Y240" s="431"/>
      <c r="Z240" s="431"/>
      <c r="AA240" s="431"/>
      <c r="AB240" s="431"/>
      <c r="AC240" s="431"/>
      <c r="AD240" s="318"/>
      <c r="AE240" s="318"/>
      <c r="AN240" s="330"/>
      <c r="AO240" s="330"/>
    </row>
    <row r="241" spans="17:41" ht="23.25" x14ac:dyDescent="0.25">
      <c r="Q241" s="799">
        <v>58</v>
      </c>
      <c r="R241" s="799"/>
      <c r="S241" s="597" t="s">
        <v>639</v>
      </c>
      <c r="Y241" s="431"/>
      <c r="Z241" s="431"/>
      <c r="AA241" s="431"/>
      <c r="AB241" s="431"/>
      <c r="AC241" s="431"/>
      <c r="AD241" s="318"/>
      <c r="AE241" s="318"/>
      <c r="AN241" s="330"/>
      <c r="AO241" s="330"/>
    </row>
    <row r="242" spans="17:41" x14ac:dyDescent="0.25">
      <c r="Y242" s="431"/>
      <c r="Z242" s="431"/>
      <c r="AA242" s="431"/>
      <c r="AB242" s="431"/>
      <c r="AC242" s="431"/>
      <c r="AD242" s="318"/>
      <c r="AE242" s="318"/>
      <c r="AN242" s="330"/>
      <c r="AO242" s="330"/>
    </row>
    <row r="243" spans="17:41" x14ac:dyDescent="0.25">
      <c r="Y243" s="431"/>
      <c r="Z243" s="431"/>
      <c r="AA243" s="431"/>
      <c r="AB243" s="431"/>
      <c r="AC243" s="431"/>
      <c r="AD243" s="318"/>
      <c r="AE243" s="318"/>
      <c r="AN243" s="330"/>
      <c r="AO243" s="330"/>
    </row>
    <row r="244" spans="17:41" x14ac:dyDescent="0.25">
      <c r="Y244" s="431"/>
      <c r="Z244" s="431"/>
      <c r="AA244" s="431"/>
      <c r="AB244" s="431"/>
      <c r="AC244" s="431"/>
      <c r="AD244" s="318"/>
      <c r="AE244" s="318"/>
      <c r="AN244" s="330"/>
      <c r="AO244" s="330"/>
    </row>
    <row r="245" spans="17:41" x14ac:dyDescent="0.25">
      <c r="Y245" s="431"/>
      <c r="Z245" s="431"/>
      <c r="AA245" s="431"/>
      <c r="AB245" s="431"/>
      <c r="AC245" s="431"/>
      <c r="AD245" s="318"/>
      <c r="AE245" s="318"/>
    </row>
    <row r="246" spans="17:41" x14ac:dyDescent="0.25">
      <c r="Y246" s="431"/>
      <c r="Z246" s="431"/>
      <c r="AA246" s="431"/>
      <c r="AB246" s="431"/>
      <c r="AC246" s="431"/>
      <c r="AD246" s="318"/>
      <c r="AE246" s="318"/>
    </row>
    <row r="247" spans="17:41" x14ac:dyDescent="0.25">
      <c r="Y247" s="431"/>
      <c r="Z247" s="431"/>
      <c r="AA247" s="431"/>
      <c r="AB247" s="431"/>
      <c r="AC247" s="431"/>
      <c r="AD247" s="318"/>
      <c r="AE247" s="318"/>
    </row>
    <row r="248" spans="17:41" x14ac:dyDescent="0.25">
      <c r="Y248" s="431"/>
      <c r="Z248" s="431"/>
      <c r="AA248" s="431"/>
      <c r="AB248" s="431"/>
      <c r="AC248" s="431"/>
      <c r="AD248" s="318"/>
      <c r="AE248" s="318"/>
    </row>
    <row r="249" spans="17:41" x14ac:dyDescent="0.25">
      <c r="Y249" s="431"/>
      <c r="Z249" s="431"/>
      <c r="AA249" s="431"/>
      <c r="AB249" s="431"/>
      <c r="AC249" s="431"/>
      <c r="AD249" s="318"/>
      <c r="AE249" s="318"/>
    </row>
    <row r="250" spans="17:41" x14ac:dyDescent="0.25">
      <c r="Y250" s="431"/>
      <c r="Z250" s="431"/>
      <c r="AA250" s="431"/>
      <c r="AB250" s="431"/>
      <c r="AC250" s="431"/>
      <c r="AD250" s="318"/>
      <c r="AE250" s="318"/>
    </row>
    <row r="251" spans="17:41" x14ac:dyDescent="0.25">
      <c r="Y251" s="431"/>
      <c r="Z251" s="431"/>
      <c r="AA251" s="431"/>
      <c r="AB251" s="431"/>
      <c r="AC251" s="431"/>
      <c r="AD251" s="318"/>
      <c r="AE251" s="318"/>
    </row>
    <row r="252" spans="17:41" x14ac:dyDescent="0.25">
      <c r="Y252" s="431"/>
      <c r="Z252" s="431"/>
      <c r="AA252" s="431"/>
      <c r="AB252" s="431"/>
      <c r="AC252" s="431"/>
      <c r="AD252" s="318"/>
      <c r="AE252" s="318"/>
    </row>
    <row r="253" spans="17:41" x14ac:dyDescent="0.25">
      <c r="Y253" s="431"/>
      <c r="Z253" s="431"/>
      <c r="AA253" s="431"/>
      <c r="AB253" s="431"/>
      <c r="AC253" s="431"/>
      <c r="AD253" s="318"/>
      <c r="AE253" s="318"/>
    </row>
    <row r="254" spans="17:41" x14ac:dyDescent="0.25">
      <c r="Y254" s="330"/>
      <c r="Z254" s="330"/>
      <c r="AA254" s="330"/>
      <c r="AB254" s="330"/>
      <c r="AC254" s="330"/>
      <c r="AD254" s="330"/>
      <c r="AE254" s="330"/>
    </row>
    <row r="255" spans="17:41" x14ac:dyDescent="0.25">
      <c r="Y255" s="330"/>
      <c r="Z255" s="330"/>
      <c r="AA255" s="330"/>
      <c r="AB255" s="330"/>
      <c r="AC255" s="330"/>
      <c r="AD255" s="330"/>
      <c r="AE255" s="330"/>
    </row>
    <row r="256" spans="17:41" x14ac:dyDescent="0.25">
      <c r="Y256" s="330"/>
      <c r="Z256" s="330"/>
      <c r="AA256" s="330"/>
      <c r="AB256" s="330"/>
      <c r="AC256" s="330"/>
      <c r="AD256" s="330"/>
      <c r="AE256" s="330"/>
    </row>
    <row r="257" spans="25:31" x14ac:dyDescent="0.25">
      <c r="Y257" s="330"/>
      <c r="Z257" s="330"/>
      <c r="AA257" s="330"/>
      <c r="AB257" s="330"/>
      <c r="AC257" s="330"/>
      <c r="AD257" s="330"/>
      <c r="AE257" s="330"/>
    </row>
  </sheetData>
  <mergeCells count="478">
    <mergeCell ref="AN142:AO142"/>
    <mergeCell ref="R143:V143"/>
    <mergeCell ref="AN143:AO143"/>
    <mergeCell ref="R144:V144"/>
    <mergeCell ref="AN144:AO144"/>
    <mergeCell ref="R145:V145"/>
    <mergeCell ref="AN145:AO145"/>
    <mergeCell ref="R146:V146"/>
    <mergeCell ref="AN146:AO146"/>
    <mergeCell ref="R28:V28"/>
    <mergeCell ref="AN28:AO28"/>
    <mergeCell ref="R121:V121"/>
    <mergeCell ref="AN121:AO121"/>
    <mergeCell ref="AN132:AO132"/>
    <mergeCell ref="R133:V133"/>
    <mergeCell ref="AN133:AO133"/>
    <mergeCell ref="R136:V136"/>
    <mergeCell ref="AN136:AO136"/>
    <mergeCell ref="R38:V38"/>
    <mergeCell ref="AN38:AO38"/>
    <mergeCell ref="R39:V39"/>
    <mergeCell ref="AN39:AO39"/>
    <mergeCell ref="AN33:AO33"/>
    <mergeCell ref="AN34:AO34"/>
    <mergeCell ref="AN35:AO35"/>
    <mergeCell ref="R44:V44"/>
    <mergeCell ref="AN44:AO44"/>
    <mergeCell ref="R45:V45"/>
    <mergeCell ref="AN45:AO45"/>
    <mergeCell ref="R46:V46"/>
    <mergeCell ref="AN46:AO46"/>
    <mergeCell ref="R40:V40"/>
    <mergeCell ref="AN40:AO40"/>
    <mergeCell ref="B67:F67"/>
    <mergeCell ref="B68:F68"/>
    <mergeCell ref="B69:F69"/>
    <mergeCell ref="B70:F70"/>
    <mergeCell ref="B62:F62"/>
    <mergeCell ref="B63:F63"/>
    <mergeCell ref="B56:F56"/>
    <mergeCell ref="B57:F57"/>
    <mergeCell ref="R41:V41"/>
    <mergeCell ref="R52:V52"/>
    <mergeCell ref="B58:F58"/>
    <mergeCell ref="B59:F59"/>
    <mergeCell ref="B60:F60"/>
    <mergeCell ref="B61:F61"/>
    <mergeCell ref="B53:F53"/>
    <mergeCell ref="B54:F54"/>
    <mergeCell ref="B55:F55"/>
    <mergeCell ref="R53:V53"/>
    <mergeCell ref="R65:V65"/>
    <mergeCell ref="R66:V66"/>
    <mergeCell ref="R67:V67"/>
    <mergeCell ref="R57:V57"/>
    <mergeCell ref="R59:V59"/>
    <mergeCell ref="R58:V58"/>
    <mergeCell ref="AN52:AO52"/>
    <mergeCell ref="R47:V47"/>
    <mergeCell ref="AN47:AO47"/>
    <mergeCell ref="R48:V48"/>
    <mergeCell ref="B26:F26"/>
    <mergeCell ref="B48:F48"/>
    <mergeCell ref="B49:F49"/>
    <mergeCell ref="B42:F42"/>
    <mergeCell ref="B33:F33"/>
    <mergeCell ref="B50:F50"/>
    <mergeCell ref="B51:F51"/>
    <mergeCell ref="B52:F52"/>
    <mergeCell ref="AN48:AO48"/>
    <mergeCell ref="R49:V49"/>
    <mergeCell ref="AN49:AO49"/>
    <mergeCell ref="AN41:AO41"/>
    <mergeCell ref="R42:V42"/>
    <mergeCell ref="AN42:AO42"/>
    <mergeCell ref="AN43:AO43"/>
    <mergeCell ref="R43:V43"/>
    <mergeCell ref="R50:V50"/>
    <mergeCell ref="AN50:AO50"/>
    <mergeCell ref="R51:V51"/>
    <mergeCell ref="AN51:AO51"/>
    <mergeCell ref="B18:F18"/>
    <mergeCell ref="B19:F19"/>
    <mergeCell ref="B20:F20"/>
    <mergeCell ref="B21:F21"/>
    <mergeCell ref="B22:F22"/>
    <mergeCell ref="B23:F23"/>
    <mergeCell ref="B24:F24"/>
    <mergeCell ref="B25:F25"/>
    <mergeCell ref="B66:F66"/>
    <mergeCell ref="B34:F34"/>
    <mergeCell ref="B35:F35"/>
    <mergeCell ref="B36:F36"/>
    <mergeCell ref="B37:F37"/>
    <mergeCell ref="B38:F38"/>
    <mergeCell ref="B39:F39"/>
    <mergeCell ref="B40:F40"/>
    <mergeCell ref="B41:F41"/>
    <mergeCell ref="B27:F27"/>
    <mergeCell ref="B32:F32"/>
    <mergeCell ref="B31:F31"/>
    <mergeCell ref="B44:F44"/>
    <mergeCell ref="B45:F45"/>
    <mergeCell ref="B46:F46"/>
    <mergeCell ref="B47:F47"/>
    <mergeCell ref="B3:F3"/>
    <mergeCell ref="B6:F6"/>
    <mergeCell ref="B7:F7"/>
    <mergeCell ref="B8:F8"/>
    <mergeCell ref="B9:F9"/>
    <mergeCell ref="B11:F11"/>
    <mergeCell ref="B4:F4"/>
    <mergeCell ref="B5:F5"/>
    <mergeCell ref="B10:F10"/>
    <mergeCell ref="B77:F77"/>
    <mergeCell ref="B78:F78"/>
    <mergeCell ref="B79:F79"/>
    <mergeCell ref="B80:F80"/>
    <mergeCell ref="B81:F81"/>
    <mergeCell ref="B71:F71"/>
    <mergeCell ref="B73:F73"/>
    <mergeCell ref="B74:F74"/>
    <mergeCell ref="B75:F75"/>
    <mergeCell ref="B76:F76"/>
    <mergeCell ref="B87:F87"/>
    <mergeCell ref="B88:F88"/>
    <mergeCell ref="B89:F89"/>
    <mergeCell ref="B90:F90"/>
    <mergeCell ref="B82:F82"/>
    <mergeCell ref="B83:F83"/>
    <mergeCell ref="B84:F84"/>
    <mergeCell ref="B85:F85"/>
    <mergeCell ref="B86:F86"/>
    <mergeCell ref="R4:V4"/>
    <mergeCell ref="R5:V5"/>
    <mergeCell ref="R6:V6"/>
    <mergeCell ref="R7:V7"/>
    <mergeCell ref="R8:V8"/>
    <mergeCell ref="R9:V9"/>
    <mergeCell ref="R10:V10"/>
    <mergeCell ref="R11:V11"/>
    <mergeCell ref="R12:V12"/>
    <mergeCell ref="R14:V14"/>
    <mergeCell ref="R15:V15"/>
    <mergeCell ref="R16:V16"/>
    <mergeCell ref="R17:V17"/>
    <mergeCell ref="B12:F12"/>
    <mergeCell ref="B13:F13"/>
    <mergeCell ref="B14:F14"/>
    <mergeCell ref="B15:F15"/>
    <mergeCell ref="B16:F16"/>
    <mergeCell ref="B17:F17"/>
    <mergeCell ref="AN18:AO18"/>
    <mergeCell ref="AN17:AO17"/>
    <mergeCell ref="AN16:AO16"/>
    <mergeCell ref="AN15:AO15"/>
    <mergeCell ref="AN14:AO14"/>
    <mergeCell ref="AN13:AO13"/>
    <mergeCell ref="R35:V35"/>
    <mergeCell ref="R36:V36"/>
    <mergeCell ref="R37:V37"/>
    <mergeCell ref="R33:V33"/>
    <mergeCell ref="R34:V34"/>
    <mergeCell ref="R27:V27"/>
    <mergeCell ref="R22:V22"/>
    <mergeCell ref="R23:V23"/>
    <mergeCell ref="R24:V24"/>
    <mergeCell ref="R25:V25"/>
    <mergeCell ref="R26:V26"/>
    <mergeCell ref="R18:V18"/>
    <mergeCell ref="R19:V19"/>
    <mergeCell ref="R20:V20"/>
    <mergeCell ref="R21:V21"/>
    <mergeCell ref="AN36:AO36"/>
    <mergeCell ref="AN37:AO37"/>
    <mergeCell ref="R13:V13"/>
    <mergeCell ref="R2:AO2"/>
    <mergeCell ref="R31:AO31"/>
    <mergeCell ref="R32:V32"/>
    <mergeCell ref="AN32:AO32"/>
    <mergeCell ref="AN7:AO7"/>
    <mergeCell ref="AN6:AO6"/>
    <mergeCell ref="AN5:AO5"/>
    <mergeCell ref="AN4:AO4"/>
    <mergeCell ref="R3:V3"/>
    <mergeCell ref="AN12:AO12"/>
    <mergeCell ref="AN11:AO11"/>
    <mergeCell ref="AN10:AO10"/>
    <mergeCell ref="AN9:AO9"/>
    <mergeCell ref="AN8:AO8"/>
    <mergeCell ref="AN3:AO3"/>
    <mergeCell ref="AN27:AO27"/>
    <mergeCell ref="AN26:AO26"/>
    <mergeCell ref="AN25:AO25"/>
    <mergeCell ref="AN24:AO24"/>
    <mergeCell ref="AN23:AO23"/>
    <mergeCell ref="AN22:AO22"/>
    <mergeCell ref="AN21:AO21"/>
    <mergeCell ref="AN19:AO19"/>
    <mergeCell ref="AN20:AO20"/>
    <mergeCell ref="AN53:AO53"/>
    <mergeCell ref="R54:V54"/>
    <mergeCell ref="AN54:AO54"/>
    <mergeCell ref="R55:V55"/>
    <mergeCell ref="AN65:AO65"/>
    <mergeCell ref="R60:V60"/>
    <mergeCell ref="AN66:AO66"/>
    <mergeCell ref="AN67:AO67"/>
    <mergeCell ref="AN68:AO68"/>
    <mergeCell ref="R61:V61"/>
    <mergeCell ref="R63:V63"/>
    <mergeCell ref="R64:V64"/>
    <mergeCell ref="AN55:AO55"/>
    <mergeCell ref="AN56:AO56"/>
    <mergeCell ref="AN57:AO57"/>
    <mergeCell ref="AN58:AO58"/>
    <mergeCell ref="AN59:AO59"/>
    <mergeCell ref="AN60:AO60"/>
    <mergeCell ref="AN61:AO61"/>
    <mergeCell ref="AN62:AO62"/>
    <mergeCell ref="AN63:AO63"/>
    <mergeCell ref="AN64:AO64"/>
    <mergeCell ref="R56:V56"/>
    <mergeCell ref="R62:V62"/>
    <mergeCell ref="R68:V68"/>
    <mergeCell ref="R75:V75"/>
    <mergeCell ref="R69:V69"/>
    <mergeCell ref="AN69:AO69"/>
    <mergeCell ref="AN75:AO75"/>
    <mergeCell ref="R81:V81"/>
    <mergeCell ref="AN81:AO81"/>
    <mergeCell ref="R82:V82"/>
    <mergeCell ref="AN82:AO82"/>
    <mergeCell ref="AN70:AO70"/>
    <mergeCell ref="R73:AO73"/>
    <mergeCell ref="R74:V74"/>
    <mergeCell ref="AN74:AO74"/>
    <mergeCell ref="R70:V70"/>
    <mergeCell ref="R83:V83"/>
    <mergeCell ref="AN83:AO83"/>
    <mergeCell ref="R78:V78"/>
    <mergeCell ref="AN78:AO78"/>
    <mergeCell ref="R79:V79"/>
    <mergeCell ref="AN79:AO79"/>
    <mergeCell ref="R80:V80"/>
    <mergeCell ref="AN80:AO80"/>
    <mergeCell ref="R76:V76"/>
    <mergeCell ref="AN76:AO76"/>
    <mergeCell ref="R77:V77"/>
    <mergeCell ref="AN77:AO77"/>
    <mergeCell ref="R87:V87"/>
    <mergeCell ref="AN87:AO87"/>
    <mergeCell ref="R88:V88"/>
    <mergeCell ref="AN88:AO88"/>
    <mergeCell ref="R89:V89"/>
    <mergeCell ref="AN89:AO89"/>
    <mergeCell ref="R84:V84"/>
    <mergeCell ref="AN84:AO84"/>
    <mergeCell ref="R85:V85"/>
    <mergeCell ref="AN85:AO85"/>
    <mergeCell ref="R86:V86"/>
    <mergeCell ref="AN86:AO86"/>
    <mergeCell ref="R93:V93"/>
    <mergeCell ref="AN93:AO93"/>
    <mergeCell ref="R94:V94"/>
    <mergeCell ref="AN94:AO94"/>
    <mergeCell ref="R95:V95"/>
    <mergeCell ref="AN95:AO95"/>
    <mergeCell ref="R90:V90"/>
    <mergeCell ref="AN90:AO90"/>
    <mergeCell ref="R91:V91"/>
    <mergeCell ref="AN91:AO91"/>
    <mergeCell ref="R92:V92"/>
    <mergeCell ref="AN92:AO92"/>
    <mergeCell ref="R107:AO107"/>
    <mergeCell ref="R108:V108"/>
    <mergeCell ref="AN108:AO108"/>
    <mergeCell ref="R109:V109"/>
    <mergeCell ref="AN109:AO109"/>
    <mergeCell ref="R96:V96"/>
    <mergeCell ref="AN96:AO96"/>
    <mergeCell ref="R104:V104"/>
    <mergeCell ref="AN104:AO104"/>
    <mergeCell ref="R98:V98"/>
    <mergeCell ref="AN98:AO98"/>
    <mergeCell ref="R101:V101"/>
    <mergeCell ref="AN101:AO101"/>
    <mergeCell ref="AN99:AO99"/>
    <mergeCell ref="AN100:AO100"/>
    <mergeCell ref="R99:V99"/>
    <mergeCell ref="R100:V100"/>
    <mergeCell ref="R97:V97"/>
    <mergeCell ref="AN97:AO97"/>
    <mergeCell ref="R102:V102"/>
    <mergeCell ref="AN102:AO102"/>
    <mergeCell ref="R103:V103"/>
    <mergeCell ref="AN103:AO103"/>
    <mergeCell ref="R110:V110"/>
    <mergeCell ref="AN110:AO110"/>
    <mergeCell ref="R112:V112"/>
    <mergeCell ref="AN112:AO112"/>
    <mergeCell ref="R113:V113"/>
    <mergeCell ref="AN113:AO113"/>
    <mergeCell ref="R117:V117"/>
    <mergeCell ref="R118:V118"/>
    <mergeCell ref="AN117:AO117"/>
    <mergeCell ref="AN118:AO118"/>
    <mergeCell ref="AN129:AO129"/>
    <mergeCell ref="R129:V129"/>
    <mergeCell ref="R147:V147"/>
    <mergeCell ref="AN147:AO147"/>
    <mergeCell ref="R134:V134"/>
    <mergeCell ref="AN134:AO134"/>
    <mergeCell ref="R135:V135"/>
    <mergeCell ref="AN135:AO135"/>
    <mergeCell ref="R130:V130"/>
    <mergeCell ref="AN130:AO130"/>
    <mergeCell ref="R131:V131"/>
    <mergeCell ref="AN131:AO131"/>
    <mergeCell ref="R132:V132"/>
    <mergeCell ref="R137:V137"/>
    <mergeCell ref="AN137:AO137"/>
    <mergeCell ref="R138:V138"/>
    <mergeCell ref="AN138:AO138"/>
    <mergeCell ref="R141:V141"/>
    <mergeCell ref="AN141:AO141"/>
    <mergeCell ref="R139:V139"/>
    <mergeCell ref="R140:V140"/>
    <mergeCell ref="AN139:AO139"/>
    <mergeCell ref="AN140:AO140"/>
    <mergeCell ref="R142:V142"/>
    <mergeCell ref="R127:V127"/>
    <mergeCell ref="AN127:AO127"/>
    <mergeCell ref="R128:V128"/>
    <mergeCell ref="AN128:AO128"/>
    <mergeCell ref="R111:V111"/>
    <mergeCell ref="AN111:AO111"/>
    <mergeCell ref="R125:V125"/>
    <mergeCell ref="AN125:AO125"/>
    <mergeCell ref="R126:V126"/>
    <mergeCell ref="AN126:AO126"/>
    <mergeCell ref="R120:V120"/>
    <mergeCell ref="AN120:AO120"/>
    <mergeCell ref="R114:V114"/>
    <mergeCell ref="AN114:AO114"/>
    <mergeCell ref="R115:V115"/>
    <mergeCell ref="AN115:AO115"/>
    <mergeCell ref="R116:V116"/>
    <mergeCell ref="AN116:AO116"/>
    <mergeCell ref="R124:AO124"/>
    <mergeCell ref="R119:V119"/>
    <mergeCell ref="AN119:AO119"/>
    <mergeCell ref="R150:AO150"/>
    <mergeCell ref="R151:V151"/>
    <mergeCell ref="AN151:AO151"/>
    <mergeCell ref="R152:V152"/>
    <mergeCell ref="AN152:AO152"/>
    <mergeCell ref="R153:V153"/>
    <mergeCell ref="AN153:AO153"/>
    <mergeCell ref="R154:V154"/>
    <mergeCell ref="AN154:AO154"/>
    <mergeCell ref="R155:V155"/>
    <mergeCell ref="AN155:AO155"/>
    <mergeCell ref="R156:V156"/>
    <mergeCell ref="AN156:AO156"/>
    <mergeCell ref="R157:V157"/>
    <mergeCell ref="AN157:AO157"/>
    <mergeCell ref="R158:V158"/>
    <mergeCell ref="AN158:AO158"/>
    <mergeCell ref="R159:V159"/>
    <mergeCell ref="AN159:AO159"/>
    <mergeCell ref="R160:V160"/>
    <mergeCell ref="AN160:AO160"/>
    <mergeCell ref="R161:V161"/>
    <mergeCell ref="AN161:AO161"/>
    <mergeCell ref="R162:V162"/>
    <mergeCell ref="AN162:AO162"/>
    <mergeCell ref="R163:V163"/>
    <mergeCell ref="AN163:AO163"/>
    <mergeCell ref="R164:V164"/>
    <mergeCell ref="AN164:AO164"/>
    <mergeCell ref="R165:V165"/>
    <mergeCell ref="AN165:AO165"/>
    <mergeCell ref="R210:V210"/>
    <mergeCell ref="AN210:AO210"/>
    <mergeCell ref="R166:V166"/>
    <mergeCell ref="AN166:AO166"/>
    <mergeCell ref="R167:V167"/>
    <mergeCell ref="AN167:AO167"/>
    <mergeCell ref="R168:V168"/>
    <mergeCell ref="AN168:AO168"/>
    <mergeCell ref="R169:V169"/>
    <mergeCell ref="AN169:AO169"/>
    <mergeCell ref="R170:V170"/>
    <mergeCell ref="AN170:AO170"/>
    <mergeCell ref="R171:V171"/>
    <mergeCell ref="AN171:AO171"/>
    <mergeCell ref="R172:V172"/>
    <mergeCell ref="AN172:AO172"/>
    <mergeCell ref="R173:V173"/>
    <mergeCell ref="AN173:AO173"/>
    <mergeCell ref="R174:V174"/>
    <mergeCell ref="AN174:AO174"/>
    <mergeCell ref="R175:V175"/>
    <mergeCell ref="AN175:AO175"/>
    <mergeCell ref="R176:V176"/>
    <mergeCell ref="AN176:AO176"/>
    <mergeCell ref="R177:V177"/>
    <mergeCell ref="AN177:AO177"/>
    <mergeCell ref="R178:V178"/>
    <mergeCell ref="AN178:AO178"/>
    <mergeCell ref="R179:V179"/>
    <mergeCell ref="AN179:AO179"/>
    <mergeCell ref="R180:V180"/>
    <mergeCell ref="AN180:AO180"/>
    <mergeCell ref="R181:V181"/>
    <mergeCell ref="AN181:AO181"/>
    <mergeCell ref="R182:V182"/>
    <mergeCell ref="AN182:AO182"/>
    <mergeCell ref="R183:V183"/>
    <mergeCell ref="AN183:AO183"/>
    <mergeCell ref="R190:V190"/>
    <mergeCell ref="AN190:AO190"/>
    <mergeCell ref="R191:V191"/>
    <mergeCell ref="AN191:AO191"/>
    <mergeCell ref="R192:V192"/>
    <mergeCell ref="AN192:AO192"/>
    <mergeCell ref="R193:V193"/>
    <mergeCell ref="AN193:AO193"/>
    <mergeCell ref="R194:V194"/>
    <mergeCell ref="AN194:AO194"/>
    <mergeCell ref="R209:V209"/>
    <mergeCell ref="AN209:AO209"/>
    <mergeCell ref="R184:V184"/>
    <mergeCell ref="AN184:AO184"/>
    <mergeCell ref="R185:V185"/>
    <mergeCell ref="AN185:AO185"/>
    <mergeCell ref="R186:V186"/>
    <mergeCell ref="AN186:AO186"/>
    <mergeCell ref="R187:V187"/>
    <mergeCell ref="AN187:AO187"/>
    <mergeCell ref="R188:V188"/>
    <mergeCell ref="AN188:AO188"/>
    <mergeCell ref="R189:V189"/>
    <mergeCell ref="AN189:AO189"/>
    <mergeCell ref="R195:V195"/>
    <mergeCell ref="AN195:AO195"/>
    <mergeCell ref="R196:V196"/>
    <mergeCell ref="AN196:AO196"/>
    <mergeCell ref="R197:V197"/>
    <mergeCell ref="AN197:AO197"/>
    <mergeCell ref="R198:V198"/>
    <mergeCell ref="AN198:AO198"/>
    <mergeCell ref="R199:V199"/>
    <mergeCell ref="AN199:AO199"/>
    <mergeCell ref="R200:V200"/>
    <mergeCell ref="AN200:AO200"/>
    <mergeCell ref="R201:V201"/>
    <mergeCell ref="AN201:AO201"/>
    <mergeCell ref="R202:V202"/>
    <mergeCell ref="AN202:AO202"/>
    <mergeCell ref="R203:V203"/>
    <mergeCell ref="AN203:AO203"/>
    <mergeCell ref="R204:V204"/>
    <mergeCell ref="AN204:AO204"/>
    <mergeCell ref="R205:V205"/>
    <mergeCell ref="AN205:AO205"/>
    <mergeCell ref="R206:V206"/>
    <mergeCell ref="AN206:AO206"/>
    <mergeCell ref="R223:S223"/>
    <mergeCell ref="R214:V214"/>
    <mergeCell ref="Q239:R239"/>
    <mergeCell ref="Q240:R240"/>
    <mergeCell ref="Q241:R241"/>
    <mergeCell ref="R207:V207"/>
    <mergeCell ref="AN207:AO207"/>
    <mergeCell ref="R208:V208"/>
    <mergeCell ref="AN208:AO208"/>
  </mergeCells>
  <pageMargins left="0" right="0" top="0" bottom="0" header="0" footer="0"/>
  <pageSetup scale="10" fitToHeight="0" orientation="portrait" horizontalDpi="203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W911"/>
  <sheetViews>
    <sheetView zoomScale="85" zoomScaleNormal="85" workbookViewId="0">
      <pane ySplit="54" topLeftCell="A570" activePane="bottomLeft" state="frozen"/>
      <selection pane="bottomLeft" activeCell="M576" sqref="M576"/>
    </sheetView>
  </sheetViews>
  <sheetFormatPr baseColWidth="10" defaultRowHeight="15" x14ac:dyDescent="0.25"/>
  <cols>
    <col min="3" max="4" width="0" hidden="1" customWidth="1"/>
    <col min="5" max="5" width="18" customWidth="1"/>
    <col min="6" max="6" width="11.5703125" customWidth="1"/>
    <col min="14" max="14" width="11.42578125" style="547"/>
    <col min="16" max="16" width="12" style="384" bestFit="1" customWidth="1"/>
    <col min="22" max="22" width="11.42578125" style="514"/>
    <col min="23" max="23" width="45.140625" customWidth="1"/>
  </cols>
  <sheetData>
    <row r="1" spans="1:22" ht="34.9" customHeight="1" x14ac:dyDescent="0.25">
      <c r="A1" s="90" t="s">
        <v>103</v>
      </c>
      <c r="B1" s="90" t="s">
        <v>104</v>
      </c>
      <c r="C1" s="90" t="s">
        <v>111</v>
      </c>
      <c r="D1" s="486" t="s">
        <v>600</v>
      </c>
      <c r="E1" s="817" t="s">
        <v>601</v>
      </c>
      <c r="F1" s="817"/>
      <c r="G1" s="90" t="s">
        <v>105</v>
      </c>
      <c r="H1" s="90" t="s">
        <v>106</v>
      </c>
      <c r="I1" s="90" t="s">
        <v>107</v>
      </c>
      <c r="J1" s="90" t="s">
        <v>102</v>
      </c>
      <c r="K1" s="90" t="s">
        <v>108</v>
      </c>
      <c r="L1" s="90" t="s">
        <v>109</v>
      </c>
      <c r="M1" s="90" t="s">
        <v>110</v>
      </c>
      <c r="N1" s="539" t="s">
        <v>743</v>
      </c>
      <c r="O1" s="90" t="s">
        <v>72</v>
      </c>
      <c r="P1" s="383" t="s">
        <v>468</v>
      </c>
      <c r="Q1" s="379" t="s">
        <v>463</v>
      </c>
      <c r="R1" s="379" t="s">
        <v>464</v>
      </c>
      <c r="S1" s="379" t="s">
        <v>465</v>
      </c>
      <c r="T1" s="379" t="s">
        <v>466</v>
      </c>
      <c r="U1" s="379" t="s">
        <v>467</v>
      </c>
      <c r="V1" s="379" t="s">
        <v>639</v>
      </c>
    </row>
    <row r="2" spans="1:22" ht="34.9" hidden="1" customHeight="1" x14ac:dyDescent="0.25">
      <c r="A2" s="13">
        <v>1</v>
      </c>
      <c r="B2" s="95">
        <v>44751</v>
      </c>
      <c r="C2" s="13"/>
      <c r="D2" s="485"/>
      <c r="E2" s="13"/>
      <c r="F2" s="13"/>
      <c r="G2" s="13"/>
      <c r="H2" s="13"/>
      <c r="I2" s="13">
        <v>15</v>
      </c>
      <c r="J2" s="13"/>
      <c r="K2" s="13"/>
      <c r="L2" s="13">
        <v>255</v>
      </c>
      <c r="M2" s="13">
        <v>60</v>
      </c>
      <c r="N2" s="540"/>
      <c r="O2" s="13" t="e">
        <f>SUM(C2+#REF!+F2+SUM(G2:N2))</f>
        <v>#REF!</v>
      </c>
    </row>
    <row r="3" spans="1:22" ht="34.9" hidden="1" customHeight="1" x14ac:dyDescent="0.25">
      <c r="A3" s="13">
        <v>2</v>
      </c>
      <c r="B3" s="95">
        <v>44753</v>
      </c>
      <c r="C3" s="13">
        <f>60+271</f>
        <v>331</v>
      </c>
      <c r="D3" s="485"/>
      <c r="E3" s="13"/>
      <c r="F3" s="13"/>
      <c r="G3" s="13"/>
      <c r="H3" s="13"/>
      <c r="I3" s="13"/>
      <c r="J3" s="13">
        <v>242</v>
      </c>
      <c r="K3" s="13"/>
      <c r="L3" s="13"/>
      <c r="M3" s="13">
        <f>15+483+139+30+27+40</f>
        <v>734</v>
      </c>
      <c r="N3" s="540"/>
      <c r="O3" s="13" t="e">
        <f>SUM(C3+#REF!+F3+SUM(G3:N3))</f>
        <v>#REF!</v>
      </c>
    </row>
    <row r="4" spans="1:22" ht="34.9" hidden="1" customHeight="1" x14ac:dyDescent="0.25">
      <c r="A4" s="13">
        <v>3</v>
      </c>
      <c r="B4" s="95">
        <v>44754</v>
      </c>
      <c r="C4" s="13"/>
      <c r="D4" s="485"/>
      <c r="E4" s="13"/>
      <c r="F4" s="13"/>
      <c r="G4" s="13"/>
      <c r="H4" s="13"/>
      <c r="I4" s="13">
        <v>7.5</v>
      </c>
      <c r="J4" s="13"/>
      <c r="K4" s="13"/>
      <c r="L4" s="13"/>
      <c r="M4" s="13">
        <v>196</v>
      </c>
      <c r="N4" s="540"/>
      <c r="O4" s="13" t="e">
        <f>SUM(C4+#REF!+F4+SUM(G4:N4))</f>
        <v>#REF!</v>
      </c>
    </row>
    <row r="5" spans="1:22" ht="34.9" hidden="1" customHeight="1" x14ac:dyDescent="0.25">
      <c r="A5" s="13">
        <v>4</v>
      </c>
      <c r="B5" s="95">
        <v>44755</v>
      </c>
      <c r="C5" s="13"/>
      <c r="D5" s="485"/>
      <c r="E5" s="13" t="s">
        <v>602</v>
      </c>
      <c r="F5" s="13"/>
      <c r="G5" s="13">
        <f>0.5</f>
        <v>0.5</v>
      </c>
      <c r="H5" s="13"/>
      <c r="I5" s="13"/>
      <c r="J5" s="13"/>
      <c r="K5" s="13"/>
      <c r="L5" s="13"/>
      <c r="M5" s="13">
        <f>30+46+10+33</f>
        <v>119</v>
      </c>
      <c r="N5" s="540"/>
      <c r="O5" s="13" t="e">
        <f>SUM(C5+#REF!+F5+SUM(G5:N5))</f>
        <v>#REF!</v>
      </c>
    </row>
    <row r="6" spans="1:22" ht="34.9" hidden="1" customHeight="1" x14ac:dyDescent="0.25">
      <c r="A6" s="13">
        <v>5</v>
      </c>
      <c r="B6" s="95">
        <v>44756</v>
      </c>
      <c r="C6" s="13"/>
      <c r="D6" s="485"/>
      <c r="E6" s="13"/>
      <c r="F6" s="13"/>
      <c r="G6" s="13"/>
      <c r="H6" s="13">
        <f>225</f>
        <v>225</v>
      </c>
      <c r="I6" s="13">
        <f>63</f>
        <v>63</v>
      </c>
      <c r="J6" s="13">
        <f>46</f>
        <v>46</v>
      </c>
      <c r="K6" s="13"/>
      <c r="L6" s="13"/>
      <c r="M6" s="13">
        <f>139+50</f>
        <v>189</v>
      </c>
      <c r="N6" s="540"/>
      <c r="O6" s="13" t="e">
        <f>SUM(C6+#REF!+F6+SUM(G6:N6))</f>
        <v>#REF!</v>
      </c>
    </row>
    <row r="7" spans="1:22" ht="34.9" hidden="1" customHeight="1" x14ac:dyDescent="0.25">
      <c r="A7" s="13">
        <v>6</v>
      </c>
      <c r="B7" s="95">
        <v>44757</v>
      </c>
      <c r="C7" s="13"/>
      <c r="D7" s="485"/>
      <c r="E7" s="90" t="s">
        <v>116</v>
      </c>
      <c r="F7" s="13">
        <v>30</v>
      </c>
      <c r="G7" s="13"/>
      <c r="H7" s="13"/>
      <c r="I7" s="13">
        <v>35</v>
      </c>
      <c r="J7" s="13">
        <v>300</v>
      </c>
      <c r="K7" s="13"/>
      <c r="L7" s="13">
        <v>20</v>
      </c>
      <c r="M7" s="13">
        <f>80+33+106+32+95+33</f>
        <v>379</v>
      </c>
      <c r="N7" s="540"/>
      <c r="O7" s="13" t="e">
        <f>SUM(C7+#REF!+F7+SUM(G7:N7))</f>
        <v>#REF!</v>
      </c>
    </row>
    <row r="8" spans="1:22" ht="34.9" hidden="1" customHeight="1" x14ac:dyDescent="0.25">
      <c r="A8" s="13">
        <v>7</v>
      </c>
      <c r="B8" s="95">
        <v>44758</v>
      </c>
      <c r="C8" s="13">
        <v>150</v>
      </c>
      <c r="D8" s="485"/>
      <c r="E8" s="13"/>
      <c r="F8" s="13"/>
      <c r="G8" s="13"/>
      <c r="H8" s="13"/>
      <c r="I8" s="13">
        <v>7.5</v>
      </c>
      <c r="J8" s="13"/>
      <c r="K8" s="13"/>
      <c r="L8" s="13"/>
      <c r="M8" s="13">
        <f>32+60</f>
        <v>92</v>
      </c>
      <c r="N8" s="540"/>
      <c r="O8" s="13" t="e">
        <f>SUM(C8+#REF!+F8+SUM(G8:N8))</f>
        <v>#REF!</v>
      </c>
    </row>
    <row r="9" spans="1:22" ht="34.9" hidden="1" customHeight="1" x14ac:dyDescent="0.25">
      <c r="A9" s="13">
        <v>8</v>
      </c>
      <c r="B9" s="95">
        <v>44759</v>
      </c>
      <c r="C9" s="13"/>
      <c r="D9" s="485"/>
      <c r="E9" s="13"/>
      <c r="F9" s="13"/>
      <c r="G9" s="13"/>
      <c r="H9" s="13"/>
      <c r="I9" s="13"/>
      <c r="J9" s="13"/>
      <c r="K9" s="13"/>
      <c r="L9" s="13"/>
      <c r="M9" s="13"/>
      <c r="N9" s="540"/>
      <c r="O9" s="13" t="e">
        <f>SUM(C9+#REF!+F9+SUM(G9:N9))</f>
        <v>#REF!</v>
      </c>
    </row>
    <row r="10" spans="1:22" ht="34.9" hidden="1" customHeight="1" x14ac:dyDescent="0.25">
      <c r="A10" s="13">
        <v>9</v>
      </c>
      <c r="B10" s="95">
        <v>44760</v>
      </c>
      <c r="C10" s="13"/>
      <c r="D10" s="485"/>
      <c r="E10" s="90" t="s">
        <v>183</v>
      </c>
      <c r="F10" s="13">
        <v>300</v>
      </c>
      <c r="G10" s="13"/>
      <c r="H10" s="13"/>
      <c r="I10" s="13"/>
      <c r="J10" s="13"/>
      <c r="K10" s="13"/>
      <c r="L10" s="13"/>
      <c r="M10" s="13">
        <f>54+60</f>
        <v>114</v>
      </c>
      <c r="N10" s="540"/>
      <c r="O10" s="13" t="e">
        <f>SUM(C10+#REF!+F10+SUM(G10:N10))</f>
        <v>#REF!</v>
      </c>
    </row>
    <row r="11" spans="1:22" ht="34.9" hidden="1" customHeight="1" x14ac:dyDescent="0.25">
      <c r="A11" s="13">
        <v>10</v>
      </c>
      <c r="B11" s="95">
        <v>44761</v>
      </c>
      <c r="C11" s="13">
        <f>120</f>
        <v>120</v>
      </c>
      <c r="D11" s="485"/>
      <c r="E11" s="13"/>
      <c r="F11" s="13"/>
      <c r="G11" s="13">
        <v>1</v>
      </c>
      <c r="H11" s="13"/>
      <c r="I11" s="13">
        <f>10.5+5</f>
        <v>15.5</v>
      </c>
      <c r="J11" s="13">
        <f>165</f>
        <v>165</v>
      </c>
      <c r="K11" s="13"/>
      <c r="L11" s="13"/>
      <c r="M11" s="13">
        <v>500</v>
      </c>
      <c r="N11" s="540"/>
      <c r="O11" s="13" t="e">
        <f>SUM(C11+#REF!+F11+SUM(G11:N11))</f>
        <v>#REF!</v>
      </c>
    </row>
    <row r="12" spans="1:22" ht="34.9" hidden="1" customHeight="1" x14ac:dyDescent="0.25">
      <c r="A12" s="13">
        <v>11</v>
      </c>
      <c r="B12" s="95">
        <v>44762</v>
      </c>
      <c r="C12" s="13">
        <v>120</v>
      </c>
      <c r="D12" s="485"/>
      <c r="E12" s="13"/>
      <c r="F12" s="13"/>
      <c r="G12" s="13"/>
      <c r="H12" s="13"/>
      <c r="I12" s="13"/>
      <c r="J12" s="13">
        <f>283.5</f>
        <v>283.5</v>
      </c>
      <c r="K12" s="13"/>
      <c r="L12" s="13"/>
      <c r="M12" s="13">
        <f>40+33+40+138+70</f>
        <v>321</v>
      </c>
      <c r="N12" s="540"/>
      <c r="O12" s="13" t="e">
        <f>SUM(C12+#REF!+F12+SUM(G12:N12))</f>
        <v>#REF!</v>
      </c>
    </row>
    <row r="13" spans="1:22" ht="34.9" hidden="1" customHeight="1" x14ac:dyDescent="0.25">
      <c r="A13" s="13">
        <v>12</v>
      </c>
      <c r="B13" s="95">
        <v>44763</v>
      </c>
      <c r="C13" s="13">
        <f>30</f>
        <v>30</v>
      </c>
      <c r="D13" s="485"/>
      <c r="E13" s="13"/>
      <c r="F13" s="13"/>
      <c r="G13" s="13"/>
      <c r="H13" s="13"/>
      <c r="I13" s="13">
        <f>54</f>
        <v>54</v>
      </c>
      <c r="J13" s="13">
        <f>135</f>
        <v>135</v>
      </c>
      <c r="K13" s="13"/>
      <c r="L13" s="13"/>
      <c r="M13" s="13">
        <f>290+30+8</f>
        <v>328</v>
      </c>
      <c r="N13" s="540"/>
      <c r="O13" s="13" t="e">
        <f>SUM(C13+#REF!+F13+SUM(G13:N13))</f>
        <v>#REF!</v>
      </c>
    </row>
    <row r="14" spans="1:22" ht="34.9" hidden="1" customHeight="1" x14ac:dyDescent="0.25">
      <c r="A14" s="13">
        <v>13</v>
      </c>
      <c r="B14" s="95">
        <v>44764</v>
      </c>
      <c r="C14" s="13"/>
      <c r="D14" s="485"/>
      <c r="E14" s="13"/>
      <c r="F14" s="13"/>
      <c r="G14" s="13"/>
      <c r="H14" s="13"/>
      <c r="I14" s="13"/>
      <c r="J14" s="13">
        <v>635</v>
      </c>
      <c r="K14" s="13"/>
      <c r="L14" s="13"/>
      <c r="M14" s="13"/>
      <c r="N14" s="540"/>
      <c r="O14" s="13" t="e">
        <f>SUM(C14+#REF!+F14+SUM(G14:N14))</f>
        <v>#REF!</v>
      </c>
    </row>
    <row r="15" spans="1:22" ht="34.9" hidden="1" customHeight="1" x14ac:dyDescent="0.25">
      <c r="A15" s="13">
        <v>14</v>
      </c>
      <c r="B15" s="95">
        <v>44765</v>
      </c>
      <c r="C15" s="13"/>
      <c r="D15" s="485"/>
      <c r="E15" s="90" t="s">
        <v>178</v>
      </c>
      <c r="F15" s="13">
        <v>132</v>
      </c>
      <c r="G15" s="13"/>
      <c r="H15" s="13"/>
      <c r="I15" s="13">
        <f>66</f>
        <v>66</v>
      </c>
      <c r="J15" s="13">
        <f>50+81</f>
        <v>131</v>
      </c>
      <c r="K15" s="13"/>
      <c r="L15" s="13">
        <f>61</f>
        <v>61</v>
      </c>
      <c r="M15" s="13">
        <f>100+20</f>
        <v>120</v>
      </c>
      <c r="N15" s="540"/>
      <c r="O15" s="13" t="e">
        <f>SUM(C15+#REF!+F15+SUM(G15:N15))</f>
        <v>#REF!</v>
      </c>
    </row>
    <row r="16" spans="1:22" ht="34.9" hidden="1" customHeight="1" x14ac:dyDescent="0.25">
      <c r="A16" s="13">
        <v>15</v>
      </c>
      <c r="B16" s="95">
        <v>44766</v>
      </c>
      <c r="C16" s="13"/>
      <c r="D16" s="485"/>
      <c r="E16" s="13"/>
      <c r="F16" s="13"/>
      <c r="G16" s="13"/>
      <c r="H16" s="13"/>
      <c r="I16" s="13"/>
      <c r="J16" s="13"/>
      <c r="K16" s="13"/>
      <c r="L16" s="13"/>
      <c r="M16" s="13"/>
      <c r="N16" s="540"/>
      <c r="O16" s="13" t="e">
        <f>SUM(C16+#REF!+F16+SUM(G16:N16))</f>
        <v>#REF!</v>
      </c>
    </row>
    <row r="17" spans="1:16" ht="34.9" hidden="1" customHeight="1" x14ac:dyDescent="0.25">
      <c r="A17" s="13">
        <v>16</v>
      </c>
      <c r="B17" s="95">
        <v>44767</v>
      </c>
      <c r="C17" s="13">
        <f>7.5+5.5</f>
        <v>13</v>
      </c>
      <c r="D17" s="485"/>
      <c r="E17" s="13"/>
      <c r="F17" s="13"/>
      <c r="G17" s="13"/>
      <c r="H17" s="13"/>
      <c r="I17" s="13"/>
      <c r="J17" s="13">
        <f>27+62</f>
        <v>89</v>
      </c>
      <c r="K17" s="13"/>
      <c r="L17" s="13"/>
      <c r="M17" s="13">
        <f>33</f>
        <v>33</v>
      </c>
      <c r="N17" s="540"/>
      <c r="O17" s="13" t="e">
        <f>SUM(C17+#REF!+F17+SUM(G17:N17))</f>
        <v>#REF!</v>
      </c>
      <c r="P17" s="385" t="s">
        <v>193</v>
      </c>
    </row>
    <row r="18" spans="1:16" ht="34.9" hidden="1" customHeight="1" x14ac:dyDescent="0.25">
      <c r="A18" s="13">
        <v>17</v>
      </c>
      <c r="B18" s="95">
        <v>44768</v>
      </c>
      <c r="C18" s="13"/>
      <c r="D18" s="485"/>
      <c r="E18" s="13"/>
      <c r="F18" s="13"/>
      <c r="G18" s="13"/>
      <c r="H18" s="13"/>
      <c r="I18" s="13">
        <f>20</f>
        <v>20</v>
      </c>
      <c r="J18" s="13">
        <f>52</f>
        <v>52</v>
      </c>
      <c r="K18" s="13"/>
      <c r="L18" s="13">
        <f>31</f>
        <v>31</v>
      </c>
      <c r="M18" s="13">
        <f>30+47+7</f>
        <v>84</v>
      </c>
      <c r="N18" s="540"/>
      <c r="O18" s="13" t="e">
        <f>SUM(C18+#REF!+F18+SUM(G18:N18))</f>
        <v>#REF!</v>
      </c>
    </row>
    <row r="19" spans="1:16" ht="34.9" hidden="1" customHeight="1" x14ac:dyDescent="0.25">
      <c r="A19" s="13">
        <v>18</v>
      </c>
      <c r="B19" s="95">
        <v>44769</v>
      </c>
      <c r="C19" s="13">
        <f>33</f>
        <v>33</v>
      </c>
      <c r="D19" s="485"/>
      <c r="E19" s="90" t="s">
        <v>183</v>
      </c>
      <c r="F19" s="13">
        <v>230</v>
      </c>
      <c r="G19" s="13"/>
      <c r="H19" s="13"/>
      <c r="I19" s="13">
        <v>99</v>
      </c>
      <c r="J19" s="13"/>
      <c r="K19" s="13"/>
      <c r="L19" s="13"/>
      <c r="M19" s="13">
        <f>100+106+100</f>
        <v>306</v>
      </c>
      <c r="N19" s="540"/>
      <c r="O19" s="13" t="e">
        <f>SUM(C19+#REF!+F19+SUM(G19:N19))</f>
        <v>#REF!</v>
      </c>
    </row>
    <row r="20" spans="1:16" ht="34.9" hidden="1" customHeight="1" x14ac:dyDescent="0.25">
      <c r="A20" s="13">
        <v>19</v>
      </c>
      <c r="B20" s="95">
        <v>44770</v>
      </c>
      <c r="C20" s="13">
        <f>80</f>
        <v>80</v>
      </c>
      <c r="D20" s="485"/>
      <c r="E20" s="13"/>
      <c r="F20" s="13"/>
      <c r="G20" s="13"/>
      <c r="H20" s="13"/>
      <c r="I20" s="13">
        <f>60</f>
        <v>60</v>
      </c>
      <c r="J20" s="13"/>
      <c r="K20" s="13"/>
      <c r="L20" s="13"/>
      <c r="M20" s="13">
        <v>100</v>
      </c>
      <c r="N20" s="540"/>
      <c r="O20" s="13" t="e">
        <f>SUM(C20+#REF!+F20+SUM(G20:N20))</f>
        <v>#REF!</v>
      </c>
    </row>
    <row r="21" spans="1:16" ht="34.9" hidden="1" customHeight="1" x14ac:dyDescent="0.25">
      <c r="A21" s="13">
        <v>20</v>
      </c>
      <c r="B21" s="95">
        <v>44771</v>
      </c>
      <c r="C21" s="13">
        <f>60+60</f>
        <v>120</v>
      </c>
      <c r="D21" s="485"/>
      <c r="E21" s="13"/>
      <c r="F21" s="13"/>
      <c r="G21" s="13"/>
      <c r="H21" s="13"/>
      <c r="I21" s="13"/>
      <c r="J21" s="13">
        <f>100</f>
        <v>100</v>
      </c>
      <c r="K21" s="13"/>
      <c r="L21" s="13">
        <f>33</f>
        <v>33</v>
      </c>
      <c r="M21" s="13"/>
      <c r="N21" s="540"/>
      <c r="O21" s="13" t="e">
        <f>SUM(C21+#REF!+F21+SUM(G21:N21))</f>
        <v>#REF!</v>
      </c>
    </row>
    <row r="22" spans="1:16" ht="34.9" hidden="1" customHeight="1" x14ac:dyDescent="0.25">
      <c r="A22" s="13">
        <v>21</v>
      </c>
      <c r="B22" s="95">
        <v>44772</v>
      </c>
      <c r="C22" s="13">
        <f>30</f>
        <v>30</v>
      </c>
      <c r="D22" s="485"/>
      <c r="E22" s="13"/>
      <c r="F22" s="13"/>
      <c r="G22" s="13"/>
      <c r="H22" s="13"/>
      <c r="I22" s="13"/>
      <c r="J22" s="13"/>
      <c r="K22" s="13"/>
      <c r="L22" s="13"/>
      <c r="M22" s="13">
        <f>300</f>
        <v>300</v>
      </c>
      <c r="N22" s="540"/>
      <c r="O22" s="13" t="e">
        <f>SUM(C22+#REF!+F22+SUM(G22:N22))</f>
        <v>#REF!</v>
      </c>
    </row>
    <row r="23" spans="1:16" ht="34.9" hidden="1" customHeight="1" x14ac:dyDescent="0.25">
      <c r="A23" s="39">
        <v>22</v>
      </c>
      <c r="B23" s="126">
        <v>44773</v>
      </c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541"/>
      <c r="O23" s="39" t="e">
        <f>SUM(C23+#REF!+F23+SUM(G23:N23))</f>
        <v>#REF!</v>
      </c>
    </row>
    <row r="24" spans="1:16" ht="34.9" hidden="1" customHeight="1" x14ac:dyDescent="0.25">
      <c r="A24" s="13">
        <v>23</v>
      </c>
      <c r="B24" s="95">
        <v>44774</v>
      </c>
      <c r="C24" s="13">
        <f>106</f>
        <v>106</v>
      </c>
      <c r="D24" s="485"/>
      <c r="E24" s="13"/>
      <c r="F24" s="13"/>
      <c r="G24" s="13"/>
      <c r="H24" s="13"/>
      <c r="I24" s="13">
        <f>5.5+66</f>
        <v>71.5</v>
      </c>
      <c r="J24" s="13">
        <f>17</f>
        <v>17</v>
      </c>
      <c r="K24" s="13"/>
      <c r="L24" s="13"/>
      <c r="M24" s="13"/>
      <c r="N24" s="540"/>
      <c r="O24" s="13" t="e">
        <f>SUM(#REF!+F24+SUM(G24:N24))</f>
        <v>#REF!</v>
      </c>
    </row>
    <row r="25" spans="1:16" ht="34.9" hidden="1" customHeight="1" x14ac:dyDescent="0.25">
      <c r="A25" s="13">
        <v>24</v>
      </c>
      <c r="B25" s="95">
        <v>44775</v>
      </c>
      <c r="C25" s="13">
        <f>15</f>
        <v>15</v>
      </c>
      <c r="D25" s="485"/>
      <c r="E25" s="13"/>
      <c r="F25" s="13"/>
      <c r="G25" s="13"/>
      <c r="H25" s="13"/>
      <c r="I25" s="13">
        <f>15</f>
        <v>15</v>
      </c>
      <c r="J25" s="13"/>
      <c r="K25" s="13"/>
      <c r="L25" s="13"/>
      <c r="M25" s="13">
        <f>93+105</f>
        <v>198</v>
      </c>
      <c r="N25" s="540"/>
      <c r="O25" s="13" t="e">
        <f>SUM(#REF!+F25+SUM(G25:N25))</f>
        <v>#REF!</v>
      </c>
    </row>
    <row r="26" spans="1:16" ht="34.9" hidden="1" customHeight="1" x14ac:dyDescent="0.25">
      <c r="A26" s="13">
        <v>25</v>
      </c>
      <c r="B26" s="95">
        <v>44776</v>
      </c>
      <c r="C26" s="13">
        <f>150</f>
        <v>150</v>
      </c>
      <c r="D26" s="485"/>
      <c r="E26" s="13"/>
      <c r="F26" s="13"/>
      <c r="G26" s="13"/>
      <c r="H26" s="13"/>
      <c r="I26" s="13">
        <f>165+70</f>
        <v>235</v>
      </c>
      <c r="J26" s="13"/>
      <c r="K26" s="13"/>
      <c r="L26" s="13"/>
      <c r="M26" s="13"/>
      <c r="N26" s="540"/>
      <c r="O26" s="13" t="e">
        <f>SUM(#REF!+F26+SUM(G26:N26))</f>
        <v>#REF!</v>
      </c>
    </row>
    <row r="27" spans="1:16" ht="34.9" hidden="1" customHeight="1" x14ac:dyDescent="0.25">
      <c r="A27" s="13">
        <v>26</v>
      </c>
      <c r="B27" s="95">
        <v>44777</v>
      </c>
      <c r="C27" s="13"/>
      <c r="D27" s="485"/>
      <c r="E27" s="13"/>
      <c r="F27" s="13"/>
      <c r="G27" s="13"/>
      <c r="H27" s="13"/>
      <c r="I27" s="13"/>
      <c r="J27" s="13">
        <f>609</f>
        <v>609</v>
      </c>
      <c r="K27" s="13"/>
      <c r="L27" s="13"/>
      <c r="M27" s="13"/>
      <c r="N27" s="540"/>
      <c r="O27" s="13" t="e">
        <f>SUM(#REF!+F27+SUM(G27:N27))</f>
        <v>#REF!</v>
      </c>
    </row>
    <row r="28" spans="1:16" ht="34.9" hidden="1" customHeight="1" x14ac:dyDescent="0.25">
      <c r="A28" s="13">
        <v>27</v>
      </c>
      <c r="B28" s="95">
        <v>44778</v>
      </c>
      <c r="C28" s="13"/>
      <c r="D28" s="485"/>
      <c r="E28" s="13"/>
      <c r="F28" s="13"/>
      <c r="G28" s="13">
        <f>0.5</f>
        <v>0.5</v>
      </c>
      <c r="H28" s="13"/>
      <c r="I28" s="13"/>
      <c r="J28" s="13"/>
      <c r="K28" s="13"/>
      <c r="L28" s="13"/>
      <c r="M28" s="13">
        <f>15+100+90+7</f>
        <v>212</v>
      </c>
      <c r="N28" s="540"/>
      <c r="O28" s="13" t="e">
        <f>SUM(#REF!+F28+SUM(G28:N28))</f>
        <v>#REF!</v>
      </c>
      <c r="P28" s="385" t="s">
        <v>193</v>
      </c>
    </row>
    <row r="29" spans="1:16" ht="34.9" hidden="1" customHeight="1" x14ac:dyDescent="0.25">
      <c r="A29" s="13">
        <v>28</v>
      </c>
      <c r="B29" s="95">
        <v>44779</v>
      </c>
      <c r="C29" s="13">
        <f>6</f>
        <v>6</v>
      </c>
      <c r="D29" s="485"/>
      <c r="E29" s="90" t="s">
        <v>182</v>
      </c>
      <c r="F29" s="13">
        <v>238</v>
      </c>
      <c r="G29" s="13"/>
      <c r="H29" s="13"/>
      <c r="I29" s="13">
        <f>15+6</f>
        <v>21</v>
      </c>
      <c r="J29" s="13">
        <f>316</f>
        <v>316</v>
      </c>
      <c r="K29" s="13"/>
      <c r="L29" s="13">
        <f>6+14+15</f>
        <v>35</v>
      </c>
      <c r="M29" s="13">
        <f>114+54</f>
        <v>168</v>
      </c>
      <c r="N29" s="540"/>
      <c r="O29" s="13" t="e">
        <f>SUM(#REF!+F29+SUM(G29:N29))</f>
        <v>#REF!</v>
      </c>
    </row>
    <row r="30" spans="1:16" ht="34.9" hidden="1" customHeight="1" x14ac:dyDescent="0.25">
      <c r="A30" s="39">
        <v>29</v>
      </c>
      <c r="B30" s="126">
        <v>44780</v>
      </c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541"/>
      <c r="O30" s="39" t="e">
        <f>SUM(#REF!+F30+SUM(G30:N30))</f>
        <v>#REF!</v>
      </c>
    </row>
    <row r="31" spans="1:16" ht="34.9" hidden="1" customHeight="1" x14ac:dyDescent="0.25">
      <c r="A31" s="13">
        <v>30</v>
      </c>
      <c r="B31" s="95">
        <v>44781</v>
      </c>
      <c r="C31" s="13">
        <f>99+27</f>
        <v>126</v>
      </c>
      <c r="D31" s="485"/>
      <c r="E31" s="13"/>
      <c r="F31" s="13"/>
      <c r="G31" s="13"/>
      <c r="H31" s="13"/>
      <c r="I31" s="13">
        <f>291+76+66</f>
        <v>433</v>
      </c>
      <c r="J31" s="13"/>
      <c r="K31" s="13"/>
      <c r="L31" s="13"/>
      <c r="M31" s="13">
        <f>48</f>
        <v>48</v>
      </c>
      <c r="N31" s="540"/>
      <c r="O31" s="13" t="e">
        <f>SUM(#REF!+F31+SUM(G31:N31))</f>
        <v>#REF!</v>
      </c>
    </row>
    <row r="32" spans="1:16" ht="47.45" hidden="1" customHeight="1" x14ac:dyDescent="0.25">
      <c r="A32" s="13">
        <v>31</v>
      </c>
      <c r="B32" s="95">
        <v>44782</v>
      </c>
      <c r="C32" s="13">
        <f>247.7</f>
        <v>247.7</v>
      </c>
      <c r="D32" s="485"/>
      <c r="E32" s="90" t="s">
        <v>188</v>
      </c>
      <c r="F32" s="13">
        <v>110</v>
      </c>
      <c r="G32" s="13">
        <f>15.9</f>
        <v>15.9</v>
      </c>
      <c r="H32" s="13"/>
      <c r="I32" s="13">
        <f>66+45.1+32</f>
        <v>143.1</v>
      </c>
      <c r="J32" s="13">
        <f>327+154</f>
        <v>481</v>
      </c>
      <c r="K32" s="13"/>
      <c r="L32" s="13"/>
      <c r="M32" s="13">
        <f>1+32+30</f>
        <v>63</v>
      </c>
      <c r="N32" s="540"/>
      <c r="O32" s="13" t="e">
        <f>SUM(#REF!+F32+SUM(G32:N32))</f>
        <v>#REF!</v>
      </c>
    </row>
    <row r="33" spans="1:22" ht="51" hidden="1" customHeight="1" x14ac:dyDescent="0.25">
      <c r="A33" s="13">
        <v>32</v>
      </c>
      <c r="B33" s="95">
        <v>44783</v>
      </c>
      <c r="C33" s="13">
        <f>33+15+90</f>
        <v>138</v>
      </c>
      <c r="D33" s="485"/>
      <c r="E33" s="90"/>
      <c r="F33" s="13"/>
      <c r="G33" s="13"/>
      <c r="H33" s="13"/>
      <c r="I33" s="13">
        <f>40</f>
        <v>40</v>
      </c>
      <c r="J33" s="13">
        <f>456+40</f>
        <v>496</v>
      </c>
      <c r="K33" s="13"/>
      <c r="L33" s="13"/>
      <c r="M33" s="13">
        <f>30+19.5+62+29+7.5</f>
        <v>148</v>
      </c>
      <c r="N33" s="540"/>
      <c r="O33" s="13" t="e">
        <f>SUM(#REF!+F33+SUM(G33:N33))</f>
        <v>#REF!</v>
      </c>
    </row>
    <row r="34" spans="1:22" ht="34.9" hidden="1" customHeight="1" x14ac:dyDescent="0.25">
      <c r="A34" s="13">
        <v>33</v>
      </c>
      <c r="B34" s="95">
        <v>44784</v>
      </c>
      <c r="C34" s="13">
        <f>106</f>
        <v>106</v>
      </c>
      <c r="D34" s="485"/>
      <c r="E34" s="13"/>
      <c r="F34" s="13"/>
      <c r="G34" s="13"/>
      <c r="H34" s="13"/>
      <c r="I34" s="13"/>
      <c r="J34" s="13"/>
      <c r="K34" s="13"/>
      <c r="L34" s="13"/>
      <c r="M34" s="13">
        <f>10+60</f>
        <v>70</v>
      </c>
      <c r="N34" s="540"/>
      <c r="O34" s="13" t="e">
        <f>SUM(#REF!+F34+SUM(G34:N34))</f>
        <v>#REF!</v>
      </c>
      <c r="P34" s="385" t="s">
        <v>193</v>
      </c>
    </row>
    <row r="35" spans="1:22" ht="34.9" hidden="1" customHeight="1" x14ac:dyDescent="0.25">
      <c r="A35" s="13">
        <v>34</v>
      </c>
      <c r="B35" s="95">
        <v>44785</v>
      </c>
      <c r="C35" s="13">
        <f>54</f>
        <v>54</v>
      </c>
      <c r="D35" s="485"/>
      <c r="E35" s="13"/>
      <c r="F35" s="13"/>
      <c r="G35" s="13"/>
      <c r="H35" s="13"/>
      <c r="I35" s="13">
        <f>160+206+62</f>
        <v>428</v>
      </c>
      <c r="J35" s="13">
        <f>46+62+14</f>
        <v>122</v>
      </c>
      <c r="K35" s="13"/>
      <c r="L35" s="13"/>
      <c r="M35" s="13">
        <f>30+108+30+62</f>
        <v>230</v>
      </c>
      <c r="N35" s="540"/>
      <c r="O35" s="13" t="e">
        <f>SUM(C35+#REF!+F35+SUM(G35:N35))</f>
        <v>#REF!</v>
      </c>
    </row>
    <row r="36" spans="1:22" ht="34.9" hidden="1" customHeight="1" x14ac:dyDescent="0.25">
      <c r="A36" s="13">
        <v>35</v>
      </c>
      <c r="B36" s="95">
        <v>44786</v>
      </c>
      <c r="C36" s="13"/>
      <c r="D36" s="485"/>
      <c r="E36" s="13"/>
      <c r="F36" s="13"/>
      <c r="G36" s="13"/>
      <c r="H36" s="13"/>
      <c r="I36" s="13">
        <f>40</f>
        <v>40</v>
      </c>
      <c r="J36" s="13"/>
      <c r="K36" s="13"/>
      <c r="L36" s="13"/>
      <c r="M36" s="13">
        <f>70+15</f>
        <v>85</v>
      </c>
      <c r="N36" s="540"/>
      <c r="O36" s="13" t="e">
        <f>SUM(C36+#REF!+F36+SUM(G36:N36))</f>
        <v>#REF!</v>
      </c>
    </row>
    <row r="37" spans="1:22" ht="34.9" hidden="1" customHeight="1" x14ac:dyDescent="0.25">
      <c r="A37" s="39">
        <v>36</v>
      </c>
      <c r="B37" s="126">
        <v>44787</v>
      </c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541"/>
      <c r="O37" s="39" t="e">
        <f>SUM(C37+#REF!+F37+SUM(G37:N37))</f>
        <v>#REF!</v>
      </c>
    </row>
    <row r="38" spans="1:22" ht="34.9" hidden="1" customHeight="1" x14ac:dyDescent="0.25">
      <c r="A38" s="13">
        <v>37</v>
      </c>
      <c r="B38" s="95">
        <v>44788</v>
      </c>
      <c r="C38" s="13"/>
      <c r="D38" s="485"/>
      <c r="E38" s="13"/>
      <c r="F38" s="13"/>
      <c r="G38" s="13"/>
      <c r="H38" s="13"/>
      <c r="I38" s="13">
        <f>25</f>
        <v>25</v>
      </c>
      <c r="J38" s="13">
        <f>211+99+109+1</f>
        <v>420</v>
      </c>
      <c r="K38" s="13"/>
      <c r="L38" s="13"/>
      <c r="M38" s="13">
        <f>25+27+10+6.5+2.5</f>
        <v>71</v>
      </c>
      <c r="N38" s="540"/>
      <c r="O38" s="13" t="e">
        <f>SUM(C38+#REF!+F38+SUM(G38:N38))</f>
        <v>#REF!</v>
      </c>
      <c r="P38" s="386" t="s">
        <v>190</v>
      </c>
    </row>
    <row r="39" spans="1:22" ht="34.9" hidden="1" customHeight="1" x14ac:dyDescent="0.25">
      <c r="A39" s="13">
        <v>38</v>
      </c>
      <c r="B39" s="95">
        <v>44789</v>
      </c>
      <c r="C39" s="13">
        <f>491</f>
        <v>491</v>
      </c>
      <c r="D39" s="485"/>
      <c r="E39" s="13"/>
      <c r="F39" s="13"/>
      <c r="G39" s="13"/>
      <c r="H39" s="13">
        <f>190</f>
        <v>190</v>
      </c>
      <c r="I39" s="13"/>
      <c r="J39" s="13"/>
      <c r="K39" s="13"/>
      <c r="L39" s="13">
        <f>15</f>
        <v>15</v>
      </c>
      <c r="M39" s="13">
        <f>216+48+30+30</f>
        <v>324</v>
      </c>
      <c r="N39" s="540"/>
      <c r="O39" s="13" t="e">
        <f>SUM(G39:N39)+F39+#REF!</f>
        <v>#REF!</v>
      </c>
      <c r="P39" s="818" t="s">
        <v>196</v>
      </c>
      <c r="Q39" s="819"/>
      <c r="R39" s="819"/>
      <c r="S39" s="819"/>
      <c r="T39" s="819"/>
      <c r="U39" s="819"/>
      <c r="V39" s="819"/>
    </row>
    <row r="40" spans="1:22" ht="34.9" hidden="1" customHeight="1" x14ac:dyDescent="0.25">
      <c r="A40" s="13">
        <v>39</v>
      </c>
      <c r="B40" s="95">
        <v>44790</v>
      </c>
      <c r="C40" s="13">
        <v>150</v>
      </c>
      <c r="D40" s="485"/>
      <c r="E40" s="13"/>
      <c r="F40" s="13"/>
      <c r="G40" s="13"/>
      <c r="H40" s="13"/>
      <c r="I40" s="13">
        <f>25</f>
        <v>25</v>
      </c>
      <c r="J40" s="13">
        <f>15</f>
        <v>15</v>
      </c>
      <c r="K40" s="13"/>
      <c r="L40" s="13"/>
      <c r="M40" s="13">
        <f>85+166</f>
        <v>251</v>
      </c>
      <c r="N40" s="540"/>
      <c r="O40" s="13" t="e">
        <f>SUM(G40:N40)+F40+#REF!</f>
        <v>#REF!</v>
      </c>
    </row>
    <row r="41" spans="1:22" ht="34.9" hidden="1" customHeight="1" x14ac:dyDescent="0.25">
      <c r="A41" s="13">
        <v>40</v>
      </c>
      <c r="B41" s="95">
        <v>44791</v>
      </c>
      <c r="C41" s="13"/>
      <c r="D41" s="485"/>
      <c r="E41" s="13"/>
      <c r="F41" s="13"/>
      <c r="G41" s="13"/>
      <c r="H41" s="13"/>
      <c r="I41" s="13">
        <f>95+100+100+33+61+95+2</f>
        <v>486</v>
      </c>
      <c r="J41" s="13">
        <f>32+8</f>
        <v>40</v>
      </c>
      <c r="K41" s="13"/>
      <c r="L41" s="13">
        <f>100</f>
        <v>100</v>
      </c>
      <c r="M41" s="13">
        <f>27+15+15+255+30+15+80</f>
        <v>437</v>
      </c>
      <c r="N41" s="540"/>
      <c r="O41" s="13" t="e">
        <f>SUM(G41:N41)+F41+#REF!</f>
        <v>#REF!</v>
      </c>
    </row>
    <row r="42" spans="1:22" ht="34.9" hidden="1" customHeight="1" x14ac:dyDescent="0.25">
      <c r="A42" s="13">
        <v>41</v>
      </c>
      <c r="B42" s="95">
        <v>44792</v>
      </c>
      <c r="C42" s="13">
        <f>130</f>
        <v>130</v>
      </c>
      <c r="D42" s="485"/>
      <c r="E42" s="13"/>
      <c r="F42" s="13"/>
      <c r="G42" s="13"/>
      <c r="H42" s="13"/>
      <c r="I42" s="13">
        <f>224+30</f>
        <v>254</v>
      </c>
      <c r="J42" s="13">
        <f>102</f>
        <v>102</v>
      </c>
      <c r="K42" s="13"/>
      <c r="L42" s="13">
        <f>48+34+1</f>
        <v>83</v>
      </c>
      <c r="M42" s="13">
        <f>13</f>
        <v>13</v>
      </c>
      <c r="N42" s="540"/>
      <c r="O42" s="13" t="e">
        <f>SUM(G42:N42)+F42+#REF!</f>
        <v>#REF!</v>
      </c>
    </row>
    <row r="43" spans="1:22" ht="34.9" hidden="1" customHeight="1" x14ac:dyDescent="0.25">
      <c r="A43" s="13">
        <v>42</v>
      </c>
      <c r="B43" s="95">
        <v>44793</v>
      </c>
      <c r="C43" s="13"/>
      <c r="D43" s="485"/>
      <c r="E43" s="13"/>
      <c r="F43" s="13"/>
      <c r="G43" s="13"/>
      <c r="H43" s="13"/>
      <c r="I43" s="13">
        <f>10+20</f>
        <v>30</v>
      </c>
      <c r="J43" s="13"/>
      <c r="K43" s="13"/>
      <c r="L43" s="13"/>
      <c r="M43" s="13">
        <f>212+15+15-20</f>
        <v>222</v>
      </c>
      <c r="N43" s="540"/>
      <c r="O43" s="13" t="e">
        <f>SUM(G43:N43)+F43+#REF!</f>
        <v>#REF!</v>
      </c>
      <c r="P43" s="384" t="s">
        <v>197</v>
      </c>
    </row>
    <row r="44" spans="1:22" ht="34.9" hidden="1" customHeight="1" x14ac:dyDescent="0.25">
      <c r="A44" s="39">
        <v>43</v>
      </c>
      <c r="B44" s="126">
        <v>44794</v>
      </c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541"/>
      <c r="O44" s="39" t="e">
        <f>SUM(G44:N44)+F44+#REF!</f>
        <v>#REF!</v>
      </c>
    </row>
    <row r="45" spans="1:22" ht="34.9" hidden="1" customHeight="1" x14ac:dyDescent="0.25">
      <c r="A45" s="13">
        <v>44</v>
      </c>
      <c r="B45" s="95">
        <v>44795</v>
      </c>
      <c r="C45" s="13"/>
      <c r="D45" s="485"/>
      <c r="E45" s="13"/>
      <c r="F45" s="13"/>
      <c r="G45" s="13"/>
      <c r="H45" s="13"/>
      <c r="I45" s="13"/>
      <c r="J45" s="13">
        <f>358</f>
        <v>358</v>
      </c>
      <c r="K45" s="13"/>
      <c r="L45" s="13">
        <f>34+6+100</f>
        <v>140</v>
      </c>
      <c r="M45" s="13">
        <f>12+100</f>
        <v>112</v>
      </c>
      <c r="N45" s="540"/>
      <c r="O45" s="13" t="e">
        <f>SUM(G45:N45)+F45+#REF!</f>
        <v>#REF!</v>
      </c>
    </row>
    <row r="46" spans="1:22" ht="34.9" hidden="1" customHeight="1" x14ac:dyDescent="0.25">
      <c r="A46" s="13">
        <v>45</v>
      </c>
      <c r="B46" s="95">
        <v>44796</v>
      </c>
      <c r="C46" s="13">
        <f>6</f>
        <v>6</v>
      </c>
      <c r="D46" s="485"/>
      <c r="E46" s="13"/>
      <c r="F46" s="13"/>
      <c r="G46" s="13"/>
      <c r="H46" s="13"/>
      <c r="I46" s="13">
        <f>40.8</f>
        <v>40.799999999999997</v>
      </c>
      <c r="J46" s="13"/>
      <c r="K46" s="13"/>
      <c r="L46" s="13">
        <f>30</f>
        <v>30</v>
      </c>
      <c r="M46" s="13">
        <f>106+30</f>
        <v>136</v>
      </c>
      <c r="N46" s="540"/>
      <c r="O46" s="13" t="e">
        <f>SUM(G46:N46)+F46+#REF!</f>
        <v>#REF!</v>
      </c>
      <c r="P46" s="384" t="s">
        <v>198</v>
      </c>
    </row>
    <row r="47" spans="1:22" ht="34.9" hidden="1" customHeight="1" x14ac:dyDescent="0.25">
      <c r="A47" s="13">
        <v>46</v>
      </c>
      <c r="B47" s="95">
        <v>44797</v>
      </c>
      <c r="C47" s="13">
        <f>8</f>
        <v>8</v>
      </c>
      <c r="D47" s="485"/>
      <c r="E47" s="13"/>
      <c r="F47" s="13"/>
      <c r="G47" s="13"/>
      <c r="H47" s="13"/>
      <c r="I47" s="13">
        <f>54</f>
        <v>54</v>
      </c>
      <c r="J47" s="13">
        <f>60+241</f>
        <v>301</v>
      </c>
      <c r="K47" s="13"/>
      <c r="L47" s="13">
        <f>30</f>
        <v>30</v>
      </c>
      <c r="M47" s="13">
        <f>30+105</f>
        <v>135</v>
      </c>
      <c r="N47" s="540"/>
      <c r="O47" s="13" t="e">
        <f>SUM(G47:N47)+F47+#REF!</f>
        <v>#REF!</v>
      </c>
    </row>
    <row r="48" spans="1:22" ht="72" hidden="1" customHeight="1" x14ac:dyDescent="0.25">
      <c r="A48" s="13">
        <v>47</v>
      </c>
      <c r="B48" s="95">
        <v>44798</v>
      </c>
      <c r="C48" s="13">
        <f>12</f>
        <v>12</v>
      </c>
      <c r="D48" s="485"/>
      <c r="E48" s="90" t="s">
        <v>208</v>
      </c>
      <c r="F48" s="13">
        <f>540+32</f>
        <v>572</v>
      </c>
      <c r="G48" s="13"/>
      <c r="H48" s="13"/>
      <c r="I48" s="13"/>
      <c r="J48" s="13">
        <f>40</f>
        <v>40</v>
      </c>
      <c r="K48" s="13"/>
      <c r="L48" s="13"/>
      <c r="M48" s="13">
        <f>46+60+32</f>
        <v>138</v>
      </c>
      <c r="N48" s="540"/>
      <c r="O48" s="13" t="e">
        <f>SUM(G48:N48)+F48+#REF!</f>
        <v>#REF!</v>
      </c>
    </row>
    <row r="49" spans="1:22" ht="61.15" hidden="1" customHeight="1" x14ac:dyDescent="0.25">
      <c r="A49" s="13">
        <v>48</v>
      </c>
      <c r="B49" s="95">
        <v>44799</v>
      </c>
      <c r="C49" s="13">
        <f>56</f>
        <v>56</v>
      </c>
      <c r="D49" s="485"/>
      <c r="E49" s="90" t="s">
        <v>207</v>
      </c>
      <c r="F49" s="13">
        <f>40+343</f>
        <v>383</v>
      </c>
      <c r="G49" s="13"/>
      <c r="H49" s="13"/>
      <c r="I49" s="13"/>
      <c r="J49" s="13"/>
      <c r="K49" s="13"/>
      <c r="L49" s="13"/>
      <c r="M49" s="13">
        <f>100+45+34</f>
        <v>179</v>
      </c>
      <c r="N49" s="540"/>
      <c r="O49" s="13" t="e">
        <f>SUM(G49:N49)+F49+#REF!</f>
        <v>#REF!</v>
      </c>
    </row>
    <row r="50" spans="1:22" ht="34.9" hidden="1" customHeight="1" x14ac:dyDescent="0.25">
      <c r="A50" s="13">
        <v>49</v>
      </c>
      <c r="B50" s="95">
        <v>44800</v>
      </c>
      <c r="C50" s="13">
        <f>288+12</f>
        <v>300</v>
      </c>
      <c r="D50" s="485"/>
      <c r="E50" s="13"/>
      <c r="F50" s="13"/>
      <c r="G50" s="13"/>
      <c r="H50" s="13"/>
      <c r="I50" s="13"/>
      <c r="J50" s="13">
        <f>20</f>
        <v>20</v>
      </c>
      <c r="K50" s="13"/>
      <c r="L50" s="13">
        <f>5</f>
        <v>5</v>
      </c>
      <c r="M50" s="13">
        <f>46</f>
        <v>46</v>
      </c>
      <c r="N50" s="540"/>
      <c r="O50" s="13" t="e">
        <f>SUM(G50:N50)+F50+#REF!</f>
        <v>#REF!</v>
      </c>
    </row>
    <row r="51" spans="1:22" ht="34.9" hidden="1" customHeight="1" x14ac:dyDescent="0.25">
      <c r="A51" s="39">
        <v>50</v>
      </c>
      <c r="B51" s="126">
        <v>44801</v>
      </c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541"/>
      <c r="O51" s="39" t="e">
        <f>SUM(G51:N51)+F51+#REF!</f>
        <v>#REF!</v>
      </c>
    </row>
    <row r="52" spans="1:22" ht="34.9" hidden="1" customHeight="1" x14ac:dyDescent="0.25">
      <c r="A52" s="13">
        <v>51</v>
      </c>
      <c r="B52" s="95">
        <v>44802</v>
      </c>
      <c r="C52" s="13">
        <f>48+1693.5+90+30</f>
        <v>1861.5</v>
      </c>
      <c r="D52" s="485"/>
      <c r="E52" s="13" t="s">
        <v>218</v>
      </c>
      <c r="F52" s="13">
        <f>400</f>
        <v>400</v>
      </c>
      <c r="G52" s="13"/>
      <c r="H52" s="13"/>
      <c r="I52" s="13"/>
      <c r="J52" s="13"/>
      <c r="K52" s="13"/>
      <c r="L52" s="13">
        <f>8</f>
        <v>8</v>
      </c>
      <c r="M52" s="13">
        <f>130+45+30+100</f>
        <v>305</v>
      </c>
      <c r="N52" s="540"/>
      <c r="O52" s="13" t="e">
        <f>SUM(G52:N52)+F52+#REF!</f>
        <v>#REF!</v>
      </c>
    </row>
    <row r="53" spans="1:22" ht="34.9" hidden="1" customHeight="1" x14ac:dyDescent="0.25">
      <c r="A53" s="13">
        <v>52</v>
      </c>
      <c r="B53" s="95">
        <v>44803</v>
      </c>
      <c r="C53" s="13">
        <f>72</f>
        <v>72</v>
      </c>
      <c r="D53" s="485"/>
      <c r="E53" s="13" t="s">
        <v>220</v>
      </c>
      <c r="F53" s="13">
        <v>100</v>
      </c>
      <c r="G53" s="13"/>
      <c r="H53" s="13"/>
      <c r="I53" s="13"/>
      <c r="J53" s="13"/>
      <c r="K53" s="13"/>
      <c r="L53" s="13">
        <f>20</f>
        <v>20</v>
      </c>
      <c r="M53" s="13">
        <f>18+73</f>
        <v>91</v>
      </c>
      <c r="N53" s="540"/>
      <c r="O53" s="13" t="e">
        <f>SUM(G53:N53)+F53+#REF!</f>
        <v>#REF!</v>
      </c>
    </row>
    <row r="54" spans="1:22" ht="34.9" hidden="1" customHeight="1" x14ac:dyDescent="0.25">
      <c r="A54" s="13">
        <v>53</v>
      </c>
      <c r="B54" s="95">
        <v>44804</v>
      </c>
      <c r="C54" s="13">
        <f>30</f>
        <v>30</v>
      </c>
      <c r="D54" s="485"/>
      <c r="E54" s="13"/>
      <c r="F54" s="13"/>
      <c r="G54" s="13">
        <f>21.64+3</f>
        <v>24.64</v>
      </c>
      <c r="H54" s="13"/>
      <c r="I54" s="13">
        <f>4+2+16+25.36</f>
        <v>47.36</v>
      </c>
      <c r="J54" s="13">
        <f>266</f>
        <v>266</v>
      </c>
      <c r="K54" s="13"/>
      <c r="L54" s="13"/>
      <c r="M54" s="13">
        <f>470+30+3+100+30</f>
        <v>633</v>
      </c>
      <c r="N54" s="540"/>
      <c r="O54" s="13" t="e">
        <f>SUM(G54:N54)+F54+#REF!</f>
        <v>#REF!</v>
      </c>
    </row>
    <row r="55" spans="1:22" ht="34.9" customHeight="1" x14ac:dyDescent="0.25">
      <c r="A55" s="13">
        <v>54</v>
      </c>
      <c r="B55" s="95">
        <v>44805</v>
      </c>
      <c r="C55" s="13"/>
      <c r="D55" s="485"/>
      <c r="E55" s="13" t="s">
        <v>226</v>
      </c>
      <c r="F55" s="13">
        <v>14</v>
      </c>
      <c r="G55" s="90"/>
      <c r="H55" s="13"/>
      <c r="I55" s="13"/>
      <c r="J55" s="13">
        <f>576</f>
        <v>576</v>
      </c>
      <c r="K55" s="13"/>
      <c r="L55" s="13"/>
      <c r="M55" s="13">
        <f>45+90</f>
        <v>135</v>
      </c>
      <c r="N55" s="540"/>
      <c r="O55" s="13">
        <f>SUM(G55:N55)+F55+D55</f>
        <v>725</v>
      </c>
      <c r="P55" s="387"/>
      <c r="Q55" s="388"/>
      <c r="R55" s="389"/>
      <c r="S55" s="389"/>
      <c r="T55" s="389"/>
      <c r="U55" s="388"/>
      <c r="V55" s="515"/>
    </row>
    <row r="56" spans="1:22" ht="34.9" customHeight="1" x14ac:dyDescent="0.25">
      <c r="A56" s="13">
        <v>55</v>
      </c>
      <c r="B56" s="95">
        <v>44806</v>
      </c>
      <c r="C56" s="13">
        <f>55+35</f>
        <v>90</v>
      </c>
      <c r="D56" s="485"/>
      <c r="E56" s="13" t="s">
        <v>220</v>
      </c>
      <c r="F56" s="13">
        <v>20</v>
      </c>
      <c r="G56" s="13"/>
      <c r="H56" s="13"/>
      <c r="I56" s="13"/>
      <c r="J56" s="13"/>
      <c r="K56" s="13"/>
      <c r="L56" s="13"/>
      <c r="M56" s="13">
        <f>40+577.5</f>
        <v>617.5</v>
      </c>
      <c r="N56" s="540"/>
      <c r="O56" s="485">
        <f t="shared" ref="O56:O119" si="0">SUM(G56:N56)+F56+D56</f>
        <v>637.5</v>
      </c>
      <c r="P56" s="387"/>
      <c r="Q56" s="389"/>
      <c r="R56" s="389"/>
      <c r="S56" s="389"/>
      <c r="T56" s="389"/>
      <c r="U56" s="389"/>
      <c r="V56" s="515"/>
    </row>
    <row r="57" spans="1:22" ht="34.9" customHeight="1" x14ac:dyDescent="0.25">
      <c r="A57" s="13">
        <v>56</v>
      </c>
      <c r="B57" s="95">
        <v>44807</v>
      </c>
      <c r="C57" s="13"/>
      <c r="D57" s="485"/>
      <c r="E57" s="13"/>
      <c r="F57" s="13"/>
      <c r="G57" s="13"/>
      <c r="H57" s="13"/>
      <c r="I57" s="13">
        <f>35+37</f>
        <v>72</v>
      </c>
      <c r="J57" s="13">
        <f>300</f>
        <v>300</v>
      </c>
      <c r="K57" s="13"/>
      <c r="L57" s="13"/>
      <c r="M57" s="13">
        <f>328+15+53</f>
        <v>396</v>
      </c>
      <c r="N57" s="540"/>
      <c r="O57" s="485">
        <f t="shared" si="0"/>
        <v>768</v>
      </c>
      <c r="P57" s="387"/>
      <c r="Q57" s="389"/>
      <c r="R57" s="389"/>
      <c r="S57" s="389"/>
      <c r="T57" s="389"/>
      <c r="U57" s="389"/>
      <c r="V57" s="515"/>
    </row>
    <row r="58" spans="1:22" ht="34.9" customHeight="1" x14ac:dyDescent="0.25">
      <c r="A58" s="190">
        <v>57</v>
      </c>
      <c r="B58" s="191">
        <v>44808</v>
      </c>
      <c r="C58" s="190"/>
      <c r="D58" s="190"/>
      <c r="E58" s="190"/>
      <c r="F58" s="190"/>
      <c r="G58" s="190"/>
      <c r="H58" s="190"/>
      <c r="I58" s="190"/>
      <c r="J58" s="190"/>
      <c r="K58" s="190"/>
      <c r="L58" s="190"/>
      <c r="M58" s="190"/>
      <c r="N58" s="542"/>
      <c r="O58" s="485">
        <f t="shared" si="0"/>
        <v>0</v>
      </c>
      <c r="P58" s="392"/>
      <c r="Q58" s="393"/>
      <c r="R58" s="393"/>
      <c r="S58" s="393"/>
      <c r="T58" s="393"/>
      <c r="U58" s="393"/>
      <c r="V58" s="515"/>
    </row>
    <row r="59" spans="1:22" ht="34.9" customHeight="1" x14ac:dyDescent="0.25">
      <c r="A59" s="13">
        <v>58</v>
      </c>
      <c r="B59" s="95">
        <v>44809</v>
      </c>
      <c r="C59" s="13">
        <f>474</f>
        <v>474</v>
      </c>
      <c r="D59" s="485"/>
      <c r="E59" s="13" t="s">
        <v>228</v>
      </c>
      <c r="F59" s="13">
        <v>30</v>
      </c>
      <c r="G59" s="13"/>
      <c r="H59" s="13"/>
      <c r="I59" s="13">
        <f>182+84</f>
        <v>266</v>
      </c>
      <c r="J59" s="13">
        <f>200</f>
        <v>200</v>
      </c>
      <c r="K59" s="13"/>
      <c r="L59" s="13"/>
      <c r="M59" s="13">
        <f>68+100</f>
        <v>168</v>
      </c>
      <c r="N59" s="540"/>
      <c r="O59" s="485">
        <f t="shared" si="0"/>
        <v>664</v>
      </c>
      <c r="P59" s="387"/>
      <c r="Q59" s="389"/>
      <c r="R59" s="389"/>
      <c r="S59" s="389"/>
      <c r="T59" s="389"/>
      <c r="U59" s="389"/>
      <c r="V59" s="515"/>
    </row>
    <row r="60" spans="1:22" ht="34.9" customHeight="1" x14ac:dyDescent="0.25">
      <c r="A60" s="13">
        <v>59</v>
      </c>
      <c r="B60" s="95">
        <v>44810</v>
      </c>
      <c r="C60" s="13">
        <f>7</f>
        <v>7</v>
      </c>
      <c r="D60" s="485"/>
      <c r="E60" s="13"/>
      <c r="F60" s="13"/>
      <c r="G60" s="13"/>
      <c r="H60" s="13"/>
      <c r="I60" s="13">
        <f>21+100+96+34</f>
        <v>251</v>
      </c>
      <c r="J60" s="13"/>
      <c r="K60" s="13"/>
      <c r="L60" s="13"/>
      <c r="M60" s="13">
        <f>37+118+100</f>
        <v>255</v>
      </c>
      <c r="N60" s="540"/>
      <c r="O60" s="485">
        <f t="shared" si="0"/>
        <v>506</v>
      </c>
      <c r="P60" s="387"/>
      <c r="Q60" s="389"/>
      <c r="R60" s="389"/>
      <c r="S60" s="389"/>
      <c r="T60" s="389"/>
      <c r="U60" s="389"/>
      <c r="V60" s="515"/>
    </row>
    <row r="61" spans="1:22" ht="34.9" customHeight="1" x14ac:dyDescent="0.25">
      <c r="A61" s="13">
        <v>60</v>
      </c>
      <c r="B61" s="95">
        <v>44811</v>
      </c>
      <c r="C61" s="13">
        <f>48</f>
        <v>48</v>
      </c>
      <c r="D61" s="485"/>
      <c r="E61" s="13"/>
      <c r="F61" s="13"/>
      <c r="G61" s="13"/>
      <c r="H61" s="13">
        <f>37</f>
        <v>37</v>
      </c>
      <c r="I61" s="13">
        <f>65</f>
        <v>65</v>
      </c>
      <c r="J61" s="13">
        <f>42</f>
        <v>42</v>
      </c>
      <c r="K61" s="13"/>
      <c r="L61" s="13">
        <f>113+141</f>
        <v>254</v>
      </c>
      <c r="M61" s="13">
        <f>100+15+9+70</f>
        <v>194</v>
      </c>
      <c r="N61" s="540"/>
      <c r="O61" s="485">
        <f t="shared" si="0"/>
        <v>592</v>
      </c>
      <c r="P61" s="387"/>
      <c r="Q61" s="389"/>
      <c r="R61" s="389"/>
      <c r="S61" s="389"/>
      <c r="T61" s="389"/>
      <c r="U61" s="389"/>
      <c r="V61" s="515"/>
    </row>
    <row r="62" spans="1:22" ht="34.9" customHeight="1" x14ac:dyDescent="0.25">
      <c r="A62" s="13">
        <v>61</v>
      </c>
      <c r="B62" s="95">
        <v>44812</v>
      </c>
      <c r="C62" s="13">
        <f>148</f>
        <v>148</v>
      </c>
      <c r="D62" s="485"/>
      <c r="E62" s="13"/>
      <c r="F62" s="13"/>
      <c r="G62" s="13"/>
      <c r="H62" s="13" t="s">
        <v>225</v>
      </c>
      <c r="I62" s="13">
        <f>53</f>
        <v>53</v>
      </c>
      <c r="J62" s="13"/>
      <c r="K62" s="13"/>
      <c r="L62" s="13"/>
      <c r="M62" s="13">
        <f>84+90+74-3</f>
        <v>245</v>
      </c>
      <c r="N62" s="540"/>
      <c r="O62" s="485">
        <f t="shared" si="0"/>
        <v>298</v>
      </c>
      <c r="P62" s="387"/>
      <c r="Q62" s="389"/>
      <c r="R62" s="389"/>
      <c r="S62" s="389"/>
      <c r="T62" s="389"/>
      <c r="U62" s="389"/>
      <c r="V62" s="515"/>
    </row>
    <row r="63" spans="1:22" ht="34.9" customHeight="1" x14ac:dyDescent="0.25">
      <c r="A63" s="13">
        <v>62</v>
      </c>
      <c r="B63" s="95">
        <v>44813</v>
      </c>
      <c r="C63" s="13">
        <f>113</f>
        <v>113</v>
      </c>
      <c r="D63" s="485"/>
      <c r="E63" s="13" t="s">
        <v>229</v>
      </c>
      <c r="F63" s="13">
        <v>550</v>
      </c>
      <c r="G63" s="13"/>
      <c r="H63" s="13"/>
      <c r="I63" s="13">
        <f>37+217+15+34+12</f>
        <v>315</v>
      </c>
      <c r="J63" s="13"/>
      <c r="K63" s="13"/>
      <c r="L63" s="13"/>
      <c r="M63" s="13">
        <f>20+307</f>
        <v>327</v>
      </c>
      <c r="N63" s="540"/>
      <c r="O63" s="485">
        <f t="shared" si="0"/>
        <v>1192</v>
      </c>
      <c r="P63" s="387"/>
      <c r="Q63" s="389"/>
      <c r="R63" s="389"/>
      <c r="S63" s="389"/>
      <c r="T63" s="389"/>
      <c r="U63" s="389"/>
      <c r="V63" s="515"/>
    </row>
    <row r="64" spans="1:22" ht="34.9" customHeight="1" x14ac:dyDescent="0.25">
      <c r="A64" s="13">
        <v>63</v>
      </c>
      <c r="B64" s="95">
        <v>44814</v>
      </c>
      <c r="C64" s="13">
        <v>44</v>
      </c>
      <c r="D64" s="485"/>
      <c r="E64" s="13"/>
      <c r="F64" s="13"/>
      <c r="G64" s="13"/>
      <c r="H64" s="13"/>
      <c r="I64" s="13"/>
      <c r="J64" s="13"/>
      <c r="K64" s="13"/>
      <c r="L64" s="13"/>
      <c r="M64" s="13">
        <v>275</v>
      </c>
      <c r="N64" s="540"/>
      <c r="O64" s="485">
        <f t="shared" si="0"/>
        <v>275</v>
      </c>
      <c r="P64" s="387"/>
      <c r="Q64" s="389"/>
      <c r="R64" s="389"/>
      <c r="S64" s="389"/>
      <c r="T64" s="389"/>
      <c r="U64" s="389"/>
      <c r="V64" s="515"/>
    </row>
    <row r="65" spans="1:22" ht="34.9" customHeight="1" x14ac:dyDescent="0.25">
      <c r="A65" s="13">
        <v>64</v>
      </c>
      <c r="B65" s="95">
        <v>44815</v>
      </c>
      <c r="C65" s="13"/>
      <c r="D65" s="485"/>
      <c r="E65" s="13"/>
      <c r="F65" s="13"/>
      <c r="G65" s="13"/>
      <c r="H65" s="13"/>
      <c r="I65" s="13"/>
      <c r="J65" s="13"/>
      <c r="K65" s="13"/>
      <c r="L65" s="13"/>
      <c r="M65" s="13"/>
      <c r="N65" s="540"/>
      <c r="O65" s="485">
        <f t="shared" si="0"/>
        <v>0</v>
      </c>
      <c r="P65" s="387"/>
      <c r="Q65" s="389"/>
      <c r="R65" s="389"/>
      <c r="S65" s="389"/>
      <c r="T65" s="389"/>
      <c r="U65" s="389"/>
      <c r="V65" s="515"/>
    </row>
    <row r="66" spans="1:22" ht="34.9" customHeight="1" x14ac:dyDescent="0.25">
      <c r="A66" s="13">
        <v>65</v>
      </c>
      <c r="B66" s="95">
        <v>44816</v>
      </c>
      <c r="C66" s="13"/>
      <c r="D66" s="485"/>
      <c r="E66" s="90" t="s">
        <v>231</v>
      </c>
      <c r="F66" s="13">
        <v>9</v>
      </c>
      <c r="G66" s="13"/>
      <c r="H66" s="13"/>
      <c r="I66" s="13"/>
      <c r="J66" s="13"/>
      <c r="K66" s="13"/>
      <c r="L66" s="13"/>
      <c r="M66" s="13"/>
      <c r="N66" s="540"/>
      <c r="O66" s="485">
        <f t="shared" si="0"/>
        <v>9</v>
      </c>
      <c r="P66" s="387"/>
      <c r="Q66" s="389"/>
      <c r="R66" s="389"/>
      <c r="S66" s="389"/>
      <c r="T66" s="389"/>
      <c r="U66" s="389"/>
      <c r="V66" s="515"/>
    </row>
    <row r="67" spans="1:22" ht="34.9" customHeight="1" x14ac:dyDescent="0.25">
      <c r="A67" s="13">
        <v>66</v>
      </c>
      <c r="B67" s="95">
        <v>44817</v>
      </c>
      <c r="C67" s="13">
        <f>51</f>
        <v>51</v>
      </c>
      <c r="D67" s="485"/>
      <c r="E67" s="13" t="s">
        <v>233</v>
      </c>
      <c r="F67" s="13">
        <v>500</v>
      </c>
      <c r="G67" s="13"/>
      <c r="H67" s="13">
        <f>251</f>
        <v>251</v>
      </c>
      <c r="I67" s="13">
        <f>69</f>
        <v>69</v>
      </c>
      <c r="J67" s="13"/>
      <c r="K67" s="13"/>
      <c r="L67" s="13">
        <f>116+2</f>
        <v>118</v>
      </c>
      <c r="M67" s="13">
        <f>47</f>
        <v>47</v>
      </c>
      <c r="N67" s="540"/>
      <c r="O67" s="485">
        <f t="shared" si="0"/>
        <v>985</v>
      </c>
      <c r="P67" s="387"/>
      <c r="Q67" s="389"/>
      <c r="R67" s="389"/>
      <c r="S67" s="389"/>
      <c r="T67" s="389"/>
      <c r="U67" s="389"/>
      <c r="V67" s="515"/>
    </row>
    <row r="68" spans="1:22" ht="34.9" customHeight="1" x14ac:dyDescent="0.25">
      <c r="A68" s="13">
        <v>67</v>
      </c>
      <c r="B68" s="95">
        <v>44818</v>
      </c>
      <c r="C68" s="13"/>
      <c r="D68" s="485"/>
      <c r="E68" s="13" t="s">
        <v>236</v>
      </c>
      <c r="F68" s="13">
        <v>5</v>
      </c>
      <c r="G68" s="13"/>
      <c r="H68" s="13"/>
      <c r="I68" s="13">
        <f>105+116+100</f>
        <v>321</v>
      </c>
      <c r="J68" s="13"/>
      <c r="K68" s="13"/>
      <c r="L68" s="13">
        <f>74</f>
        <v>74</v>
      </c>
      <c r="M68" s="13">
        <f>32+193+49+53+11+212</f>
        <v>550</v>
      </c>
      <c r="N68" s="540"/>
      <c r="O68" s="485">
        <f t="shared" si="0"/>
        <v>950</v>
      </c>
      <c r="P68" s="387"/>
      <c r="Q68" s="389"/>
      <c r="R68" s="389"/>
      <c r="S68" s="389"/>
      <c r="T68" s="389"/>
      <c r="U68" s="389"/>
      <c r="V68" s="515"/>
    </row>
    <row r="69" spans="1:22" ht="34.9" customHeight="1" x14ac:dyDescent="0.25">
      <c r="A69" s="13">
        <v>68</v>
      </c>
      <c r="B69" s="95">
        <v>44819</v>
      </c>
      <c r="C69" s="13">
        <f>37</f>
        <v>37</v>
      </c>
      <c r="D69" s="485"/>
      <c r="E69" s="90" t="s">
        <v>238</v>
      </c>
      <c r="F69" s="13">
        <f>100+100</f>
        <v>200</v>
      </c>
      <c r="G69" s="13"/>
      <c r="H69" s="13"/>
      <c r="I69" s="13"/>
      <c r="J69" s="13"/>
      <c r="K69" s="13"/>
      <c r="L69" s="13"/>
      <c r="M69" s="13">
        <f>177+49+42+53+219+177</f>
        <v>717</v>
      </c>
      <c r="N69" s="540"/>
      <c r="O69" s="485">
        <f t="shared" si="0"/>
        <v>917</v>
      </c>
      <c r="P69" s="387"/>
      <c r="Q69" s="389"/>
      <c r="R69" s="389"/>
      <c r="S69" s="389"/>
      <c r="T69" s="389"/>
      <c r="U69" s="389"/>
      <c r="V69" s="515"/>
    </row>
    <row r="70" spans="1:22" ht="34.9" customHeight="1" x14ac:dyDescent="0.25">
      <c r="A70" s="13">
        <v>69</v>
      </c>
      <c r="B70" s="95">
        <v>44820</v>
      </c>
      <c r="C70" s="13"/>
      <c r="D70" s="485"/>
      <c r="E70" s="13"/>
      <c r="F70" s="13"/>
      <c r="G70" s="13">
        <f>3+5.5</f>
        <v>8.5</v>
      </c>
      <c r="H70" s="13"/>
      <c r="I70" s="13"/>
      <c r="J70" s="13"/>
      <c r="K70" s="13"/>
      <c r="L70" s="13"/>
      <c r="M70" s="13">
        <f>12+35+55+90</f>
        <v>192</v>
      </c>
      <c r="N70" s="540"/>
      <c r="O70" s="485">
        <f t="shared" si="0"/>
        <v>200.5</v>
      </c>
      <c r="P70" s="387"/>
      <c r="Q70" s="389"/>
      <c r="R70" s="389"/>
      <c r="S70" s="389"/>
      <c r="T70" s="389"/>
      <c r="U70" s="389"/>
      <c r="V70" s="515"/>
    </row>
    <row r="71" spans="1:22" ht="34.9" customHeight="1" x14ac:dyDescent="0.25">
      <c r="A71" s="13">
        <v>70</v>
      </c>
      <c r="B71" s="95">
        <v>44821</v>
      </c>
      <c r="C71" s="13">
        <f>225</f>
        <v>225</v>
      </c>
      <c r="D71" s="485"/>
      <c r="E71" s="13"/>
      <c r="F71" s="13"/>
      <c r="G71" s="13"/>
      <c r="H71" s="13"/>
      <c r="I71" s="13">
        <f>28</f>
        <v>28</v>
      </c>
      <c r="J71" s="13"/>
      <c r="K71" s="13"/>
      <c r="L71" s="13">
        <f>70</f>
        <v>70</v>
      </c>
      <c r="M71" s="13">
        <f>90</f>
        <v>90</v>
      </c>
      <c r="N71" s="540"/>
      <c r="O71" s="485">
        <f t="shared" si="0"/>
        <v>188</v>
      </c>
      <c r="P71" s="387"/>
      <c r="Q71" s="389"/>
      <c r="R71" s="389"/>
      <c r="S71" s="389"/>
      <c r="T71" s="389"/>
      <c r="U71" s="389"/>
      <c r="V71" s="515"/>
    </row>
    <row r="72" spans="1:22" ht="34.9" customHeight="1" x14ac:dyDescent="0.25">
      <c r="A72" s="190">
        <v>71</v>
      </c>
      <c r="B72" s="191">
        <v>44822</v>
      </c>
      <c r="C72" s="190"/>
      <c r="D72" s="190"/>
      <c r="E72" s="190"/>
      <c r="F72" s="190"/>
      <c r="G72" s="190"/>
      <c r="H72" s="190"/>
      <c r="I72" s="190"/>
      <c r="J72" s="190"/>
      <c r="K72" s="190"/>
      <c r="L72" s="190"/>
      <c r="M72" s="190"/>
      <c r="N72" s="542"/>
      <c r="O72" s="485">
        <f t="shared" si="0"/>
        <v>0</v>
      </c>
      <c r="P72" s="392"/>
      <c r="Q72" s="393"/>
      <c r="R72" s="393"/>
      <c r="S72" s="393"/>
      <c r="T72" s="393"/>
      <c r="U72" s="393"/>
      <c r="V72" s="515"/>
    </row>
    <row r="73" spans="1:22" ht="34.9" customHeight="1" x14ac:dyDescent="0.25">
      <c r="A73" s="13">
        <v>72</v>
      </c>
      <c r="B73" s="95">
        <v>44823</v>
      </c>
      <c r="C73" s="13">
        <f>8+128</f>
        <v>136</v>
      </c>
      <c r="D73" s="485"/>
      <c r="E73" s="13"/>
      <c r="F73" s="13"/>
      <c r="G73" s="13">
        <f>69-3.48-45</f>
        <v>20.519999999999996</v>
      </c>
      <c r="H73" s="13"/>
      <c r="I73" s="13">
        <f>3.48</f>
        <v>3.48</v>
      </c>
      <c r="J73" s="13">
        <f>350+28</f>
        <v>378</v>
      </c>
      <c r="K73" s="13"/>
      <c r="L73" s="13">
        <f>2+43</f>
        <v>45</v>
      </c>
      <c r="M73" s="13">
        <f>220+330+50</f>
        <v>600</v>
      </c>
      <c r="N73" s="540"/>
      <c r="O73" s="485">
        <f t="shared" si="0"/>
        <v>1047</v>
      </c>
      <c r="P73" s="387"/>
      <c r="Q73" s="389"/>
      <c r="R73" s="389"/>
      <c r="S73" s="389"/>
      <c r="T73" s="389"/>
      <c r="U73" s="389"/>
      <c r="V73" s="515"/>
    </row>
    <row r="74" spans="1:22" ht="34.9" customHeight="1" x14ac:dyDescent="0.25">
      <c r="A74" s="13">
        <v>73</v>
      </c>
      <c r="B74" s="95">
        <v>44824</v>
      </c>
      <c r="C74" s="13">
        <f>103</f>
        <v>103</v>
      </c>
      <c r="D74" s="485"/>
      <c r="E74" s="90" t="s">
        <v>240</v>
      </c>
      <c r="F74" s="13">
        <v>7.5</v>
      </c>
      <c r="G74" s="13">
        <f>11+0.6-5-5</f>
        <v>1.5999999999999996</v>
      </c>
      <c r="H74" s="13"/>
      <c r="I74" s="13">
        <f>168+81</f>
        <v>249</v>
      </c>
      <c r="J74" s="13"/>
      <c r="K74" s="13"/>
      <c r="L74" s="13">
        <f>15</f>
        <v>15</v>
      </c>
      <c r="M74" s="13">
        <f>40+20+45+34+15+51</f>
        <v>205</v>
      </c>
      <c r="N74" s="540"/>
      <c r="O74" s="485">
        <f t="shared" si="0"/>
        <v>478.1</v>
      </c>
      <c r="P74" s="387"/>
      <c r="Q74" s="389"/>
      <c r="R74" s="389"/>
      <c r="S74" s="389"/>
      <c r="T74" s="389"/>
      <c r="U74" s="389"/>
      <c r="V74" s="515"/>
    </row>
    <row r="75" spans="1:22" ht="34.9" customHeight="1" x14ac:dyDescent="0.25">
      <c r="A75" s="13">
        <v>74</v>
      </c>
      <c r="B75" s="95">
        <v>44825</v>
      </c>
      <c r="C75" s="13">
        <f>122</f>
        <v>122</v>
      </c>
      <c r="D75" s="485"/>
      <c r="E75" s="13"/>
      <c r="F75" s="13"/>
      <c r="G75" s="13"/>
      <c r="H75" s="13"/>
      <c r="I75" s="13">
        <f>84+15+28+79+15</f>
        <v>221</v>
      </c>
      <c r="J75" s="13">
        <f>100</f>
        <v>100</v>
      </c>
      <c r="K75" s="13"/>
      <c r="L75" s="13">
        <f>-2+1+2</f>
        <v>1</v>
      </c>
      <c r="M75" s="13">
        <f>32+126+15+68+327+10+64+96+84-3</f>
        <v>819</v>
      </c>
      <c r="N75" s="540"/>
      <c r="O75" s="485">
        <f t="shared" si="0"/>
        <v>1141</v>
      </c>
      <c r="P75" s="387"/>
      <c r="Q75" s="389"/>
      <c r="R75" s="389"/>
      <c r="S75" s="389"/>
      <c r="T75" s="389"/>
      <c r="U75" s="389"/>
      <c r="V75" s="515"/>
    </row>
    <row r="76" spans="1:22" ht="34.9" customHeight="1" x14ac:dyDescent="0.25">
      <c r="A76" s="13">
        <v>75</v>
      </c>
      <c r="B76" s="95">
        <v>44826</v>
      </c>
      <c r="C76" s="13">
        <f>32</f>
        <v>32</v>
      </c>
      <c r="D76" s="485"/>
      <c r="E76" s="13"/>
      <c r="F76" s="13"/>
      <c r="G76" s="13"/>
      <c r="H76" s="13"/>
      <c r="I76" s="13">
        <f>32+6</f>
        <v>38</v>
      </c>
      <c r="J76" s="13">
        <f>48</f>
        <v>48</v>
      </c>
      <c r="K76" s="13"/>
      <c r="L76" s="13"/>
      <c r="M76" s="13">
        <f>56+100+15+113+259+90+15+270</f>
        <v>918</v>
      </c>
      <c r="N76" s="540"/>
      <c r="O76" s="485">
        <f t="shared" si="0"/>
        <v>1004</v>
      </c>
      <c r="P76" s="387"/>
      <c r="Q76" s="389"/>
      <c r="R76" s="389"/>
      <c r="S76" s="389"/>
      <c r="T76" s="389"/>
      <c r="U76" s="389"/>
      <c r="V76" s="515"/>
    </row>
    <row r="77" spans="1:22" ht="34.9" customHeight="1" x14ac:dyDescent="0.25">
      <c r="A77" s="13">
        <v>76</v>
      </c>
      <c r="B77" s="95">
        <v>44827</v>
      </c>
      <c r="C77" s="13">
        <f>272</f>
        <v>272</v>
      </c>
      <c r="D77" s="485"/>
      <c r="E77" s="90" t="s">
        <v>244</v>
      </c>
      <c r="F77" s="13">
        <f>8</f>
        <v>8</v>
      </c>
      <c r="G77" s="13"/>
      <c r="H77" s="13"/>
      <c r="I77" s="13">
        <f>15+15+56</f>
        <v>86</v>
      </c>
      <c r="J77" s="13">
        <f>532+42</f>
        <v>574</v>
      </c>
      <c r="K77" s="13"/>
      <c r="L77" s="13">
        <f>204</f>
        <v>204</v>
      </c>
      <c r="M77" s="13">
        <f>8+32+53+15+50</f>
        <v>158</v>
      </c>
      <c r="N77" s="540"/>
      <c r="O77" s="485">
        <f t="shared" si="0"/>
        <v>1030</v>
      </c>
      <c r="P77" s="387"/>
      <c r="Q77" s="389"/>
      <c r="R77" s="389"/>
      <c r="S77" s="389"/>
      <c r="T77" s="389"/>
      <c r="U77" s="389"/>
      <c r="V77" s="515"/>
    </row>
    <row r="78" spans="1:22" ht="34.9" customHeight="1" x14ac:dyDescent="0.25">
      <c r="A78" s="13">
        <v>77</v>
      </c>
      <c r="B78" s="95">
        <v>44828</v>
      </c>
      <c r="C78" s="13"/>
      <c r="D78" s="485"/>
      <c r="E78" s="13"/>
      <c r="F78" s="13"/>
      <c r="G78" s="13"/>
      <c r="H78" s="13"/>
      <c r="I78" s="13">
        <f>15+1+11+135</f>
        <v>162</v>
      </c>
      <c r="J78" s="13">
        <f>56+11+82+48+90</f>
        <v>287</v>
      </c>
      <c r="K78" s="13"/>
      <c r="L78" s="13">
        <f>63</f>
        <v>63</v>
      </c>
      <c r="M78" s="13">
        <f>7+100+238+100+15+31+437+20+13+47+34+8+46+40+1210+10</f>
        <v>2356</v>
      </c>
      <c r="N78" s="540"/>
      <c r="O78" s="485">
        <f t="shared" si="0"/>
        <v>2868</v>
      </c>
      <c r="P78" s="387"/>
      <c r="Q78" s="389"/>
      <c r="R78" s="389"/>
      <c r="S78" s="389"/>
      <c r="T78" s="389"/>
      <c r="U78" s="389"/>
      <c r="V78" s="515"/>
    </row>
    <row r="79" spans="1:22" ht="34.9" customHeight="1" x14ac:dyDescent="0.25">
      <c r="A79" s="190">
        <v>78</v>
      </c>
      <c r="B79" s="191">
        <v>44829</v>
      </c>
      <c r="C79" s="190"/>
      <c r="D79" s="190"/>
      <c r="E79" s="190"/>
      <c r="F79" s="190"/>
      <c r="G79" s="190"/>
      <c r="H79" s="190"/>
      <c r="I79" s="190"/>
      <c r="J79" s="190"/>
      <c r="K79" s="190"/>
      <c r="L79" s="190"/>
      <c r="M79" s="190"/>
      <c r="N79" s="542"/>
      <c r="O79" s="485">
        <f t="shared" si="0"/>
        <v>0</v>
      </c>
      <c r="P79" s="392"/>
      <c r="Q79" s="393" t="s">
        <v>225</v>
      </c>
      <c r="R79" s="393"/>
      <c r="S79" s="393"/>
      <c r="T79" s="393"/>
      <c r="U79" s="393"/>
      <c r="V79" s="515"/>
    </row>
    <row r="80" spans="1:22" ht="34.9" customHeight="1" x14ac:dyDescent="0.25">
      <c r="A80" s="13">
        <v>79</v>
      </c>
      <c r="B80" s="95">
        <v>44830</v>
      </c>
      <c r="C80" s="13">
        <f>194</f>
        <v>194</v>
      </c>
      <c r="D80" s="485"/>
      <c r="E80" s="13"/>
      <c r="F80" s="13"/>
      <c r="G80" s="13"/>
      <c r="H80" s="13">
        <f>8</f>
        <v>8</v>
      </c>
      <c r="I80" s="13">
        <f>53+28+14</f>
        <v>95</v>
      </c>
      <c r="J80" s="13">
        <f>90</f>
        <v>90</v>
      </c>
      <c r="K80" s="13"/>
      <c r="L80" s="13">
        <f>40</f>
        <v>40</v>
      </c>
      <c r="M80" s="13">
        <f>6+162+134+102+300</f>
        <v>704</v>
      </c>
      <c r="N80" s="540"/>
      <c r="O80" s="485">
        <f t="shared" si="0"/>
        <v>937</v>
      </c>
      <c r="P80" s="387"/>
      <c r="Q80" s="389"/>
      <c r="R80" s="389"/>
      <c r="S80" s="389"/>
      <c r="T80" s="389"/>
      <c r="U80" s="389"/>
      <c r="V80" s="515"/>
    </row>
    <row r="81" spans="1:22" ht="34.9" customHeight="1" x14ac:dyDescent="0.25">
      <c r="A81" s="13">
        <v>80</v>
      </c>
      <c r="B81" s="95">
        <v>44831</v>
      </c>
      <c r="C81" s="13"/>
      <c r="D81" s="485"/>
      <c r="E81" s="13"/>
      <c r="F81" s="13"/>
      <c r="G81" s="13">
        <f>10</f>
        <v>10</v>
      </c>
      <c r="H81" s="13"/>
      <c r="I81" s="13">
        <f>32+2</f>
        <v>34</v>
      </c>
      <c r="J81" s="13"/>
      <c r="K81" s="13"/>
      <c r="L81" s="13"/>
      <c r="M81" s="13">
        <f>35+370+60+50+406</f>
        <v>921</v>
      </c>
      <c r="N81" s="540"/>
      <c r="O81" s="485">
        <f t="shared" si="0"/>
        <v>965</v>
      </c>
      <c r="P81" s="387"/>
      <c r="Q81" s="389"/>
      <c r="R81" s="389"/>
      <c r="S81" s="389"/>
      <c r="T81" s="389"/>
      <c r="U81" s="389"/>
      <c r="V81" s="515"/>
    </row>
    <row r="82" spans="1:22" ht="34.9" customHeight="1" x14ac:dyDescent="0.25">
      <c r="A82" s="13">
        <v>81</v>
      </c>
      <c r="B82" s="95">
        <v>44832</v>
      </c>
      <c r="C82" s="13">
        <f>151</f>
        <v>151</v>
      </c>
      <c r="D82" s="485"/>
      <c r="E82" s="13"/>
      <c r="F82" s="13"/>
      <c r="G82" s="13">
        <f>1</f>
        <v>1</v>
      </c>
      <c r="H82" s="13"/>
      <c r="I82" s="13">
        <f>100+0.91+41+26</f>
        <v>167.91</v>
      </c>
      <c r="J82" s="13">
        <f>150</f>
        <v>150</v>
      </c>
      <c r="K82" s="13"/>
      <c r="L82" s="13">
        <f>75+6+13-7-9</f>
        <v>78</v>
      </c>
      <c r="M82" s="13">
        <f>30+57+88+26+361+6+49+20+20+131+113+136+7+9</f>
        <v>1053</v>
      </c>
      <c r="N82" s="540"/>
      <c r="O82" s="485">
        <f t="shared" si="0"/>
        <v>1449.9099999999999</v>
      </c>
      <c r="P82" s="387"/>
      <c r="Q82" s="389"/>
      <c r="R82" s="389"/>
      <c r="S82" s="389"/>
      <c r="T82" s="389"/>
      <c r="U82" s="389"/>
      <c r="V82" s="515"/>
    </row>
    <row r="83" spans="1:22" ht="34.9" customHeight="1" x14ac:dyDescent="0.25">
      <c r="A83" s="13">
        <v>82</v>
      </c>
      <c r="B83" s="95">
        <v>44833</v>
      </c>
      <c r="C83" s="13"/>
      <c r="D83" s="485"/>
      <c r="E83" s="13" t="s">
        <v>261</v>
      </c>
      <c r="F83" s="105">
        <f>297-15</f>
        <v>282</v>
      </c>
      <c r="G83" s="13"/>
      <c r="H83" s="13">
        <f>52</f>
        <v>52</v>
      </c>
      <c r="I83" s="13">
        <f>50+39+16+34+34+28</f>
        <v>201</v>
      </c>
      <c r="J83" s="13">
        <f>95+20</f>
        <v>115</v>
      </c>
      <c r="K83" s="13"/>
      <c r="L83" s="13"/>
      <c r="M83" s="13">
        <f>20+300+15+11+10+100+70+50+14+45</f>
        <v>635</v>
      </c>
      <c r="N83" s="540"/>
      <c r="O83" s="485">
        <f t="shared" si="0"/>
        <v>1285</v>
      </c>
      <c r="P83" s="387"/>
      <c r="Q83" s="389"/>
      <c r="R83" s="389"/>
      <c r="S83" s="389"/>
      <c r="T83" s="389"/>
      <c r="U83" s="389"/>
      <c r="V83" s="515"/>
    </row>
    <row r="84" spans="1:22" ht="34.9" customHeight="1" x14ac:dyDescent="0.25">
      <c r="A84" s="13">
        <v>83</v>
      </c>
      <c r="B84" s="95">
        <v>44834</v>
      </c>
      <c r="C84" s="13">
        <f>80</f>
        <v>80</v>
      </c>
      <c r="D84" s="485"/>
      <c r="E84" s="13"/>
      <c r="F84" s="13"/>
      <c r="G84" s="13"/>
      <c r="H84" s="13"/>
      <c r="I84" s="13">
        <f>1+8</f>
        <v>9</v>
      </c>
      <c r="J84" s="13"/>
      <c r="K84" s="13"/>
      <c r="L84" s="13">
        <f>-9</f>
        <v>-9</v>
      </c>
      <c r="M84" s="13">
        <f>14+45+26+53+40+100+124+33+15+277+31+20</f>
        <v>778</v>
      </c>
      <c r="N84" s="540"/>
      <c r="O84" s="485">
        <f t="shared" si="0"/>
        <v>778</v>
      </c>
      <c r="P84" s="387"/>
      <c r="Q84" s="389"/>
      <c r="R84" s="389"/>
      <c r="S84" s="389"/>
      <c r="T84" s="389"/>
      <c r="U84" s="389"/>
      <c r="V84" s="515"/>
    </row>
    <row r="85" spans="1:22" ht="34.9" customHeight="1" x14ac:dyDescent="0.25">
      <c r="A85" s="13">
        <v>84</v>
      </c>
      <c r="B85" s="95">
        <v>44835</v>
      </c>
      <c r="C85" s="13"/>
      <c r="D85" s="485"/>
      <c r="E85" s="13"/>
      <c r="F85" s="13"/>
      <c r="G85" s="13">
        <f>-2-1</f>
        <v>-3</v>
      </c>
      <c r="H85" s="13"/>
      <c r="I85" s="13">
        <f>2+26+10+10</f>
        <v>48</v>
      </c>
      <c r="J85" s="13">
        <f>34</f>
        <v>34</v>
      </c>
      <c r="K85" s="13"/>
      <c r="L85" s="13">
        <f>-4</f>
        <v>-4</v>
      </c>
      <c r="M85" s="13">
        <f>60+73+95+30+667+136+103+31+80+50+100</f>
        <v>1425</v>
      </c>
      <c r="N85" s="540"/>
      <c r="O85" s="485">
        <f t="shared" si="0"/>
        <v>1500</v>
      </c>
      <c r="P85" s="387"/>
      <c r="Q85" s="389"/>
      <c r="R85" s="389"/>
      <c r="S85" s="389"/>
      <c r="T85" s="389"/>
      <c r="U85" s="389"/>
      <c r="V85" s="515"/>
    </row>
    <row r="86" spans="1:22" ht="34.9" customHeight="1" x14ac:dyDescent="0.25">
      <c r="A86" s="190">
        <v>85</v>
      </c>
      <c r="B86" s="191">
        <v>44836</v>
      </c>
      <c r="C86" s="190"/>
      <c r="D86" s="190"/>
      <c r="E86" s="190"/>
      <c r="F86" s="190"/>
      <c r="G86" s="190"/>
      <c r="H86" s="190"/>
      <c r="I86" s="190"/>
      <c r="J86" s="190"/>
      <c r="K86" s="190"/>
      <c r="L86" s="190"/>
      <c r="M86" s="190"/>
      <c r="N86" s="542"/>
      <c r="O86" s="485">
        <f t="shared" si="0"/>
        <v>0</v>
      </c>
      <c r="P86" s="392"/>
      <c r="Q86" s="393"/>
      <c r="R86" s="393"/>
      <c r="S86" s="393"/>
      <c r="T86" s="393"/>
      <c r="U86" s="393"/>
      <c r="V86" s="515"/>
    </row>
    <row r="87" spans="1:22" ht="34.9" customHeight="1" x14ac:dyDescent="0.25">
      <c r="A87" s="13">
        <v>86</v>
      </c>
      <c r="B87" s="95">
        <v>44837</v>
      </c>
      <c r="C87" s="13"/>
      <c r="D87" s="485"/>
      <c r="E87" s="13"/>
      <c r="F87" s="13"/>
      <c r="G87" s="13"/>
      <c r="H87" s="13"/>
      <c r="I87" s="13">
        <f>7+35+318+48</f>
        <v>408</v>
      </c>
      <c r="J87" s="13">
        <f>206+191</f>
        <v>397</v>
      </c>
      <c r="K87" s="13"/>
      <c r="L87" s="13"/>
      <c r="M87" s="13">
        <f>100+100+15+135+34</f>
        <v>384</v>
      </c>
      <c r="N87" s="540"/>
      <c r="O87" s="485">
        <f t="shared" si="0"/>
        <v>1189</v>
      </c>
      <c r="P87" s="387"/>
      <c r="Q87" s="389"/>
      <c r="R87" s="389"/>
      <c r="S87" s="389"/>
      <c r="T87" s="389"/>
      <c r="U87" s="389"/>
      <c r="V87" s="515"/>
    </row>
    <row r="88" spans="1:22" ht="34.9" customHeight="1" x14ac:dyDescent="0.25">
      <c r="A88" s="13">
        <v>87</v>
      </c>
      <c r="B88" s="95">
        <v>44838</v>
      </c>
      <c r="C88" s="13"/>
      <c r="D88" s="485"/>
      <c r="E88" s="13"/>
      <c r="F88" s="13"/>
      <c r="G88" s="13"/>
      <c r="H88" s="13"/>
      <c r="I88" s="13">
        <f>11+15+48+34</f>
        <v>108</v>
      </c>
      <c r="J88" s="13"/>
      <c r="K88" s="13"/>
      <c r="L88" s="13"/>
      <c r="M88" s="13">
        <f>85+13+106+26+20+39+34+68+340</f>
        <v>731</v>
      </c>
      <c r="N88" s="540"/>
      <c r="O88" s="485">
        <f t="shared" si="0"/>
        <v>839</v>
      </c>
      <c r="P88" s="387"/>
      <c r="Q88" s="389"/>
      <c r="R88" s="389"/>
      <c r="S88" s="389"/>
      <c r="T88" s="389"/>
      <c r="U88" s="389"/>
      <c r="V88" s="515"/>
    </row>
    <row r="89" spans="1:22" ht="34.9" customHeight="1" x14ac:dyDescent="0.25">
      <c r="A89" s="13">
        <v>88</v>
      </c>
      <c r="B89" s="95">
        <v>44839</v>
      </c>
      <c r="C89" s="13"/>
      <c r="D89" s="485"/>
      <c r="E89" s="13" t="s">
        <v>266</v>
      </c>
      <c r="F89" s="13">
        <v>7</v>
      </c>
      <c r="G89" s="13">
        <f>15-5-5-1</f>
        <v>4</v>
      </c>
      <c r="H89" s="13"/>
      <c r="I89" s="13">
        <f>204+8+12+30+107+34</f>
        <v>395</v>
      </c>
      <c r="J89" s="13">
        <f>750</f>
        <v>750</v>
      </c>
      <c r="K89" s="13"/>
      <c r="L89" s="13">
        <f>-4</f>
        <v>-4</v>
      </c>
      <c r="M89" s="13">
        <f>30+20+20+180+400+30+15+15</f>
        <v>710</v>
      </c>
      <c r="N89" s="540"/>
      <c r="O89" s="485">
        <f t="shared" si="0"/>
        <v>1862</v>
      </c>
      <c r="P89" s="387"/>
      <c r="Q89" s="389"/>
      <c r="R89" s="389"/>
      <c r="S89" s="389"/>
      <c r="T89" s="389"/>
      <c r="U89" s="389"/>
      <c r="V89" s="515"/>
    </row>
    <row r="90" spans="1:22" ht="34.9" customHeight="1" x14ac:dyDescent="0.25">
      <c r="A90" s="13">
        <v>89</v>
      </c>
      <c r="B90" s="95">
        <v>44840</v>
      </c>
      <c r="C90" s="13"/>
      <c r="D90" s="485"/>
      <c r="E90" s="13"/>
      <c r="F90" s="13"/>
      <c r="G90" s="13"/>
      <c r="H90" s="13">
        <f>39</f>
        <v>39</v>
      </c>
      <c r="I90" s="13">
        <f>88+270+64+204+136</f>
        <v>762</v>
      </c>
      <c r="J90" s="13"/>
      <c r="K90" s="13"/>
      <c r="L90" s="13">
        <f>19</f>
        <v>19</v>
      </c>
      <c r="M90" s="13">
        <f>121+20+850+64+150</f>
        <v>1205</v>
      </c>
      <c r="N90" s="540">
        <f>136</f>
        <v>136</v>
      </c>
      <c r="O90" s="485">
        <f t="shared" si="0"/>
        <v>2161</v>
      </c>
      <c r="P90" s="390"/>
      <c r="Q90" s="391"/>
      <c r="R90" s="389"/>
      <c r="S90" s="389"/>
      <c r="T90" s="389"/>
      <c r="U90" s="389"/>
      <c r="V90" s="515"/>
    </row>
    <row r="91" spans="1:22" ht="34.9" customHeight="1" x14ac:dyDescent="0.25">
      <c r="A91" s="13">
        <v>90</v>
      </c>
      <c r="B91" s="95">
        <v>44841</v>
      </c>
      <c r="C91" s="13"/>
      <c r="D91" s="485"/>
      <c r="E91" s="13"/>
      <c r="F91" s="13"/>
      <c r="G91" s="13"/>
      <c r="H91" s="13">
        <f>26+391</f>
        <v>417</v>
      </c>
      <c r="I91" s="13">
        <f>34+15+15+30+170+26+30+26+8+4+2+15+136+68+234+82+60+94</f>
        <v>1049</v>
      </c>
      <c r="J91" s="13">
        <f>183+34+64</f>
        <v>281</v>
      </c>
      <c r="K91" s="13">
        <f>150</f>
        <v>150</v>
      </c>
      <c r="L91" s="13">
        <f>-5</f>
        <v>-5</v>
      </c>
      <c r="M91" s="13">
        <f>168+100+20+15+20+100+130+30+14+26</f>
        <v>623</v>
      </c>
      <c r="N91" s="540">
        <f>-10</f>
        <v>-10</v>
      </c>
      <c r="O91" s="485">
        <f t="shared" si="0"/>
        <v>2505</v>
      </c>
      <c r="P91" s="387"/>
      <c r="Q91" s="389"/>
      <c r="R91" s="389"/>
      <c r="S91" s="389"/>
      <c r="T91" s="389"/>
      <c r="U91" s="389"/>
      <c r="V91" s="515"/>
    </row>
    <row r="92" spans="1:22" ht="34.9" customHeight="1" x14ac:dyDescent="0.25">
      <c r="A92" s="13">
        <v>91</v>
      </c>
      <c r="B92" s="95">
        <v>44842</v>
      </c>
      <c r="C92" s="13"/>
      <c r="D92" s="485"/>
      <c r="E92" s="13"/>
      <c r="F92" s="13"/>
      <c r="G92" s="13">
        <f>1</f>
        <v>1</v>
      </c>
      <c r="H92" s="13">
        <f>50</f>
        <v>50</v>
      </c>
      <c r="I92" s="13">
        <f>154+40+15+100+26+34+30+8+102+26+102+19+26</f>
        <v>682</v>
      </c>
      <c r="J92" s="13">
        <f>22+201+264+407.5</f>
        <v>894.5</v>
      </c>
      <c r="K92" s="13"/>
      <c r="L92" s="13">
        <f>34-2+26</f>
        <v>58</v>
      </c>
      <c r="M92" s="13">
        <f>15+26+60+30+52+60+25+68+15+39+20+70+15+30</f>
        <v>525</v>
      </c>
      <c r="N92" s="540"/>
      <c r="O92" s="485">
        <f t="shared" si="0"/>
        <v>2210.5</v>
      </c>
      <c r="P92" s="387"/>
      <c r="Q92" s="389"/>
      <c r="R92" s="389"/>
      <c r="S92" s="389"/>
      <c r="T92" s="389"/>
      <c r="U92" s="389"/>
      <c r="V92" s="515"/>
    </row>
    <row r="93" spans="1:22" ht="34.9" customHeight="1" x14ac:dyDescent="0.25">
      <c r="A93" s="13">
        <v>92</v>
      </c>
      <c r="B93" s="95">
        <v>44843</v>
      </c>
      <c r="C93" s="13"/>
      <c r="D93" s="485"/>
      <c r="E93" s="13"/>
      <c r="F93" s="13"/>
      <c r="G93" s="13"/>
      <c r="H93" s="13"/>
      <c r="I93" s="13"/>
      <c r="J93" s="13"/>
      <c r="K93" s="13"/>
      <c r="L93" s="13"/>
      <c r="M93" s="13"/>
      <c r="N93" s="540"/>
      <c r="O93" s="485">
        <f t="shared" si="0"/>
        <v>0</v>
      </c>
      <c r="P93" s="387"/>
      <c r="Q93" s="389"/>
      <c r="R93" s="389"/>
      <c r="S93" s="389"/>
      <c r="T93" s="389"/>
      <c r="U93" s="389"/>
      <c r="V93" s="515"/>
    </row>
    <row r="94" spans="1:22" ht="34.9" customHeight="1" x14ac:dyDescent="0.25">
      <c r="A94" s="13">
        <v>93</v>
      </c>
      <c r="B94" s="95">
        <v>44844</v>
      </c>
      <c r="C94" s="13">
        <f>1657+10-170</f>
        <v>1497</v>
      </c>
      <c r="D94" s="485"/>
      <c r="E94" s="13"/>
      <c r="F94" s="13"/>
      <c r="G94" s="13">
        <f>2</f>
        <v>2</v>
      </c>
      <c r="H94" s="13">
        <f>258</f>
        <v>258</v>
      </c>
      <c r="I94" s="13">
        <f>56+14+19+15+20+15+34+49+13+306+60+55.68+52+6+136+50+15+60</f>
        <v>975.68</v>
      </c>
      <c r="J94" s="13">
        <f>208+78+1633+46+40</f>
        <v>2005</v>
      </c>
      <c r="K94" s="13"/>
      <c r="L94" s="13">
        <f>34+1-10-7+40</f>
        <v>58</v>
      </c>
      <c r="M94" s="13">
        <f>80+20+15-5+34+135+50+39+15+39+270+50+200+30+189+100+189+68+11+90+130+50+15+39+15+98+20+15+18+39+49+34+15+100+200+90-20</f>
        <v>2526</v>
      </c>
      <c r="N94" s="540">
        <f>-7.68</f>
        <v>-7.68</v>
      </c>
      <c r="O94" s="485">
        <f t="shared" si="0"/>
        <v>5817</v>
      </c>
      <c r="P94" s="387"/>
      <c r="Q94" s="389"/>
      <c r="R94" s="389"/>
      <c r="S94" s="389"/>
      <c r="T94" s="389"/>
      <c r="U94" s="389"/>
      <c r="V94" s="515"/>
    </row>
    <row r="95" spans="1:22" ht="34.9" customHeight="1" x14ac:dyDescent="0.25">
      <c r="A95" s="13">
        <v>94</v>
      </c>
      <c r="B95" s="95">
        <v>44845</v>
      </c>
      <c r="C95" s="13">
        <f>269</f>
        <v>269</v>
      </c>
      <c r="D95" s="485"/>
      <c r="E95" s="13" t="s">
        <v>267</v>
      </c>
      <c r="F95" s="13">
        <v>561</v>
      </c>
      <c r="G95" s="13">
        <f>2</f>
        <v>2</v>
      </c>
      <c r="H95" s="13"/>
      <c r="I95" s="13">
        <f>61+91+139+39+68+166+39+30+5+30+39+15+61</f>
        <v>783</v>
      </c>
      <c r="J95" s="13">
        <f>113+121+100+198+35+33+135</f>
        <v>735</v>
      </c>
      <c r="K95" s="13"/>
      <c r="L95" s="13">
        <f>114+15-1-7-6</f>
        <v>115</v>
      </c>
      <c r="M95" s="13">
        <f>305+378+80+33+100+69+30+150+10+15+106+104+136+50+260+100+76+15+78+40+730+100+76+50+280+15+120+239</f>
        <v>3745</v>
      </c>
      <c r="N95" s="540">
        <f>-5+2+9.76+14.56</f>
        <v>21.32</v>
      </c>
      <c r="O95" s="485">
        <f t="shared" si="0"/>
        <v>5962.32</v>
      </c>
      <c r="P95" s="387"/>
      <c r="Q95" s="389"/>
      <c r="R95" s="389"/>
      <c r="S95" s="389"/>
      <c r="T95" s="389"/>
      <c r="U95" s="389"/>
      <c r="V95" s="515"/>
    </row>
    <row r="96" spans="1:22" ht="34.9" customHeight="1" x14ac:dyDescent="0.25">
      <c r="A96" s="13">
        <v>95</v>
      </c>
      <c r="B96" s="95">
        <v>44846</v>
      </c>
      <c r="C96" s="13"/>
      <c r="D96" s="485"/>
      <c r="E96" s="90" t="s">
        <v>268</v>
      </c>
      <c r="F96" s="13">
        <v>61</v>
      </c>
      <c r="G96" s="13">
        <f>-0.5</f>
        <v>-0.5</v>
      </c>
      <c r="H96" s="13"/>
      <c r="I96" s="13">
        <f>68+45.24+30</f>
        <v>143.24</v>
      </c>
      <c r="J96" s="13">
        <f>-102</f>
        <v>-102</v>
      </c>
      <c r="K96" s="13"/>
      <c r="L96" s="13">
        <f>236+30</f>
        <v>266</v>
      </c>
      <c r="M96" s="13">
        <f>39+70+102+30+39+14+9+510-336-29</f>
        <v>448</v>
      </c>
      <c r="N96" s="540">
        <f>39-45.24</f>
        <v>-6.240000000000002</v>
      </c>
      <c r="O96" s="485">
        <f t="shared" si="0"/>
        <v>809.5</v>
      </c>
      <c r="P96" s="387"/>
      <c r="Q96" s="389"/>
      <c r="R96" s="389"/>
      <c r="S96" s="389"/>
      <c r="T96" s="389"/>
      <c r="U96" s="389"/>
      <c r="V96" s="515"/>
    </row>
    <row r="97" spans="1:22" ht="34.9" customHeight="1" x14ac:dyDescent="0.25">
      <c r="A97" s="13">
        <v>96</v>
      </c>
      <c r="B97" s="95">
        <v>44847</v>
      </c>
      <c r="C97" s="13"/>
      <c r="D97" s="485"/>
      <c r="E97" s="13"/>
      <c r="F97" s="13">
        <f>-25.76</f>
        <v>-25.76</v>
      </c>
      <c r="G97" s="13"/>
      <c r="H97" s="13"/>
      <c r="I97" s="13">
        <f>39+122+30+6+30+8+78+1+8+31+270</f>
        <v>623</v>
      </c>
      <c r="J97" s="13"/>
      <c r="K97" s="13"/>
      <c r="L97" s="13"/>
      <c r="M97" s="13">
        <f>14+90+30+60+357+90+30+98+77+22+53+60+78+100+31+30</f>
        <v>1220</v>
      </c>
      <c r="N97" s="540">
        <f>25.76</f>
        <v>25.76</v>
      </c>
      <c r="O97" s="485">
        <f t="shared" si="0"/>
        <v>1843</v>
      </c>
      <c r="P97" s="387"/>
      <c r="Q97" s="389"/>
      <c r="R97" s="389"/>
      <c r="S97" s="389"/>
      <c r="T97" s="389"/>
      <c r="U97" s="389"/>
      <c r="V97" s="515"/>
    </row>
    <row r="98" spans="1:22" ht="34.9" customHeight="1" x14ac:dyDescent="0.25">
      <c r="A98" s="13">
        <v>97</v>
      </c>
      <c r="B98" s="95">
        <v>44848</v>
      </c>
      <c r="C98" s="13">
        <f>27+23</f>
        <v>50</v>
      </c>
      <c r="D98" s="485"/>
      <c r="E98" s="90" t="s">
        <v>270</v>
      </c>
      <c r="F98" s="13">
        <f>18.16+302.5+5</f>
        <v>325.66000000000003</v>
      </c>
      <c r="G98" s="13"/>
      <c r="H98" s="13">
        <f>184+71</f>
        <v>255</v>
      </c>
      <c r="I98" s="13">
        <f>5+107+68+68</f>
        <v>248</v>
      </c>
      <c r="J98" s="13">
        <f>268+341+131</f>
        <v>740</v>
      </c>
      <c r="K98" s="13"/>
      <c r="L98" s="13"/>
      <c r="M98" s="13">
        <f>17+68+102+17+68+90</f>
        <v>362</v>
      </c>
      <c r="N98" s="540"/>
      <c r="O98" s="485">
        <f t="shared" si="0"/>
        <v>1930.66</v>
      </c>
      <c r="P98" s="387"/>
      <c r="Q98" s="389"/>
      <c r="R98" s="389"/>
      <c r="S98" s="389"/>
      <c r="T98" s="389"/>
      <c r="U98" s="389"/>
      <c r="V98" s="515"/>
    </row>
    <row r="99" spans="1:22" ht="34.9" customHeight="1" x14ac:dyDescent="0.25">
      <c r="A99" s="13">
        <v>98</v>
      </c>
      <c r="B99" s="95">
        <v>44849</v>
      </c>
      <c r="C99" s="13">
        <v>218</v>
      </c>
      <c r="D99" s="485"/>
      <c r="E99" s="13"/>
      <c r="F99" s="13"/>
      <c r="G99" s="13">
        <f>3-2</f>
        <v>1</v>
      </c>
      <c r="H99" s="13"/>
      <c r="I99" s="13">
        <f>77+13+34+204.82+50+39+68+34+63+94+8+69+15</f>
        <v>768.81999999999994</v>
      </c>
      <c r="J99" s="13">
        <f>35.18</f>
        <v>35.18</v>
      </c>
      <c r="K99" s="13"/>
      <c r="L99" s="13">
        <f>6+1+9+26</f>
        <v>42</v>
      </c>
      <c r="M99" s="13">
        <f>132+135+39+20+198+60+10+10+34+65+83+34+30+15+39+44+175+100+2</f>
        <v>1225</v>
      </c>
      <c r="N99" s="540"/>
      <c r="O99" s="485">
        <f t="shared" si="0"/>
        <v>2072</v>
      </c>
      <c r="P99" s="387"/>
      <c r="Q99" s="389"/>
      <c r="R99" s="389"/>
      <c r="S99" s="389"/>
      <c r="T99" s="389"/>
      <c r="U99" s="389"/>
      <c r="V99" s="515"/>
    </row>
    <row r="100" spans="1:22" ht="34.9" customHeight="1" x14ac:dyDescent="0.25">
      <c r="A100" s="190">
        <v>99</v>
      </c>
      <c r="B100" s="191">
        <v>44850</v>
      </c>
      <c r="C100" s="190"/>
      <c r="D100" s="190"/>
      <c r="E100" s="190"/>
      <c r="F100" s="190"/>
      <c r="G100" s="190"/>
      <c r="H100" s="190"/>
      <c r="I100" s="190"/>
      <c r="J100" s="190"/>
      <c r="K100" s="190"/>
      <c r="L100" s="190"/>
      <c r="M100" s="190"/>
      <c r="N100" s="542"/>
      <c r="O100" s="485">
        <f t="shared" si="0"/>
        <v>0</v>
      </c>
      <c r="P100" s="392"/>
      <c r="Q100" s="393"/>
      <c r="R100" s="393"/>
      <c r="S100" s="393"/>
      <c r="T100" s="393"/>
      <c r="U100" s="393"/>
      <c r="V100" s="515"/>
    </row>
    <row r="101" spans="1:22" ht="34.9" customHeight="1" x14ac:dyDescent="0.25">
      <c r="A101" s="13">
        <v>100</v>
      </c>
      <c r="B101" s="95">
        <v>44851</v>
      </c>
      <c r="C101" s="13">
        <f>373</f>
        <v>373</v>
      </c>
      <c r="D101" s="485"/>
      <c r="E101" s="90" t="s">
        <v>272</v>
      </c>
      <c r="F101" s="13">
        <f>350+5+244</f>
        <v>599</v>
      </c>
      <c r="G101" s="13"/>
      <c r="H101" s="13">
        <f>98</f>
        <v>98</v>
      </c>
      <c r="I101" s="13">
        <f>59+2</f>
        <v>61</v>
      </c>
      <c r="J101" s="13">
        <f>235+68+48+20</f>
        <v>371</v>
      </c>
      <c r="K101" s="13"/>
      <c r="L101" s="13"/>
      <c r="M101" s="13">
        <f>10+100+60+26+30+39+60+165+100+34+67+39+75+98</f>
        <v>903</v>
      </c>
      <c r="N101" s="540">
        <f>11+26+984+2-51.2</f>
        <v>971.8</v>
      </c>
      <c r="O101" s="485">
        <f t="shared" si="0"/>
        <v>3003.8</v>
      </c>
      <c r="P101" s="387"/>
      <c r="Q101" s="389"/>
      <c r="R101" s="389"/>
      <c r="S101" s="389"/>
      <c r="T101" s="389"/>
      <c r="U101" s="389"/>
      <c r="V101" s="515"/>
    </row>
    <row r="102" spans="1:22" ht="34.9" customHeight="1" x14ac:dyDescent="0.25">
      <c r="A102" s="13">
        <v>101</v>
      </c>
      <c r="B102" s="95">
        <v>44852</v>
      </c>
      <c r="C102" s="13"/>
      <c r="D102" s="485"/>
      <c r="E102" s="90" t="s">
        <v>273</v>
      </c>
      <c r="F102" s="13">
        <f>11.84</f>
        <v>11.84</v>
      </c>
      <c r="G102" s="13"/>
      <c r="H102" s="13"/>
      <c r="I102" s="13">
        <f>26+50+30+35+8</f>
        <v>149</v>
      </c>
      <c r="J102" s="13">
        <f>163+35</f>
        <v>198</v>
      </c>
      <c r="K102" s="13"/>
      <c r="L102" s="13">
        <f>10</f>
        <v>10</v>
      </c>
      <c r="M102" s="13">
        <f>15+60+61+316-102</f>
        <v>350</v>
      </c>
      <c r="N102" s="540"/>
      <c r="O102" s="485">
        <f t="shared" si="0"/>
        <v>718.84</v>
      </c>
      <c r="P102" s="387"/>
      <c r="Q102" s="389"/>
      <c r="R102" s="389"/>
      <c r="S102" s="389"/>
      <c r="T102" s="389"/>
      <c r="U102" s="389"/>
      <c r="V102" s="515"/>
    </row>
    <row r="103" spans="1:22" ht="34.9" customHeight="1" x14ac:dyDescent="0.25">
      <c r="A103" s="13">
        <v>102</v>
      </c>
      <c r="B103" s="95">
        <v>44853</v>
      </c>
      <c r="C103" s="13">
        <v>366</v>
      </c>
      <c r="D103" s="485"/>
      <c r="E103" s="90"/>
      <c r="F103" s="13"/>
      <c r="G103" s="13"/>
      <c r="H103" s="13"/>
      <c r="I103" s="13">
        <f>45+30+46+30+39</f>
        <v>190</v>
      </c>
      <c r="J103" s="13">
        <f>46+27+305+493+114</f>
        <v>985</v>
      </c>
      <c r="K103" s="13"/>
      <c r="L103" s="13"/>
      <c r="M103" s="13">
        <f>29+30+30+39+14+39</f>
        <v>181</v>
      </c>
      <c r="N103" s="540"/>
      <c r="O103" s="485">
        <f t="shared" si="0"/>
        <v>1356</v>
      </c>
      <c r="P103" s="387"/>
      <c r="Q103" s="389"/>
      <c r="R103" s="389"/>
      <c r="S103" s="389"/>
      <c r="T103" s="389"/>
      <c r="U103" s="389"/>
      <c r="V103" s="515"/>
    </row>
    <row r="104" spans="1:22" ht="34.9" customHeight="1" x14ac:dyDescent="0.25">
      <c r="A104" s="13">
        <v>103</v>
      </c>
      <c r="B104" s="95">
        <v>44854</v>
      </c>
      <c r="C104" s="13"/>
      <c r="D104" s="485"/>
      <c r="E104" s="90"/>
      <c r="F104" s="13"/>
      <c r="G104" s="13"/>
      <c r="H104" s="13"/>
      <c r="I104" s="13">
        <f>26+1+26+130+106</f>
        <v>289</v>
      </c>
      <c r="J104" s="13"/>
      <c r="K104" s="13"/>
      <c r="L104" s="13"/>
      <c r="M104" s="13">
        <f>105+78+15+39+78+30+138+40+140+26+30</f>
        <v>719</v>
      </c>
      <c r="N104" s="540"/>
      <c r="O104" s="485">
        <f t="shared" si="0"/>
        <v>1008</v>
      </c>
      <c r="P104" s="387"/>
      <c r="Q104" s="389"/>
      <c r="R104" s="389"/>
      <c r="S104" s="389"/>
      <c r="T104" s="389"/>
      <c r="U104" s="389"/>
      <c r="V104" s="515"/>
    </row>
    <row r="105" spans="1:22" ht="34.9" customHeight="1" x14ac:dyDescent="0.25">
      <c r="A105" s="13">
        <v>104</v>
      </c>
      <c r="B105" s="95">
        <v>44855</v>
      </c>
      <c r="C105" s="13"/>
      <c r="D105" s="485"/>
      <c r="E105" s="90"/>
      <c r="F105" s="13"/>
      <c r="G105" s="13"/>
      <c r="H105" s="13"/>
      <c r="I105" s="13">
        <f>34+34+48+19+2+30+6+10+15+15+22.85</f>
        <v>235.85</v>
      </c>
      <c r="J105" s="13">
        <v>30</v>
      </c>
      <c r="K105" s="13"/>
      <c r="L105" s="13"/>
      <c r="M105" s="13">
        <f>60-2+52+120+212+100+26+8+7+29</f>
        <v>612</v>
      </c>
      <c r="N105" s="540"/>
      <c r="O105" s="485">
        <f t="shared" si="0"/>
        <v>877.85</v>
      </c>
      <c r="P105" s="387"/>
      <c r="Q105" s="389"/>
      <c r="R105" s="389"/>
      <c r="S105" s="389"/>
      <c r="T105" s="389"/>
      <c r="U105" s="389"/>
      <c r="V105" s="515"/>
    </row>
    <row r="106" spans="1:22" ht="34.9" customHeight="1" x14ac:dyDescent="0.25">
      <c r="A106" s="13">
        <v>105</v>
      </c>
      <c r="B106" s="95">
        <v>44856</v>
      </c>
      <c r="C106" s="13">
        <f>402</f>
        <v>402</v>
      </c>
      <c r="D106" s="485"/>
      <c r="E106" s="90"/>
      <c r="F106" s="13"/>
      <c r="G106" s="13">
        <f>0.1</f>
        <v>0.1</v>
      </c>
      <c r="H106" s="13"/>
      <c r="I106" s="13">
        <f>34+30+50+280+8+4+31+309.9+2+35+34+34</f>
        <v>851.9</v>
      </c>
      <c r="J106" s="13">
        <f>50+76+646</f>
        <v>772</v>
      </c>
      <c r="K106" s="13"/>
      <c r="L106" s="13">
        <f>548</f>
        <v>548</v>
      </c>
      <c r="M106" s="13">
        <f>45+100+102+34+238+30+214+49+75+100+75</f>
        <v>1062</v>
      </c>
      <c r="N106" s="540"/>
      <c r="O106" s="485">
        <f t="shared" si="0"/>
        <v>3234</v>
      </c>
      <c r="P106" s="387"/>
      <c r="Q106" s="389"/>
      <c r="R106" s="389"/>
      <c r="S106" s="389"/>
      <c r="T106" s="389"/>
      <c r="U106" s="389"/>
      <c r="V106" s="515"/>
    </row>
    <row r="107" spans="1:22" ht="34.9" customHeight="1" x14ac:dyDescent="0.25">
      <c r="A107" s="190">
        <v>106</v>
      </c>
      <c r="B107" s="191">
        <v>44857</v>
      </c>
      <c r="C107" s="190"/>
      <c r="D107" s="190"/>
      <c r="E107" s="250"/>
      <c r="F107" s="190"/>
      <c r="G107" s="190"/>
      <c r="H107" s="190"/>
      <c r="I107" s="190"/>
      <c r="J107" s="190"/>
      <c r="K107" s="190"/>
      <c r="L107" s="190"/>
      <c r="M107" s="190"/>
      <c r="N107" s="542"/>
      <c r="O107" s="485">
        <f t="shared" si="0"/>
        <v>0</v>
      </c>
      <c r="P107" s="392"/>
      <c r="Q107" s="393"/>
      <c r="R107" s="393"/>
      <c r="S107" s="393"/>
      <c r="T107" s="393"/>
      <c r="U107" s="393"/>
      <c r="V107" s="515"/>
    </row>
    <row r="108" spans="1:22" ht="34.9" customHeight="1" x14ac:dyDescent="0.25">
      <c r="A108" s="13">
        <v>107</v>
      </c>
      <c r="B108" s="95">
        <v>44858</v>
      </c>
      <c r="C108" s="13"/>
      <c r="D108" s="485"/>
      <c r="E108" s="90"/>
      <c r="F108" s="13"/>
      <c r="G108" s="13">
        <v>10</v>
      </c>
      <c r="H108" s="13"/>
      <c r="I108" s="13">
        <f>31+26+1+50+62+14+78+31</f>
        <v>293</v>
      </c>
      <c r="J108" s="13">
        <f>14+250+78+100</f>
        <v>442</v>
      </c>
      <c r="K108" s="13"/>
      <c r="L108" s="13">
        <f>15</f>
        <v>15</v>
      </c>
      <c r="M108" s="13">
        <f>87+15+90+78+30+30+272+100+35+50</f>
        <v>787</v>
      </c>
      <c r="N108" s="540">
        <f>-107</f>
        <v>-107</v>
      </c>
      <c r="O108" s="485">
        <f t="shared" si="0"/>
        <v>1440</v>
      </c>
      <c r="P108" s="387"/>
      <c r="Q108" s="389"/>
      <c r="R108" s="389"/>
      <c r="S108" s="389"/>
      <c r="T108" s="389"/>
      <c r="U108" s="389"/>
      <c r="V108" s="515"/>
    </row>
    <row r="109" spans="1:22" ht="34.9" customHeight="1" x14ac:dyDescent="0.25">
      <c r="A109" s="13">
        <v>108</v>
      </c>
      <c r="B109" s="95">
        <v>44859</v>
      </c>
      <c r="C109" s="13">
        <f>298</f>
        <v>298</v>
      </c>
      <c r="D109" s="485"/>
      <c r="E109" s="90"/>
      <c r="F109" s="13"/>
      <c r="G109" s="13"/>
      <c r="H109" s="13"/>
      <c r="I109" s="13">
        <f>50+30+31+1+50+25+20</f>
        <v>207</v>
      </c>
      <c r="J109" s="13">
        <f>57+31+112</f>
        <v>200</v>
      </c>
      <c r="K109" s="13"/>
      <c r="L109" s="13">
        <f>100</f>
        <v>100</v>
      </c>
      <c r="M109" s="13">
        <f>20+45+280+104+100+106+30+31+11+248</f>
        <v>975</v>
      </c>
      <c r="N109" s="540">
        <f>46</f>
        <v>46</v>
      </c>
      <c r="O109" s="485">
        <f t="shared" si="0"/>
        <v>1528</v>
      </c>
      <c r="P109" s="387"/>
      <c r="Q109" s="389"/>
      <c r="R109" s="389"/>
      <c r="S109" s="389"/>
      <c r="T109" s="389"/>
      <c r="U109" s="389"/>
      <c r="V109" s="515"/>
    </row>
    <row r="110" spans="1:22" ht="34.9" customHeight="1" x14ac:dyDescent="0.25">
      <c r="A110" s="13">
        <v>109</v>
      </c>
      <c r="B110" s="95">
        <v>44860</v>
      </c>
      <c r="C110" s="13"/>
      <c r="D110" s="485"/>
      <c r="E110" s="90"/>
      <c r="F110" s="13"/>
      <c r="G110" s="13"/>
      <c r="H110" s="13"/>
      <c r="I110" s="13">
        <f>14+13</f>
        <v>27</v>
      </c>
      <c r="J110" s="13">
        <f>250+132+200+300</f>
        <v>882</v>
      </c>
      <c r="K110" s="13"/>
      <c r="L110" s="13"/>
      <c r="M110" s="13">
        <f>6+116</f>
        <v>122</v>
      </c>
      <c r="N110" s="540">
        <f>-170-200-9</f>
        <v>-379</v>
      </c>
      <c r="O110" s="485">
        <f t="shared" si="0"/>
        <v>652</v>
      </c>
      <c r="P110" s="390"/>
      <c r="Q110" s="389"/>
      <c r="R110" s="389"/>
      <c r="S110" s="389"/>
      <c r="T110" s="389"/>
      <c r="U110" s="389"/>
      <c r="V110" s="515"/>
    </row>
    <row r="111" spans="1:22" ht="34.9" customHeight="1" x14ac:dyDescent="0.25">
      <c r="A111" s="13">
        <v>110</v>
      </c>
      <c r="B111" s="95">
        <v>44861</v>
      </c>
      <c r="C111" s="13">
        <v>220</v>
      </c>
      <c r="D111" s="485"/>
      <c r="E111" s="90"/>
      <c r="F111" s="13"/>
      <c r="G111" s="13"/>
      <c r="H111" s="13">
        <f>145</f>
        <v>145</v>
      </c>
      <c r="I111" s="13">
        <f>34+2+15+7+14+15+6+77+2</f>
        <v>172</v>
      </c>
      <c r="J111" s="13">
        <f>100+100+221+174+53.36</f>
        <v>648.36</v>
      </c>
      <c r="K111" s="13"/>
      <c r="L111" s="13"/>
      <c r="M111" s="13">
        <f>50+10+50+34+15+60+93+153+30+43+100+39+26+145+15+59-9</f>
        <v>913</v>
      </c>
      <c r="N111" s="540">
        <f>46-53.36+9</f>
        <v>1.6400000000000006</v>
      </c>
      <c r="O111" s="485">
        <f t="shared" si="0"/>
        <v>1880.0000000000002</v>
      </c>
      <c r="P111" s="387"/>
      <c r="Q111" s="389"/>
      <c r="R111" s="389"/>
      <c r="S111" s="389"/>
      <c r="T111" s="389"/>
      <c r="U111" s="389"/>
      <c r="V111" s="515"/>
    </row>
    <row r="112" spans="1:22" ht="34.9" customHeight="1" x14ac:dyDescent="0.25">
      <c r="A112" s="13">
        <v>111</v>
      </c>
      <c r="B112" s="95">
        <v>44862</v>
      </c>
      <c r="C112" s="13"/>
      <c r="D112" s="485"/>
      <c r="E112" s="90"/>
      <c r="F112" s="13"/>
      <c r="G112" s="13">
        <f>1+9</f>
        <v>10</v>
      </c>
      <c r="H112" s="13"/>
      <c r="I112" s="13">
        <f>100+6+110+26+26+136+100+8+22+8+13+3</f>
        <v>558</v>
      </c>
      <c r="J112" s="13">
        <f>82+68+104</f>
        <v>254</v>
      </c>
      <c r="K112" s="13"/>
      <c r="L112" s="13">
        <f>13+34+164+8-4</f>
        <v>215</v>
      </c>
      <c r="M112" s="13">
        <f>68+30+11+46+34+50+30+50+13+10+38+30+10+20+30</f>
        <v>470</v>
      </c>
      <c r="N112" s="540"/>
      <c r="O112" s="485">
        <f t="shared" si="0"/>
        <v>1507</v>
      </c>
      <c r="P112" s="387"/>
      <c r="Q112" s="389"/>
      <c r="R112" s="389"/>
      <c r="S112" s="389"/>
      <c r="T112" s="389"/>
      <c r="U112" s="389"/>
      <c r="V112" s="515"/>
    </row>
    <row r="113" spans="1:22" ht="34.9" customHeight="1" x14ac:dyDescent="0.25">
      <c r="A113" s="13">
        <v>112</v>
      </c>
      <c r="B113" s="95">
        <v>44863</v>
      </c>
      <c r="C113" s="13">
        <f>372+283</f>
        <v>655</v>
      </c>
      <c r="D113" s="485"/>
      <c r="E113" s="90"/>
      <c r="F113" s="13"/>
      <c r="G113" s="13">
        <f>2+25</f>
        <v>27</v>
      </c>
      <c r="H113" s="13"/>
      <c r="I113" s="13">
        <f>31+96+39+10+8+26+8+114.84+8+8+39</f>
        <v>387.84000000000003</v>
      </c>
      <c r="J113" s="13">
        <f>400</f>
        <v>400</v>
      </c>
      <c r="K113" s="13"/>
      <c r="L113" s="13">
        <f>14+39+26+8-4</f>
        <v>83</v>
      </c>
      <c r="M113" s="13">
        <f>480+14+34+135+60+60+100+139+26+350+133+124+68+34+40</f>
        <v>1797</v>
      </c>
      <c r="N113" s="540">
        <f>-15.84</f>
        <v>-15.84</v>
      </c>
      <c r="O113" s="485">
        <f t="shared" si="0"/>
        <v>2679</v>
      </c>
      <c r="P113" s="387"/>
      <c r="Q113" s="389"/>
      <c r="R113" s="389"/>
      <c r="S113" s="389"/>
      <c r="T113" s="389"/>
      <c r="U113" s="389"/>
      <c r="V113" s="515"/>
    </row>
    <row r="114" spans="1:22" ht="34.9" customHeight="1" x14ac:dyDescent="0.25">
      <c r="A114" s="190">
        <v>113</v>
      </c>
      <c r="B114" s="191">
        <v>44864</v>
      </c>
      <c r="C114" s="190"/>
      <c r="D114" s="190"/>
      <c r="E114" s="250"/>
      <c r="F114" s="190"/>
      <c r="G114" s="190"/>
      <c r="H114" s="190"/>
      <c r="I114" s="190"/>
      <c r="J114" s="190"/>
      <c r="K114" s="190"/>
      <c r="L114" s="190"/>
      <c r="M114" s="190"/>
      <c r="N114" s="542"/>
      <c r="O114" s="485">
        <f t="shared" si="0"/>
        <v>0</v>
      </c>
      <c r="P114" s="392"/>
      <c r="Q114" s="393"/>
      <c r="R114" s="393"/>
      <c r="S114" s="393"/>
      <c r="T114" s="393"/>
      <c r="U114" s="393"/>
      <c r="V114" s="515"/>
    </row>
    <row r="115" spans="1:22" ht="34.9" customHeight="1" x14ac:dyDescent="0.25">
      <c r="A115" s="13">
        <v>114</v>
      </c>
      <c r="B115" s="95">
        <v>44865</v>
      </c>
      <c r="C115" s="13">
        <f>476+94</f>
        <v>570</v>
      </c>
      <c r="D115" s="485"/>
      <c r="E115" s="90"/>
      <c r="F115" s="13"/>
      <c r="G115" s="13"/>
      <c r="H115" s="13">
        <f>139</f>
        <v>139</v>
      </c>
      <c r="I115" s="13">
        <f>34+48+50+102+26+39+130+212+4+52+352+50+34+6+14+14+349</f>
        <v>1516</v>
      </c>
      <c r="J115" s="13">
        <f>102+102+48+40</f>
        <v>292</v>
      </c>
      <c r="K115" s="13"/>
      <c r="L115" s="13">
        <f>68+48+50</f>
        <v>166</v>
      </c>
      <c r="M115" s="13">
        <f>50+68+8+98+260+39+39+100+100+130+34+8+150+30+39+73+30+90+90+34+30+178+100+73+34+39+5</f>
        <v>1929</v>
      </c>
      <c r="N115" s="540"/>
      <c r="O115" s="485">
        <f t="shared" si="0"/>
        <v>4042</v>
      </c>
      <c r="P115" s="387"/>
      <c r="Q115" s="389"/>
      <c r="R115" s="389"/>
      <c r="S115" s="389"/>
      <c r="T115" s="389"/>
      <c r="U115" s="389"/>
      <c r="V115" s="515"/>
    </row>
    <row r="116" spans="1:22" ht="34.9" customHeight="1" x14ac:dyDescent="0.25">
      <c r="A116" s="13">
        <v>115</v>
      </c>
      <c r="B116" s="95">
        <v>44866</v>
      </c>
      <c r="C116" s="13"/>
      <c r="D116" s="485"/>
      <c r="E116" s="90"/>
      <c r="F116" s="13"/>
      <c r="G116" s="13">
        <f>3+3-3-3</f>
        <v>0</v>
      </c>
      <c r="H116" s="13">
        <f>130</f>
        <v>130</v>
      </c>
      <c r="I116" s="13">
        <f>20+48+48+30+50+52+14+20.54+360+100</f>
        <v>742.54</v>
      </c>
      <c r="J116" s="13">
        <f>987+381.64+78+100+34+61.3+60</f>
        <v>1701.9399999999998</v>
      </c>
      <c r="K116" s="13"/>
      <c r="L116" s="13">
        <f>39+212+5</f>
        <v>256</v>
      </c>
      <c r="M116" s="13">
        <f>34+102+46+26+68+13+34+50+100+50+140+100+40+130+50+130+32+135+8+8+8+100+14+155-2-10+130-2+90+100+3+30+138+120</f>
        <v>2170</v>
      </c>
      <c r="N116" s="540">
        <f>-2.54-52.64-2.3</f>
        <v>-57.48</v>
      </c>
      <c r="O116" s="485">
        <f t="shared" si="0"/>
        <v>4943</v>
      </c>
      <c r="P116" s="387"/>
      <c r="Q116" s="389"/>
      <c r="R116" s="389"/>
      <c r="S116" s="389"/>
      <c r="T116" s="389"/>
      <c r="U116" s="389"/>
      <c r="V116" s="515"/>
    </row>
    <row r="117" spans="1:22" ht="34.9" customHeight="1" x14ac:dyDescent="0.25">
      <c r="A117" s="13">
        <v>116</v>
      </c>
      <c r="B117" s="95">
        <v>44867</v>
      </c>
      <c r="C117" s="13"/>
      <c r="D117" s="485"/>
      <c r="E117" s="90" t="s">
        <v>289</v>
      </c>
      <c r="F117" s="13">
        <f>10+5+1039</f>
        <v>1054</v>
      </c>
      <c r="G117" s="13"/>
      <c r="H117" s="13"/>
      <c r="I117" s="13">
        <f>424+130+8+8+60+39</f>
        <v>669</v>
      </c>
      <c r="J117" s="13">
        <f>592</f>
        <v>592</v>
      </c>
      <c r="K117" s="13"/>
      <c r="L117" s="13">
        <f>-3</f>
        <v>-3</v>
      </c>
      <c r="M117" s="13">
        <f>15+115+8+230+11+57+130+254+115+8+32+90+130+13+120+60+11+10</f>
        <v>1409</v>
      </c>
      <c r="N117" s="540"/>
      <c r="O117" s="485">
        <f t="shared" si="0"/>
        <v>3721</v>
      </c>
      <c r="P117" s="387"/>
      <c r="Q117" s="389"/>
      <c r="R117" s="389"/>
      <c r="S117" s="389"/>
      <c r="T117" s="389"/>
      <c r="U117" s="389"/>
      <c r="V117" s="515"/>
    </row>
    <row r="118" spans="1:22" ht="34.9" customHeight="1" x14ac:dyDescent="0.25">
      <c r="A118" s="13">
        <v>117</v>
      </c>
      <c r="B118" s="95">
        <v>44868</v>
      </c>
      <c r="C118" s="13">
        <f>39</f>
        <v>39</v>
      </c>
      <c r="D118" s="485"/>
      <c r="E118" s="90" t="s">
        <v>290</v>
      </c>
      <c r="F118" s="13">
        <v>439.25</v>
      </c>
      <c r="G118" s="13"/>
      <c r="H118" s="13"/>
      <c r="I118" s="13">
        <f>136+31+9+189+34+106+5+106</f>
        <v>616</v>
      </c>
      <c r="J118" s="13">
        <f>34</f>
        <v>34</v>
      </c>
      <c r="K118" s="13"/>
      <c r="L118" s="13">
        <f>106+30</f>
        <v>136</v>
      </c>
      <c r="M118" s="13">
        <f>8+13+19+228+9+98</f>
        <v>375</v>
      </c>
      <c r="N118" s="540">
        <f>-439.25</f>
        <v>-439.25</v>
      </c>
      <c r="O118" s="485">
        <f t="shared" si="0"/>
        <v>1161</v>
      </c>
      <c r="P118" s="387"/>
      <c r="Q118" s="389"/>
      <c r="R118" s="389"/>
      <c r="S118" s="389"/>
      <c r="T118" s="389"/>
      <c r="U118" s="389"/>
      <c r="V118" s="515"/>
    </row>
    <row r="119" spans="1:22" ht="34.9" customHeight="1" x14ac:dyDescent="0.25">
      <c r="A119" s="13">
        <v>118</v>
      </c>
      <c r="B119" s="95">
        <v>44869</v>
      </c>
      <c r="C119" s="13">
        <f>726</f>
        <v>726</v>
      </c>
      <c r="D119" s="485"/>
      <c r="E119" s="90"/>
      <c r="F119" s="13"/>
      <c r="G119" s="13"/>
      <c r="H119" s="13"/>
      <c r="I119" s="13">
        <f>39.44+5+130+26+102+4+64+30+11+1</f>
        <v>412.44</v>
      </c>
      <c r="J119" s="13">
        <f>715.5+95</f>
        <v>810.5</v>
      </c>
      <c r="K119" s="13"/>
      <c r="L119" s="13"/>
      <c r="M119" s="13">
        <f>120+22+48+90+17+30+39+13+90+321+408+30+148+68-5+30+132+68+30</f>
        <v>1699</v>
      </c>
      <c r="N119" s="540">
        <f>-5.44-5-4</f>
        <v>-14.440000000000001</v>
      </c>
      <c r="O119" s="485">
        <f t="shared" si="0"/>
        <v>2907.5</v>
      </c>
      <c r="P119" s="387"/>
      <c r="Q119" s="389"/>
      <c r="R119" s="389"/>
      <c r="S119" s="389"/>
      <c r="T119" s="389"/>
      <c r="U119" s="389"/>
      <c r="V119" s="515"/>
    </row>
    <row r="120" spans="1:22" ht="34.9" customHeight="1" x14ac:dyDescent="0.25">
      <c r="A120" s="13">
        <v>119</v>
      </c>
      <c r="B120" s="95">
        <v>44870</v>
      </c>
      <c r="C120" s="13"/>
      <c r="D120" s="485"/>
      <c r="E120" s="90"/>
      <c r="F120" s="13"/>
      <c r="G120" s="13"/>
      <c r="H120" s="13"/>
      <c r="I120" s="13">
        <f>102+68+14</f>
        <v>184</v>
      </c>
      <c r="J120" s="13">
        <f>438+78+481+136+45</f>
        <v>1178</v>
      </c>
      <c r="K120" s="13"/>
      <c r="L120" s="13">
        <v>200</v>
      </c>
      <c r="M120" s="13">
        <f>30+212+8+11+30+39+39+60+18+30+11</f>
        <v>488</v>
      </c>
      <c r="N120" s="540"/>
      <c r="O120" s="485">
        <f t="shared" ref="O120:O183" si="1">SUM(G120:N120)+F120+D120</f>
        <v>2050</v>
      </c>
      <c r="P120" s="387"/>
      <c r="Q120" s="389"/>
      <c r="R120" s="389"/>
      <c r="S120" s="389"/>
      <c r="T120" s="389"/>
      <c r="U120" s="389"/>
      <c r="V120" s="515"/>
    </row>
    <row r="121" spans="1:22" ht="34.9" customHeight="1" x14ac:dyDescent="0.25">
      <c r="A121" s="190">
        <v>120</v>
      </c>
      <c r="B121" s="191">
        <v>44871</v>
      </c>
      <c r="C121" s="190"/>
      <c r="D121" s="190"/>
      <c r="E121" s="250"/>
      <c r="F121" s="190"/>
      <c r="G121" s="190"/>
      <c r="H121" s="190"/>
      <c r="I121" s="190"/>
      <c r="J121" s="190"/>
      <c r="K121" s="190"/>
      <c r="L121" s="190"/>
      <c r="M121" s="190"/>
      <c r="N121" s="542"/>
      <c r="O121" s="485">
        <f t="shared" si="1"/>
        <v>0</v>
      </c>
      <c r="P121" s="392"/>
      <c r="Q121" s="393"/>
      <c r="R121" s="393"/>
      <c r="S121" s="393"/>
      <c r="T121" s="393"/>
      <c r="U121" s="393"/>
      <c r="V121" s="515"/>
    </row>
    <row r="122" spans="1:22" ht="34.9" customHeight="1" x14ac:dyDescent="0.25">
      <c r="A122" s="13">
        <v>121</v>
      </c>
      <c r="B122" s="95">
        <v>44872</v>
      </c>
      <c r="C122" s="13"/>
      <c r="D122" s="485"/>
      <c r="E122" s="90" t="s">
        <v>294</v>
      </c>
      <c r="F122" s="13">
        <v>215</v>
      </c>
      <c r="G122" s="13"/>
      <c r="H122" s="13"/>
      <c r="I122" s="13"/>
      <c r="J122" s="13"/>
      <c r="K122" s="13"/>
      <c r="L122" s="13"/>
      <c r="M122" s="13"/>
      <c r="N122" s="540"/>
      <c r="O122" s="485">
        <f t="shared" si="1"/>
        <v>215</v>
      </c>
      <c r="P122" s="387"/>
      <c r="Q122" s="389"/>
      <c r="R122" s="389"/>
      <c r="S122" s="389"/>
      <c r="T122" s="389"/>
      <c r="U122" s="389"/>
      <c r="V122" s="515"/>
    </row>
    <row r="123" spans="1:22" ht="34.9" customHeight="1" x14ac:dyDescent="0.25">
      <c r="A123" s="13">
        <v>122</v>
      </c>
      <c r="B123" s="95">
        <v>44873</v>
      </c>
      <c r="C123" s="13"/>
      <c r="D123" s="485"/>
      <c r="E123" s="90"/>
      <c r="F123" s="13"/>
      <c r="G123" s="13"/>
      <c r="H123" s="13"/>
      <c r="I123" s="13"/>
      <c r="J123" s="13"/>
      <c r="K123" s="13"/>
      <c r="L123" s="13"/>
      <c r="M123" s="13"/>
      <c r="N123" s="540"/>
      <c r="O123" s="485">
        <f t="shared" si="1"/>
        <v>0</v>
      </c>
      <c r="P123" s="387"/>
      <c r="Q123" s="389"/>
      <c r="R123" s="389"/>
      <c r="S123" s="389"/>
      <c r="T123" s="389"/>
      <c r="U123" s="389"/>
      <c r="V123" s="515"/>
    </row>
    <row r="124" spans="1:22" ht="34.9" customHeight="1" x14ac:dyDescent="0.25">
      <c r="A124" s="13">
        <v>123</v>
      </c>
      <c r="B124" s="95">
        <v>44874</v>
      </c>
      <c r="C124" s="13">
        <f>193</f>
        <v>193</v>
      </c>
      <c r="D124" s="485"/>
      <c r="E124" s="90"/>
      <c r="F124" s="13"/>
      <c r="G124" s="13"/>
      <c r="H124" s="13"/>
      <c r="I124" s="13">
        <f>31</f>
        <v>31</v>
      </c>
      <c r="J124" s="13">
        <f>92</f>
        <v>92</v>
      </c>
      <c r="K124" s="13"/>
      <c r="L124" s="13">
        <f>39</f>
        <v>39</v>
      </c>
      <c r="M124" s="13">
        <f>558</f>
        <v>558</v>
      </c>
      <c r="N124" s="540">
        <f>9+3.7</f>
        <v>12.7</v>
      </c>
      <c r="O124" s="485">
        <f t="shared" si="1"/>
        <v>732.7</v>
      </c>
      <c r="P124" s="387"/>
      <c r="Q124" s="389"/>
      <c r="R124" s="389"/>
      <c r="S124" s="389"/>
      <c r="T124" s="389"/>
      <c r="U124" s="389"/>
      <c r="V124" s="515"/>
    </row>
    <row r="125" spans="1:22" ht="34.9" customHeight="1" x14ac:dyDescent="0.25">
      <c r="A125" s="302">
        <v>124</v>
      </c>
      <c r="B125" s="303">
        <v>44875</v>
      </c>
      <c r="C125" s="302">
        <f>130</f>
        <v>130</v>
      </c>
      <c r="D125" s="302"/>
      <c r="E125" s="304" t="s">
        <v>293</v>
      </c>
      <c r="F125" s="302">
        <v>630</v>
      </c>
      <c r="G125" s="302"/>
      <c r="H125" s="302"/>
      <c r="I125" s="302">
        <f>60</f>
        <v>60</v>
      </c>
      <c r="J125" s="302">
        <f>289</f>
        <v>289</v>
      </c>
      <c r="K125" s="302"/>
      <c r="L125" s="302">
        <f>39</f>
        <v>39</v>
      </c>
      <c r="M125" s="302">
        <v>797</v>
      </c>
      <c r="N125" s="302">
        <f>39</f>
        <v>39</v>
      </c>
      <c r="O125" s="485">
        <f t="shared" si="1"/>
        <v>1854</v>
      </c>
      <c r="P125" s="387"/>
      <c r="Q125" s="389"/>
      <c r="R125" s="389"/>
      <c r="S125" s="389"/>
      <c r="T125" s="389"/>
      <c r="U125" s="389"/>
      <c r="V125" s="515"/>
    </row>
    <row r="126" spans="1:22" ht="34.9" customHeight="1" x14ac:dyDescent="0.25">
      <c r="A126" s="13">
        <v>125</v>
      </c>
      <c r="B126" s="95">
        <v>44876</v>
      </c>
      <c r="C126" s="13"/>
      <c r="D126" s="485"/>
      <c r="E126" s="90"/>
      <c r="F126" s="13"/>
      <c r="G126" s="13"/>
      <c r="H126" s="13"/>
      <c r="I126" s="13"/>
      <c r="J126" s="13">
        <f>518</f>
        <v>518</v>
      </c>
      <c r="K126" s="13"/>
      <c r="L126" s="13">
        <f>10</f>
        <v>10</v>
      </c>
      <c r="M126" s="13">
        <f>1775</f>
        <v>1775</v>
      </c>
      <c r="N126" s="540"/>
      <c r="O126" s="485">
        <f t="shared" si="1"/>
        <v>2303</v>
      </c>
      <c r="P126" s="387"/>
      <c r="Q126" s="389"/>
      <c r="R126" s="389"/>
      <c r="S126" s="389"/>
      <c r="T126" s="389"/>
      <c r="U126" s="389"/>
      <c r="V126" s="515"/>
    </row>
    <row r="127" spans="1:22" ht="34.9" customHeight="1" x14ac:dyDescent="0.25">
      <c r="A127" s="13">
        <v>126</v>
      </c>
      <c r="B127" s="95">
        <v>44877</v>
      </c>
      <c r="C127" s="13">
        <f>18+60</f>
        <v>78</v>
      </c>
      <c r="D127" s="485"/>
      <c r="E127" s="90"/>
      <c r="F127" s="13"/>
      <c r="G127" s="13"/>
      <c r="H127" s="13"/>
      <c r="I127" s="13">
        <f>190</f>
        <v>190</v>
      </c>
      <c r="J127" s="13">
        <f>626</f>
        <v>626</v>
      </c>
      <c r="K127" s="13"/>
      <c r="L127" s="13"/>
      <c r="M127" s="13">
        <f>628</f>
        <v>628</v>
      </c>
      <c r="N127" s="540"/>
      <c r="O127" s="485">
        <f t="shared" si="1"/>
        <v>1444</v>
      </c>
      <c r="P127" s="387"/>
      <c r="Q127" s="389"/>
      <c r="R127" s="389"/>
      <c r="S127" s="389"/>
      <c r="T127" s="389"/>
      <c r="U127" s="389"/>
      <c r="V127" s="515"/>
    </row>
    <row r="128" spans="1:22" ht="34.9" customHeight="1" x14ac:dyDescent="0.25">
      <c r="A128" s="190">
        <v>127</v>
      </c>
      <c r="B128" s="191">
        <v>44878</v>
      </c>
      <c r="C128" s="190"/>
      <c r="D128" s="190"/>
      <c r="E128" s="250"/>
      <c r="F128" s="190"/>
      <c r="G128" s="190"/>
      <c r="H128" s="190"/>
      <c r="I128" s="190"/>
      <c r="J128" s="190"/>
      <c r="K128" s="190"/>
      <c r="L128" s="190"/>
      <c r="M128" s="190"/>
      <c r="N128" s="542"/>
      <c r="O128" s="485">
        <f t="shared" si="1"/>
        <v>0</v>
      </c>
      <c r="P128" s="392"/>
      <c r="Q128" s="393"/>
      <c r="R128" s="393"/>
      <c r="S128" s="393"/>
      <c r="T128" s="393"/>
      <c r="U128" s="393"/>
      <c r="V128" s="515"/>
    </row>
    <row r="129" spans="1:22" ht="34.9" customHeight="1" x14ac:dyDescent="0.25">
      <c r="A129" s="13">
        <v>128</v>
      </c>
      <c r="B129" s="95">
        <v>44879</v>
      </c>
      <c r="C129" s="13">
        <f>125</f>
        <v>125</v>
      </c>
      <c r="D129" s="485"/>
      <c r="E129" s="90"/>
      <c r="F129" s="13"/>
      <c r="G129" s="13"/>
      <c r="H129" s="13">
        <f>374</f>
        <v>374</v>
      </c>
      <c r="I129" s="13">
        <f>365</f>
        <v>365</v>
      </c>
      <c r="J129" s="13">
        <f>547</f>
        <v>547</v>
      </c>
      <c r="K129" s="13"/>
      <c r="L129" s="13"/>
      <c r="M129" s="13">
        <f>868</f>
        <v>868</v>
      </c>
      <c r="N129" s="540"/>
      <c r="O129" s="485">
        <f t="shared" si="1"/>
        <v>2154</v>
      </c>
      <c r="P129" s="387"/>
      <c r="Q129" s="389"/>
      <c r="R129" s="389"/>
      <c r="S129" s="389"/>
      <c r="T129" s="389"/>
      <c r="U129" s="389"/>
      <c r="V129" s="515"/>
    </row>
    <row r="130" spans="1:22" ht="34.9" customHeight="1" x14ac:dyDescent="0.25">
      <c r="A130" s="13">
        <v>129</v>
      </c>
      <c r="B130" s="95">
        <v>44880</v>
      </c>
      <c r="C130" s="13">
        <f>127</f>
        <v>127</v>
      </c>
      <c r="D130" s="485"/>
      <c r="E130" s="90"/>
      <c r="F130" s="13"/>
      <c r="G130" s="13"/>
      <c r="H130" s="13"/>
      <c r="I130" s="13">
        <f>207</f>
        <v>207</v>
      </c>
      <c r="J130" s="13">
        <f>324</f>
        <v>324</v>
      </c>
      <c r="K130" s="13"/>
      <c r="L130" s="13">
        <f>10</f>
        <v>10</v>
      </c>
      <c r="M130" s="13">
        <f>2256</f>
        <v>2256</v>
      </c>
      <c r="N130" s="540"/>
      <c r="O130" s="485">
        <f t="shared" si="1"/>
        <v>2797</v>
      </c>
      <c r="P130" s="387"/>
      <c r="Q130" s="389"/>
      <c r="R130" s="389"/>
      <c r="S130" s="389"/>
      <c r="T130" s="389"/>
      <c r="U130" s="389"/>
      <c r="V130" s="515"/>
    </row>
    <row r="131" spans="1:22" ht="34.9" customHeight="1" x14ac:dyDescent="0.25">
      <c r="A131" s="13">
        <v>130</v>
      </c>
      <c r="B131" s="95">
        <v>44881</v>
      </c>
      <c r="C131" s="13">
        <f>130</f>
        <v>130</v>
      </c>
      <c r="D131" s="485"/>
      <c r="E131" s="90"/>
      <c r="F131" s="13"/>
      <c r="G131" s="13"/>
      <c r="H131" s="13"/>
      <c r="I131" s="13">
        <f>75</f>
        <v>75</v>
      </c>
      <c r="J131" s="13">
        <f>185</f>
        <v>185</v>
      </c>
      <c r="K131" s="13">
        <v>87</v>
      </c>
      <c r="L131" s="13">
        <f>118</f>
        <v>118</v>
      </c>
      <c r="M131" s="13">
        <f>814.5</f>
        <v>814.5</v>
      </c>
      <c r="N131" s="540"/>
      <c r="O131" s="485">
        <f t="shared" si="1"/>
        <v>1279.5</v>
      </c>
      <c r="P131" s="387"/>
      <c r="Q131" s="389"/>
      <c r="R131" s="389"/>
      <c r="S131" s="389"/>
      <c r="T131" s="389"/>
      <c r="U131" s="389"/>
      <c r="V131" s="515"/>
    </row>
    <row r="132" spans="1:22" ht="34.9" customHeight="1" x14ac:dyDescent="0.25">
      <c r="A132" s="13">
        <v>131</v>
      </c>
      <c r="B132" s="95">
        <v>44882</v>
      </c>
      <c r="C132" s="13"/>
      <c r="D132" s="485"/>
      <c r="E132" s="90"/>
      <c r="F132" s="13"/>
      <c r="G132" s="13"/>
      <c r="H132" s="13"/>
      <c r="I132" s="13">
        <f>127</f>
        <v>127</v>
      </c>
      <c r="J132" s="13">
        <f>229</f>
        <v>229</v>
      </c>
      <c r="K132" s="13"/>
      <c r="L132" s="13">
        <f>39</f>
        <v>39</v>
      </c>
      <c r="M132" s="13">
        <f>1151-17</f>
        <v>1134</v>
      </c>
      <c r="N132" s="540">
        <v>49</v>
      </c>
      <c r="O132" s="485">
        <f t="shared" si="1"/>
        <v>1578</v>
      </c>
      <c r="P132" s="387"/>
      <c r="Q132" s="389"/>
      <c r="R132" s="389"/>
      <c r="S132" s="389"/>
      <c r="T132" s="389"/>
      <c r="U132" s="389"/>
      <c r="V132" s="515"/>
    </row>
    <row r="133" spans="1:22" ht="34.9" customHeight="1" x14ac:dyDescent="0.25">
      <c r="A133" s="190">
        <v>132</v>
      </c>
      <c r="B133" s="191">
        <v>44883</v>
      </c>
      <c r="C133" s="190"/>
      <c r="D133" s="190"/>
      <c r="E133" s="250"/>
      <c r="F133" s="190"/>
      <c r="G133" s="190"/>
      <c r="H133" s="190"/>
      <c r="I133" s="190"/>
      <c r="J133" s="190"/>
      <c r="K133" s="190"/>
      <c r="L133" s="190"/>
      <c r="M133" s="190"/>
      <c r="N133" s="542"/>
      <c r="O133" s="485">
        <f t="shared" si="1"/>
        <v>0</v>
      </c>
      <c r="P133" s="392"/>
      <c r="Q133" s="393"/>
      <c r="R133" s="393"/>
      <c r="S133" s="393"/>
      <c r="T133" s="393"/>
      <c r="U133" s="393"/>
      <c r="V133" s="515"/>
    </row>
    <row r="134" spans="1:22" ht="34.9" customHeight="1" x14ac:dyDescent="0.25">
      <c r="A134" s="13">
        <v>133</v>
      </c>
      <c r="B134" s="95">
        <v>44884</v>
      </c>
      <c r="C134" s="13">
        <f>9</f>
        <v>9</v>
      </c>
      <c r="D134" s="485"/>
      <c r="E134" s="90" t="s">
        <v>295</v>
      </c>
      <c r="F134" s="13">
        <f>303</f>
        <v>303</v>
      </c>
      <c r="G134" s="13"/>
      <c r="H134" s="13"/>
      <c r="I134" s="13"/>
      <c r="J134" s="13">
        <v>581</v>
      </c>
      <c r="K134" s="13"/>
      <c r="L134" s="13"/>
      <c r="M134" s="13">
        <f>501</f>
        <v>501</v>
      </c>
      <c r="N134" s="540"/>
      <c r="O134" s="485">
        <f t="shared" si="1"/>
        <v>1385</v>
      </c>
      <c r="P134" s="387"/>
      <c r="Q134" s="389"/>
      <c r="R134" s="389"/>
      <c r="S134" s="389"/>
      <c r="T134" s="389"/>
      <c r="U134" s="389"/>
      <c r="V134" s="515"/>
    </row>
    <row r="135" spans="1:22" ht="34.9" customHeight="1" x14ac:dyDescent="0.25">
      <c r="A135" s="190">
        <v>134</v>
      </c>
      <c r="B135" s="191">
        <v>44885</v>
      </c>
      <c r="C135" s="190"/>
      <c r="D135" s="190"/>
      <c r="E135" s="250"/>
      <c r="F135" s="190"/>
      <c r="G135" s="190"/>
      <c r="H135" s="190"/>
      <c r="I135" s="190"/>
      <c r="J135" s="190"/>
      <c r="K135" s="190"/>
      <c r="L135" s="190"/>
      <c r="M135" s="190"/>
      <c r="N135" s="542"/>
      <c r="O135" s="485">
        <f t="shared" si="1"/>
        <v>0</v>
      </c>
      <c r="P135" s="392"/>
      <c r="Q135" s="393"/>
      <c r="R135" s="393"/>
      <c r="S135" s="393"/>
      <c r="T135" s="393"/>
      <c r="U135" s="393"/>
      <c r="V135" s="515"/>
    </row>
    <row r="136" spans="1:22" ht="34.9" customHeight="1" x14ac:dyDescent="0.25">
      <c r="A136" s="13">
        <v>135</v>
      </c>
      <c r="B136" s="95">
        <v>44886</v>
      </c>
      <c r="C136" s="13">
        <v>112</v>
      </c>
      <c r="D136" s="485"/>
      <c r="E136" s="90" t="s">
        <v>295</v>
      </c>
      <c r="F136" s="13">
        <v>30</v>
      </c>
      <c r="G136" s="13"/>
      <c r="H136" s="13"/>
      <c r="I136" s="13">
        <v>30</v>
      </c>
      <c r="J136" s="13">
        <v>702</v>
      </c>
      <c r="K136" s="13"/>
      <c r="L136" s="13">
        <v>20</v>
      </c>
      <c r="M136" s="13">
        <v>447</v>
      </c>
      <c r="N136" s="540"/>
      <c r="O136" s="485">
        <f t="shared" si="1"/>
        <v>1229</v>
      </c>
      <c r="P136" s="387"/>
      <c r="Q136" s="389"/>
      <c r="R136" s="389"/>
      <c r="S136" s="389"/>
      <c r="T136" s="389"/>
      <c r="U136" s="389"/>
      <c r="V136" s="515"/>
    </row>
    <row r="137" spans="1:22" ht="34.9" customHeight="1" x14ac:dyDescent="0.25">
      <c r="A137" s="13">
        <v>136</v>
      </c>
      <c r="B137" s="95">
        <v>44887</v>
      </c>
      <c r="C137" s="13"/>
      <c r="D137" s="485"/>
      <c r="E137" s="90" t="s">
        <v>316</v>
      </c>
      <c r="F137" s="13">
        <f>150+54.13+62</f>
        <v>266.13</v>
      </c>
      <c r="G137" s="13">
        <v>1.92</v>
      </c>
      <c r="H137" s="13"/>
      <c r="I137" s="13">
        <v>183</v>
      </c>
      <c r="J137" s="13">
        <v>513</v>
      </c>
      <c r="K137" s="13"/>
      <c r="L137" s="13"/>
      <c r="M137" s="13">
        <v>886</v>
      </c>
      <c r="N137" s="540"/>
      <c r="O137" s="485">
        <f t="shared" si="1"/>
        <v>1850.0500000000002</v>
      </c>
      <c r="P137" s="387"/>
      <c r="Q137" s="389"/>
      <c r="R137" s="389"/>
      <c r="S137" s="389"/>
      <c r="T137" s="389"/>
      <c r="U137" s="389"/>
      <c r="V137" s="515"/>
    </row>
    <row r="138" spans="1:22" ht="34.9" customHeight="1" x14ac:dyDescent="0.25">
      <c r="A138" s="13">
        <v>137</v>
      </c>
      <c r="B138" s="95">
        <v>44888</v>
      </c>
      <c r="C138" s="13"/>
      <c r="D138" s="485"/>
      <c r="E138" s="90" t="s">
        <v>318</v>
      </c>
      <c r="F138" s="13">
        <f>200+25</f>
        <v>225</v>
      </c>
      <c r="G138" s="13"/>
      <c r="H138" s="13"/>
      <c r="I138" s="13">
        <v>111</v>
      </c>
      <c r="J138" s="13">
        <v>26</v>
      </c>
      <c r="K138" s="13"/>
      <c r="L138" s="13"/>
      <c r="M138" s="13">
        <v>1452</v>
      </c>
      <c r="N138" s="540"/>
      <c r="O138" s="485">
        <f t="shared" si="1"/>
        <v>1814</v>
      </c>
      <c r="P138" s="387"/>
      <c r="Q138" s="389"/>
      <c r="R138" s="389"/>
      <c r="S138" s="389"/>
      <c r="T138" s="389"/>
      <c r="U138" s="389"/>
      <c r="V138" s="515"/>
    </row>
    <row r="139" spans="1:22" ht="34.9" customHeight="1" x14ac:dyDescent="0.25">
      <c r="A139" s="13">
        <v>138</v>
      </c>
      <c r="B139" s="95">
        <v>44889</v>
      </c>
      <c r="C139" s="13">
        <v>118</v>
      </c>
      <c r="D139" s="485"/>
      <c r="E139" s="90" t="s">
        <v>324</v>
      </c>
      <c r="F139" s="13">
        <f>26+25</f>
        <v>51</v>
      </c>
      <c r="G139" s="13"/>
      <c r="H139" s="13"/>
      <c r="I139" s="13">
        <v>772</v>
      </c>
      <c r="J139" s="13">
        <v>366</v>
      </c>
      <c r="K139" s="13">
        <v>100</v>
      </c>
      <c r="L139" s="13"/>
      <c r="M139" s="13">
        <v>2145</v>
      </c>
      <c r="N139" s="540"/>
      <c r="O139" s="485">
        <f t="shared" si="1"/>
        <v>3434</v>
      </c>
      <c r="P139" s="387"/>
      <c r="Q139" s="389"/>
      <c r="R139" s="389"/>
      <c r="S139" s="389"/>
      <c r="T139" s="389"/>
      <c r="U139" s="389"/>
      <c r="V139" s="515"/>
    </row>
    <row r="140" spans="1:22" ht="34.9" customHeight="1" x14ac:dyDescent="0.25">
      <c r="A140" s="13">
        <v>139</v>
      </c>
      <c r="B140" s="95">
        <v>44890</v>
      </c>
      <c r="C140" s="13">
        <v>877</v>
      </c>
      <c r="D140" s="485"/>
      <c r="E140" s="90"/>
      <c r="F140" s="13"/>
      <c r="G140" s="13"/>
      <c r="H140" s="13"/>
      <c r="I140" s="13">
        <v>97</v>
      </c>
      <c r="J140" s="13">
        <v>305</v>
      </c>
      <c r="K140" s="13"/>
      <c r="L140" s="13"/>
      <c r="M140" s="13">
        <v>648</v>
      </c>
      <c r="N140" s="540"/>
      <c r="O140" s="485">
        <f t="shared" si="1"/>
        <v>1050</v>
      </c>
      <c r="P140" s="387"/>
      <c r="Q140" s="389"/>
      <c r="R140" s="389"/>
      <c r="S140" s="389"/>
      <c r="T140" s="389"/>
      <c r="U140" s="389"/>
      <c r="V140" s="515"/>
    </row>
    <row r="141" spans="1:22" ht="34.9" customHeight="1" x14ac:dyDescent="0.25">
      <c r="A141" s="13">
        <v>140</v>
      </c>
      <c r="B141" s="95">
        <v>44891</v>
      </c>
      <c r="C141" s="13"/>
      <c r="D141" s="485"/>
      <c r="E141" s="90" t="s">
        <v>326</v>
      </c>
      <c r="F141" s="13">
        <f>70+120</f>
        <v>190</v>
      </c>
      <c r="G141" s="13"/>
      <c r="H141" s="13"/>
      <c r="I141" s="13">
        <v>18</v>
      </c>
      <c r="J141" s="13">
        <v>110</v>
      </c>
      <c r="K141" s="13"/>
      <c r="L141" s="13"/>
      <c r="M141" s="13">
        <v>1508</v>
      </c>
      <c r="N141" s="540">
        <v>93</v>
      </c>
      <c r="O141" s="485">
        <f t="shared" si="1"/>
        <v>1919</v>
      </c>
      <c r="P141" s="387"/>
      <c r="Q141" s="389"/>
      <c r="R141" s="389"/>
      <c r="S141" s="389"/>
      <c r="T141" s="389"/>
      <c r="U141" s="389"/>
      <c r="V141" s="515"/>
    </row>
    <row r="142" spans="1:22" ht="34.9" customHeight="1" x14ac:dyDescent="0.25">
      <c r="A142" s="190">
        <v>141</v>
      </c>
      <c r="B142" s="191">
        <v>44892</v>
      </c>
      <c r="C142" s="190">
        <v>46</v>
      </c>
      <c r="D142" s="190"/>
      <c r="E142" s="250"/>
      <c r="F142" s="190"/>
      <c r="G142" s="190"/>
      <c r="H142" s="190"/>
      <c r="I142" s="190">
        <v>16</v>
      </c>
      <c r="J142" s="190">
        <v>39</v>
      </c>
      <c r="K142" s="190"/>
      <c r="L142" s="190"/>
      <c r="M142" s="190">
        <v>115</v>
      </c>
      <c r="N142" s="542"/>
      <c r="O142" s="485">
        <f t="shared" si="1"/>
        <v>170</v>
      </c>
      <c r="P142" s="392"/>
      <c r="Q142" s="393"/>
      <c r="R142" s="393"/>
      <c r="S142" s="393"/>
      <c r="T142" s="393"/>
      <c r="U142" s="393"/>
      <c r="V142" s="515"/>
    </row>
    <row r="143" spans="1:22" ht="34.9" customHeight="1" x14ac:dyDescent="0.25">
      <c r="A143" s="13">
        <v>142</v>
      </c>
      <c r="B143" s="95">
        <v>44893</v>
      </c>
      <c r="C143" s="13">
        <v>52</v>
      </c>
      <c r="D143" s="485"/>
      <c r="E143" s="90"/>
      <c r="F143" s="13"/>
      <c r="G143" s="13"/>
      <c r="H143" s="13"/>
      <c r="I143" s="13">
        <v>46</v>
      </c>
      <c r="J143" s="13">
        <v>944</v>
      </c>
      <c r="K143" s="13"/>
      <c r="L143" s="13"/>
      <c r="M143" s="13">
        <v>838</v>
      </c>
      <c r="N143" s="540"/>
      <c r="O143" s="485">
        <f t="shared" si="1"/>
        <v>1828</v>
      </c>
      <c r="P143" s="387"/>
      <c r="Q143" s="389"/>
      <c r="R143" s="389"/>
      <c r="S143" s="389"/>
      <c r="T143" s="389"/>
      <c r="U143" s="389"/>
      <c r="V143" s="515"/>
    </row>
    <row r="144" spans="1:22" ht="34.9" customHeight="1" x14ac:dyDescent="0.25">
      <c r="A144" s="13">
        <v>143</v>
      </c>
      <c r="B144" s="95">
        <v>44894</v>
      </c>
      <c r="C144" s="13">
        <v>0</v>
      </c>
      <c r="D144" s="485"/>
      <c r="E144" s="90" t="s">
        <v>327</v>
      </c>
      <c r="F144" s="13">
        <f>40</f>
        <v>40</v>
      </c>
      <c r="G144" s="13">
        <v>14.36</v>
      </c>
      <c r="H144" s="13"/>
      <c r="I144" s="13">
        <v>111.64</v>
      </c>
      <c r="J144" s="13">
        <v>325</v>
      </c>
      <c r="K144" s="13"/>
      <c r="L144" s="13"/>
      <c r="M144" s="13">
        <v>2432</v>
      </c>
      <c r="N144" s="540"/>
      <c r="O144" s="485">
        <f t="shared" si="1"/>
        <v>2923</v>
      </c>
      <c r="P144" s="387"/>
      <c r="Q144" s="389"/>
      <c r="R144" s="389"/>
      <c r="S144" s="389"/>
      <c r="T144" s="389"/>
      <c r="U144" s="389"/>
      <c r="V144" s="515"/>
    </row>
    <row r="145" spans="1:22" ht="34.9" customHeight="1" x14ac:dyDescent="0.25">
      <c r="A145" s="13">
        <v>144</v>
      </c>
      <c r="B145" s="95">
        <v>44895</v>
      </c>
      <c r="C145" s="13">
        <v>24</v>
      </c>
      <c r="D145" s="485"/>
      <c r="E145" s="90" t="s">
        <v>328</v>
      </c>
      <c r="F145" s="13">
        <f>211+748</f>
        <v>959</v>
      </c>
      <c r="G145" s="13"/>
      <c r="H145" s="13"/>
      <c r="I145" s="13">
        <v>25</v>
      </c>
      <c r="J145" s="13">
        <v>579</v>
      </c>
      <c r="K145" s="13"/>
      <c r="L145" s="13">
        <v>62</v>
      </c>
      <c r="M145" s="13">
        <v>247</v>
      </c>
      <c r="N145" s="540"/>
      <c r="O145" s="485">
        <f t="shared" si="1"/>
        <v>1872</v>
      </c>
      <c r="P145" s="390"/>
      <c r="Q145" s="389"/>
      <c r="R145" s="389"/>
      <c r="S145" s="389"/>
      <c r="T145" s="389"/>
      <c r="U145" s="389"/>
      <c r="V145" s="515"/>
    </row>
    <row r="146" spans="1:22" ht="34.9" customHeight="1" x14ac:dyDescent="0.25">
      <c r="A146" s="13">
        <v>145</v>
      </c>
      <c r="B146" s="95">
        <v>44896</v>
      </c>
      <c r="C146" s="13"/>
      <c r="D146" s="485"/>
      <c r="E146" s="90" t="s">
        <v>329</v>
      </c>
      <c r="F146" s="13">
        <v>100</v>
      </c>
      <c r="G146" s="13"/>
      <c r="H146" s="13"/>
      <c r="I146" s="13">
        <v>416</v>
      </c>
      <c r="J146" s="13">
        <v>371</v>
      </c>
      <c r="K146" s="13"/>
      <c r="L146" s="13">
        <v>25</v>
      </c>
      <c r="M146" s="13">
        <v>574</v>
      </c>
      <c r="N146" s="540"/>
      <c r="O146" s="485">
        <f t="shared" si="1"/>
        <v>1486</v>
      </c>
      <c r="P146" s="387"/>
      <c r="Q146" s="389"/>
      <c r="R146" s="389"/>
      <c r="S146" s="389"/>
      <c r="T146" s="389"/>
      <c r="U146" s="389"/>
      <c r="V146" s="515"/>
    </row>
    <row r="147" spans="1:22" ht="34.9" customHeight="1" x14ac:dyDescent="0.25">
      <c r="A147" s="13">
        <v>146</v>
      </c>
      <c r="B147" s="95">
        <v>44897</v>
      </c>
      <c r="C147" s="300">
        <v>248</v>
      </c>
      <c r="D147" s="485"/>
      <c r="E147" s="300" t="s">
        <v>334</v>
      </c>
      <c r="F147" s="300">
        <v>5</v>
      </c>
      <c r="G147" s="300"/>
      <c r="H147" s="300"/>
      <c r="I147" s="300">
        <v>21</v>
      </c>
      <c r="J147" s="300"/>
      <c r="K147" s="300"/>
      <c r="L147" s="300">
        <v>297</v>
      </c>
      <c r="M147" s="300">
        <v>1173</v>
      </c>
      <c r="N147" s="540"/>
      <c r="O147" s="485">
        <f t="shared" si="1"/>
        <v>1496</v>
      </c>
      <c r="P147" s="390"/>
      <c r="Q147" s="389"/>
      <c r="R147" s="389"/>
      <c r="S147" s="389"/>
      <c r="T147" s="389"/>
      <c r="U147" s="389"/>
      <c r="V147" s="515"/>
    </row>
    <row r="148" spans="1:22" ht="34.9" customHeight="1" x14ac:dyDescent="0.25">
      <c r="A148" s="13">
        <v>147</v>
      </c>
      <c r="B148" s="95">
        <v>44898</v>
      </c>
      <c r="C148" s="300">
        <v>194</v>
      </c>
      <c r="D148" s="485"/>
      <c r="E148" s="300"/>
      <c r="F148" s="300"/>
      <c r="G148" s="300"/>
      <c r="H148" s="300"/>
      <c r="I148" s="300">
        <v>45</v>
      </c>
      <c r="J148" s="300">
        <v>121</v>
      </c>
      <c r="K148" s="300"/>
      <c r="L148" s="300">
        <v>15</v>
      </c>
      <c r="M148" s="300">
        <v>289</v>
      </c>
      <c r="N148" s="540"/>
      <c r="O148" s="485">
        <f t="shared" si="1"/>
        <v>470</v>
      </c>
      <c r="P148" s="387"/>
      <c r="Q148" s="389"/>
      <c r="R148" s="389"/>
      <c r="S148" s="389"/>
      <c r="T148" s="389"/>
      <c r="U148" s="389"/>
      <c r="V148" s="515"/>
    </row>
    <row r="149" spans="1:22" ht="34.9" customHeight="1" x14ac:dyDescent="0.25">
      <c r="A149" s="190">
        <v>148</v>
      </c>
      <c r="B149" s="191">
        <v>44899</v>
      </c>
      <c r="C149" s="190"/>
      <c r="D149" s="190"/>
      <c r="E149" s="250" t="s">
        <v>329</v>
      </c>
      <c r="F149" s="190">
        <v>100</v>
      </c>
      <c r="G149" s="190"/>
      <c r="H149" s="190"/>
      <c r="I149" s="190"/>
      <c r="J149" s="190"/>
      <c r="K149" s="190"/>
      <c r="L149" s="190"/>
      <c r="M149" s="190"/>
      <c r="N149" s="542"/>
      <c r="O149" s="485">
        <f t="shared" si="1"/>
        <v>100</v>
      </c>
      <c r="P149" s="392"/>
      <c r="Q149" s="393"/>
      <c r="R149" s="393"/>
      <c r="S149" s="393"/>
      <c r="T149" s="393"/>
      <c r="U149" s="393"/>
      <c r="V149" s="515"/>
    </row>
    <row r="150" spans="1:22" ht="34.9" customHeight="1" x14ac:dyDescent="0.25">
      <c r="A150" s="13">
        <v>149</v>
      </c>
      <c r="B150" s="95">
        <v>44900</v>
      </c>
      <c r="C150" s="300">
        <v>5</v>
      </c>
      <c r="D150" s="485"/>
      <c r="E150" s="301"/>
      <c r="F150" s="300"/>
      <c r="G150" s="300"/>
      <c r="H150" s="300"/>
      <c r="I150" s="300">
        <v>136</v>
      </c>
      <c r="J150" s="300">
        <v>377</v>
      </c>
      <c r="K150" s="300"/>
      <c r="L150" s="300"/>
      <c r="M150" s="300">
        <v>936</v>
      </c>
      <c r="N150" s="540"/>
      <c r="O150" s="485">
        <f t="shared" si="1"/>
        <v>1449</v>
      </c>
      <c r="P150" s="387"/>
      <c r="Q150" s="389"/>
      <c r="R150" s="389"/>
      <c r="S150" s="389"/>
      <c r="T150" s="389"/>
      <c r="U150" s="389"/>
      <c r="V150" s="515"/>
    </row>
    <row r="151" spans="1:22" ht="34.9" customHeight="1" x14ac:dyDescent="0.25">
      <c r="A151" s="13">
        <v>150</v>
      </c>
      <c r="B151" s="95">
        <v>44901</v>
      </c>
      <c r="C151" s="300"/>
      <c r="D151" s="485"/>
      <c r="E151" s="301" t="s">
        <v>330</v>
      </c>
      <c r="F151" s="300">
        <v>1300</v>
      </c>
      <c r="G151" s="300"/>
      <c r="H151" s="300">
        <v>5</v>
      </c>
      <c r="I151" s="300">
        <v>114</v>
      </c>
      <c r="J151" s="300">
        <v>76</v>
      </c>
      <c r="K151" s="300"/>
      <c r="L151" s="300"/>
      <c r="M151" s="300">
        <v>749</v>
      </c>
      <c r="N151" s="540"/>
      <c r="O151" s="485">
        <f t="shared" si="1"/>
        <v>2244</v>
      </c>
      <c r="P151" s="387"/>
      <c r="Q151" s="389"/>
      <c r="R151" s="389"/>
      <c r="S151" s="389"/>
      <c r="T151" s="389"/>
      <c r="U151" s="389"/>
      <c r="V151" s="515"/>
    </row>
    <row r="152" spans="1:22" ht="34.9" customHeight="1" x14ac:dyDescent="0.25">
      <c r="A152" s="13">
        <v>151</v>
      </c>
      <c r="B152" s="95">
        <v>44902</v>
      </c>
      <c r="C152" s="300">
        <v>86</v>
      </c>
      <c r="D152" s="485"/>
      <c r="E152" s="301" t="s">
        <v>331</v>
      </c>
      <c r="F152" s="300">
        <v>40</v>
      </c>
      <c r="G152" s="300"/>
      <c r="H152" s="300"/>
      <c r="I152" s="300">
        <v>184</v>
      </c>
      <c r="J152" s="300">
        <v>375</v>
      </c>
      <c r="K152" s="300"/>
      <c r="L152" s="300">
        <v>25</v>
      </c>
      <c r="M152" s="300">
        <v>857</v>
      </c>
      <c r="N152" s="540"/>
      <c r="O152" s="485">
        <f t="shared" si="1"/>
        <v>1481</v>
      </c>
      <c r="P152" s="387"/>
      <c r="Q152" s="389"/>
      <c r="R152" s="389"/>
      <c r="S152" s="389"/>
      <c r="T152" s="389"/>
      <c r="U152" s="389"/>
      <c r="V152" s="515"/>
    </row>
    <row r="153" spans="1:22" ht="34.9" customHeight="1" x14ac:dyDescent="0.25">
      <c r="A153" s="13">
        <v>152</v>
      </c>
      <c r="B153" s="95">
        <v>44903</v>
      </c>
      <c r="C153" s="300"/>
      <c r="D153" s="485"/>
      <c r="E153" s="301"/>
      <c r="F153" s="300"/>
      <c r="G153" s="300"/>
      <c r="H153" s="300"/>
      <c r="I153" s="300"/>
      <c r="J153" s="300">
        <v>60</v>
      </c>
      <c r="K153" s="300"/>
      <c r="L153" s="300"/>
      <c r="M153" s="300">
        <v>511</v>
      </c>
      <c r="N153" s="540"/>
      <c r="O153" s="485">
        <f t="shared" si="1"/>
        <v>571</v>
      </c>
      <c r="P153" s="387"/>
      <c r="Q153" s="389"/>
      <c r="R153" s="389"/>
      <c r="S153" s="389"/>
      <c r="T153" s="389"/>
      <c r="U153" s="389"/>
      <c r="V153" s="515"/>
    </row>
    <row r="154" spans="1:22" ht="34.9" customHeight="1" x14ac:dyDescent="0.25">
      <c r="A154" s="13">
        <v>153</v>
      </c>
      <c r="B154" s="95">
        <v>44904</v>
      </c>
      <c r="C154" s="300">
        <v>130</v>
      </c>
      <c r="D154" s="485"/>
      <c r="E154" s="301"/>
      <c r="F154" s="300"/>
      <c r="G154" s="300"/>
      <c r="H154" s="300">
        <v>13</v>
      </c>
      <c r="I154" s="300">
        <v>34</v>
      </c>
      <c r="J154" s="300">
        <v>532</v>
      </c>
      <c r="K154" s="300"/>
      <c r="L154" s="300"/>
      <c r="M154" s="300">
        <v>156</v>
      </c>
      <c r="N154" s="540"/>
      <c r="O154" s="485">
        <f t="shared" si="1"/>
        <v>735</v>
      </c>
      <c r="P154" s="387"/>
      <c r="Q154" s="389"/>
      <c r="R154" s="389"/>
      <c r="S154" s="389"/>
      <c r="T154" s="389"/>
      <c r="U154" s="389"/>
      <c r="V154" s="515"/>
    </row>
    <row r="155" spans="1:22" ht="34.9" customHeight="1" x14ac:dyDescent="0.25">
      <c r="A155" s="13">
        <v>154</v>
      </c>
      <c r="B155" s="95">
        <v>44905</v>
      </c>
      <c r="C155" s="300"/>
      <c r="D155" s="485"/>
      <c r="E155" s="301" t="s">
        <v>333</v>
      </c>
      <c r="F155" s="300">
        <v>100</v>
      </c>
      <c r="G155" s="300"/>
      <c r="H155" s="300"/>
      <c r="I155" s="300"/>
      <c r="J155" s="300"/>
      <c r="K155" s="300"/>
      <c r="L155" s="300"/>
      <c r="M155" s="300">
        <v>236</v>
      </c>
      <c r="N155" s="540"/>
      <c r="O155" s="485">
        <f t="shared" si="1"/>
        <v>336</v>
      </c>
      <c r="P155" s="387"/>
      <c r="Q155" s="389"/>
      <c r="R155" s="389"/>
      <c r="S155" s="389"/>
      <c r="T155" s="389"/>
      <c r="U155" s="389"/>
      <c r="V155" s="515"/>
    </row>
    <row r="156" spans="1:22" ht="34.9" customHeight="1" x14ac:dyDescent="0.25">
      <c r="A156" s="305">
        <v>155</v>
      </c>
      <c r="B156" s="306">
        <v>44906</v>
      </c>
      <c r="C156" s="305"/>
      <c r="D156" s="305"/>
      <c r="E156" s="307"/>
      <c r="F156" s="305"/>
      <c r="G156" s="305"/>
      <c r="H156" s="305"/>
      <c r="I156" s="305"/>
      <c r="J156" s="305"/>
      <c r="K156" s="305"/>
      <c r="L156" s="305"/>
      <c r="M156" s="305"/>
      <c r="N156" s="305"/>
      <c r="O156" s="485">
        <f t="shared" si="1"/>
        <v>0</v>
      </c>
      <c r="P156" s="392"/>
      <c r="Q156" s="393"/>
      <c r="R156" s="393"/>
      <c r="S156" s="393"/>
      <c r="T156" s="393"/>
      <c r="U156" s="393"/>
      <c r="V156" s="515"/>
    </row>
    <row r="157" spans="1:22" ht="34.9" customHeight="1" x14ac:dyDescent="0.25">
      <c r="A157" s="13">
        <v>156</v>
      </c>
      <c r="B157" s="95">
        <v>44907</v>
      </c>
      <c r="C157" s="300">
        <v>18</v>
      </c>
      <c r="D157" s="485"/>
      <c r="E157" s="301"/>
      <c r="F157" s="300"/>
      <c r="G157" s="300"/>
      <c r="H157" s="300"/>
      <c r="I157" s="300">
        <v>121</v>
      </c>
      <c r="J157" s="300">
        <v>212</v>
      </c>
      <c r="K157" s="300"/>
      <c r="L157" s="300"/>
      <c r="M157" s="300">
        <v>621</v>
      </c>
      <c r="N157" s="540"/>
      <c r="O157" s="485">
        <f t="shared" si="1"/>
        <v>954</v>
      </c>
      <c r="P157" s="387"/>
      <c r="Q157" s="389"/>
      <c r="R157" s="389"/>
      <c r="S157" s="389"/>
      <c r="T157" s="389"/>
      <c r="U157" s="389"/>
      <c r="V157" s="515"/>
    </row>
    <row r="158" spans="1:22" ht="34.9" customHeight="1" x14ac:dyDescent="0.25">
      <c r="A158" s="13">
        <v>157</v>
      </c>
      <c r="B158" s="95">
        <v>44908</v>
      </c>
      <c r="C158" s="300">
        <v>187</v>
      </c>
      <c r="D158" s="485"/>
      <c r="E158" s="301"/>
      <c r="F158" s="300"/>
      <c r="G158" s="300"/>
      <c r="H158" s="300"/>
      <c r="I158" s="300">
        <v>86</v>
      </c>
      <c r="J158" s="300"/>
      <c r="K158" s="300"/>
      <c r="L158" s="300"/>
      <c r="M158" s="300">
        <v>275</v>
      </c>
      <c r="N158" s="540"/>
      <c r="O158" s="485">
        <f t="shared" si="1"/>
        <v>361</v>
      </c>
      <c r="P158" s="387"/>
      <c r="Q158" s="389"/>
      <c r="R158" s="389"/>
      <c r="S158" s="389"/>
      <c r="T158" s="389"/>
      <c r="U158" s="389"/>
      <c r="V158" s="515"/>
    </row>
    <row r="159" spans="1:22" ht="34.9" customHeight="1" x14ac:dyDescent="0.25">
      <c r="A159" s="13">
        <v>158</v>
      </c>
      <c r="B159" s="95">
        <v>44909</v>
      </c>
      <c r="C159" s="13">
        <v>90</v>
      </c>
      <c r="D159" s="485"/>
      <c r="E159" s="90"/>
      <c r="F159" s="13"/>
      <c r="G159" s="13"/>
      <c r="H159" s="13"/>
      <c r="I159" s="13">
        <v>145</v>
      </c>
      <c r="J159" s="13">
        <v>73</v>
      </c>
      <c r="K159" s="13"/>
      <c r="L159" s="13"/>
      <c r="M159" s="13">
        <v>730</v>
      </c>
      <c r="N159" s="540"/>
      <c r="O159" s="485">
        <f t="shared" si="1"/>
        <v>948</v>
      </c>
      <c r="P159" s="387"/>
      <c r="Q159" s="389"/>
      <c r="R159" s="389"/>
      <c r="S159" s="389"/>
      <c r="T159" s="389"/>
      <c r="U159" s="389"/>
      <c r="V159" s="515"/>
    </row>
    <row r="160" spans="1:22" ht="34.9" customHeight="1" x14ac:dyDescent="0.25">
      <c r="A160" s="13">
        <v>159</v>
      </c>
      <c r="B160" s="95">
        <v>44910</v>
      </c>
      <c r="C160" s="13"/>
      <c r="D160" s="485"/>
      <c r="E160" s="90"/>
      <c r="F160" s="13"/>
      <c r="G160" s="13"/>
      <c r="H160" s="13">
        <v>639</v>
      </c>
      <c r="I160" s="13"/>
      <c r="J160" s="13">
        <v>319</v>
      </c>
      <c r="K160" s="13"/>
      <c r="L160" s="13"/>
      <c r="M160" s="13">
        <v>379</v>
      </c>
      <c r="N160" s="540"/>
      <c r="O160" s="485">
        <f t="shared" si="1"/>
        <v>1337</v>
      </c>
      <c r="P160" s="387"/>
      <c r="Q160" s="389"/>
      <c r="R160" s="389"/>
      <c r="S160" s="389"/>
      <c r="T160" s="389"/>
      <c r="U160" s="389"/>
      <c r="V160" s="515"/>
    </row>
    <row r="161" spans="1:22" ht="34.9" customHeight="1" x14ac:dyDescent="0.25">
      <c r="A161" s="13">
        <v>160</v>
      </c>
      <c r="B161" s="95">
        <v>44911</v>
      </c>
      <c r="C161" s="13">
        <v>75</v>
      </c>
      <c r="D161" s="485"/>
      <c r="E161" s="90" t="s">
        <v>335</v>
      </c>
      <c r="F161" s="13">
        <v>581</v>
      </c>
      <c r="G161" s="13"/>
      <c r="H161" s="13">
        <v>52</v>
      </c>
      <c r="I161" s="13">
        <v>11</v>
      </c>
      <c r="J161" s="13"/>
      <c r="K161" s="13"/>
      <c r="L161" s="13"/>
      <c r="M161" s="13">
        <v>563</v>
      </c>
      <c r="N161" s="540"/>
      <c r="O161" s="485">
        <f t="shared" si="1"/>
        <v>1207</v>
      </c>
      <c r="P161" s="387"/>
      <c r="Q161" s="389"/>
      <c r="R161" s="389"/>
      <c r="S161" s="389"/>
      <c r="T161" s="389"/>
      <c r="U161" s="389"/>
      <c r="V161" s="515"/>
    </row>
    <row r="162" spans="1:22" ht="34.9" customHeight="1" x14ac:dyDescent="0.25">
      <c r="A162" s="13">
        <v>161</v>
      </c>
      <c r="B162" s="95">
        <v>44912</v>
      </c>
      <c r="C162" s="13"/>
      <c r="D162" s="485"/>
      <c r="E162" s="90"/>
      <c r="F162" s="13"/>
      <c r="G162" s="13"/>
      <c r="H162" s="13"/>
      <c r="I162" s="13">
        <v>1</v>
      </c>
      <c r="J162" s="13"/>
      <c r="K162" s="13"/>
      <c r="L162" s="13"/>
      <c r="M162" s="13">
        <v>312</v>
      </c>
      <c r="N162" s="540"/>
      <c r="O162" s="485">
        <f t="shared" si="1"/>
        <v>313</v>
      </c>
      <c r="P162" s="387"/>
      <c r="Q162" s="389"/>
      <c r="R162" s="389"/>
      <c r="S162" s="389"/>
      <c r="T162" s="389"/>
      <c r="U162" s="389"/>
      <c r="V162" s="515"/>
    </row>
    <row r="163" spans="1:22" ht="34.9" customHeight="1" x14ac:dyDescent="0.25">
      <c r="A163" s="305">
        <v>162</v>
      </c>
      <c r="B163" s="306">
        <v>44913</v>
      </c>
      <c r="C163" s="305"/>
      <c r="D163" s="305"/>
      <c r="E163" s="307"/>
      <c r="F163" s="305"/>
      <c r="G163" s="305"/>
      <c r="H163" s="305"/>
      <c r="I163" s="305"/>
      <c r="J163" s="305"/>
      <c r="K163" s="305"/>
      <c r="L163" s="305"/>
      <c r="M163" s="305"/>
      <c r="N163" s="305"/>
      <c r="O163" s="485">
        <f t="shared" si="1"/>
        <v>0</v>
      </c>
      <c r="P163" s="392"/>
      <c r="Q163" s="393"/>
      <c r="R163" s="393"/>
      <c r="S163" s="393"/>
      <c r="T163" s="393"/>
      <c r="U163" s="393"/>
      <c r="V163" s="515"/>
    </row>
    <row r="164" spans="1:22" ht="34.9" customHeight="1" x14ac:dyDescent="0.25">
      <c r="A164" s="13">
        <v>163</v>
      </c>
      <c r="B164" s="95">
        <v>44914</v>
      </c>
      <c r="C164" s="13">
        <v>18</v>
      </c>
      <c r="D164" s="485"/>
      <c r="E164" s="90" t="s">
        <v>341</v>
      </c>
      <c r="F164" s="13">
        <v>20</v>
      </c>
      <c r="G164" s="13"/>
      <c r="H164" s="13"/>
      <c r="I164" s="13"/>
      <c r="J164" s="13">
        <v>728</v>
      </c>
      <c r="K164" s="13">
        <v>408</v>
      </c>
      <c r="L164" s="13"/>
      <c r="M164" s="13">
        <v>1156</v>
      </c>
      <c r="N164" s="540"/>
      <c r="O164" s="485">
        <f t="shared" si="1"/>
        <v>2312</v>
      </c>
      <c r="P164" s="387"/>
      <c r="Q164" s="389"/>
      <c r="R164" s="389"/>
      <c r="S164" s="389"/>
      <c r="T164" s="389"/>
      <c r="U164" s="389"/>
      <c r="V164" s="515"/>
    </row>
    <row r="165" spans="1:22" ht="34.9" customHeight="1" x14ac:dyDescent="0.25">
      <c r="A165" s="13">
        <v>164</v>
      </c>
      <c r="B165" s="95">
        <v>44915</v>
      </c>
      <c r="C165" s="13">
        <v>168</v>
      </c>
      <c r="D165" s="485"/>
      <c r="E165" s="90"/>
      <c r="F165" s="13"/>
      <c r="G165" s="13"/>
      <c r="H165" s="13"/>
      <c r="I165" s="13">
        <v>20</v>
      </c>
      <c r="J165" s="13">
        <v>245.92</v>
      </c>
      <c r="K165" s="13"/>
      <c r="L165" s="13">
        <v>8</v>
      </c>
      <c r="M165" s="13">
        <v>510</v>
      </c>
      <c r="N165" s="540"/>
      <c r="O165" s="485">
        <f t="shared" si="1"/>
        <v>783.92</v>
      </c>
      <c r="P165" s="387"/>
      <c r="Q165" s="389"/>
      <c r="R165" s="389"/>
      <c r="S165" s="389"/>
      <c r="T165" s="389"/>
      <c r="U165" s="389"/>
      <c r="V165" s="515"/>
    </row>
    <row r="166" spans="1:22" ht="34.9" customHeight="1" x14ac:dyDescent="0.25">
      <c r="A166" s="13">
        <v>165</v>
      </c>
      <c r="B166" s="95">
        <v>44916</v>
      </c>
      <c r="C166" s="13"/>
      <c r="D166" s="485"/>
      <c r="E166" s="90"/>
      <c r="F166" s="13"/>
      <c r="G166" s="13"/>
      <c r="H166" s="13"/>
      <c r="I166" s="13">
        <v>162</v>
      </c>
      <c r="J166" s="13">
        <v>145</v>
      </c>
      <c r="K166" s="13"/>
      <c r="L166" s="13">
        <v>20</v>
      </c>
      <c r="M166" s="13">
        <v>448</v>
      </c>
      <c r="N166" s="540"/>
      <c r="O166" s="485">
        <f t="shared" si="1"/>
        <v>775</v>
      </c>
      <c r="P166" s="387"/>
      <c r="Q166" s="389"/>
      <c r="R166" s="389"/>
      <c r="S166" s="389"/>
      <c r="T166" s="389"/>
      <c r="U166" s="389"/>
      <c r="V166" s="515"/>
    </row>
    <row r="167" spans="1:22" ht="34.9" customHeight="1" x14ac:dyDescent="0.25">
      <c r="A167" s="13">
        <v>166</v>
      </c>
      <c r="B167" s="95">
        <v>44917</v>
      </c>
      <c r="C167" s="13"/>
      <c r="D167" s="485"/>
      <c r="E167" s="90" t="s">
        <v>342</v>
      </c>
      <c r="F167" s="13">
        <v>90</v>
      </c>
      <c r="G167" s="13"/>
      <c r="H167" s="13"/>
      <c r="I167" s="13">
        <v>107</v>
      </c>
      <c r="J167" s="13">
        <v>10</v>
      </c>
      <c r="K167" s="13"/>
      <c r="L167" s="13"/>
      <c r="M167" s="13">
        <v>145</v>
      </c>
      <c r="N167" s="540"/>
      <c r="O167" s="485">
        <f t="shared" si="1"/>
        <v>352</v>
      </c>
      <c r="P167" s="387"/>
      <c r="Q167" s="389"/>
      <c r="R167" s="389"/>
      <c r="S167" s="389"/>
      <c r="T167" s="389"/>
      <c r="U167" s="389"/>
      <c r="V167" s="515"/>
    </row>
    <row r="168" spans="1:22" ht="34.9" customHeight="1" x14ac:dyDescent="0.25">
      <c r="A168" s="13">
        <v>167</v>
      </c>
      <c r="B168" s="95">
        <v>44918</v>
      </c>
      <c r="C168" s="13"/>
      <c r="D168" s="485"/>
      <c r="E168" s="90"/>
      <c r="F168" s="13"/>
      <c r="G168" s="13"/>
      <c r="H168" s="13"/>
      <c r="I168" s="13"/>
      <c r="J168" s="13">
        <v>130</v>
      </c>
      <c r="K168" s="13"/>
      <c r="L168" s="13"/>
      <c r="M168" s="13">
        <v>114</v>
      </c>
      <c r="N168" s="540"/>
      <c r="O168" s="485">
        <f t="shared" si="1"/>
        <v>244</v>
      </c>
      <c r="P168" s="387"/>
      <c r="Q168" s="389"/>
      <c r="R168" s="389"/>
      <c r="S168" s="389"/>
      <c r="T168" s="389"/>
      <c r="U168" s="389"/>
      <c r="V168" s="515"/>
    </row>
    <row r="169" spans="1:22" ht="34.9" customHeight="1" x14ac:dyDescent="0.25">
      <c r="A169" s="13">
        <v>168</v>
      </c>
      <c r="B169" s="95">
        <v>44919</v>
      </c>
      <c r="C169" s="13">
        <v>57</v>
      </c>
      <c r="D169" s="485"/>
      <c r="E169" s="90"/>
      <c r="F169" s="13"/>
      <c r="G169" s="13"/>
      <c r="H169" s="13"/>
      <c r="I169" s="13"/>
      <c r="J169" s="13">
        <v>213</v>
      </c>
      <c r="K169" s="13"/>
      <c r="L169" s="13"/>
      <c r="M169" s="13">
        <v>80</v>
      </c>
      <c r="N169" s="540"/>
      <c r="O169" s="485">
        <f t="shared" si="1"/>
        <v>293</v>
      </c>
      <c r="P169" s="387"/>
      <c r="Q169" s="389"/>
      <c r="R169" s="389"/>
      <c r="S169" s="389"/>
      <c r="T169" s="389"/>
      <c r="U169" s="389"/>
      <c r="V169" s="515"/>
    </row>
    <row r="170" spans="1:22" ht="34.9" customHeight="1" x14ac:dyDescent="0.25">
      <c r="A170" s="190">
        <v>169</v>
      </c>
      <c r="B170" s="191">
        <v>44920</v>
      </c>
      <c r="C170" s="190"/>
      <c r="D170" s="190"/>
      <c r="E170" s="250"/>
      <c r="F170" s="190"/>
      <c r="G170" s="190"/>
      <c r="H170" s="190"/>
      <c r="I170" s="190"/>
      <c r="J170" s="190"/>
      <c r="K170" s="190"/>
      <c r="L170" s="190"/>
      <c r="M170" s="190"/>
      <c r="N170" s="542"/>
      <c r="O170" s="485">
        <f t="shared" si="1"/>
        <v>0</v>
      </c>
      <c r="P170" s="392"/>
      <c r="Q170" s="393"/>
      <c r="R170" s="393"/>
      <c r="S170" s="393"/>
      <c r="T170" s="393"/>
      <c r="U170" s="393"/>
      <c r="V170" s="515"/>
    </row>
    <row r="171" spans="1:22" ht="34.9" customHeight="1" x14ac:dyDescent="0.25">
      <c r="A171" s="13">
        <v>170</v>
      </c>
      <c r="B171" s="95">
        <v>44921</v>
      </c>
      <c r="C171" s="13">
        <v>268</v>
      </c>
      <c r="D171" s="485"/>
      <c r="E171" s="90"/>
      <c r="F171" s="13"/>
      <c r="G171" s="13"/>
      <c r="H171" s="13"/>
      <c r="I171" s="13">
        <v>145</v>
      </c>
      <c r="J171" s="13">
        <v>212</v>
      </c>
      <c r="K171" s="13"/>
      <c r="L171" s="13"/>
      <c r="M171" s="13">
        <v>100</v>
      </c>
      <c r="N171" s="540"/>
      <c r="O171" s="485">
        <f t="shared" si="1"/>
        <v>457</v>
      </c>
      <c r="P171" s="387"/>
      <c r="Q171" s="389"/>
      <c r="R171" s="389"/>
      <c r="S171" s="389"/>
      <c r="T171" s="389"/>
      <c r="U171" s="389"/>
      <c r="V171" s="515"/>
    </row>
    <row r="172" spans="1:22" ht="34.9" customHeight="1" x14ac:dyDescent="0.25">
      <c r="A172" s="13">
        <v>171</v>
      </c>
      <c r="B172" s="95">
        <v>44922</v>
      </c>
      <c r="C172" s="13"/>
      <c r="D172" s="485"/>
      <c r="E172" s="90"/>
      <c r="F172" s="13"/>
      <c r="G172" s="13">
        <v>10.87</v>
      </c>
      <c r="H172" s="13"/>
      <c r="I172" s="13">
        <v>2</v>
      </c>
      <c r="J172" s="13"/>
      <c r="K172" s="13"/>
      <c r="L172" s="13"/>
      <c r="M172" s="13">
        <v>507</v>
      </c>
      <c r="N172" s="540"/>
      <c r="O172" s="485">
        <f t="shared" si="1"/>
        <v>519.87</v>
      </c>
      <c r="P172" s="387"/>
      <c r="Q172" s="389"/>
      <c r="R172" s="389"/>
      <c r="S172" s="389"/>
      <c r="T172" s="389"/>
      <c r="U172" s="389"/>
      <c r="V172" s="515"/>
    </row>
    <row r="173" spans="1:22" ht="34.9" customHeight="1" x14ac:dyDescent="0.25">
      <c r="A173" s="13">
        <v>172</v>
      </c>
      <c r="B173" s="95">
        <v>44923</v>
      </c>
      <c r="C173" s="13"/>
      <c r="D173" s="485"/>
      <c r="E173" s="90"/>
      <c r="F173" s="13"/>
      <c r="G173" s="13"/>
      <c r="H173" s="13"/>
      <c r="I173" s="13"/>
      <c r="J173" s="13"/>
      <c r="K173" s="13"/>
      <c r="L173" s="13"/>
      <c r="M173" s="13">
        <v>277</v>
      </c>
      <c r="N173" s="540"/>
      <c r="O173" s="485">
        <f t="shared" si="1"/>
        <v>277</v>
      </c>
      <c r="P173" s="387"/>
      <c r="Q173" s="389"/>
      <c r="R173" s="389"/>
      <c r="S173" s="389"/>
      <c r="T173" s="389"/>
      <c r="U173" s="389"/>
      <c r="V173" s="515"/>
    </row>
    <row r="174" spans="1:22" ht="34.9" customHeight="1" x14ac:dyDescent="0.25">
      <c r="A174" s="13">
        <v>173</v>
      </c>
      <c r="B174" s="95">
        <v>44924</v>
      </c>
      <c r="C174" s="13">
        <v>454</v>
      </c>
      <c r="D174" s="485"/>
      <c r="E174" s="90"/>
      <c r="F174" s="13"/>
      <c r="G174" s="13"/>
      <c r="H174" s="13"/>
      <c r="I174" s="13"/>
      <c r="J174" s="13">
        <v>200</v>
      </c>
      <c r="K174" s="13"/>
      <c r="L174" s="13"/>
      <c r="M174" s="13">
        <v>28</v>
      </c>
      <c r="N174" s="540"/>
      <c r="O174" s="485">
        <f t="shared" si="1"/>
        <v>228</v>
      </c>
      <c r="P174" s="387"/>
      <c r="Q174" s="389"/>
      <c r="R174" s="389"/>
      <c r="S174" s="389"/>
      <c r="T174" s="389"/>
      <c r="U174" s="389"/>
      <c r="V174" s="515"/>
    </row>
    <row r="175" spans="1:22" ht="34.9" customHeight="1" x14ac:dyDescent="0.25">
      <c r="A175" s="13">
        <v>174</v>
      </c>
      <c r="B175" s="95">
        <v>44925</v>
      </c>
      <c r="C175" s="13"/>
      <c r="D175" s="485"/>
      <c r="E175" s="90"/>
      <c r="F175" s="13"/>
      <c r="G175" s="13"/>
      <c r="H175" s="13"/>
      <c r="I175" s="13"/>
      <c r="J175" s="13"/>
      <c r="K175" s="13"/>
      <c r="L175" s="13"/>
      <c r="M175" s="13">
        <v>117</v>
      </c>
      <c r="N175" s="540"/>
      <c r="O175" s="485">
        <f t="shared" si="1"/>
        <v>117</v>
      </c>
      <c r="P175" s="387"/>
      <c r="Q175" s="389"/>
      <c r="R175" s="389"/>
      <c r="S175" s="389"/>
      <c r="T175" s="389"/>
      <c r="U175" s="389"/>
      <c r="V175" s="515"/>
    </row>
    <row r="176" spans="1:22" ht="34.9" customHeight="1" x14ac:dyDescent="0.25">
      <c r="A176" s="190">
        <v>175</v>
      </c>
      <c r="B176" s="191">
        <v>44926</v>
      </c>
      <c r="C176" s="190"/>
      <c r="D176" s="190"/>
      <c r="E176" s="250"/>
      <c r="F176" s="190"/>
      <c r="G176" s="190"/>
      <c r="H176" s="190"/>
      <c r="I176" s="190"/>
      <c r="J176" s="190"/>
      <c r="K176" s="190"/>
      <c r="L176" s="190"/>
      <c r="M176" s="190"/>
      <c r="N176" s="542"/>
      <c r="O176" s="485">
        <f t="shared" si="1"/>
        <v>0</v>
      </c>
      <c r="P176" s="392"/>
      <c r="Q176" s="393"/>
      <c r="R176" s="393"/>
      <c r="S176" s="393"/>
      <c r="T176" s="393"/>
      <c r="U176" s="393"/>
      <c r="V176" s="515"/>
    </row>
    <row r="177" spans="1:22" ht="34.9" customHeight="1" x14ac:dyDescent="0.25">
      <c r="A177" s="190">
        <v>176</v>
      </c>
      <c r="B177" s="191">
        <v>44927</v>
      </c>
      <c r="C177" s="190"/>
      <c r="D177" s="190"/>
      <c r="E177" s="250"/>
      <c r="F177" s="190"/>
      <c r="G177" s="190"/>
      <c r="H177" s="190"/>
      <c r="I177" s="190"/>
      <c r="J177" s="190"/>
      <c r="K177" s="190"/>
      <c r="L177" s="190"/>
      <c r="M177" s="190"/>
      <c r="N177" s="542"/>
      <c r="O177" s="485">
        <f t="shared" si="1"/>
        <v>0</v>
      </c>
      <c r="P177" s="392"/>
      <c r="Q177" s="393"/>
      <c r="R177" s="393"/>
      <c r="S177" s="393"/>
      <c r="T177" s="393"/>
      <c r="U177" s="393"/>
      <c r="V177" s="515"/>
    </row>
    <row r="178" spans="1:22" ht="34.9" customHeight="1" x14ac:dyDescent="0.25">
      <c r="A178" s="190">
        <v>177</v>
      </c>
      <c r="B178" s="191">
        <v>44928</v>
      </c>
      <c r="C178" s="190"/>
      <c r="D178" s="190"/>
      <c r="E178" s="250"/>
      <c r="F178" s="190"/>
      <c r="G178" s="190"/>
      <c r="H178" s="190"/>
      <c r="I178" s="190"/>
      <c r="J178" s="190"/>
      <c r="K178" s="190"/>
      <c r="L178" s="190"/>
      <c r="M178" s="190"/>
      <c r="N178" s="542"/>
      <c r="O178" s="485">
        <f t="shared" si="1"/>
        <v>0</v>
      </c>
      <c r="P178" s="392"/>
      <c r="Q178" s="393"/>
      <c r="R178" s="393"/>
      <c r="S178" s="393"/>
      <c r="T178" s="393"/>
      <c r="U178" s="393"/>
      <c r="V178" s="515"/>
    </row>
    <row r="179" spans="1:22" ht="34.9" customHeight="1" x14ac:dyDescent="0.25">
      <c r="A179" s="190">
        <v>178</v>
      </c>
      <c r="B179" s="191">
        <v>44929</v>
      </c>
      <c r="C179" s="190"/>
      <c r="D179" s="190"/>
      <c r="E179" s="250"/>
      <c r="F179" s="190"/>
      <c r="G179" s="190"/>
      <c r="H179" s="190"/>
      <c r="I179" s="190"/>
      <c r="J179" s="190"/>
      <c r="K179" s="190"/>
      <c r="L179" s="190"/>
      <c r="M179" s="190"/>
      <c r="N179" s="542"/>
      <c r="O179" s="485">
        <f t="shared" si="1"/>
        <v>0</v>
      </c>
      <c r="P179" s="392"/>
      <c r="Q179" s="393"/>
      <c r="R179" s="393"/>
      <c r="S179" s="393"/>
      <c r="T179" s="393"/>
      <c r="U179" s="393"/>
      <c r="V179" s="515"/>
    </row>
    <row r="180" spans="1:22" ht="34.9" customHeight="1" x14ac:dyDescent="0.25">
      <c r="A180" s="190">
        <v>179</v>
      </c>
      <c r="B180" s="191">
        <v>44930</v>
      </c>
      <c r="C180" s="190"/>
      <c r="D180" s="190"/>
      <c r="E180" s="250"/>
      <c r="F180" s="190"/>
      <c r="G180" s="190"/>
      <c r="H180" s="190"/>
      <c r="I180" s="190"/>
      <c r="J180" s="190"/>
      <c r="K180" s="190"/>
      <c r="L180" s="190"/>
      <c r="M180" s="190"/>
      <c r="N180" s="542"/>
      <c r="O180" s="485">
        <f t="shared" si="1"/>
        <v>0</v>
      </c>
      <c r="P180" s="392"/>
      <c r="Q180" s="393"/>
      <c r="R180" s="393"/>
      <c r="S180" s="393"/>
      <c r="T180" s="393"/>
      <c r="U180" s="393"/>
      <c r="V180" s="515"/>
    </row>
    <row r="181" spans="1:22" ht="34.9" customHeight="1" x14ac:dyDescent="0.25">
      <c r="A181" s="190">
        <v>180</v>
      </c>
      <c r="B181" s="191">
        <v>44931</v>
      </c>
      <c r="C181" s="190"/>
      <c r="D181" s="190"/>
      <c r="E181" s="250"/>
      <c r="F181" s="190"/>
      <c r="G181" s="190"/>
      <c r="H181" s="190"/>
      <c r="I181" s="190"/>
      <c r="J181" s="190"/>
      <c r="K181" s="190"/>
      <c r="L181" s="190"/>
      <c r="M181" s="190"/>
      <c r="N181" s="542"/>
      <c r="O181" s="485">
        <f t="shared" si="1"/>
        <v>0</v>
      </c>
      <c r="P181" s="392"/>
      <c r="Q181" s="393"/>
      <c r="R181" s="393"/>
      <c r="S181" s="393"/>
      <c r="T181" s="393"/>
      <c r="U181" s="393"/>
      <c r="V181" s="515"/>
    </row>
    <row r="182" spans="1:22" ht="34.9" customHeight="1" x14ac:dyDescent="0.25">
      <c r="A182" s="190">
        <v>181</v>
      </c>
      <c r="B182" s="191">
        <v>44932</v>
      </c>
      <c r="C182" s="190"/>
      <c r="D182" s="190"/>
      <c r="E182" s="250"/>
      <c r="F182" s="190"/>
      <c r="G182" s="190"/>
      <c r="H182" s="190"/>
      <c r="I182" s="190"/>
      <c r="J182" s="190"/>
      <c r="K182" s="190"/>
      <c r="L182" s="190"/>
      <c r="M182" s="190"/>
      <c r="N182" s="542"/>
      <c r="O182" s="485">
        <f t="shared" si="1"/>
        <v>0</v>
      </c>
      <c r="P182" s="392"/>
      <c r="Q182" s="393"/>
      <c r="R182" s="393"/>
      <c r="S182" s="393"/>
      <c r="T182" s="393"/>
      <c r="U182" s="393"/>
      <c r="V182" s="515"/>
    </row>
    <row r="183" spans="1:22" ht="34.9" customHeight="1" x14ac:dyDescent="0.25">
      <c r="A183" s="190">
        <v>182</v>
      </c>
      <c r="B183" s="191">
        <v>44933</v>
      </c>
      <c r="C183" s="190"/>
      <c r="D183" s="190"/>
      <c r="E183" s="250"/>
      <c r="F183" s="190"/>
      <c r="G183" s="190"/>
      <c r="H183" s="190"/>
      <c r="I183" s="190"/>
      <c r="J183" s="190"/>
      <c r="K183" s="190"/>
      <c r="L183" s="190"/>
      <c r="M183" s="190"/>
      <c r="N183" s="542"/>
      <c r="O183" s="485">
        <f t="shared" si="1"/>
        <v>0</v>
      </c>
      <c r="P183" s="392"/>
      <c r="Q183" s="393"/>
      <c r="R183" s="393"/>
      <c r="S183" s="393"/>
      <c r="T183" s="393"/>
      <c r="U183" s="393"/>
      <c r="V183" s="515"/>
    </row>
    <row r="184" spans="1:22" ht="34.9" customHeight="1" x14ac:dyDescent="0.25">
      <c r="A184" s="190">
        <v>183</v>
      </c>
      <c r="B184" s="191">
        <v>44934</v>
      </c>
      <c r="C184" s="190"/>
      <c r="D184" s="190"/>
      <c r="E184" s="250"/>
      <c r="F184" s="190"/>
      <c r="G184" s="190"/>
      <c r="H184" s="190"/>
      <c r="I184" s="190"/>
      <c r="J184" s="190"/>
      <c r="K184" s="190"/>
      <c r="L184" s="190"/>
      <c r="M184" s="190"/>
      <c r="N184" s="542"/>
      <c r="O184" s="485">
        <f t="shared" ref="O184:O247" si="2">SUM(G184:N184)+F184+D184</f>
        <v>0</v>
      </c>
      <c r="P184" s="392"/>
      <c r="Q184" s="393"/>
      <c r="R184" s="393"/>
      <c r="S184" s="393"/>
      <c r="T184" s="393"/>
      <c r="U184" s="393"/>
      <c r="V184" s="515"/>
    </row>
    <row r="185" spans="1:22" ht="34.9" customHeight="1" x14ac:dyDescent="0.25">
      <c r="A185" s="13">
        <v>184</v>
      </c>
      <c r="B185" s="95">
        <v>44935</v>
      </c>
      <c r="C185" s="13">
        <v>168</v>
      </c>
      <c r="D185" s="485"/>
      <c r="E185" s="90"/>
      <c r="F185" s="13"/>
      <c r="G185" s="13"/>
      <c r="H185" s="13"/>
      <c r="I185" s="13">
        <v>15</v>
      </c>
      <c r="J185" s="13">
        <v>604</v>
      </c>
      <c r="K185" s="13"/>
      <c r="L185" s="13"/>
      <c r="M185" s="13">
        <v>214</v>
      </c>
      <c r="N185" s="540"/>
      <c r="O185" s="485">
        <f t="shared" si="2"/>
        <v>833</v>
      </c>
      <c r="P185" s="387"/>
      <c r="Q185" s="389"/>
      <c r="R185" s="389"/>
      <c r="S185" s="389"/>
      <c r="T185" s="389"/>
      <c r="U185" s="389"/>
      <c r="V185" s="515"/>
    </row>
    <row r="186" spans="1:22" ht="34.9" customHeight="1" x14ac:dyDescent="0.25">
      <c r="A186" s="13">
        <v>185</v>
      </c>
      <c r="B186" s="95">
        <v>44936</v>
      </c>
      <c r="C186" s="13">
        <v>95</v>
      </c>
      <c r="D186" s="485"/>
      <c r="E186" s="312" t="s">
        <v>343</v>
      </c>
      <c r="F186" s="311">
        <v>10.75</v>
      </c>
      <c r="G186" s="13"/>
      <c r="H186" s="13"/>
      <c r="I186" s="13"/>
      <c r="J186" s="13"/>
      <c r="K186" s="13"/>
      <c r="L186" s="13">
        <v>60</v>
      </c>
      <c r="M186" s="13"/>
      <c r="N186" s="540"/>
      <c r="O186" s="485">
        <f t="shared" si="2"/>
        <v>70.75</v>
      </c>
      <c r="P186" s="387"/>
      <c r="Q186" s="389"/>
      <c r="R186" s="389"/>
      <c r="S186" s="389"/>
      <c r="T186" s="389"/>
      <c r="U186" s="389"/>
      <c r="V186" s="515"/>
    </row>
    <row r="187" spans="1:22" ht="34.9" customHeight="1" x14ac:dyDescent="0.25">
      <c r="A187" s="13">
        <v>186</v>
      </c>
      <c r="B187" s="95">
        <v>44937</v>
      </c>
      <c r="C187" s="13"/>
      <c r="D187" s="485"/>
      <c r="E187" s="90"/>
      <c r="F187" s="13"/>
      <c r="G187" s="13"/>
      <c r="H187" s="13"/>
      <c r="I187" s="13">
        <v>183.9</v>
      </c>
      <c r="J187" s="13"/>
      <c r="K187" s="13"/>
      <c r="L187" s="13"/>
      <c r="M187" s="13">
        <v>15</v>
      </c>
      <c r="N187" s="540"/>
      <c r="O187" s="485">
        <f t="shared" si="2"/>
        <v>198.9</v>
      </c>
      <c r="P187" s="387"/>
      <c r="Q187" s="389"/>
      <c r="R187" s="389"/>
      <c r="S187" s="389"/>
      <c r="T187" s="389"/>
      <c r="U187" s="389"/>
      <c r="V187" s="515"/>
    </row>
    <row r="188" spans="1:22" ht="34.9" customHeight="1" x14ac:dyDescent="0.25">
      <c r="A188" s="13">
        <v>187</v>
      </c>
      <c r="B188" s="95">
        <v>44938</v>
      </c>
      <c r="C188" s="13"/>
      <c r="D188" s="485"/>
      <c r="E188" s="90"/>
      <c r="F188" s="13"/>
      <c r="G188" s="13"/>
      <c r="H188" s="13"/>
      <c r="I188" s="13">
        <v>107</v>
      </c>
      <c r="J188" s="13">
        <v>204</v>
      </c>
      <c r="K188" s="13"/>
      <c r="L188" s="13"/>
      <c r="M188" s="13">
        <v>105</v>
      </c>
      <c r="N188" s="540"/>
      <c r="O188" s="485">
        <f t="shared" si="2"/>
        <v>416</v>
      </c>
      <c r="P188" s="387"/>
      <c r="Q188" s="389"/>
      <c r="R188" s="389"/>
      <c r="S188" s="389"/>
      <c r="T188" s="389"/>
      <c r="U188" s="389"/>
      <c r="V188" s="515"/>
    </row>
    <row r="189" spans="1:22" ht="34.9" customHeight="1" x14ac:dyDescent="0.25">
      <c r="A189" s="13">
        <v>188</v>
      </c>
      <c r="B189" s="95">
        <v>44939</v>
      </c>
      <c r="C189" s="13"/>
      <c r="D189" s="485"/>
      <c r="E189" s="90"/>
      <c r="F189" s="13"/>
      <c r="G189" s="13">
        <v>46.7</v>
      </c>
      <c r="H189" s="13"/>
      <c r="I189" s="13"/>
      <c r="J189" s="13">
        <v>298</v>
      </c>
      <c r="K189" s="13"/>
      <c r="L189" s="13"/>
      <c r="M189" s="13">
        <v>353</v>
      </c>
      <c r="N189" s="540"/>
      <c r="O189" s="485">
        <f t="shared" si="2"/>
        <v>697.7</v>
      </c>
      <c r="P189" s="387"/>
      <c r="Q189" s="389"/>
      <c r="R189" s="389"/>
      <c r="S189" s="389"/>
      <c r="T189" s="389"/>
      <c r="U189" s="389"/>
      <c r="V189" s="515"/>
    </row>
    <row r="190" spans="1:22" ht="34.9" customHeight="1" x14ac:dyDescent="0.25">
      <c r="A190" s="13">
        <v>189</v>
      </c>
      <c r="B190" s="95">
        <v>44940</v>
      </c>
      <c r="C190" s="13"/>
      <c r="D190" s="485"/>
      <c r="E190" s="90" t="s">
        <v>348</v>
      </c>
      <c r="F190" s="13">
        <v>5</v>
      </c>
      <c r="G190" s="13"/>
      <c r="H190" s="13"/>
      <c r="I190" s="13"/>
      <c r="J190" s="13"/>
      <c r="K190" s="13"/>
      <c r="L190" s="13">
        <v>10</v>
      </c>
      <c r="M190" s="13">
        <v>325</v>
      </c>
      <c r="N190" s="540"/>
      <c r="O190" s="485">
        <f t="shared" si="2"/>
        <v>340</v>
      </c>
      <c r="P190" s="387"/>
      <c r="Q190" s="389"/>
      <c r="R190" s="389"/>
      <c r="S190" s="389"/>
      <c r="T190" s="389"/>
      <c r="U190" s="389"/>
      <c r="V190" s="515"/>
    </row>
    <row r="191" spans="1:22" ht="34.9" customHeight="1" x14ac:dyDescent="0.25">
      <c r="A191" s="190">
        <v>190</v>
      </c>
      <c r="B191" s="191">
        <v>44941</v>
      </c>
      <c r="C191" s="190"/>
      <c r="D191" s="190"/>
      <c r="E191" s="250"/>
      <c r="F191" s="190"/>
      <c r="G191" s="190"/>
      <c r="H191" s="190"/>
      <c r="I191" s="190"/>
      <c r="J191" s="190"/>
      <c r="K191" s="190"/>
      <c r="L191" s="190"/>
      <c r="M191" s="190"/>
      <c r="N191" s="542"/>
      <c r="O191" s="485">
        <f t="shared" si="2"/>
        <v>0</v>
      </c>
      <c r="P191" s="392"/>
      <c r="Q191" s="393"/>
      <c r="R191" s="393"/>
      <c r="S191" s="393"/>
      <c r="T191" s="393"/>
      <c r="U191" s="393"/>
      <c r="V191" s="515"/>
    </row>
    <row r="192" spans="1:22" ht="34.9" customHeight="1" x14ac:dyDescent="0.25">
      <c r="A192" s="13">
        <v>191</v>
      </c>
      <c r="B192" s="95">
        <v>44942</v>
      </c>
      <c r="C192" s="315">
        <v>286</v>
      </c>
      <c r="D192" s="485"/>
      <c r="E192" s="316"/>
      <c r="F192" s="315"/>
      <c r="G192" s="315"/>
      <c r="H192" s="315"/>
      <c r="I192" s="315">
        <v>106</v>
      </c>
      <c r="J192" s="315">
        <v>213</v>
      </c>
      <c r="K192" s="315"/>
      <c r="L192" s="315">
        <v>26</v>
      </c>
      <c r="M192" s="315">
        <v>941</v>
      </c>
      <c r="N192" s="540"/>
      <c r="O192" s="485">
        <f t="shared" si="2"/>
        <v>1286</v>
      </c>
      <c r="P192" s="387"/>
      <c r="Q192" s="389"/>
      <c r="R192" s="389"/>
      <c r="S192" s="389"/>
      <c r="T192" s="389"/>
      <c r="U192" s="389"/>
      <c r="V192" s="515"/>
    </row>
    <row r="193" spans="1:22" ht="34.9" customHeight="1" x14ac:dyDescent="0.25">
      <c r="A193" s="13">
        <v>192</v>
      </c>
      <c r="B193" s="95">
        <v>44943</v>
      </c>
      <c r="C193" s="315"/>
      <c r="D193" s="485"/>
      <c r="E193" s="316"/>
      <c r="F193" s="315"/>
      <c r="G193" s="315"/>
      <c r="H193" s="315"/>
      <c r="I193" s="315"/>
      <c r="J193" s="315">
        <v>182</v>
      </c>
      <c r="K193" s="315"/>
      <c r="L193" s="315"/>
      <c r="M193" s="315">
        <v>972</v>
      </c>
      <c r="N193" s="540"/>
      <c r="O193" s="485">
        <f t="shared" si="2"/>
        <v>1154</v>
      </c>
      <c r="P193" s="387"/>
      <c r="Q193" s="389"/>
      <c r="R193" s="389"/>
      <c r="S193" s="389"/>
      <c r="T193" s="389"/>
      <c r="U193" s="389"/>
      <c r="V193" s="515"/>
    </row>
    <row r="194" spans="1:22" ht="127.5" customHeight="1" x14ac:dyDescent="0.25">
      <c r="A194" s="13">
        <v>193</v>
      </c>
      <c r="B194" s="95">
        <v>44944</v>
      </c>
      <c r="C194" s="13"/>
      <c r="D194" s="485"/>
      <c r="E194" s="90" t="s">
        <v>344</v>
      </c>
      <c r="F194" s="13">
        <f>345+710+100+106+100+40</f>
        <v>1401</v>
      </c>
      <c r="G194" s="13"/>
      <c r="H194" s="13"/>
      <c r="I194" s="13"/>
      <c r="J194" s="13">
        <v>832</v>
      </c>
      <c r="K194" s="13"/>
      <c r="L194" s="13"/>
      <c r="M194" s="13">
        <v>284</v>
      </c>
      <c r="N194" s="540"/>
      <c r="O194" s="485">
        <f t="shared" si="2"/>
        <v>2517</v>
      </c>
      <c r="P194" s="387"/>
      <c r="Q194" s="389"/>
      <c r="R194" s="389"/>
      <c r="S194" s="389"/>
      <c r="T194" s="389"/>
      <c r="U194" s="389"/>
      <c r="V194" s="515"/>
    </row>
    <row r="195" spans="1:22" ht="34.9" customHeight="1" x14ac:dyDescent="0.25">
      <c r="A195" s="13">
        <v>194</v>
      </c>
      <c r="B195" s="95">
        <v>44945</v>
      </c>
      <c r="C195" s="13"/>
      <c r="D195" s="485"/>
      <c r="E195" s="90" t="s">
        <v>330</v>
      </c>
      <c r="F195" s="13">
        <v>150</v>
      </c>
      <c r="G195" s="13"/>
      <c r="H195" s="13"/>
      <c r="I195" s="13">
        <v>1</v>
      </c>
      <c r="J195" s="13">
        <v>469</v>
      </c>
      <c r="K195" s="13"/>
      <c r="L195" s="13"/>
      <c r="M195" s="13">
        <v>398</v>
      </c>
      <c r="N195" s="540"/>
      <c r="O195" s="485">
        <f t="shared" si="2"/>
        <v>1018</v>
      </c>
      <c r="P195" s="387"/>
      <c r="Q195" s="389"/>
      <c r="R195" s="389"/>
      <c r="S195" s="389"/>
      <c r="T195" s="389"/>
      <c r="U195" s="389"/>
      <c r="V195" s="515"/>
    </row>
    <row r="196" spans="1:22" ht="34.9" customHeight="1" x14ac:dyDescent="0.25">
      <c r="A196" s="13">
        <v>195</v>
      </c>
      <c r="B196" s="95">
        <v>44946</v>
      </c>
      <c r="C196" s="13"/>
      <c r="D196" s="485"/>
      <c r="E196" s="90" t="s">
        <v>346</v>
      </c>
      <c r="F196" s="13">
        <v>5.49</v>
      </c>
      <c r="G196" s="13"/>
      <c r="H196" s="13"/>
      <c r="I196" s="13"/>
      <c r="J196" s="13">
        <v>83</v>
      </c>
      <c r="K196" s="13"/>
      <c r="L196" s="13"/>
      <c r="M196" s="13">
        <v>164</v>
      </c>
      <c r="N196" s="540"/>
      <c r="O196" s="485">
        <f t="shared" si="2"/>
        <v>252.49</v>
      </c>
      <c r="P196" s="387"/>
      <c r="Q196" s="389"/>
      <c r="R196" s="389"/>
      <c r="S196" s="389"/>
      <c r="T196" s="389"/>
      <c r="U196" s="389"/>
      <c r="V196" s="515"/>
    </row>
    <row r="197" spans="1:22" ht="34.9" customHeight="1" x14ac:dyDescent="0.25">
      <c r="A197" s="13">
        <v>196</v>
      </c>
      <c r="B197" s="95">
        <v>44947</v>
      </c>
      <c r="C197" s="13">
        <v>73</v>
      </c>
      <c r="D197" s="485"/>
      <c r="E197" s="90"/>
      <c r="F197" s="13"/>
      <c r="G197" s="13">
        <v>71</v>
      </c>
      <c r="H197" s="13"/>
      <c r="I197" s="13">
        <v>1.8</v>
      </c>
      <c r="J197" s="13"/>
      <c r="K197" s="13"/>
      <c r="L197" s="13">
        <v>10.199999999999999</v>
      </c>
      <c r="M197" s="13">
        <v>188</v>
      </c>
      <c r="N197" s="540"/>
      <c r="O197" s="485">
        <f t="shared" si="2"/>
        <v>271</v>
      </c>
      <c r="P197" s="387"/>
      <c r="Q197" s="389"/>
      <c r="R197" s="389"/>
      <c r="S197" s="389"/>
      <c r="T197" s="389"/>
      <c r="U197" s="389"/>
      <c r="V197" s="515"/>
    </row>
    <row r="198" spans="1:22" ht="34.9" customHeight="1" x14ac:dyDescent="0.25">
      <c r="A198" s="190">
        <v>197</v>
      </c>
      <c r="B198" s="191">
        <v>44948</v>
      </c>
      <c r="C198" s="190"/>
      <c r="D198" s="190"/>
      <c r="E198" s="250"/>
      <c r="F198" s="190"/>
      <c r="G198" s="190"/>
      <c r="H198" s="190"/>
      <c r="I198" s="190"/>
      <c r="J198" s="190"/>
      <c r="K198" s="190"/>
      <c r="L198" s="190"/>
      <c r="M198" s="190"/>
      <c r="N198" s="542"/>
      <c r="O198" s="485">
        <f t="shared" si="2"/>
        <v>0</v>
      </c>
      <c r="P198" s="392"/>
      <c r="Q198" s="393"/>
      <c r="R198" s="393"/>
      <c r="S198" s="393"/>
      <c r="T198" s="393"/>
      <c r="U198" s="393"/>
      <c r="V198" s="515"/>
    </row>
    <row r="199" spans="1:22" ht="34.9" customHeight="1" x14ac:dyDescent="0.25">
      <c r="A199" s="13">
        <v>198</v>
      </c>
      <c r="B199" s="95">
        <v>44949</v>
      </c>
      <c r="C199" s="13"/>
      <c r="D199" s="485"/>
      <c r="E199" s="90"/>
      <c r="F199" s="13"/>
      <c r="G199" s="13"/>
      <c r="H199" s="13"/>
      <c r="I199" s="13">
        <v>30</v>
      </c>
      <c r="J199" s="13">
        <v>1117</v>
      </c>
      <c r="K199" s="13"/>
      <c r="L199" s="13"/>
      <c r="M199" s="13">
        <v>270</v>
      </c>
      <c r="N199" s="540"/>
      <c r="O199" s="485">
        <f t="shared" si="2"/>
        <v>1417</v>
      </c>
      <c r="P199" s="387"/>
      <c r="Q199" s="389"/>
      <c r="R199" s="389"/>
      <c r="S199" s="389"/>
      <c r="T199" s="389"/>
      <c r="U199" s="389"/>
      <c r="V199" s="515"/>
    </row>
    <row r="200" spans="1:22" ht="34.9" customHeight="1" x14ac:dyDescent="0.25">
      <c r="A200" s="13">
        <v>199</v>
      </c>
      <c r="B200" s="95">
        <v>44950</v>
      </c>
      <c r="C200" s="13">
        <v>97</v>
      </c>
      <c r="D200" s="485"/>
      <c r="E200" s="90" t="s">
        <v>347</v>
      </c>
      <c r="F200" s="13">
        <v>370</v>
      </c>
      <c r="G200" s="13"/>
      <c r="H200" s="13"/>
      <c r="I200" s="13">
        <v>154</v>
      </c>
      <c r="J200" s="13">
        <v>34</v>
      </c>
      <c r="K200" s="13"/>
      <c r="L200" s="13"/>
      <c r="M200" s="13">
        <v>391</v>
      </c>
      <c r="N200" s="540">
        <v>10</v>
      </c>
      <c r="O200" s="485">
        <f t="shared" si="2"/>
        <v>959</v>
      </c>
      <c r="P200" s="387"/>
      <c r="Q200" s="389"/>
      <c r="R200" s="389"/>
      <c r="S200" s="389"/>
      <c r="T200" s="389"/>
      <c r="U200" s="389"/>
      <c r="V200" s="515"/>
    </row>
    <row r="201" spans="1:22" ht="34.9" customHeight="1" x14ac:dyDescent="0.25">
      <c r="A201" s="13">
        <v>200</v>
      </c>
      <c r="B201" s="95">
        <v>44951</v>
      </c>
      <c r="C201" s="13">
        <v>263</v>
      </c>
      <c r="D201" s="485"/>
      <c r="E201" s="90"/>
      <c r="F201" s="13"/>
      <c r="G201" s="13"/>
      <c r="H201" s="13"/>
      <c r="I201" s="13">
        <v>15</v>
      </c>
      <c r="J201" s="13">
        <v>11</v>
      </c>
      <c r="K201" s="13"/>
      <c r="L201" s="13"/>
      <c r="M201" s="13">
        <v>255</v>
      </c>
      <c r="N201" s="540"/>
      <c r="O201" s="485">
        <f t="shared" si="2"/>
        <v>281</v>
      </c>
      <c r="P201" s="387"/>
      <c r="Q201" s="389"/>
      <c r="R201" s="389"/>
      <c r="S201" s="389"/>
      <c r="T201" s="389"/>
      <c r="U201" s="389"/>
      <c r="V201" s="515"/>
    </row>
    <row r="202" spans="1:22" ht="34.9" customHeight="1" x14ac:dyDescent="0.25">
      <c r="A202" s="13">
        <v>201</v>
      </c>
      <c r="B202" s="95">
        <v>44952</v>
      </c>
      <c r="C202" s="13">
        <v>5</v>
      </c>
      <c r="D202" s="485"/>
      <c r="E202" s="90"/>
      <c r="F202" s="13"/>
      <c r="G202" s="13"/>
      <c r="H202" s="13"/>
      <c r="I202" s="13">
        <v>1</v>
      </c>
      <c r="J202" s="13"/>
      <c r="K202" s="13"/>
      <c r="L202" s="13"/>
      <c r="M202" s="13">
        <v>816</v>
      </c>
      <c r="N202" s="540"/>
      <c r="O202" s="485">
        <f t="shared" si="2"/>
        <v>817</v>
      </c>
      <c r="P202" s="387"/>
      <c r="Q202" s="389"/>
      <c r="R202" s="389"/>
      <c r="S202" s="389"/>
      <c r="T202" s="389"/>
      <c r="U202" s="389"/>
      <c r="V202" s="515"/>
    </row>
    <row r="203" spans="1:22" ht="34.9" customHeight="1" x14ac:dyDescent="0.25">
      <c r="A203" s="13">
        <v>202</v>
      </c>
      <c r="B203" s="95">
        <v>44953</v>
      </c>
      <c r="C203" s="13"/>
      <c r="D203" s="485"/>
      <c r="E203" s="90"/>
      <c r="F203" s="13"/>
      <c r="G203" s="13"/>
      <c r="H203" s="13"/>
      <c r="I203" s="13"/>
      <c r="J203" s="13">
        <v>291</v>
      </c>
      <c r="K203" s="13"/>
      <c r="L203" s="13"/>
      <c r="M203" s="13">
        <v>574</v>
      </c>
      <c r="N203" s="540"/>
      <c r="O203" s="485">
        <f t="shared" si="2"/>
        <v>865</v>
      </c>
      <c r="P203" s="387"/>
      <c r="Q203" s="389"/>
      <c r="R203" s="389"/>
      <c r="S203" s="389"/>
      <c r="T203" s="389"/>
      <c r="U203" s="389"/>
      <c r="V203" s="515"/>
    </row>
    <row r="204" spans="1:22" ht="34.9" customHeight="1" x14ac:dyDescent="0.25">
      <c r="A204" s="13">
        <v>203</v>
      </c>
      <c r="B204" s="95">
        <v>44954</v>
      </c>
      <c r="C204" s="13"/>
      <c r="D204" s="485"/>
      <c r="E204" s="90"/>
      <c r="F204" s="13"/>
      <c r="G204" s="13"/>
      <c r="H204" s="13"/>
      <c r="I204" s="13">
        <v>126</v>
      </c>
      <c r="J204" s="13"/>
      <c r="K204" s="13"/>
      <c r="L204" s="13"/>
      <c r="M204" s="13">
        <v>149</v>
      </c>
      <c r="N204" s="540"/>
      <c r="O204" s="485">
        <f t="shared" si="2"/>
        <v>275</v>
      </c>
      <c r="P204" s="387"/>
      <c r="Q204" s="389"/>
      <c r="R204" s="389"/>
      <c r="S204" s="389"/>
      <c r="T204" s="389"/>
      <c r="U204" s="389"/>
      <c r="V204" s="515"/>
    </row>
    <row r="205" spans="1:22" ht="34.9" customHeight="1" x14ac:dyDescent="0.25">
      <c r="A205" s="190">
        <v>204</v>
      </c>
      <c r="B205" s="191">
        <v>44955</v>
      </c>
      <c r="C205" s="190"/>
      <c r="D205" s="190"/>
      <c r="E205" s="250"/>
      <c r="F205" s="190"/>
      <c r="G205" s="190"/>
      <c r="H205" s="190"/>
      <c r="I205" s="190"/>
      <c r="J205" s="190"/>
      <c r="K205" s="190"/>
      <c r="L205" s="190"/>
      <c r="M205" s="190"/>
      <c r="N205" s="542"/>
      <c r="O205" s="485">
        <f t="shared" si="2"/>
        <v>0</v>
      </c>
      <c r="P205" s="392"/>
      <c r="Q205" s="393"/>
      <c r="R205" s="393"/>
      <c r="S205" s="393"/>
      <c r="T205" s="393"/>
      <c r="U205" s="393"/>
      <c r="V205" s="515"/>
    </row>
    <row r="206" spans="1:22" ht="34.9" customHeight="1" x14ac:dyDescent="0.25">
      <c r="A206" s="13">
        <v>205</v>
      </c>
      <c r="B206" s="95">
        <v>44956</v>
      </c>
      <c r="C206" s="13">
        <f>159-26</f>
        <v>133</v>
      </c>
      <c r="D206" s="485"/>
      <c r="E206" s="90" t="s">
        <v>350</v>
      </c>
      <c r="F206" s="13">
        <v>40</v>
      </c>
      <c r="G206" s="13">
        <v>1</v>
      </c>
      <c r="H206" s="13"/>
      <c r="I206" s="13"/>
      <c r="J206" s="13">
        <v>95</v>
      </c>
      <c r="K206" s="13"/>
      <c r="L206" s="13"/>
      <c r="M206" s="13">
        <v>665</v>
      </c>
      <c r="N206" s="540"/>
      <c r="O206" s="485">
        <f t="shared" si="2"/>
        <v>801</v>
      </c>
      <c r="P206" s="387"/>
      <c r="Q206" s="389"/>
      <c r="R206" s="389"/>
      <c r="S206" s="389"/>
      <c r="T206" s="389"/>
      <c r="U206" s="389"/>
      <c r="V206" s="515"/>
    </row>
    <row r="207" spans="1:22" ht="34.9" customHeight="1" x14ac:dyDescent="0.25">
      <c r="A207" s="13">
        <v>206</v>
      </c>
      <c r="B207" s="95">
        <v>44957</v>
      </c>
      <c r="C207" s="13"/>
      <c r="D207" s="485"/>
      <c r="E207" s="90" t="s">
        <v>349</v>
      </c>
      <c r="F207" s="13">
        <v>26</v>
      </c>
      <c r="G207" s="13"/>
      <c r="H207" s="13"/>
      <c r="I207" s="13">
        <v>104</v>
      </c>
      <c r="J207" s="13">
        <v>138</v>
      </c>
      <c r="K207" s="13"/>
      <c r="L207" s="13"/>
      <c r="M207" s="13">
        <v>9</v>
      </c>
      <c r="N207" s="540"/>
      <c r="O207" s="485">
        <f t="shared" si="2"/>
        <v>277</v>
      </c>
      <c r="P207" s="387"/>
      <c r="Q207" s="389"/>
      <c r="R207" s="389"/>
      <c r="S207" s="389"/>
      <c r="T207" s="389"/>
      <c r="U207" s="389"/>
      <c r="V207" s="515"/>
    </row>
    <row r="208" spans="1:22" ht="34.9" customHeight="1" x14ac:dyDescent="0.25">
      <c r="A208" s="13">
        <v>207</v>
      </c>
      <c r="B208" s="95">
        <v>44958</v>
      </c>
      <c r="C208" s="13">
        <v>46</v>
      </c>
      <c r="D208" s="485"/>
      <c r="E208" s="90"/>
      <c r="F208" s="13"/>
      <c r="G208" s="13"/>
      <c r="H208" s="13">
        <v>132</v>
      </c>
      <c r="I208" s="13"/>
      <c r="J208" s="13">
        <v>144</v>
      </c>
      <c r="K208" s="13"/>
      <c r="L208" s="13"/>
      <c r="M208" s="13">
        <v>23</v>
      </c>
      <c r="N208" s="540"/>
      <c r="O208" s="485">
        <f t="shared" si="2"/>
        <v>299</v>
      </c>
      <c r="P208" s="387"/>
      <c r="Q208" s="389"/>
      <c r="R208" s="389"/>
      <c r="S208" s="389"/>
      <c r="T208" s="389"/>
      <c r="U208" s="389"/>
      <c r="V208" s="515"/>
    </row>
    <row r="209" spans="1:22" ht="34.9" customHeight="1" x14ac:dyDescent="0.25">
      <c r="A209" s="13">
        <v>208</v>
      </c>
      <c r="B209" s="95">
        <v>44959</v>
      </c>
      <c r="C209" s="13"/>
      <c r="D209" s="485"/>
      <c r="E209" s="90"/>
      <c r="F209" s="13"/>
      <c r="G209" s="13"/>
      <c r="H209" s="13"/>
      <c r="I209" s="13">
        <v>34</v>
      </c>
      <c r="J209" s="13">
        <v>279</v>
      </c>
      <c r="K209" s="13"/>
      <c r="L209" s="13"/>
      <c r="M209" s="13">
        <v>186</v>
      </c>
      <c r="N209" s="540"/>
      <c r="O209" s="485">
        <f t="shared" si="2"/>
        <v>499</v>
      </c>
      <c r="P209" s="387"/>
      <c r="Q209" s="389"/>
      <c r="R209" s="389"/>
      <c r="S209" s="389"/>
      <c r="T209" s="389"/>
      <c r="U209" s="389"/>
      <c r="V209" s="515"/>
    </row>
    <row r="210" spans="1:22" ht="34.9" customHeight="1" x14ac:dyDescent="0.25">
      <c r="A210" s="13">
        <v>209</v>
      </c>
      <c r="B210" s="95">
        <v>44960</v>
      </c>
      <c r="C210" s="13"/>
      <c r="D210" s="485"/>
      <c r="E210" s="90"/>
      <c r="F210" s="13"/>
      <c r="G210" s="13"/>
      <c r="H210" s="13"/>
      <c r="I210" s="13">
        <v>15</v>
      </c>
      <c r="J210" s="13">
        <v>9</v>
      </c>
      <c r="K210" s="13"/>
      <c r="L210" s="13"/>
      <c r="M210" s="13">
        <v>393</v>
      </c>
      <c r="N210" s="540"/>
      <c r="O210" s="485">
        <f t="shared" si="2"/>
        <v>417</v>
      </c>
      <c r="P210" s="387"/>
      <c r="Q210" s="389"/>
      <c r="R210" s="389"/>
      <c r="S210" s="389"/>
      <c r="T210" s="389"/>
      <c r="U210" s="389"/>
      <c r="V210" s="515"/>
    </row>
    <row r="211" spans="1:22" ht="34.9" customHeight="1" x14ac:dyDescent="0.25">
      <c r="A211" s="13">
        <v>210</v>
      </c>
      <c r="B211" s="95">
        <v>44961</v>
      </c>
      <c r="C211" s="13">
        <v>130</v>
      </c>
      <c r="D211" s="485"/>
      <c r="E211" s="90"/>
      <c r="F211" s="13"/>
      <c r="G211" s="13"/>
      <c r="H211" s="13"/>
      <c r="I211" s="13">
        <v>58</v>
      </c>
      <c r="J211" s="13"/>
      <c r="K211" s="13"/>
      <c r="L211" s="13"/>
      <c r="M211" s="13">
        <v>231</v>
      </c>
      <c r="N211" s="540"/>
      <c r="O211" s="485">
        <f t="shared" si="2"/>
        <v>289</v>
      </c>
      <c r="P211" s="387"/>
      <c r="Q211" s="389"/>
      <c r="R211" s="389"/>
      <c r="S211" s="389"/>
      <c r="T211" s="389"/>
      <c r="U211" s="389"/>
      <c r="V211" s="515"/>
    </row>
    <row r="212" spans="1:22" ht="34.9" customHeight="1" x14ac:dyDescent="0.25">
      <c r="A212" s="190">
        <v>211</v>
      </c>
      <c r="B212" s="191">
        <v>44962</v>
      </c>
      <c r="C212" s="190"/>
      <c r="D212" s="190"/>
      <c r="E212" s="250"/>
      <c r="F212" s="190"/>
      <c r="G212" s="190"/>
      <c r="H212" s="190"/>
      <c r="I212" s="190"/>
      <c r="J212" s="190"/>
      <c r="K212" s="190"/>
      <c r="L212" s="190"/>
      <c r="M212" s="190"/>
      <c r="N212" s="542"/>
      <c r="O212" s="485">
        <f t="shared" si="2"/>
        <v>0</v>
      </c>
      <c r="P212" s="392"/>
      <c r="Q212" s="393"/>
      <c r="R212" s="393"/>
      <c r="S212" s="393"/>
      <c r="T212" s="393"/>
      <c r="U212" s="393"/>
      <c r="V212" s="515"/>
    </row>
    <row r="213" spans="1:22" ht="34.9" customHeight="1" x14ac:dyDescent="0.25">
      <c r="A213" s="320">
        <v>212</v>
      </c>
      <c r="B213" s="323">
        <v>44963</v>
      </c>
      <c r="C213" s="320"/>
      <c r="D213" s="484"/>
      <c r="E213" s="319"/>
      <c r="F213" s="320"/>
      <c r="G213" s="320"/>
      <c r="H213" s="320"/>
      <c r="I213" s="320"/>
      <c r="J213" s="320">
        <v>82</v>
      </c>
      <c r="K213" s="320"/>
      <c r="L213" s="320"/>
      <c r="M213" s="320">
        <v>1141</v>
      </c>
      <c r="N213" s="543"/>
      <c r="O213" s="485">
        <f t="shared" si="2"/>
        <v>1223</v>
      </c>
      <c r="P213" s="387"/>
      <c r="Q213" s="389"/>
      <c r="R213" s="389"/>
      <c r="S213" s="389"/>
      <c r="T213" s="389"/>
      <c r="U213" s="389"/>
      <c r="V213" s="515"/>
    </row>
    <row r="214" spans="1:22" ht="34.9" customHeight="1" x14ac:dyDescent="0.25">
      <c r="A214" s="13">
        <v>213</v>
      </c>
      <c r="B214" s="95">
        <v>44964</v>
      </c>
      <c r="C214" s="321">
        <v>147</v>
      </c>
      <c r="D214" s="485"/>
      <c r="E214" s="322"/>
      <c r="F214" s="321"/>
      <c r="G214" s="321"/>
      <c r="H214" s="321"/>
      <c r="I214" s="321">
        <v>506</v>
      </c>
      <c r="J214" s="321">
        <v>98</v>
      </c>
      <c r="K214" s="321"/>
      <c r="L214" s="321"/>
      <c r="M214" s="321">
        <v>778</v>
      </c>
      <c r="N214" s="540"/>
      <c r="O214" s="485">
        <f t="shared" si="2"/>
        <v>1382</v>
      </c>
      <c r="P214" s="387"/>
      <c r="Q214" s="389"/>
      <c r="R214" s="389"/>
      <c r="S214" s="389"/>
      <c r="T214" s="389"/>
      <c r="U214" s="389"/>
      <c r="V214" s="515"/>
    </row>
    <row r="215" spans="1:22" ht="144.75" customHeight="1" x14ac:dyDescent="0.25">
      <c r="A215" s="13">
        <v>214</v>
      </c>
      <c r="B215" s="95">
        <v>44965</v>
      </c>
      <c r="C215" s="321"/>
      <c r="D215" s="485"/>
      <c r="E215" s="322" t="s">
        <v>364</v>
      </c>
      <c r="F215" s="321">
        <f>8+130+46+30+476+151</f>
        <v>841</v>
      </c>
      <c r="G215" s="321"/>
      <c r="H215" s="321"/>
      <c r="I215" s="321"/>
      <c r="J215" s="321">
        <v>39</v>
      </c>
      <c r="K215" s="321"/>
      <c r="L215" s="321"/>
      <c r="M215" s="321">
        <v>409</v>
      </c>
      <c r="N215" s="540"/>
      <c r="O215" s="485">
        <f t="shared" si="2"/>
        <v>1289</v>
      </c>
      <c r="P215" s="387"/>
      <c r="Q215" s="389"/>
      <c r="R215" s="389"/>
      <c r="S215" s="389"/>
      <c r="T215" s="389"/>
      <c r="U215" s="389"/>
      <c r="V215" s="515"/>
    </row>
    <row r="216" spans="1:22" ht="39" customHeight="1" x14ac:dyDescent="0.25">
      <c r="A216" s="13">
        <v>215</v>
      </c>
      <c r="B216" s="95">
        <v>44966</v>
      </c>
      <c r="C216" s="13">
        <v>60</v>
      </c>
      <c r="D216" s="485"/>
      <c r="E216" s="90"/>
      <c r="F216" s="13"/>
      <c r="G216" s="13"/>
      <c r="H216" s="13"/>
      <c r="I216" s="13">
        <v>149</v>
      </c>
      <c r="J216" s="13">
        <v>364</v>
      </c>
      <c r="K216" s="13"/>
      <c r="L216" s="13"/>
      <c r="M216" s="13">
        <v>35</v>
      </c>
      <c r="N216" s="540"/>
      <c r="O216" s="485">
        <f t="shared" si="2"/>
        <v>548</v>
      </c>
      <c r="P216" s="387"/>
      <c r="Q216" s="389"/>
      <c r="R216" s="389"/>
      <c r="S216" s="389"/>
      <c r="T216" s="389"/>
      <c r="U216" s="389"/>
      <c r="V216" s="515"/>
    </row>
    <row r="217" spans="1:22" ht="34.9" customHeight="1" x14ac:dyDescent="0.25">
      <c r="A217" s="13">
        <v>216</v>
      </c>
      <c r="B217" s="95">
        <v>44967</v>
      </c>
      <c r="C217" s="13"/>
      <c r="D217" s="485"/>
      <c r="E217" s="90"/>
      <c r="F217" s="13"/>
      <c r="G217" s="13"/>
      <c r="H217" s="13"/>
      <c r="I217" s="13">
        <v>5</v>
      </c>
      <c r="J217" s="13">
        <v>106</v>
      </c>
      <c r="K217" s="13"/>
      <c r="L217" s="13"/>
      <c r="M217" s="13">
        <v>158</v>
      </c>
      <c r="N217" s="540"/>
      <c r="O217" s="485">
        <f t="shared" si="2"/>
        <v>269</v>
      </c>
      <c r="P217" s="387"/>
      <c r="Q217" s="389"/>
      <c r="R217" s="389"/>
      <c r="S217" s="389"/>
      <c r="T217" s="389"/>
      <c r="U217" s="389"/>
      <c r="V217" s="515"/>
    </row>
    <row r="218" spans="1:22" ht="34.9" customHeight="1" x14ac:dyDescent="0.25">
      <c r="A218" s="13">
        <v>217</v>
      </c>
      <c r="B218" s="95">
        <v>44968</v>
      </c>
      <c r="C218" s="13">
        <v>1273.53</v>
      </c>
      <c r="D218" s="485"/>
      <c r="E218" s="90"/>
      <c r="F218" s="13"/>
      <c r="G218" s="13"/>
      <c r="H218" s="13"/>
      <c r="I218" s="13"/>
      <c r="J218" s="13">
        <v>22</v>
      </c>
      <c r="K218" s="13"/>
      <c r="L218" s="13">
        <v>178</v>
      </c>
      <c r="M218" s="13"/>
      <c r="N218" s="540"/>
      <c r="O218" s="485">
        <f t="shared" si="2"/>
        <v>200</v>
      </c>
      <c r="P218" s="387"/>
      <c r="Q218" s="389"/>
      <c r="R218" s="389"/>
      <c r="S218" s="389"/>
      <c r="T218" s="389"/>
      <c r="U218" s="389"/>
      <c r="V218" s="515"/>
    </row>
    <row r="219" spans="1:22" ht="34.9" customHeight="1" x14ac:dyDescent="0.25">
      <c r="A219" s="190">
        <v>218</v>
      </c>
      <c r="B219" s="191">
        <v>44969</v>
      </c>
      <c r="C219" s="190"/>
      <c r="D219" s="190"/>
      <c r="E219" s="250"/>
      <c r="F219" s="190"/>
      <c r="G219" s="190"/>
      <c r="H219" s="190"/>
      <c r="I219" s="190"/>
      <c r="J219" s="190"/>
      <c r="K219" s="190"/>
      <c r="L219" s="190"/>
      <c r="M219" s="190"/>
      <c r="N219" s="542"/>
      <c r="O219" s="485">
        <f t="shared" si="2"/>
        <v>0</v>
      </c>
      <c r="P219" s="392"/>
      <c r="Q219" s="393"/>
      <c r="R219" s="393"/>
      <c r="S219" s="393"/>
      <c r="T219" s="393"/>
      <c r="U219" s="393"/>
      <c r="V219" s="515"/>
    </row>
    <row r="220" spans="1:22" ht="34.9" customHeight="1" x14ac:dyDescent="0.25">
      <c r="A220" s="13">
        <v>219</v>
      </c>
      <c r="B220" s="95">
        <v>44970</v>
      </c>
      <c r="C220" s="324">
        <v>199</v>
      </c>
      <c r="D220" s="485"/>
      <c r="E220" s="325"/>
      <c r="F220" s="324"/>
      <c r="G220" s="324"/>
      <c r="H220" s="324"/>
      <c r="I220" s="324"/>
      <c r="J220" s="324">
        <v>1030</v>
      </c>
      <c r="K220" s="324"/>
      <c r="L220" s="324"/>
      <c r="M220" s="324">
        <v>451</v>
      </c>
      <c r="N220" s="540"/>
      <c r="O220" s="485">
        <f t="shared" si="2"/>
        <v>1481</v>
      </c>
      <c r="P220" s="387"/>
      <c r="Q220" s="389"/>
      <c r="R220" s="389"/>
      <c r="S220" s="389"/>
      <c r="T220" s="389"/>
      <c r="U220" s="389"/>
      <c r="V220" s="515"/>
    </row>
    <row r="221" spans="1:22" ht="34.9" customHeight="1" x14ac:dyDescent="0.25">
      <c r="A221" s="13">
        <v>220</v>
      </c>
      <c r="B221" s="95">
        <v>44971</v>
      </c>
      <c r="C221" s="13"/>
      <c r="D221" s="485"/>
      <c r="E221" s="90"/>
      <c r="F221" s="13"/>
      <c r="G221" s="13"/>
      <c r="H221" s="13"/>
      <c r="I221" s="13">
        <v>52</v>
      </c>
      <c r="J221" s="13"/>
      <c r="K221" s="13"/>
      <c r="L221" s="13"/>
      <c r="M221" s="13">
        <v>1280</v>
      </c>
      <c r="N221" s="540"/>
      <c r="O221" s="485">
        <f t="shared" si="2"/>
        <v>1332</v>
      </c>
      <c r="P221" s="387"/>
      <c r="Q221" s="389"/>
      <c r="R221" s="389"/>
      <c r="S221" s="389"/>
      <c r="T221" s="389"/>
      <c r="U221" s="389"/>
      <c r="V221" s="515"/>
    </row>
    <row r="222" spans="1:22" ht="34.9" customHeight="1" x14ac:dyDescent="0.25">
      <c r="A222" s="13">
        <v>221</v>
      </c>
      <c r="B222" s="95">
        <v>44972</v>
      </c>
      <c r="C222" s="328">
        <v>450</v>
      </c>
      <c r="D222" s="485"/>
      <c r="E222" s="90" t="s">
        <v>366</v>
      </c>
      <c r="F222" s="13">
        <v>10</v>
      </c>
      <c r="G222" s="13"/>
      <c r="H222" s="13"/>
      <c r="I222" s="328">
        <v>59</v>
      </c>
      <c r="J222" s="328">
        <v>921</v>
      </c>
      <c r="K222" s="328"/>
      <c r="L222" s="328"/>
      <c r="M222" s="328">
        <v>255.5</v>
      </c>
      <c r="N222" s="540"/>
      <c r="O222" s="485">
        <f t="shared" si="2"/>
        <v>1245.5</v>
      </c>
      <c r="P222" s="387"/>
      <c r="Q222" s="389"/>
      <c r="R222" s="389"/>
      <c r="S222" s="389"/>
      <c r="T222" s="389"/>
      <c r="U222" s="389"/>
      <c r="V222" s="515"/>
    </row>
    <row r="223" spans="1:22" ht="34.9" customHeight="1" x14ac:dyDescent="0.25">
      <c r="A223" s="13">
        <v>222</v>
      </c>
      <c r="B223" s="95">
        <v>44973</v>
      </c>
      <c r="C223" s="13"/>
      <c r="D223" s="485"/>
      <c r="E223" s="90"/>
      <c r="F223" s="13"/>
      <c r="G223" s="13"/>
      <c r="H223" s="13"/>
      <c r="I223" s="13">
        <v>1</v>
      </c>
      <c r="J223" s="13">
        <v>491</v>
      </c>
      <c r="K223" s="13"/>
      <c r="L223" s="13"/>
      <c r="M223" s="13">
        <v>847</v>
      </c>
      <c r="N223" s="540"/>
      <c r="O223" s="485">
        <f t="shared" si="2"/>
        <v>1339</v>
      </c>
      <c r="P223" s="387"/>
      <c r="Q223" s="389"/>
      <c r="R223" s="389"/>
      <c r="S223" s="389"/>
      <c r="T223" s="389"/>
      <c r="U223" s="389"/>
      <c r="V223" s="515"/>
    </row>
    <row r="224" spans="1:22" ht="34.9" customHeight="1" x14ac:dyDescent="0.25">
      <c r="A224" s="13">
        <v>223</v>
      </c>
      <c r="B224" s="95">
        <v>44974</v>
      </c>
      <c r="C224" s="13"/>
      <c r="D224" s="485"/>
      <c r="E224" s="90"/>
      <c r="F224" s="13"/>
      <c r="G224" s="13"/>
      <c r="H224" s="13"/>
      <c r="I224" s="13"/>
      <c r="J224" s="13">
        <v>408</v>
      </c>
      <c r="K224" s="13"/>
      <c r="L224" s="13"/>
      <c r="M224" s="13">
        <v>346</v>
      </c>
      <c r="N224" s="540"/>
      <c r="O224" s="485">
        <f t="shared" si="2"/>
        <v>754</v>
      </c>
      <c r="P224" s="387"/>
      <c r="Q224" s="389"/>
      <c r="R224" s="389"/>
      <c r="S224" s="389"/>
      <c r="T224" s="389"/>
      <c r="U224" s="389"/>
      <c r="V224" s="515"/>
    </row>
    <row r="225" spans="1:22" ht="34.9" customHeight="1" x14ac:dyDescent="0.25">
      <c r="A225" s="13">
        <v>224</v>
      </c>
      <c r="B225" s="95">
        <v>44975</v>
      </c>
      <c r="C225" s="13"/>
      <c r="D225" s="485"/>
      <c r="E225" s="90"/>
      <c r="F225" s="13"/>
      <c r="G225" s="13"/>
      <c r="H225" s="13"/>
      <c r="I225" s="13">
        <v>63</v>
      </c>
      <c r="J225" s="13"/>
      <c r="K225" s="13"/>
      <c r="L225" s="13"/>
      <c r="M225" s="13">
        <v>296</v>
      </c>
      <c r="N225" s="540"/>
      <c r="O225" s="485">
        <f t="shared" si="2"/>
        <v>359</v>
      </c>
      <c r="P225" s="387"/>
      <c r="Q225" s="389"/>
      <c r="R225" s="389"/>
      <c r="S225" s="389"/>
      <c r="T225" s="389"/>
      <c r="U225" s="389"/>
      <c r="V225" s="515"/>
    </row>
    <row r="226" spans="1:22" ht="34.9" customHeight="1" x14ac:dyDescent="0.25">
      <c r="A226" s="190">
        <v>225</v>
      </c>
      <c r="B226" s="191">
        <v>44976</v>
      </c>
      <c r="C226" s="190"/>
      <c r="D226" s="190"/>
      <c r="E226" s="250"/>
      <c r="F226" s="190"/>
      <c r="G226" s="190"/>
      <c r="H226" s="190"/>
      <c r="I226" s="190"/>
      <c r="J226" s="190"/>
      <c r="K226" s="190"/>
      <c r="L226" s="190"/>
      <c r="M226" s="190"/>
      <c r="N226" s="542"/>
      <c r="O226" s="485">
        <f t="shared" si="2"/>
        <v>0</v>
      </c>
      <c r="P226" s="392"/>
      <c r="Q226" s="393"/>
      <c r="R226" s="393"/>
      <c r="S226" s="393"/>
      <c r="T226" s="393"/>
      <c r="U226" s="393"/>
      <c r="V226" s="515"/>
    </row>
    <row r="227" spans="1:22" ht="34.9" customHeight="1" x14ac:dyDescent="0.25">
      <c r="A227" s="13">
        <v>226</v>
      </c>
      <c r="B227" s="95">
        <v>44977</v>
      </c>
      <c r="C227" s="13"/>
      <c r="D227" s="485"/>
      <c r="E227" s="90"/>
      <c r="F227" s="13"/>
      <c r="G227" s="13"/>
      <c r="H227" s="13"/>
      <c r="I227" s="329">
        <v>0</v>
      </c>
      <c r="J227" s="329">
        <v>0</v>
      </c>
      <c r="K227" s="329"/>
      <c r="L227" s="329"/>
      <c r="M227" s="329">
        <v>0</v>
      </c>
      <c r="N227" s="540"/>
      <c r="O227" s="485">
        <f t="shared" si="2"/>
        <v>0</v>
      </c>
      <c r="P227" s="387"/>
      <c r="Q227" s="389"/>
      <c r="R227" s="389"/>
      <c r="S227" s="389"/>
      <c r="T227" s="389"/>
      <c r="U227" s="389"/>
      <c r="V227" s="515"/>
    </row>
    <row r="228" spans="1:22" ht="34.9" customHeight="1" x14ac:dyDescent="0.25">
      <c r="A228" s="13">
        <v>227</v>
      </c>
      <c r="B228" s="95">
        <v>44978</v>
      </c>
      <c r="C228" s="13"/>
      <c r="D228" s="485"/>
      <c r="E228" s="90"/>
      <c r="F228" s="13"/>
      <c r="G228" s="13"/>
      <c r="H228" s="13"/>
      <c r="I228" s="13">
        <v>24</v>
      </c>
      <c r="J228" s="13">
        <v>76</v>
      </c>
      <c r="K228" s="13"/>
      <c r="L228" s="13"/>
      <c r="M228" s="13"/>
      <c r="N228" s="540"/>
      <c r="O228" s="485">
        <f t="shared" si="2"/>
        <v>100</v>
      </c>
      <c r="P228" s="387"/>
      <c r="Q228" s="389"/>
      <c r="R228" s="389"/>
      <c r="S228" s="389"/>
      <c r="T228" s="389"/>
      <c r="U228" s="389"/>
      <c r="V228" s="515"/>
    </row>
    <row r="229" spans="1:22" ht="34.9" customHeight="1" x14ac:dyDescent="0.25">
      <c r="A229" s="13">
        <v>228</v>
      </c>
      <c r="B229" s="95">
        <v>44979</v>
      </c>
      <c r="C229" s="13"/>
      <c r="D229" s="485"/>
      <c r="E229" s="90"/>
      <c r="F229" s="13"/>
      <c r="G229" s="13"/>
      <c r="H229" s="13"/>
      <c r="I229" s="13">
        <v>45</v>
      </c>
      <c r="J229" s="13">
        <v>390</v>
      </c>
      <c r="K229" s="13"/>
      <c r="L229" s="13"/>
      <c r="M229" s="13">
        <v>109</v>
      </c>
      <c r="N229" s="540"/>
      <c r="O229" s="485">
        <f t="shared" si="2"/>
        <v>544</v>
      </c>
      <c r="P229" s="387"/>
      <c r="Q229" s="389"/>
      <c r="R229" s="389"/>
      <c r="S229" s="389"/>
      <c r="T229" s="389"/>
      <c r="U229" s="389"/>
      <c r="V229" s="515"/>
    </row>
    <row r="230" spans="1:22" ht="34.9" customHeight="1" x14ac:dyDescent="0.25">
      <c r="A230" s="13">
        <v>229</v>
      </c>
      <c r="B230" s="95">
        <v>44980</v>
      </c>
      <c r="C230" s="13"/>
      <c r="D230" s="485"/>
      <c r="E230" s="90"/>
      <c r="F230" s="13"/>
      <c r="G230" s="13"/>
      <c r="H230" s="13"/>
      <c r="I230" s="13">
        <v>156</v>
      </c>
      <c r="J230" s="13">
        <v>342</v>
      </c>
      <c r="K230" s="13"/>
      <c r="L230" s="13">
        <v>9</v>
      </c>
      <c r="M230" s="13">
        <v>924</v>
      </c>
      <c r="N230" s="540"/>
      <c r="O230" s="485">
        <f t="shared" si="2"/>
        <v>1431</v>
      </c>
      <c r="P230" s="387"/>
      <c r="Q230" s="389"/>
      <c r="R230" s="389"/>
      <c r="S230" s="389"/>
      <c r="T230" s="389"/>
      <c r="U230" s="389"/>
      <c r="V230" s="515"/>
    </row>
    <row r="231" spans="1:22" ht="34.9" customHeight="1" x14ac:dyDescent="0.25">
      <c r="A231" s="13">
        <v>230</v>
      </c>
      <c r="B231" s="95">
        <v>44981</v>
      </c>
      <c r="C231" s="13">
        <v>121</v>
      </c>
      <c r="D231" s="485"/>
      <c r="E231" s="90"/>
      <c r="F231" s="13"/>
      <c r="G231" s="13"/>
      <c r="H231" s="13"/>
      <c r="I231" s="13"/>
      <c r="J231" s="13">
        <v>332</v>
      </c>
      <c r="K231" s="13"/>
      <c r="L231" s="13"/>
      <c r="M231" s="13">
        <v>545</v>
      </c>
      <c r="N231" s="540"/>
      <c r="O231" s="485">
        <f t="shared" si="2"/>
        <v>877</v>
      </c>
      <c r="P231" s="387"/>
      <c r="Q231" s="389"/>
      <c r="R231" s="389"/>
      <c r="S231" s="389"/>
      <c r="T231" s="389"/>
      <c r="U231" s="389"/>
      <c r="V231" s="515"/>
    </row>
    <row r="232" spans="1:22" ht="34.9" customHeight="1" x14ac:dyDescent="0.25">
      <c r="A232" s="13">
        <v>231</v>
      </c>
      <c r="B232" s="95">
        <v>44982</v>
      </c>
      <c r="C232" s="13"/>
      <c r="D232" s="485"/>
      <c r="E232" s="90"/>
      <c r="F232" s="13"/>
      <c r="G232" s="13"/>
      <c r="H232" s="13"/>
      <c r="I232" s="13">
        <v>80</v>
      </c>
      <c r="J232" s="13">
        <v>224</v>
      </c>
      <c r="K232" s="13"/>
      <c r="L232" s="13"/>
      <c r="M232" s="13">
        <v>535</v>
      </c>
      <c r="N232" s="540"/>
      <c r="O232" s="485">
        <f t="shared" si="2"/>
        <v>839</v>
      </c>
      <c r="P232" s="387"/>
      <c r="Q232" s="389"/>
      <c r="R232" s="389"/>
      <c r="S232" s="389"/>
      <c r="T232" s="389"/>
      <c r="U232" s="389"/>
      <c r="V232" s="515"/>
    </row>
    <row r="233" spans="1:22" ht="34.9" customHeight="1" x14ac:dyDescent="0.25">
      <c r="A233" s="190">
        <v>232</v>
      </c>
      <c r="B233" s="191">
        <v>44983</v>
      </c>
      <c r="C233" s="190"/>
      <c r="D233" s="190"/>
      <c r="E233" s="250"/>
      <c r="F233" s="190"/>
      <c r="G233" s="190"/>
      <c r="H233" s="190"/>
      <c r="I233" s="190"/>
      <c r="J233" s="190"/>
      <c r="K233" s="190"/>
      <c r="L233" s="190"/>
      <c r="M233" s="190"/>
      <c r="N233" s="542"/>
      <c r="O233" s="485">
        <f t="shared" si="2"/>
        <v>0</v>
      </c>
      <c r="P233" s="392"/>
      <c r="Q233" s="393"/>
      <c r="R233" s="393"/>
      <c r="S233" s="393"/>
      <c r="T233" s="393"/>
      <c r="U233" s="393"/>
      <c r="V233" s="515"/>
    </row>
    <row r="234" spans="1:22" ht="34.9" customHeight="1" x14ac:dyDescent="0.25">
      <c r="A234" s="13">
        <v>233</v>
      </c>
      <c r="B234" s="95">
        <v>44984</v>
      </c>
      <c r="C234" s="13">
        <v>34</v>
      </c>
      <c r="D234" s="485"/>
      <c r="E234" s="90"/>
      <c r="F234" s="13"/>
      <c r="G234" s="13"/>
      <c r="H234" s="13"/>
      <c r="I234" s="13">
        <v>295</v>
      </c>
      <c r="J234" s="13">
        <v>488</v>
      </c>
      <c r="K234" s="13"/>
      <c r="L234" s="13"/>
      <c r="M234" s="13">
        <v>1462</v>
      </c>
      <c r="N234" s="540"/>
      <c r="O234" s="485">
        <f t="shared" si="2"/>
        <v>2245</v>
      </c>
      <c r="P234" s="387"/>
      <c r="Q234" s="389"/>
      <c r="R234" s="389"/>
      <c r="S234" s="389"/>
      <c r="T234" s="389"/>
      <c r="U234" s="389"/>
      <c r="V234" s="515"/>
    </row>
    <row r="235" spans="1:22" ht="34.9" customHeight="1" x14ac:dyDescent="0.25">
      <c r="A235" s="13">
        <v>234</v>
      </c>
      <c r="B235" s="95">
        <v>44985</v>
      </c>
      <c r="C235" s="13">
        <v>115</v>
      </c>
      <c r="D235" s="485"/>
      <c r="E235" s="90"/>
      <c r="F235" s="13"/>
      <c r="G235" s="13"/>
      <c r="H235" s="13"/>
      <c r="I235" s="13"/>
      <c r="J235" s="13">
        <v>80</v>
      </c>
      <c r="K235" s="13"/>
      <c r="L235" s="13"/>
      <c r="M235" s="13">
        <v>367</v>
      </c>
      <c r="N235" s="540"/>
      <c r="O235" s="485">
        <f t="shared" si="2"/>
        <v>447</v>
      </c>
      <c r="P235" s="387"/>
      <c r="Q235" s="389"/>
      <c r="R235" s="389"/>
      <c r="S235" s="389"/>
      <c r="T235" s="389"/>
      <c r="U235" s="389"/>
      <c r="V235" s="515"/>
    </row>
    <row r="236" spans="1:22" ht="34.9" customHeight="1" x14ac:dyDescent="0.25">
      <c r="A236" s="13">
        <v>235</v>
      </c>
      <c r="B236" s="95">
        <v>44986</v>
      </c>
      <c r="C236" s="13"/>
      <c r="D236" s="485"/>
      <c r="E236" s="90"/>
      <c r="F236" s="13"/>
      <c r="G236" s="13"/>
      <c r="H236" s="13"/>
      <c r="I236" s="13">
        <v>370</v>
      </c>
      <c r="J236" s="13">
        <v>312</v>
      </c>
      <c r="K236" s="13"/>
      <c r="L236" s="13"/>
      <c r="M236" s="13">
        <v>386</v>
      </c>
      <c r="N236" s="540"/>
      <c r="O236" s="485">
        <f t="shared" si="2"/>
        <v>1068</v>
      </c>
      <c r="P236" s="387">
        <v>258.64407407407407</v>
      </c>
      <c r="Q236" s="389">
        <v>250.94407407407405</v>
      </c>
      <c r="R236" s="389">
        <v>7.6999999999999993</v>
      </c>
      <c r="S236" s="389">
        <v>0</v>
      </c>
      <c r="T236" s="389">
        <v>0</v>
      </c>
      <c r="U236" s="389">
        <v>0</v>
      </c>
      <c r="V236" s="515"/>
    </row>
    <row r="237" spans="1:22" ht="34.9" customHeight="1" x14ac:dyDescent="0.25">
      <c r="A237" s="13">
        <v>236</v>
      </c>
      <c r="B237" s="95">
        <v>44987</v>
      </c>
      <c r="C237" s="13">
        <v>104</v>
      </c>
      <c r="D237" s="485"/>
      <c r="E237" s="90" t="s">
        <v>459</v>
      </c>
      <c r="F237" s="13">
        <v>10</v>
      </c>
      <c r="G237" s="13"/>
      <c r="H237" s="13">
        <v>31</v>
      </c>
      <c r="I237" s="13">
        <v>237</v>
      </c>
      <c r="J237" s="13">
        <v>75</v>
      </c>
      <c r="K237" s="13">
        <v>30</v>
      </c>
      <c r="L237" s="13"/>
      <c r="M237" s="13">
        <v>463</v>
      </c>
      <c r="N237" s="540"/>
      <c r="O237" s="485">
        <f t="shared" si="2"/>
        <v>846</v>
      </c>
      <c r="P237" s="387">
        <v>238.04444444444448</v>
      </c>
      <c r="Q237" s="389">
        <v>178.35444444444448</v>
      </c>
      <c r="R237" s="389">
        <v>59.690000000000005</v>
      </c>
      <c r="S237" s="389">
        <v>0</v>
      </c>
      <c r="T237" s="389">
        <v>0</v>
      </c>
      <c r="U237" s="389">
        <v>0</v>
      </c>
      <c r="V237" s="515"/>
    </row>
    <row r="238" spans="1:22" ht="34.9" customHeight="1" x14ac:dyDescent="0.25">
      <c r="A238" s="13">
        <v>237</v>
      </c>
      <c r="B238" s="95">
        <v>44988</v>
      </c>
      <c r="C238" s="13">
        <v>10</v>
      </c>
      <c r="D238" s="485"/>
      <c r="E238" s="90"/>
      <c r="F238" s="13"/>
      <c r="G238" s="13"/>
      <c r="H238" s="13"/>
      <c r="I238" s="13">
        <v>102</v>
      </c>
      <c r="J238" s="13"/>
      <c r="K238" s="13"/>
      <c r="L238" s="13"/>
      <c r="M238" s="13">
        <v>1163</v>
      </c>
      <c r="N238" s="540"/>
      <c r="O238" s="485">
        <f t="shared" si="2"/>
        <v>1265</v>
      </c>
      <c r="P238" s="387">
        <v>257.22296296296298</v>
      </c>
      <c r="Q238" s="389">
        <v>236.042962962963</v>
      </c>
      <c r="R238" s="389">
        <v>21.18</v>
      </c>
      <c r="S238" s="389">
        <v>0</v>
      </c>
      <c r="T238" s="389">
        <v>0</v>
      </c>
      <c r="U238" s="389">
        <v>0</v>
      </c>
      <c r="V238" s="515"/>
    </row>
    <row r="239" spans="1:22" ht="34.9" customHeight="1" x14ac:dyDescent="0.25">
      <c r="A239" s="13">
        <v>238</v>
      </c>
      <c r="B239" s="95">
        <v>44989</v>
      </c>
      <c r="C239" s="13">
        <v>75</v>
      </c>
      <c r="D239" s="485"/>
      <c r="E239" s="90"/>
      <c r="F239" s="13"/>
      <c r="G239" s="13"/>
      <c r="H239" s="13"/>
      <c r="I239" s="13">
        <v>182</v>
      </c>
      <c r="J239" s="13"/>
      <c r="K239" s="13"/>
      <c r="L239" s="13">
        <v>261</v>
      </c>
      <c r="M239" s="13">
        <v>249</v>
      </c>
      <c r="N239" s="540"/>
      <c r="O239" s="485">
        <f t="shared" si="2"/>
        <v>692</v>
      </c>
      <c r="P239" s="387">
        <v>130.32592592592596</v>
      </c>
      <c r="Q239" s="389">
        <v>130.32592592592596</v>
      </c>
      <c r="R239" s="389">
        <v>0</v>
      </c>
      <c r="S239" s="389">
        <v>0</v>
      </c>
      <c r="T239" s="389">
        <v>0</v>
      </c>
      <c r="U239" s="389">
        <v>0</v>
      </c>
      <c r="V239" s="515"/>
    </row>
    <row r="240" spans="1:22" ht="34.9" customHeight="1" x14ac:dyDescent="0.25">
      <c r="A240" s="190">
        <v>239</v>
      </c>
      <c r="B240" s="191">
        <v>44990</v>
      </c>
      <c r="C240" s="190"/>
      <c r="D240" s="190"/>
      <c r="E240" s="250"/>
      <c r="F240" s="190"/>
      <c r="G240" s="190"/>
      <c r="H240" s="190"/>
      <c r="I240" s="190"/>
      <c r="J240" s="190"/>
      <c r="K240" s="190"/>
      <c r="L240" s="190"/>
      <c r="M240" s="190"/>
      <c r="N240" s="542"/>
      <c r="O240" s="485">
        <f t="shared" si="2"/>
        <v>0</v>
      </c>
      <c r="P240" s="392"/>
      <c r="Q240" s="393"/>
      <c r="R240" s="393"/>
      <c r="S240" s="393"/>
      <c r="T240" s="393"/>
      <c r="U240" s="393"/>
      <c r="V240" s="515"/>
    </row>
    <row r="241" spans="1:22" ht="34.9" customHeight="1" x14ac:dyDescent="0.25">
      <c r="A241" s="13">
        <v>240</v>
      </c>
      <c r="B241" s="95">
        <v>44991</v>
      </c>
      <c r="C241" s="13"/>
      <c r="D241" s="485"/>
      <c r="E241" s="90"/>
      <c r="F241" s="13"/>
      <c r="G241" s="13"/>
      <c r="H241" s="13"/>
      <c r="I241" s="13">
        <v>85</v>
      </c>
      <c r="J241" s="13">
        <v>225</v>
      </c>
      <c r="K241" s="13"/>
      <c r="L241" s="13">
        <v>80</v>
      </c>
      <c r="M241" s="13">
        <v>441</v>
      </c>
      <c r="N241" s="540"/>
      <c r="O241" s="485">
        <f t="shared" si="2"/>
        <v>831</v>
      </c>
      <c r="P241" s="387">
        <v>168.74888888888893</v>
      </c>
      <c r="Q241" s="389">
        <v>141.63888888888891</v>
      </c>
      <c r="R241" s="389">
        <v>2.11</v>
      </c>
      <c r="S241" s="389">
        <v>10</v>
      </c>
      <c r="T241" s="389">
        <v>15</v>
      </c>
      <c r="U241" s="389">
        <v>0</v>
      </c>
      <c r="V241" s="515"/>
    </row>
    <row r="242" spans="1:22" ht="34.9" customHeight="1" x14ac:dyDescent="0.25">
      <c r="A242" s="13">
        <v>241</v>
      </c>
      <c r="B242" s="95">
        <v>44992</v>
      </c>
      <c r="C242" s="13">
        <v>224</v>
      </c>
      <c r="D242" s="485"/>
      <c r="E242" s="90"/>
      <c r="F242" s="13"/>
      <c r="G242" s="13"/>
      <c r="H242" s="13"/>
      <c r="I242" s="13">
        <v>163</v>
      </c>
      <c r="J242" s="13">
        <v>276</v>
      </c>
      <c r="K242" s="13"/>
      <c r="L242" s="13"/>
      <c r="M242" s="13">
        <v>624</v>
      </c>
      <c r="N242" s="540"/>
      <c r="O242" s="485">
        <f t="shared" si="2"/>
        <v>1063</v>
      </c>
      <c r="P242" s="387">
        <v>398.80148148148146</v>
      </c>
      <c r="Q242" s="389">
        <v>386.40148148148148</v>
      </c>
      <c r="R242" s="389">
        <v>12.399999999999999</v>
      </c>
      <c r="S242" s="389">
        <v>0</v>
      </c>
      <c r="T242" s="389">
        <v>0</v>
      </c>
      <c r="U242" s="389">
        <v>0</v>
      </c>
      <c r="V242" s="515"/>
    </row>
    <row r="243" spans="1:22" ht="34.9" customHeight="1" x14ac:dyDescent="0.25">
      <c r="A243" s="13">
        <v>242</v>
      </c>
      <c r="B243" s="95">
        <v>44993</v>
      </c>
      <c r="C243" s="13"/>
      <c r="D243" s="485"/>
      <c r="E243" s="90" t="s">
        <v>460</v>
      </c>
      <c r="F243" s="13">
        <v>130</v>
      </c>
      <c r="G243" s="13"/>
      <c r="H243" s="13"/>
      <c r="I243" s="13">
        <v>105</v>
      </c>
      <c r="J243" s="13">
        <v>1766</v>
      </c>
      <c r="K243" s="13"/>
      <c r="L243" s="13"/>
      <c r="M243" s="13">
        <v>988</v>
      </c>
      <c r="N243" s="540"/>
      <c r="O243" s="485">
        <f t="shared" si="2"/>
        <v>2989</v>
      </c>
      <c r="P243" s="387">
        <v>667.66962962962953</v>
      </c>
      <c r="Q243" s="389">
        <v>577.22962962962958</v>
      </c>
      <c r="R243" s="389">
        <v>80.44</v>
      </c>
      <c r="S243" s="389">
        <v>0</v>
      </c>
      <c r="T243" s="389">
        <v>10</v>
      </c>
      <c r="U243" s="389">
        <v>0</v>
      </c>
      <c r="V243" s="515"/>
    </row>
    <row r="244" spans="1:22" ht="34.9" customHeight="1" x14ac:dyDescent="0.25">
      <c r="A244" s="13">
        <v>243</v>
      </c>
      <c r="B244" s="95">
        <v>44994</v>
      </c>
      <c r="C244" s="13">
        <v>220</v>
      </c>
      <c r="D244" s="485"/>
      <c r="E244" s="90" t="s">
        <v>462</v>
      </c>
      <c r="F244" s="13">
        <v>36</v>
      </c>
      <c r="G244" s="13"/>
      <c r="H244" s="13"/>
      <c r="I244" s="13">
        <v>260</v>
      </c>
      <c r="J244" s="13"/>
      <c r="K244" s="13"/>
      <c r="L244" s="13"/>
      <c r="M244" s="13">
        <v>212</v>
      </c>
      <c r="N244" s="540"/>
      <c r="O244" s="485">
        <f t="shared" si="2"/>
        <v>508</v>
      </c>
      <c r="P244" s="387">
        <v>165.69000000000003</v>
      </c>
      <c r="Q244" s="389">
        <v>105.69000000000003</v>
      </c>
      <c r="R244" s="389">
        <v>0</v>
      </c>
      <c r="S244" s="389">
        <v>0</v>
      </c>
      <c r="T244" s="389">
        <v>60</v>
      </c>
      <c r="U244" s="389">
        <v>0</v>
      </c>
      <c r="V244" s="515"/>
    </row>
    <row r="245" spans="1:22" ht="34.9" customHeight="1" x14ac:dyDescent="0.25">
      <c r="A245" s="13">
        <v>244</v>
      </c>
      <c r="B245" s="95">
        <v>44995</v>
      </c>
      <c r="C245" s="13"/>
      <c r="D245" s="485"/>
      <c r="E245" s="90"/>
      <c r="F245" s="13"/>
      <c r="G245" s="13"/>
      <c r="H245" s="13"/>
      <c r="I245" s="13">
        <v>205</v>
      </c>
      <c r="J245" s="13">
        <v>60</v>
      </c>
      <c r="K245" s="13"/>
      <c r="L245" s="13"/>
      <c r="M245" s="13">
        <v>1498</v>
      </c>
      <c r="N245" s="540"/>
      <c r="O245" s="485">
        <f t="shared" si="2"/>
        <v>1763</v>
      </c>
      <c r="P245" s="387">
        <v>347.8822222222222</v>
      </c>
      <c r="Q245" s="389">
        <v>319.4422222222222</v>
      </c>
      <c r="R245" s="389">
        <v>28.44</v>
      </c>
      <c r="S245" s="389">
        <v>0</v>
      </c>
      <c r="T245" s="389">
        <v>0</v>
      </c>
      <c r="U245" s="389">
        <v>0</v>
      </c>
      <c r="V245" s="515"/>
    </row>
    <row r="246" spans="1:22" ht="34.9" customHeight="1" x14ac:dyDescent="0.25">
      <c r="A246" s="284">
        <v>245</v>
      </c>
      <c r="B246" s="398">
        <v>44996</v>
      </c>
      <c r="C246" s="396">
        <v>26</v>
      </c>
      <c r="D246" s="485"/>
      <c r="E246" s="397" t="s">
        <v>469</v>
      </c>
      <c r="F246" s="396">
        <v>34</v>
      </c>
      <c r="G246" s="396"/>
      <c r="H246" s="396"/>
      <c r="I246" s="396">
        <v>132</v>
      </c>
      <c r="J246" s="396"/>
      <c r="K246" s="396"/>
      <c r="L246" s="396"/>
      <c r="M246" s="396">
        <v>1183</v>
      </c>
      <c r="N246" s="540"/>
      <c r="O246" s="485">
        <f t="shared" si="2"/>
        <v>1349</v>
      </c>
      <c r="P246" s="387">
        <v>236.67629629629639</v>
      </c>
      <c r="Q246" s="389">
        <v>207.39629629629638</v>
      </c>
      <c r="R246" s="389">
        <v>29.279999999999998</v>
      </c>
      <c r="S246" s="389">
        <v>0</v>
      </c>
      <c r="T246" s="389">
        <v>0</v>
      </c>
      <c r="U246" s="389">
        <v>0</v>
      </c>
      <c r="V246" s="515"/>
    </row>
    <row r="247" spans="1:22" ht="34.9" customHeight="1" x14ac:dyDescent="0.25">
      <c r="A247" s="190">
        <v>246</v>
      </c>
      <c r="B247" s="191">
        <v>44997</v>
      </c>
      <c r="C247" s="399"/>
      <c r="D247" s="399"/>
      <c r="E247" s="399"/>
      <c r="F247" s="399"/>
      <c r="G247" s="399"/>
      <c r="H247" s="399"/>
      <c r="I247" s="399"/>
      <c r="J247" s="399"/>
      <c r="K247" s="399"/>
      <c r="L247" s="399"/>
      <c r="M247" s="399"/>
      <c r="N247" s="544"/>
      <c r="O247" s="485">
        <f t="shared" si="2"/>
        <v>0</v>
      </c>
      <c r="P247" s="400"/>
      <c r="Q247" s="399"/>
      <c r="R247" s="399"/>
      <c r="S247" s="399"/>
      <c r="T247" s="399"/>
      <c r="U247" s="399"/>
      <c r="V247" s="515"/>
    </row>
    <row r="248" spans="1:22" ht="34.9" customHeight="1" x14ac:dyDescent="0.25">
      <c r="A248" s="13">
        <v>247</v>
      </c>
      <c r="B248" s="95">
        <v>44998</v>
      </c>
      <c r="C248" s="396">
        <v>23</v>
      </c>
      <c r="D248" s="485"/>
      <c r="E248" s="397"/>
      <c r="F248" s="396"/>
      <c r="G248" s="396"/>
      <c r="H248" s="396"/>
      <c r="I248" s="396">
        <v>340</v>
      </c>
      <c r="J248" s="396">
        <v>1413</v>
      </c>
      <c r="K248" s="396"/>
      <c r="L248" s="396"/>
      <c r="M248" s="396">
        <v>544</v>
      </c>
      <c r="N248" s="540"/>
      <c r="O248" s="485">
        <f t="shared" ref="O248:O311" si="3">SUM(G248:N248)+F248+D248</f>
        <v>2297</v>
      </c>
      <c r="P248" s="387">
        <v>519.93703703703704</v>
      </c>
      <c r="Q248" s="389">
        <v>500.39703703703708</v>
      </c>
      <c r="R248" s="389">
        <v>9.8099999999999987</v>
      </c>
      <c r="S248" s="389">
        <v>9.7299999999999986</v>
      </c>
      <c r="T248" s="389">
        <v>0</v>
      </c>
      <c r="U248" s="389">
        <v>0</v>
      </c>
      <c r="V248" s="515"/>
    </row>
    <row r="249" spans="1:22" ht="34.9" customHeight="1" x14ac:dyDescent="0.25">
      <c r="A249" s="13">
        <v>248</v>
      </c>
      <c r="B249" s="95">
        <v>44999</v>
      </c>
      <c r="C249" s="13"/>
      <c r="D249" s="485"/>
      <c r="E249" s="90"/>
      <c r="F249" s="13"/>
      <c r="G249" s="13"/>
      <c r="H249" s="13"/>
      <c r="I249" s="13">
        <v>29</v>
      </c>
      <c r="J249" s="13">
        <v>128</v>
      </c>
      <c r="K249" s="13"/>
      <c r="L249" s="13">
        <v>10</v>
      </c>
      <c r="M249" s="13">
        <v>1332</v>
      </c>
      <c r="N249" s="540"/>
      <c r="O249" s="485">
        <f t="shared" si="3"/>
        <v>1499</v>
      </c>
      <c r="P249" s="387">
        <v>279.31222222222226</v>
      </c>
      <c r="Q249" s="389">
        <v>197.71222222222227</v>
      </c>
      <c r="R249" s="389">
        <v>56.600000000000009</v>
      </c>
      <c r="S249" s="389">
        <v>0</v>
      </c>
      <c r="T249" s="389">
        <v>25</v>
      </c>
      <c r="U249" s="389">
        <v>0</v>
      </c>
      <c r="V249" s="515"/>
    </row>
    <row r="250" spans="1:22" ht="34.9" customHeight="1" x14ac:dyDescent="0.25">
      <c r="A250" s="13">
        <v>249</v>
      </c>
      <c r="B250" s="95">
        <v>45000</v>
      </c>
      <c r="C250" s="13"/>
      <c r="D250" s="485"/>
      <c r="E250" s="90"/>
      <c r="F250" s="13"/>
      <c r="G250" s="13"/>
      <c r="H250" s="13"/>
      <c r="I250" s="13">
        <v>94</v>
      </c>
      <c r="J250" s="13">
        <v>68</v>
      </c>
      <c r="K250" s="13"/>
      <c r="L250" s="13">
        <v>153</v>
      </c>
      <c r="M250" s="13">
        <v>591</v>
      </c>
      <c r="N250" s="540"/>
      <c r="O250" s="485">
        <f t="shared" si="3"/>
        <v>906</v>
      </c>
      <c r="P250" s="387">
        <v>183.45222222222225</v>
      </c>
      <c r="Q250" s="389">
        <v>149.75222222222223</v>
      </c>
      <c r="R250" s="389">
        <v>33.700000000000003</v>
      </c>
      <c r="S250" s="389">
        <v>0</v>
      </c>
      <c r="T250" s="389">
        <v>0</v>
      </c>
      <c r="U250" s="389">
        <v>0</v>
      </c>
      <c r="V250" s="515"/>
    </row>
    <row r="251" spans="1:22" ht="53.25" customHeight="1" x14ac:dyDescent="0.25">
      <c r="A251" s="13">
        <v>250</v>
      </c>
      <c r="B251" s="95">
        <v>45001</v>
      </c>
      <c r="C251" s="13"/>
      <c r="D251" s="485"/>
      <c r="E251" s="90" t="s">
        <v>473</v>
      </c>
      <c r="F251" s="13">
        <f>380+10</f>
        <v>390</v>
      </c>
      <c r="G251" s="13"/>
      <c r="H251" s="13"/>
      <c r="I251" s="13"/>
      <c r="J251" s="13">
        <v>789</v>
      </c>
      <c r="K251" s="13"/>
      <c r="L251" s="13"/>
      <c r="M251" s="13">
        <v>645</v>
      </c>
      <c r="N251" s="540"/>
      <c r="O251" s="485">
        <f t="shared" si="3"/>
        <v>1824</v>
      </c>
      <c r="P251" s="387">
        <v>285.05629629629641</v>
      </c>
      <c r="Q251" s="389">
        <v>278.40629629629638</v>
      </c>
      <c r="R251" s="389">
        <v>2.9700000000000006</v>
      </c>
      <c r="S251" s="389">
        <v>0</v>
      </c>
      <c r="T251" s="389">
        <v>0</v>
      </c>
      <c r="U251" s="389">
        <v>3.6799999999999997</v>
      </c>
      <c r="V251" s="515"/>
    </row>
    <row r="252" spans="1:22" ht="34.9" customHeight="1" x14ac:dyDescent="0.25">
      <c r="A252" s="13">
        <v>251</v>
      </c>
      <c r="B252" s="95">
        <v>45002</v>
      </c>
      <c r="C252" s="13">
        <v>5</v>
      </c>
      <c r="D252" s="485"/>
      <c r="E252" s="90"/>
      <c r="F252" s="13"/>
      <c r="G252" s="13"/>
      <c r="H252" s="13">
        <v>26</v>
      </c>
      <c r="I252" s="13">
        <v>30</v>
      </c>
      <c r="J252" s="13">
        <v>118</v>
      </c>
      <c r="K252" s="13"/>
      <c r="L252" s="13">
        <v>39</v>
      </c>
      <c r="M252" s="13">
        <v>478</v>
      </c>
      <c r="N252" s="540"/>
      <c r="O252" s="485">
        <f t="shared" si="3"/>
        <v>691</v>
      </c>
      <c r="P252" s="387">
        <v>164.69666666666666</v>
      </c>
      <c r="Q252" s="389">
        <v>108.15666666666667</v>
      </c>
      <c r="R252" s="389">
        <v>28.54</v>
      </c>
      <c r="S252" s="389">
        <v>0</v>
      </c>
      <c r="T252" s="389">
        <v>15</v>
      </c>
      <c r="U252" s="389">
        <v>13</v>
      </c>
      <c r="V252" s="515"/>
    </row>
    <row r="253" spans="1:22" ht="34.9" customHeight="1" x14ac:dyDescent="0.25">
      <c r="A253" s="13">
        <v>252</v>
      </c>
      <c r="B253" s="95">
        <v>45003</v>
      </c>
      <c r="C253" s="13">
        <v>183</v>
      </c>
      <c r="D253" s="485"/>
      <c r="E253" s="90"/>
      <c r="F253" s="13"/>
      <c r="G253" s="13"/>
      <c r="H253" s="13">
        <v>300</v>
      </c>
      <c r="I253" s="13">
        <v>51</v>
      </c>
      <c r="J253" s="13">
        <v>78</v>
      </c>
      <c r="K253" s="13"/>
      <c r="L253" s="13"/>
      <c r="M253" s="13">
        <v>490</v>
      </c>
      <c r="N253" s="540"/>
      <c r="O253" s="485">
        <f t="shared" si="3"/>
        <v>919</v>
      </c>
      <c r="P253" s="387">
        <v>248.84148148148151</v>
      </c>
      <c r="Q253" s="389">
        <v>214.80148148148152</v>
      </c>
      <c r="R253" s="389">
        <v>30.22</v>
      </c>
      <c r="S253" s="389">
        <v>3.8200000000000003</v>
      </c>
      <c r="T253" s="389">
        <v>0</v>
      </c>
      <c r="U253" s="389">
        <v>0</v>
      </c>
      <c r="V253" s="515"/>
    </row>
    <row r="254" spans="1:22" ht="34.9" customHeight="1" x14ac:dyDescent="0.25">
      <c r="A254" s="190">
        <v>253</v>
      </c>
      <c r="B254" s="191">
        <v>45004</v>
      </c>
      <c r="C254" s="190"/>
      <c r="D254" s="190"/>
      <c r="E254" s="250"/>
      <c r="F254" s="190"/>
      <c r="G254" s="190"/>
      <c r="H254" s="190"/>
      <c r="I254" s="190"/>
      <c r="J254" s="190"/>
      <c r="K254" s="190"/>
      <c r="L254" s="190"/>
      <c r="M254" s="190"/>
      <c r="N254" s="542"/>
      <c r="O254" s="485">
        <f t="shared" si="3"/>
        <v>0</v>
      </c>
      <c r="P254" s="392"/>
      <c r="Q254" s="393"/>
      <c r="R254" s="393"/>
      <c r="S254" s="393"/>
      <c r="T254" s="393"/>
      <c r="U254" s="393"/>
      <c r="V254" s="515"/>
    </row>
    <row r="255" spans="1:22" ht="34.9" customHeight="1" x14ac:dyDescent="0.25">
      <c r="A255" s="13">
        <v>254</v>
      </c>
      <c r="B255" s="95">
        <v>45005</v>
      </c>
      <c r="C255" s="13">
        <v>30</v>
      </c>
      <c r="D255" s="485"/>
      <c r="E255" s="90"/>
      <c r="F255" s="13"/>
      <c r="G255" s="13"/>
      <c r="H255" s="13"/>
      <c r="I255" s="13">
        <v>259</v>
      </c>
      <c r="J255" s="13">
        <v>68</v>
      </c>
      <c r="K255" s="13"/>
      <c r="L255" s="13"/>
      <c r="M255" s="13">
        <v>870</v>
      </c>
      <c r="N255" s="540"/>
      <c r="O255" s="485">
        <f t="shared" si="3"/>
        <v>1197</v>
      </c>
      <c r="P255" s="387">
        <v>311.52037037037042</v>
      </c>
      <c r="Q255" s="389">
        <v>259.08037037037042</v>
      </c>
      <c r="R255" s="389">
        <v>13.440000000000003</v>
      </c>
      <c r="S255" s="389">
        <v>0</v>
      </c>
      <c r="T255" s="389">
        <v>35</v>
      </c>
      <c r="U255" s="389">
        <v>4</v>
      </c>
      <c r="V255" s="515"/>
    </row>
    <row r="256" spans="1:22" ht="34.9" customHeight="1" x14ac:dyDescent="0.25">
      <c r="A256" s="13">
        <v>255</v>
      </c>
      <c r="B256" s="95">
        <v>45006</v>
      </c>
      <c r="C256" s="13"/>
      <c r="D256" s="485"/>
      <c r="E256" s="90"/>
      <c r="F256" s="13"/>
      <c r="G256" s="13"/>
      <c r="H256" s="13">
        <v>36</v>
      </c>
      <c r="I256" s="13"/>
      <c r="J256" s="13">
        <v>1205</v>
      </c>
      <c r="K256" s="13"/>
      <c r="L256" s="13"/>
      <c r="M256" s="13">
        <v>553</v>
      </c>
      <c r="N256" s="540"/>
      <c r="O256" s="485">
        <f t="shared" si="3"/>
        <v>1794</v>
      </c>
      <c r="P256" s="387">
        <v>321.95259259259251</v>
      </c>
      <c r="Q256" s="389">
        <v>243.66259259259255</v>
      </c>
      <c r="R256" s="389">
        <v>9.7600000000000016</v>
      </c>
      <c r="S256" s="389">
        <v>27</v>
      </c>
      <c r="T256" s="389">
        <v>37.53</v>
      </c>
      <c r="U256" s="389">
        <v>4</v>
      </c>
      <c r="V256" s="515"/>
    </row>
    <row r="257" spans="1:22" ht="34.9" customHeight="1" x14ac:dyDescent="0.25">
      <c r="A257" s="13">
        <v>256</v>
      </c>
      <c r="B257" s="95">
        <v>45007</v>
      </c>
      <c r="C257" s="13">
        <v>6</v>
      </c>
      <c r="D257" s="485"/>
      <c r="E257" s="90"/>
      <c r="F257" s="13"/>
      <c r="G257" s="13"/>
      <c r="H257" s="13">
        <v>388</v>
      </c>
      <c r="I257" s="13">
        <v>206</v>
      </c>
      <c r="J257" s="13">
        <v>168</v>
      </c>
      <c r="K257" s="13"/>
      <c r="L257" s="13"/>
      <c r="M257" s="13">
        <v>513</v>
      </c>
      <c r="N257" s="540"/>
      <c r="O257" s="485">
        <f t="shared" si="3"/>
        <v>1275</v>
      </c>
      <c r="P257" s="387">
        <v>266.40000000000003</v>
      </c>
      <c r="Q257" s="389">
        <v>232.58000000000007</v>
      </c>
      <c r="R257" s="389">
        <v>28.11</v>
      </c>
      <c r="S257" s="389">
        <v>0</v>
      </c>
      <c r="T257" s="389">
        <v>0</v>
      </c>
      <c r="U257" s="389">
        <v>5.7099999999999991</v>
      </c>
      <c r="V257" s="515"/>
    </row>
    <row r="258" spans="1:22" ht="34.9" customHeight="1" x14ac:dyDescent="0.25">
      <c r="A258" s="13">
        <v>257</v>
      </c>
      <c r="B258" s="95">
        <v>45008</v>
      </c>
      <c r="C258" s="13"/>
      <c r="D258" s="485"/>
      <c r="E258" s="90"/>
      <c r="F258" s="13"/>
      <c r="G258" s="13"/>
      <c r="H258" s="13"/>
      <c r="I258" s="13">
        <v>525</v>
      </c>
      <c r="J258" s="13">
        <v>91</v>
      </c>
      <c r="K258" s="13"/>
      <c r="L258" s="13"/>
      <c r="M258" s="13">
        <v>498</v>
      </c>
      <c r="N258" s="540"/>
      <c r="O258" s="485">
        <f t="shared" si="3"/>
        <v>1114</v>
      </c>
      <c r="P258" s="387">
        <f>257.882592592593-32</f>
        <v>225.88259259259303</v>
      </c>
      <c r="Q258" s="389">
        <v>190.88259259259266</v>
      </c>
      <c r="R258" s="389">
        <v>0</v>
      </c>
      <c r="S258" s="389">
        <v>0</v>
      </c>
      <c r="T258" s="389">
        <v>35</v>
      </c>
      <c r="U258" s="389">
        <v>0</v>
      </c>
      <c r="V258" s="515"/>
    </row>
    <row r="259" spans="1:22" ht="34.9" customHeight="1" x14ac:dyDescent="0.25">
      <c r="A259" s="13">
        <v>258</v>
      </c>
      <c r="B259" s="95">
        <v>45009</v>
      </c>
      <c r="C259" s="13">
        <v>100</v>
      </c>
      <c r="D259" s="485"/>
      <c r="E259" s="90" t="s">
        <v>478</v>
      </c>
      <c r="F259" s="13">
        <v>57</v>
      </c>
      <c r="G259" s="13"/>
      <c r="H259" s="13"/>
      <c r="I259" s="13">
        <v>68</v>
      </c>
      <c r="J259" s="13">
        <v>83</v>
      </c>
      <c r="K259" s="13"/>
      <c r="L259" s="13"/>
      <c r="M259" s="13">
        <v>25</v>
      </c>
      <c r="N259" s="540"/>
      <c r="O259" s="485">
        <f t="shared" si="3"/>
        <v>233</v>
      </c>
      <c r="P259" s="387">
        <v>55.460000000000008</v>
      </c>
      <c r="Q259" s="389">
        <v>31.120000000000005</v>
      </c>
      <c r="R259" s="389">
        <v>3.34</v>
      </c>
      <c r="S259" s="389">
        <v>0</v>
      </c>
      <c r="T259" s="389">
        <v>12</v>
      </c>
      <c r="U259" s="389">
        <v>9</v>
      </c>
      <c r="V259" s="515"/>
    </row>
    <row r="260" spans="1:22" ht="34.9" customHeight="1" x14ac:dyDescent="0.25">
      <c r="A260" s="13">
        <v>259</v>
      </c>
      <c r="B260" s="95">
        <v>45010</v>
      </c>
      <c r="C260" s="13"/>
      <c r="D260" s="485"/>
      <c r="E260" s="90"/>
      <c r="F260" s="13"/>
      <c r="G260" s="13"/>
      <c r="H260" s="13"/>
      <c r="I260" s="13">
        <v>267</v>
      </c>
      <c r="J260" s="13">
        <v>250</v>
      </c>
      <c r="K260" s="13"/>
      <c r="L260" s="13"/>
      <c r="M260" s="13">
        <v>385</v>
      </c>
      <c r="N260" s="540"/>
      <c r="O260" s="485">
        <f t="shared" si="3"/>
        <v>902</v>
      </c>
      <c r="P260" s="387">
        <v>188.58444444444444</v>
      </c>
      <c r="Q260" s="389">
        <v>99.37444444444445</v>
      </c>
      <c r="R260" s="389">
        <v>11.149999999999999</v>
      </c>
      <c r="S260" s="389">
        <v>0</v>
      </c>
      <c r="T260" s="389">
        <v>65.06</v>
      </c>
      <c r="U260" s="389">
        <v>13</v>
      </c>
      <c r="V260" s="515"/>
    </row>
    <row r="261" spans="1:22" ht="34.9" customHeight="1" x14ac:dyDescent="0.25">
      <c r="A261" s="190">
        <v>260</v>
      </c>
      <c r="B261" s="191">
        <v>45011</v>
      </c>
      <c r="C261" s="190"/>
      <c r="D261" s="190"/>
      <c r="E261" s="250"/>
      <c r="F261" s="190"/>
      <c r="G261" s="190"/>
      <c r="H261" s="190"/>
      <c r="I261" s="190"/>
      <c r="J261" s="190"/>
      <c r="K261" s="190"/>
      <c r="L261" s="190"/>
      <c r="M261" s="190"/>
      <c r="N261" s="542"/>
      <c r="O261" s="485">
        <f t="shared" si="3"/>
        <v>0</v>
      </c>
      <c r="P261" s="392"/>
      <c r="Q261" s="393"/>
      <c r="R261" s="393"/>
      <c r="S261" s="393"/>
      <c r="T261" s="393"/>
      <c r="U261" s="393"/>
      <c r="V261" s="515"/>
    </row>
    <row r="262" spans="1:22" ht="34.9" customHeight="1" x14ac:dyDescent="0.25">
      <c r="A262" s="13">
        <v>261</v>
      </c>
      <c r="B262" s="95">
        <v>45012</v>
      </c>
      <c r="C262" s="13">
        <v>60</v>
      </c>
      <c r="D262" s="485"/>
      <c r="E262" s="90"/>
      <c r="F262" s="13"/>
      <c r="G262" s="13"/>
      <c r="H262" s="13">
        <v>1111</v>
      </c>
      <c r="I262" s="13"/>
      <c r="J262" s="13">
        <v>378</v>
      </c>
      <c r="K262" s="13"/>
      <c r="L262" s="13"/>
      <c r="M262" s="13">
        <v>125</v>
      </c>
      <c r="N262" s="540"/>
      <c r="O262" s="485">
        <f t="shared" si="3"/>
        <v>1614</v>
      </c>
      <c r="P262" s="387">
        <v>342.53222222222229</v>
      </c>
      <c r="Q262" s="389">
        <v>267.57222222222225</v>
      </c>
      <c r="R262" s="389">
        <v>2.29</v>
      </c>
      <c r="S262" s="389">
        <v>8</v>
      </c>
      <c r="T262" s="389">
        <v>56.67</v>
      </c>
      <c r="U262" s="389">
        <v>8</v>
      </c>
      <c r="V262" s="515"/>
    </row>
    <row r="263" spans="1:22" ht="34.9" customHeight="1" x14ac:dyDescent="0.25">
      <c r="A263" s="13">
        <v>262</v>
      </c>
      <c r="B263" s="95">
        <v>45013</v>
      </c>
      <c r="C263" s="13">
        <v>24</v>
      </c>
      <c r="D263" s="485"/>
      <c r="E263" s="90"/>
      <c r="F263" s="13"/>
      <c r="G263" s="13"/>
      <c r="H263" s="13">
        <v>60</v>
      </c>
      <c r="I263" s="13"/>
      <c r="J263" s="13">
        <v>399</v>
      </c>
      <c r="K263" s="13"/>
      <c r="L263" s="13"/>
      <c r="M263" s="13">
        <v>1064</v>
      </c>
      <c r="N263" s="540"/>
      <c r="O263" s="485">
        <f t="shared" si="3"/>
        <v>1523</v>
      </c>
      <c r="P263" s="387">
        <v>341.55814814814818</v>
      </c>
      <c r="Q263" s="389">
        <v>251.52814814814818</v>
      </c>
      <c r="R263" s="389">
        <v>90.03</v>
      </c>
      <c r="S263" s="389">
        <v>0</v>
      </c>
      <c r="T263" s="389">
        <v>0</v>
      </c>
      <c r="U263" s="389">
        <v>0</v>
      </c>
      <c r="V263" s="515"/>
    </row>
    <row r="264" spans="1:22" ht="34.9" customHeight="1" x14ac:dyDescent="0.25">
      <c r="A264" s="13">
        <v>263</v>
      </c>
      <c r="B264" s="95">
        <v>45014</v>
      </c>
      <c r="C264" s="13"/>
      <c r="D264" s="485"/>
      <c r="E264" s="90"/>
      <c r="F264" s="13"/>
      <c r="G264" s="13"/>
      <c r="H264" s="13"/>
      <c r="I264" s="13">
        <v>348</v>
      </c>
      <c r="J264" s="13">
        <v>409</v>
      </c>
      <c r="K264" s="13"/>
      <c r="L264" s="13">
        <v>16</v>
      </c>
      <c r="M264" s="13">
        <v>389</v>
      </c>
      <c r="N264" s="540"/>
      <c r="O264" s="485">
        <f t="shared" si="3"/>
        <v>1162</v>
      </c>
      <c r="P264" s="387">
        <v>227.81592592592591</v>
      </c>
      <c r="Q264" s="389">
        <v>173.51592592592593</v>
      </c>
      <c r="R264" s="389">
        <v>32</v>
      </c>
      <c r="S264" s="389">
        <v>4.84</v>
      </c>
      <c r="T264" s="389">
        <v>17.459999999999994</v>
      </c>
      <c r="U264" s="389">
        <v>0</v>
      </c>
      <c r="V264" s="515"/>
    </row>
    <row r="265" spans="1:22" ht="34.9" customHeight="1" x14ac:dyDescent="0.25">
      <c r="A265" s="13">
        <v>264</v>
      </c>
      <c r="B265" s="95">
        <v>45015</v>
      </c>
      <c r="C265" s="13"/>
      <c r="D265" s="485"/>
      <c r="E265" s="90"/>
      <c r="F265" s="13"/>
      <c r="G265" s="13"/>
      <c r="H265" s="13">
        <v>30</v>
      </c>
      <c r="I265" s="13">
        <v>12</v>
      </c>
      <c r="J265" s="13">
        <v>474</v>
      </c>
      <c r="K265" s="13"/>
      <c r="L265" s="13"/>
      <c r="M265" s="13">
        <v>1222</v>
      </c>
      <c r="N265" s="540"/>
      <c r="O265" s="485">
        <f t="shared" si="3"/>
        <v>1738</v>
      </c>
      <c r="P265" s="387">
        <v>340.8944444444445</v>
      </c>
      <c r="Q265" s="389">
        <v>298.8944444444445</v>
      </c>
      <c r="R265" s="389">
        <v>32</v>
      </c>
      <c r="S265" s="389">
        <v>0</v>
      </c>
      <c r="T265" s="389">
        <v>10</v>
      </c>
      <c r="U265" s="389">
        <v>0</v>
      </c>
      <c r="V265" s="515"/>
    </row>
    <row r="266" spans="1:22" ht="34.9" customHeight="1" x14ac:dyDescent="0.25">
      <c r="A266" s="13">
        <v>265</v>
      </c>
      <c r="B266" s="95">
        <v>45016</v>
      </c>
      <c r="C266" s="13"/>
      <c r="D266" s="485"/>
      <c r="E266" s="90" t="s">
        <v>481</v>
      </c>
      <c r="F266" s="13">
        <v>8</v>
      </c>
      <c r="G266" s="13"/>
      <c r="H266" s="13"/>
      <c r="I266" s="13">
        <v>10</v>
      </c>
      <c r="J266" s="13">
        <v>107</v>
      </c>
      <c r="K266" s="13"/>
      <c r="L266" s="13"/>
      <c r="M266" s="13">
        <v>377</v>
      </c>
      <c r="N266" s="540"/>
      <c r="O266" s="485">
        <f t="shared" si="3"/>
        <v>502</v>
      </c>
      <c r="P266" s="387">
        <v>102.9</v>
      </c>
      <c r="Q266" s="389">
        <v>58.900000000000006</v>
      </c>
      <c r="R266" s="389">
        <v>0</v>
      </c>
      <c r="S266" s="389">
        <v>0</v>
      </c>
      <c r="T266" s="389">
        <v>40</v>
      </c>
      <c r="U266" s="389">
        <v>4</v>
      </c>
      <c r="V266" s="515"/>
    </row>
    <row r="267" spans="1:22" ht="34.9" customHeight="1" x14ac:dyDescent="0.25">
      <c r="A267" s="13">
        <v>266</v>
      </c>
      <c r="B267" s="95">
        <v>45017</v>
      </c>
      <c r="C267" s="13"/>
      <c r="D267" s="485"/>
      <c r="E267" s="90"/>
      <c r="F267" s="13"/>
      <c r="G267" s="13"/>
      <c r="H267" s="13"/>
      <c r="I267" s="13">
        <v>321</v>
      </c>
      <c r="J267" s="13"/>
      <c r="K267" s="13"/>
      <c r="L267" s="13"/>
      <c r="M267" s="13">
        <v>279</v>
      </c>
      <c r="N267" s="540"/>
      <c r="O267" s="485">
        <f t="shared" si="3"/>
        <v>600</v>
      </c>
      <c r="P267" s="387">
        <v>134.07999999999998</v>
      </c>
      <c r="Q267" s="389">
        <v>86.07</v>
      </c>
      <c r="R267" s="389">
        <v>30.55</v>
      </c>
      <c r="S267" s="389">
        <v>0</v>
      </c>
      <c r="T267" s="389">
        <v>17.459999999999994</v>
      </c>
      <c r="U267" s="389">
        <v>0</v>
      </c>
      <c r="V267" s="515"/>
    </row>
    <row r="268" spans="1:22" ht="34.9" customHeight="1" x14ac:dyDescent="0.25">
      <c r="A268" s="190">
        <v>267</v>
      </c>
      <c r="B268" s="191">
        <v>45018</v>
      </c>
      <c r="C268" s="190"/>
      <c r="D268" s="190"/>
      <c r="E268" s="250"/>
      <c r="F268" s="190"/>
      <c r="G268" s="190"/>
      <c r="H268" s="190"/>
      <c r="I268" s="190"/>
      <c r="J268" s="190"/>
      <c r="K268" s="190"/>
      <c r="L268" s="190"/>
      <c r="M268" s="190"/>
      <c r="N268" s="542"/>
      <c r="O268" s="485">
        <f t="shared" si="3"/>
        <v>0</v>
      </c>
      <c r="P268" s="392"/>
      <c r="Q268" s="393"/>
      <c r="R268" s="393"/>
      <c r="S268" s="393"/>
      <c r="T268" s="393"/>
      <c r="U268" s="393"/>
      <c r="V268" s="515"/>
    </row>
    <row r="269" spans="1:22" ht="34.9" customHeight="1" x14ac:dyDescent="0.25">
      <c r="A269" s="13">
        <v>268</v>
      </c>
      <c r="B269" s="95">
        <v>45019</v>
      </c>
      <c r="C269" s="408"/>
      <c r="D269" s="485"/>
      <c r="E269" s="409"/>
      <c r="F269" s="408"/>
      <c r="G269" s="408"/>
      <c r="H269" s="408"/>
      <c r="I269" s="408">
        <v>169</v>
      </c>
      <c r="J269" s="408"/>
      <c r="K269" s="408"/>
      <c r="L269" s="408"/>
      <c r="M269" s="408">
        <f>542.5+433</f>
        <v>975.5</v>
      </c>
      <c r="N269" s="540"/>
      <c r="O269" s="485">
        <f t="shared" si="3"/>
        <v>1144.5</v>
      </c>
      <c r="P269" s="387">
        <v>207.11185185185184</v>
      </c>
      <c r="Q269" s="389">
        <v>187.55185185185184</v>
      </c>
      <c r="R269" s="389">
        <v>0</v>
      </c>
      <c r="S269" s="389">
        <v>19.559999999999999</v>
      </c>
      <c r="T269" s="389">
        <v>0</v>
      </c>
      <c r="U269" s="389">
        <v>0</v>
      </c>
      <c r="V269" s="515"/>
    </row>
    <row r="270" spans="1:22" ht="34.9" customHeight="1" x14ac:dyDescent="0.25">
      <c r="A270" s="13">
        <v>269</v>
      </c>
      <c r="B270" s="95">
        <v>45020</v>
      </c>
      <c r="C270" s="408"/>
      <c r="D270" s="485"/>
      <c r="E270" s="409"/>
      <c r="F270" s="408"/>
      <c r="G270" s="408"/>
      <c r="H270" s="408"/>
      <c r="I270" s="408">
        <v>104</v>
      </c>
      <c r="J270" s="408"/>
      <c r="K270" s="408"/>
      <c r="L270" s="408">
        <v>30</v>
      </c>
      <c r="M270" s="408">
        <v>283</v>
      </c>
      <c r="N270" s="540"/>
      <c r="O270" s="485">
        <f t="shared" si="3"/>
        <v>417</v>
      </c>
      <c r="P270" s="387">
        <v>80.260370370370353</v>
      </c>
      <c r="Q270" s="389">
        <v>54.550370370370359</v>
      </c>
      <c r="R270" s="389">
        <v>11.04</v>
      </c>
      <c r="S270" s="389">
        <v>0</v>
      </c>
      <c r="T270" s="389">
        <v>14.670000000000002</v>
      </c>
      <c r="U270" s="389">
        <v>0</v>
      </c>
      <c r="V270" s="515"/>
    </row>
    <row r="271" spans="1:22" ht="34.9" customHeight="1" x14ac:dyDescent="0.25">
      <c r="A271" s="407">
        <v>270</v>
      </c>
      <c r="B271" s="323">
        <v>45021</v>
      </c>
      <c r="C271" s="408">
        <v>940</v>
      </c>
      <c r="D271" s="485"/>
      <c r="E271" s="409"/>
      <c r="F271" s="408"/>
      <c r="G271" s="408"/>
      <c r="H271" s="408"/>
      <c r="I271" s="408">
        <v>223</v>
      </c>
      <c r="J271" s="408">
        <v>100</v>
      </c>
      <c r="K271" s="408"/>
      <c r="L271" s="408"/>
      <c r="M271" s="408">
        <v>246</v>
      </c>
      <c r="N271" s="540"/>
      <c r="O271" s="485">
        <f t="shared" si="3"/>
        <v>569</v>
      </c>
      <c r="P271" s="387">
        <v>289.43185185185189</v>
      </c>
      <c r="Q271" s="389">
        <v>263.40185185185192</v>
      </c>
      <c r="R271" s="389">
        <v>14.03</v>
      </c>
      <c r="S271" s="389">
        <v>0</v>
      </c>
      <c r="T271" s="389">
        <v>12</v>
      </c>
      <c r="U271" s="389">
        <v>0</v>
      </c>
      <c r="V271" s="515"/>
    </row>
    <row r="272" spans="1:22" ht="34.9" customHeight="1" x14ac:dyDescent="0.25">
      <c r="A272" s="190">
        <v>271</v>
      </c>
      <c r="B272" s="191">
        <v>45022</v>
      </c>
      <c r="C272" s="190"/>
      <c r="D272" s="190"/>
      <c r="E272" s="250"/>
      <c r="F272" s="190"/>
      <c r="G272" s="190"/>
      <c r="H272" s="190"/>
      <c r="I272" s="190"/>
      <c r="J272" s="190"/>
      <c r="K272" s="190"/>
      <c r="L272" s="190"/>
      <c r="M272" s="190"/>
      <c r="N272" s="542"/>
      <c r="O272" s="485">
        <f t="shared" si="3"/>
        <v>0</v>
      </c>
      <c r="P272" s="392"/>
      <c r="Q272" s="393"/>
      <c r="R272" s="393"/>
      <c r="S272" s="393"/>
      <c r="T272" s="393"/>
      <c r="U272" s="393"/>
      <c r="V272" s="515"/>
    </row>
    <row r="273" spans="1:22" ht="34.9" customHeight="1" x14ac:dyDescent="0.25">
      <c r="A273" s="190">
        <v>272</v>
      </c>
      <c r="B273" s="191">
        <v>45023</v>
      </c>
      <c r="C273" s="190"/>
      <c r="D273" s="190"/>
      <c r="E273" s="250"/>
      <c r="F273" s="190"/>
      <c r="G273" s="190"/>
      <c r="H273" s="190"/>
      <c r="I273" s="190"/>
      <c r="J273" s="190"/>
      <c r="K273" s="190"/>
      <c r="L273" s="190"/>
      <c r="M273" s="190"/>
      <c r="N273" s="542"/>
      <c r="O273" s="485">
        <f t="shared" si="3"/>
        <v>0</v>
      </c>
      <c r="P273" s="392"/>
      <c r="Q273" s="393"/>
      <c r="R273" s="393"/>
      <c r="S273" s="393"/>
      <c r="T273" s="393"/>
      <c r="U273" s="393"/>
      <c r="V273" s="515"/>
    </row>
    <row r="274" spans="1:22" ht="34.9" customHeight="1" x14ac:dyDescent="0.25">
      <c r="A274" s="13">
        <v>273</v>
      </c>
      <c r="B274" s="95">
        <v>45024</v>
      </c>
      <c r="C274" s="13">
        <v>34</v>
      </c>
      <c r="D274" s="485"/>
      <c r="E274" s="90"/>
      <c r="F274" s="13"/>
      <c r="G274" s="13"/>
      <c r="H274" s="13">
        <v>6</v>
      </c>
      <c r="I274" s="13">
        <v>96</v>
      </c>
      <c r="J274" s="13">
        <v>235</v>
      </c>
      <c r="K274" s="13"/>
      <c r="L274" s="13">
        <v>1</v>
      </c>
      <c r="M274" s="13">
        <v>670</v>
      </c>
      <c r="N274" s="540"/>
      <c r="O274" s="485">
        <f t="shared" si="3"/>
        <v>1008</v>
      </c>
      <c r="P274" s="387">
        <v>239.2</v>
      </c>
      <c r="Q274" s="389">
        <v>229.77999999999997</v>
      </c>
      <c r="R274" s="389">
        <v>2.11</v>
      </c>
      <c r="S274" s="389">
        <v>7.3099999999999987</v>
      </c>
      <c r="T274" s="389">
        <v>0</v>
      </c>
      <c r="U274" s="389">
        <v>0</v>
      </c>
      <c r="V274" s="515"/>
    </row>
    <row r="275" spans="1:22" ht="34.9" customHeight="1" x14ac:dyDescent="0.25">
      <c r="A275" s="190">
        <v>274</v>
      </c>
      <c r="B275" s="191">
        <v>45025</v>
      </c>
      <c r="C275" s="190"/>
      <c r="D275" s="190"/>
      <c r="E275" s="250"/>
      <c r="F275" s="190"/>
      <c r="G275" s="190"/>
      <c r="H275" s="190"/>
      <c r="I275" s="190"/>
      <c r="J275" s="190"/>
      <c r="K275" s="190"/>
      <c r="L275" s="190"/>
      <c r="M275" s="190"/>
      <c r="N275" s="542"/>
      <c r="O275" s="485">
        <f t="shared" si="3"/>
        <v>0</v>
      </c>
      <c r="P275" s="392"/>
      <c r="Q275" s="393"/>
      <c r="R275" s="393"/>
      <c r="S275" s="393"/>
      <c r="T275" s="393"/>
      <c r="U275" s="393"/>
      <c r="V275" s="515"/>
    </row>
    <row r="276" spans="1:22" ht="92.25" customHeight="1" x14ac:dyDescent="0.25">
      <c r="A276" s="13">
        <v>275</v>
      </c>
      <c r="B276" s="95">
        <v>45026</v>
      </c>
      <c r="C276" s="13">
        <v>15</v>
      </c>
      <c r="D276" s="485"/>
      <c r="E276" s="90" t="s">
        <v>494</v>
      </c>
      <c r="F276" s="13">
        <f>114+36+10</f>
        <v>160</v>
      </c>
      <c r="G276" s="13"/>
      <c r="H276" s="13">
        <v>270</v>
      </c>
      <c r="I276" s="13">
        <v>52</v>
      </c>
      <c r="J276" s="13">
        <v>1165</v>
      </c>
      <c r="K276" s="13"/>
      <c r="L276" s="13">
        <v>9</v>
      </c>
      <c r="M276" s="13">
        <v>201</v>
      </c>
      <c r="N276" s="540"/>
      <c r="O276" s="485">
        <f t="shared" si="3"/>
        <v>1857</v>
      </c>
      <c r="P276" s="387">
        <v>314.96185185185186</v>
      </c>
      <c r="Q276" s="389">
        <v>105.78185185185185</v>
      </c>
      <c r="R276" s="389">
        <v>140.51000000000002</v>
      </c>
      <c r="S276" s="389">
        <v>0</v>
      </c>
      <c r="T276" s="389">
        <v>64.67</v>
      </c>
      <c r="U276" s="389">
        <v>4</v>
      </c>
      <c r="V276" s="515"/>
    </row>
    <row r="277" spans="1:22" ht="34.9" customHeight="1" x14ac:dyDescent="0.25">
      <c r="A277" s="13">
        <v>276</v>
      </c>
      <c r="B277" s="95">
        <v>45027</v>
      </c>
      <c r="C277" s="13"/>
      <c r="D277" s="485"/>
      <c r="E277" s="90"/>
      <c r="F277" s="13"/>
      <c r="G277" s="13"/>
      <c r="H277" s="13"/>
      <c r="I277" s="13">
        <v>409</v>
      </c>
      <c r="J277" s="13">
        <v>369</v>
      </c>
      <c r="K277" s="13"/>
      <c r="L277" s="13">
        <v>5</v>
      </c>
      <c r="M277" s="13">
        <v>316</v>
      </c>
      <c r="N277" s="540"/>
      <c r="O277" s="485">
        <f t="shared" si="3"/>
        <v>1099</v>
      </c>
      <c r="P277" s="387">
        <v>218.92000000000004</v>
      </c>
      <c r="Q277" s="389">
        <v>175.01000000000005</v>
      </c>
      <c r="R277" s="389">
        <v>7.8900000000000006</v>
      </c>
      <c r="S277" s="389">
        <v>0</v>
      </c>
      <c r="T277" s="389">
        <v>27</v>
      </c>
      <c r="U277" s="389">
        <v>9.02</v>
      </c>
      <c r="V277" s="515"/>
    </row>
    <row r="278" spans="1:22" ht="34.9" customHeight="1" x14ac:dyDescent="0.25">
      <c r="A278" s="13">
        <v>277</v>
      </c>
      <c r="B278" s="95">
        <v>45028</v>
      </c>
      <c r="C278" s="13">
        <v>9</v>
      </c>
      <c r="D278" s="485"/>
      <c r="E278" s="90"/>
      <c r="F278" s="13"/>
      <c r="G278" s="13"/>
      <c r="H278" s="13"/>
      <c r="I278" s="13"/>
      <c r="J278" s="13">
        <v>108</v>
      </c>
      <c r="K278" s="13"/>
      <c r="L278" s="13">
        <v>14</v>
      </c>
      <c r="M278" s="13">
        <v>331</v>
      </c>
      <c r="N278" s="540"/>
      <c r="O278" s="485">
        <f t="shared" si="3"/>
        <v>453</v>
      </c>
      <c r="P278" s="387">
        <v>139.01</v>
      </c>
      <c r="Q278" s="389">
        <v>70.84</v>
      </c>
      <c r="R278" s="389">
        <v>33.700000000000003</v>
      </c>
      <c r="S278" s="389">
        <v>33.169999999999987</v>
      </c>
      <c r="T278" s="389">
        <v>0</v>
      </c>
      <c r="U278" s="389">
        <v>1.3</v>
      </c>
      <c r="V278" s="515"/>
    </row>
    <row r="279" spans="1:22" ht="34.9" customHeight="1" x14ac:dyDescent="0.25">
      <c r="A279" s="13">
        <v>278</v>
      </c>
      <c r="B279" s="95">
        <v>45029</v>
      </c>
      <c r="C279" s="13">
        <v>69</v>
      </c>
      <c r="D279" s="485"/>
      <c r="E279" s="90"/>
      <c r="F279" s="13"/>
      <c r="G279" s="13"/>
      <c r="H279" s="13"/>
      <c r="I279" s="13">
        <v>96</v>
      </c>
      <c r="J279" s="13"/>
      <c r="K279" s="13"/>
      <c r="L279" s="13">
        <v>1</v>
      </c>
      <c r="M279" s="13">
        <v>442</v>
      </c>
      <c r="N279" s="540"/>
      <c r="O279" s="485">
        <f t="shared" si="3"/>
        <v>539</v>
      </c>
      <c r="P279" s="387">
        <v>124.62</v>
      </c>
      <c r="Q279" s="389">
        <v>92.54</v>
      </c>
      <c r="R279" s="389">
        <v>18.739999999999998</v>
      </c>
      <c r="S279" s="389">
        <v>0</v>
      </c>
      <c r="T279" s="389">
        <v>12</v>
      </c>
      <c r="U279" s="389">
        <v>1.3399999999999999</v>
      </c>
      <c r="V279" s="515"/>
    </row>
    <row r="280" spans="1:22" ht="34.9" customHeight="1" x14ac:dyDescent="0.25">
      <c r="A280" s="13">
        <v>279</v>
      </c>
      <c r="B280" s="95">
        <v>45030</v>
      </c>
      <c r="C280" s="13"/>
      <c r="D280" s="485"/>
      <c r="E280" s="90"/>
      <c r="F280" s="13"/>
      <c r="G280" s="13"/>
      <c r="H280" s="13"/>
      <c r="I280" s="13">
        <v>1</v>
      </c>
      <c r="J280" s="13">
        <v>269</v>
      </c>
      <c r="K280" s="13"/>
      <c r="L280" s="13">
        <v>2</v>
      </c>
      <c r="M280" s="13">
        <v>189</v>
      </c>
      <c r="N280" s="540"/>
      <c r="O280" s="485">
        <f t="shared" si="3"/>
        <v>461</v>
      </c>
      <c r="P280" s="387">
        <v>119.57000000000002</v>
      </c>
      <c r="Q280" s="389">
        <v>94.010000000000019</v>
      </c>
      <c r="R280" s="389">
        <v>5.5600000000000005</v>
      </c>
      <c r="S280" s="389">
        <v>0</v>
      </c>
      <c r="T280" s="389">
        <v>20</v>
      </c>
      <c r="U280" s="389">
        <v>0</v>
      </c>
      <c r="V280" s="515"/>
    </row>
    <row r="281" spans="1:22" ht="34.9" customHeight="1" x14ac:dyDescent="0.25">
      <c r="A281" s="13">
        <v>280</v>
      </c>
      <c r="B281" s="95">
        <v>45031</v>
      </c>
      <c r="C281" s="13"/>
      <c r="D281" s="485"/>
      <c r="E281" s="90"/>
      <c r="F281" s="13"/>
      <c r="G281" s="13"/>
      <c r="H281" s="13"/>
      <c r="I281" s="13">
        <v>30</v>
      </c>
      <c r="J281" s="13">
        <v>1033</v>
      </c>
      <c r="K281" s="13"/>
      <c r="L281" s="13">
        <v>726</v>
      </c>
      <c r="M281" s="13">
        <v>459</v>
      </c>
      <c r="N281" s="540"/>
      <c r="O281" s="485">
        <f t="shared" si="3"/>
        <v>2248</v>
      </c>
      <c r="P281" s="387">
        <v>509.61</v>
      </c>
      <c r="Q281" s="389">
        <v>471.71000000000004</v>
      </c>
      <c r="R281" s="389">
        <v>2.4400000000000004</v>
      </c>
      <c r="S281" s="389">
        <v>0</v>
      </c>
      <c r="T281" s="389">
        <v>17.459999999999994</v>
      </c>
      <c r="U281" s="389">
        <v>18</v>
      </c>
      <c r="V281" s="515"/>
    </row>
    <row r="282" spans="1:22" ht="34.9" customHeight="1" x14ac:dyDescent="0.25">
      <c r="A282" s="190">
        <v>281</v>
      </c>
      <c r="B282" s="191">
        <v>45032</v>
      </c>
      <c r="C282" s="190"/>
      <c r="D282" s="190"/>
      <c r="E282" s="250"/>
      <c r="F282" s="190"/>
      <c r="G282" s="190"/>
      <c r="H282" s="190"/>
      <c r="I282" s="190"/>
      <c r="J282" s="190"/>
      <c r="K282" s="190"/>
      <c r="L282" s="190"/>
      <c r="M282" s="190"/>
      <c r="N282" s="542"/>
      <c r="O282" s="485">
        <f t="shared" si="3"/>
        <v>0</v>
      </c>
      <c r="P282" s="392"/>
      <c r="Q282" s="393"/>
      <c r="R282" s="393"/>
      <c r="S282" s="393"/>
      <c r="T282" s="393"/>
      <c r="U282" s="393"/>
      <c r="V282" s="515"/>
    </row>
    <row r="283" spans="1:22" ht="34.9" customHeight="1" x14ac:dyDescent="0.25">
      <c r="A283" s="13">
        <v>282</v>
      </c>
      <c r="B283" s="95">
        <v>45033</v>
      </c>
      <c r="C283" s="13">
        <v>354</v>
      </c>
      <c r="D283" s="485"/>
      <c r="E283" s="90"/>
      <c r="F283" s="13"/>
      <c r="G283" s="13"/>
      <c r="H283" s="13">
        <v>936</v>
      </c>
      <c r="I283" s="13">
        <v>147.4</v>
      </c>
      <c r="J283" s="13">
        <v>52</v>
      </c>
      <c r="K283" s="13"/>
      <c r="L283" s="13"/>
      <c r="M283" s="13">
        <v>821</v>
      </c>
      <c r="N283" s="540"/>
      <c r="O283" s="485">
        <f t="shared" si="3"/>
        <v>1956.4</v>
      </c>
      <c r="P283" s="387">
        <v>521.22</v>
      </c>
      <c r="Q283" s="389">
        <v>410.31</v>
      </c>
      <c r="R283" s="389">
        <v>36.909999999999997</v>
      </c>
      <c r="S283" s="389">
        <v>0</v>
      </c>
      <c r="T283" s="389">
        <v>70</v>
      </c>
      <c r="U283" s="389">
        <v>4</v>
      </c>
      <c r="V283" s="515"/>
    </row>
    <row r="284" spans="1:22" ht="34.9" customHeight="1" x14ac:dyDescent="0.25">
      <c r="A284" s="13">
        <v>283</v>
      </c>
      <c r="B284" s="95">
        <v>45034</v>
      </c>
      <c r="C284" s="13">
        <v>170</v>
      </c>
      <c r="D284" s="485"/>
      <c r="E284" s="90"/>
      <c r="F284" s="13"/>
      <c r="G284" s="13"/>
      <c r="H284" s="13">
        <v>208</v>
      </c>
      <c r="I284" s="13">
        <v>377</v>
      </c>
      <c r="J284" s="13">
        <v>205</v>
      </c>
      <c r="K284" s="13"/>
      <c r="L284" s="13"/>
      <c r="M284" s="13">
        <v>440</v>
      </c>
      <c r="N284" s="540"/>
      <c r="O284" s="485">
        <f t="shared" si="3"/>
        <v>1230</v>
      </c>
      <c r="P284" s="387">
        <v>273.86800000000005</v>
      </c>
      <c r="Q284" s="389">
        <v>184.33800000000005</v>
      </c>
      <c r="R284" s="389">
        <v>10.28</v>
      </c>
      <c r="S284" s="389">
        <v>63.25</v>
      </c>
      <c r="T284" s="389">
        <v>0</v>
      </c>
      <c r="U284" s="389">
        <v>16</v>
      </c>
      <c r="V284" s="515"/>
    </row>
    <row r="285" spans="1:22" ht="34.9" customHeight="1" x14ac:dyDescent="0.25">
      <c r="A285" s="13">
        <v>284</v>
      </c>
      <c r="B285" s="95">
        <v>45035</v>
      </c>
      <c r="C285" s="13">
        <v>76</v>
      </c>
      <c r="D285" s="485"/>
      <c r="E285" s="90" t="s">
        <v>498</v>
      </c>
      <c r="F285" s="13">
        <v>160</v>
      </c>
      <c r="G285" s="13"/>
      <c r="H285" s="13"/>
      <c r="I285" s="13">
        <v>147</v>
      </c>
      <c r="J285" s="13">
        <v>241</v>
      </c>
      <c r="K285" s="13"/>
      <c r="L285" s="13">
        <v>40</v>
      </c>
      <c r="M285" s="13">
        <v>773</v>
      </c>
      <c r="N285" s="540"/>
      <c r="O285" s="485">
        <f t="shared" si="3"/>
        <v>1361</v>
      </c>
      <c r="P285" s="387">
        <v>253.20000000000002</v>
      </c>
      <c r="Q285" s="389">
        <v>111.38000000000002</v>
      </c>
      <c r="R285" s="389">
        <v>0</v>
      </c>
      <c r="S285" s="389">
        <v>21.82</v>
      </c>
      <c r="T285" s="389">
        <v>120</v>
      </c>
      <c r="U285" s="389">
        <v>0</v>
      </c>
      <c r="V285" s="515"/>
    </row>
    <row r="286" spans="1:22" ht="34.9" customHeight="1" x14ac:dyDescent="0.25">
      <c r="A286" s="13">
        <v>285</v>
      </c>
      <c r="B286" s="95">
        <v>45036</v>
      </c>
      <c r="C286" s="13">
        <v>400</v>
      </c>
      <c r="D286" s="485"/>
      <c r="E286" s="90" t="s">
        <v>499</v>
      </c>
      <c r="F286" s="13">
        <v>36</v>
      </c>
      <c r="G286" s="13"/>
      <c r="H286" s="13"/>
      <c r="I286" s="13"/>
      <c r="J286" s="13">
        <v>192</v>
      </c>
      <c r="K286" s="13"/>
      <c r="L286" s="13"/>
      <c r="M286" s="13">
        <v>400</v>
      </c>
      <c r="N286" s="540"/>
      <c r="O286" s="485">
        <f t="shared" si="3"/>
        <v>628</v>
      </c>
      <c r="P286" s="387">
        <v>311</v>
      </c>
      <c r="Q286" s="389">
        <v>309.25</v>
      </c>
      <c r="R286" s="389">
        <v>0</v>
      </c>
      <c r="S286" s="389">
        <v>0</v>
      </c>
      <c r="T286" s="389">
        <v>0</v>
      </c>
      <c r="U286" s="389">
        <v>1.75</v>
      </c>
      <c r="V286" s="515"/>
    </row>
    <row r="287" spans="1:22" ht="34.9" customHeight="1" x14ac:dyDescent="0.25">
      <c r="A287" s="13">
        <v>286</v>
      </c>
      <c r="B287" s="95">
        <v>45037</v>
      </c>
      <c r="C287" s="13">
        <v>20</v>
      </c>
      <c r="D287" s="485"/>
      <c r="E287" s="90"/>
      <c r="F287" s="13"/>
      <c r="G287" s="13"/>
      <c r="H287" s="13"/>
      <c r="I287" s="13">
        <v>60</v>
      </c>
      <c r="J287" s="13">
        <v>560</v>
      </c>
      <c r="K287" s="13"/>
      <c r="L287" s="13">
        <v>5</v>
      </c>
      <c r="M287" s="13">
        <v>18</v>
      </c>
      <c r="N287" s="540"/>
      <c r="O287" s="485">
        <f t="shared" si="3"/>
        <v>643</v>
      </c>
      <c r="P287" s="387">
        <v>141</v>
      </c>
      <c r="Q287" s="389">
        <v>115.77999999999999</v>
      </c>
      <c r="R287" s="389">
        <v>4.22</v>
      </c>
      <c r="S287" s="389">
        <v>0</v>
      </c>
      <c r="T287" s="389">
        <v>10</v>
      </c>
      <c r="U287" s="389">
        <v>11</v>
      </c>
      <c r="V287" s="515"/>
    </row>
    <row r="288" spans="1:22" ht="34.9" customHeight="1" x14ac:dyDescent="0.25">
      <c r="A288" s="13">
        <v>287</v>
      </c>
      <c r="B288" s="95">
        <v>45038</v>
      </c>
      <c r="C288" s="13">
        <v>94</v>
      </c>
      <c r="D288" s="485"/>
      <c r="E288" s="90"/>
      <c r="F288" s="13"/>
      <c r="G288" s="13"/>
      <c r="H288" s="13"/>
      <c r="I288" s="13">
        <v>428</v>
      </c>
      <c r="J288" s="13">
        <v>131</v>
      </c>
      <c r="K288" s="13"/>
      <c r="L288" s="13">
        <v>51</v>
      </c>
      <c r="M288" s="13">
        <v>762</v>
      </c>
      <c r="N288" s="540"/>
      <c r="O288" s="485">
        <f t="shared" si="3"/>
        <v>1372</v>
      </c>
      <c r="P288" s="387">
        <v>319.8</v>
      </c>
      <c r="Q288" s="389">
        <v>266.8</v>
      </c>
      <c r="R288" s="389">
        <v>0</v>
      </c>
      <c r="S288" s="389">
        <v>4</v>
      </c>
      <c r="T288" s="389">
        <v>45</v>
      </c>
      <c r="U288" s="389">
        <v>4</v>
      </c>
      <c r="V288" s="515"/>
    </row>
    <row r="289" spans="1:22" ht="34.9" customHeight="1" x14ac:dyDescent="0.25">
      <c r="A289" s="190">
        <v>288</v>
      </c>
      <c r="B289" s="191">
        <v>45039</v>
      </c>
      <c r="C289" s="190"/>
      <c r="D289" s="190"/>
      <c r="E289" s="250"/>
      <c r="F289" s="190"/>
      <c r="G289" s="190"/>
      <c r="H289" s="190"/>
      <c r="I289" s="190"/>
      <c r="J289" s="190"/>
      <c r="K289" s="190"/>
      <c r="L289" s="190"/>
      <c r="M289" s="190"/>
      <c r="N289" s="542"/>
      <c r="O289" s="485">
        <f t="shared" si="3"/>
        <v>0</v>
      </c>
      <c r="P289" s="392"/>
      <c r="Q289" s="393"/>
      <c r="R289" s="393"/>
      <c r="S289" s="393"/>
      <c r="T289" s="393"/>
      <c r="U289" s="393"/>
      <c r="V289" s="515"/>
    </row>
    <row r="290" spans="1:22" ht="34.9" customHeight="1" x14ac:dyDescent="0.25">
      <c r="A290" s="13">
        <v>289</v>
      </c>
      <c r="B290" s="95">
        <v>45040</v>
      </c>
      <c r="C290" s="421">
        <v>762</v>
      </c>
      <c r="D290" s="485"/>
      <c r="E290" s="422"/>
      <c r="F290" s="421"/>
      <c r="G290" s="421"/>
      <c r="H290" s="421">
        <v>138</v>
      </c>
      <c r="I290" s="421">
        <v>292</v>
      </c>
      <c r="J290" s="421"/>
      <c r="K290" s="421"/>
      <c r="L290" s="421"/>
      <c r="M290" s="421">
        <v>425</v>
      </c>
      <c r="N290" s="540"/>
      <c r="O290" s="485">
        <f t="shared" si="3"/>
        <v>855</v>
      </c>
      <c r="P290" s="387">
        <v>392.91</v>
      </c>
      <c r="Q290" s="389">
        <v>351.41</v>
      </c>
      <c r="R290" s="389">
        <v>0</v>
      </c>
      <c r="S290" s="389">
        <v>32.5</v>
      </c>
      <c r="T290" s="389">
        <v>0</v>
      </c>
      <c r="U290" s="389">
        <v>9</v>
      </c>
      <c r="V290" s="515"/>
    </row>
    <row r="291" spans="1:22" ht="34.9" customHeight="1" x14ac:dyDescent="0.25">
      <c r="A291" s="13">
        <v>290</v>
      </c>
      <c r="B291" s="95">
        <v>45041</v>
      </c>
      <c r="C291" s="13"/>
      <c r="D291" s="485"/>
      <c r="E291" s="90"/>
      <c r="F291" s="13"/>
      <c r="G291" s="13"/>
      <c r="H291" s="13"/>
      <c r="I291" s="13">
        <v>204</v>
      </c>
      <c r="J291" s="13">
        <v>30</v>
      </c>
      <c r="K291" s="13"/>
      <c r="L291" s="13">
        <v>126</v>
      </c>
      <c r="M291" s="13">
        <v>335</v>
      </c>
      <c r="N291" s="540"/>
      <c r="O291" s="485">
        <f t="shared" si="3"/>
        <v>695</v>
      </c>
      <c r="P291" s="387">
        <v>149.09</v>
      </c>
      <c r="Q291" s="389">
        <v>106.98</v>
      </c>
      <c r="R291" s="389">
        <v>23.11</v>
      </c>
      <c r="S291" s="389">
        <v>0</v>
      </c>
      <c r="T291" s="389">
        <v>15</v>
      </c>
      <c r="U291" s="389">
        <v>4</v>
      </c>
      <c r="V291" s="515"/>
    </row>
    <row r="292" spans="1:22" ht="34.9" customHeight="1" x14ac:dyDescent="0.25">
      <c r="A292" s="13">
        <v>291</v>
      </c>
      <c r="B292" s="95">
        <v>45042</v>
      </c>
      <c r="C292" s="13">
        <v>5</v>
      </c>
      <c r="D292" s="485"/>
      <c r="E292" s="90"/>
      <c r="F292" s="13"/>
      <c r="G292" s="13"/>
      <c r="H292" s="13"/>
      <c r="I292" s="13">
        <v>181</v>
      </c>
      <c r="J292" s="13">
        <v>240</v>
      </c>
      <c r="K292" s="13"/>
      <c r="L292" s="13"/>
      <c r="M292" s="13">
        <v>1068</v>
      </c>
      <c r="N292" s="540"/>
      <c r="O292" s="485">
        <f t="shared" si="3"/>
        <v>1489</v>
      </c>
      <c r="P292" s="387">
        <v>316.10888888888888</v>
      </c>
      <c r="Q292" s="389">
        <v>270.04888888888888</v>
      </c>
      <c r="R292" s="389">
        <v>27.989999999999995</v>
      </c>
      <c r="S292" s="389">
        <v>0</v>
      </c>
      <c r="T292" s="389">
        <v>10</v>
      </c>
      <c r="U292" s="389">
        <v>8.07</v>
      </c>
      <c r="V292" s="515"/>
    </row>
    <row r="293" spans="1:22" ht="34.9" customHeight="1" x14ac:dyDescent="0.25">
      <c r="A293" s="13">
        <v>292</v>
      </c>
      <c r="B293" s="95">
        <v>45043</v>
      </c>
      <c r="C293" s="13">
        <v>172</v>
      </c>
      <c r="D293" s="485"/>
      <c r="E293" s="90"/>
      <c r="F293" s="13"/>
      <c r="G293" s="13"/>
      <c r="H293" s="13">
        <v>64</v>
      </c>
      <c r="I293" s="13">
        <v>196</v>
      </c>
      <c r="J293" s="13">
        <v>86</v>
      </c>
      <c r="K293" s="13"/>
      <c r="L293" s="13"/>
      <c r="M293" s="13">
        <v>1285</v>
      </c>
      <c r="N293" s="540"/>
      <c r="O293" s="485">
        <f t="shared" si="3"/>
        <v>1631</v>
      </c>
      <c r="P293" s="387">
        <v>344.12444444444446</v>
      </c>
      <c r="Q293" s="389">
        <v>303.44444444444446</v>
      </c>
      <c r="R293" s="389">
        <v>32</v>
      </c>
      <c r="S293" s="389">
        <v>0</v>
      </c>
      <c r="T293" s="389">
        <v>5</v>
      </c>
      <c r="U293" s="389">
        <v>3.6799999999999997</v>
      </c>
      <c r="V293" s="515"/>
    </row>
    <row r="294" spans="1:22" ht="34.9" customHeight="1" x14ac:dyDescent="0.25">
      <c r="A294" s="13">
        <v>293</v>
      </c>
      <c r="B294" s="95">
        <v>45044</v>
      </c>
      <c r="C294" s="13"/>
      <c r="D294" s="485"/>
      <c r="E294" s="90"/>
      <c r="F294" s="13"/>
      <c r="G294" s="13"/>
      <c r="H294" s="13"/>
      <c r="I294" s="13">
        <v>545</v>
      </c>
      <c r="J294" s="13">
        <v>48</v>
      </c>
      <c r="K294" s="13"/>
      <c r="L294" s="13"/>
      <c r="M294" s="13">
        <v>163</v>
      </c>
      <c r="N294" s="540"/>
      <c r="O294" s="485">
        <f t="shared" si="3"/>
        <v>756</v>
      </c>
      <c r="P294" s="387">
        <v>167.94000000000003</v>
      </c>
      <c r="Q294" s="389">
        <v>129.09</v>
      </c>
      <c r="R294" s="389">
        <v>38.200000000000003</v>
      </c>
      <c r="S294" s="389">
        <v>0</v>
      </c>
      <c r="T294" s="389">
        <v>0</v>
      </c>
      <c r="U294" s="389">
        <v>0.64999999999999991</v>
      </c>
      <c r="V294" s="515"/>
    </row>
    <row r="295" spans="1:22" ht="97.5" customHeight="1" x14ac:dyDescent="0.25">
      <c r="A295" s="13">
        <v>294</v>
      </c>
      <c r="B295" s="95">
        <v>45045</v>
      </c>
      <c r="C295" s="13"/>
      <c r="D295" s="485"/>
      <c r="E295" s="90" t="s">
        <v>500</v>
      </c>
      <c r="F295" s="13">
        <f>150+33</f>
        <v>183</v>
      </c>
      <c r="G295" s="13"/>
      <c r="H295" s="13"/>
      <c r="I295" s="13">
        <v>298.5</v>
      </c>
      <c r="J295" s="13">
        <v>146</v>
      </c>
      <c r="K295" s="13"/>
      <c r="L295" s="13">
        <v>4</v>
      </c>
      <c r="M295" s="13">
        <v>659</v>
      </c>
      <c r="N295" s="540"/>
      <c r="O295" s="485">
        <f t="shared" si="3"/>
        <v>1290.5</v>
      </c>
      <c r="P295" s="387">
        <v>245.90222222222224</v>
      </c>
      <c r="Q295" s="389">
        <v>166.10222222222222</v>
      </c>
      <c r="R295" s="389">
        <v>54.81</v>
      </c>
      <c r="S295" s="389">
        <v>0</v>
      </c>
      <c r="T295" s="389">
        <v>0</v>
      </c>
      <c r="U295" s="389">
        <v>24.989999999999995</v>
      </c>
      <c r="V295" s="515"/>
    </row>
    <row r="296" spans="1:22" ht="34.9" customHeight="1" x14ac:dyDescent="0.25">
      <c r="A296" s="190">
        <v>295</v>
      </c>
      <c r="B296" s="191">
        <v>45046</v>
      </c>
      <c r="C296" s="190"/>
      <c r="D296" s="190"/>
      <c r="E296" s="250"/>
      <c r="F296" s="190"/>
      <c r="G296" s="190"/>
      <c r="H296" s="190"/>
      <c r="I296" s="190"/>
      <c r="J296" s="190"/>
      <c r="K296" s="190"/>
      <c r="L296" s="190"/>
      <c r="M296" s="190"/>
      <c r="N296" s="542"/>
      <c r="O296" s="485">
        <f t="shared" si="3"/>
        <v>0</v>
      </c>
      <c r="P296" s="392"/>
      <c r="Q296" s="393"/>
      <c r="R296" s="393"/>
      <c r="S296" s="393"/>
      <c r="T296" s="393"/>
      <c r="U296" s="393"/>
      <c r="V296" s="515"/>
    </row>
    <row r="297" spans="1:22" ht="34.9" customHeight="1" x14ac:dyDescent="0.25">
      <c r="A297" s="190">
        <v>296</v>
      </c>
      <c r="B297" s="191">
        <v>45047</v>
      </c>
      <c r="C297" s="190"/>
      <c r="D297" s="190"/>
      <c r="E297" s="250"/>
      <c r="F297" s="190"/>
      <c r="G297" s="190"/>
      <c r="H297" s="190"/>
      <c r="I297" s="190"/>
      <c r="J297" s="190"/>
      <c r="K297" s="190"/>
      <c r="L297" s="190"/>
      <c r="M297" s="190"/>
      <c r="N297" s="542"/>
      <c r="O297" s="485">
        <f t="shared" si="3"/>
        <v>0</v>
      </c>
      <c r="P297" s="392"/>
      <c r="Q297" s="393"/>
      <c r="R297" s="393"/>
      <c r="S297" s="393"/>
      <c r="T297" s="393"/>
      <c r="U297" s="393"/>
      <c r="V297" s="515"/>
    </row>
    <row r="298" spans="1:22" ht="34.9" customHeight="1" x14ac:dyDescent="0.25">
      <c r="A298" s="13">
        <v>297</v>
      </c>
      <c r="B298" s="95">
        <v>45048</v>
      </c>
      <c r="C298" s="13">
        <v>94</v>
      </c>
      <c r="D298" s="485"/>
      <c r="E298" s="90"/>
      <c r="F298" s="13"/>
      <c r="G298" s="13"/>
      <c r="H298" s="13"/>
      <c r="I298" s="13">
        <v>581</v>
      </c>
      <c r="J298" s="13">
        <v>31</v>
      </c>
      <c r="K298" s="13"/>
      <c r="L298" s="13"/>
      <c r="M298" s="13">
        <v>1625</v>
      </c>
      <c r="N298" s="540"/>
      <c r="O298" s="485">
        <f t="shared" si="3"/>
        <v>2237</v>
      </c>
      <c r="P298" s="387">
        <v>448.10999999999996</v>
      </c>
      <c r="Q298" s="389">
        <v>304.13</v>
      </c>
      <c r="R298" s="389">
        <v>138.51999999999998</v>
      </c>
      <c r="S298" s="389">
        <v>0</v>
      </c>
      <c r="T298" s="389">
        <v>0</v>
      </c>
      <c r="U298" s="389">
        <v>5.46</v>
      </c>
      <c r="V298" s="515"/>
    </row>
    <row r="299" spans="1:22" ht="34.9" customHeight="1" x14ac:dyDescent="0.25">
      <c r="A299" s="13">
        <v>298</v>
      </c>
      <c r="B299" s="95">
        <v>45049</v>
      </c>
      <c r="C299" s="13">
        <v>7</v>
      </c>
      <c r="D299" s="485"/>
      <c r="E299" s="90"/>
      <c r="F299" s="13"/>
      <c r="G299" s="13"/>
      <c r="H299" s="13">
        <v>98</v>
      </c>
      <c r="I299" s="13">
        <v>574</v>
      </c>
      <c r="J299" s="13">
        <v>1449</v>
      </c>
      <c r="K299" s="13"/>
      <c r="L299" s="13"/>
      <c r="M299" s="13">
        <v>261</v>
      </c>
      <c r="N299" s="540"/>
      <c r="O299" s="485">
        <f t="shared" si="3"/>
        <v>2382</v>
      </c>
      <c r="P299" s="387">
        <v>403</v>
      </c>
      <c r="Q299" s="389">
        <v>352.01</v>
      </c>
      <c r="R299" s="389">
        <v>6.68</v>
      </c>
      <c r="S299" s="389">
        <v>0</v>
      </c>
      <c r="T299" s="389">
        <v>35</v>
      </c>
      <c r="U299" s="389">
        <v>9.3099999999999987</v>
      </c>
      <c r="V299" s="515"/>
    </row>
    <row r="300" spans="1:22" ht="34.9" customHeight="1" x14ac:dyDescent="0.25">
      <c r="A300" s="13">
        <v>299</v>
      </c>
      <c r="B300" s="95">
        <v>45050</v>
      </c>
      <c r="C300" s="13"/>
      <c r="D300" s="485"/>
      <c r="E300" s="90"/>
      <c r="F300" s="13"/>
      <c r="G300" s="13"/>
      <c r="H300" s="13"/>
      <c r="I300" s="13">
        <v>53</v>
      </c>
      <c r="J300" s="13">
        <v>60</v>
      </c>
      <c r="K300" s="13"/>
      <c r="L300" s="13"/>
      <c r="M300" s="13">
        <v>793</v>
      </c>
      <c r="N300" s="540"/>
      <c r="O300" s="485">
        <f t="shared" si="3"/>
        <v>906</v>
      </c>
      <c r="P300" s="387">
        <v>211.31000000000006</v>
      </c>
      <c r="Q300" s="389">
        <v>196.31000000000006</v>
      </c>
      <c r="R300" s="389">
        <v>0</v>
      </c>
      <c r="S300" s="389">
        <v>0</v>
      </c>
      <c r="T300" s="389">
        <v>15</v>
      </c>
      <c r="U300" s="389">
        <v>0</v>
      </c>
      <c r="V300" s="515"/>
    </row>
    <row r="301" spans="1:22" ht="34.9" customHeight="1" x14ac:dyDescent="0.25">
      <c r="A301" s="13">
        <v>300</v>
      </c>
      <c r="B301" s="95">
        <v>45051</v>
      </c>
      <c r="C301" s="13"/>
      <c r="D301" s="485"/>
      <c r="E301" s="90"/>
      <c r="F301" s="13"/>
      <c r="G301" s="13"/>
      <c r="H301" s="13">
        <v>362</v>
      </c>
      <c r="I301" s="13">
        <v>60</v>
      </c>
      <c r="J301" s="13">
        <v>114</v>
      </c>
      <c r="K301" s="13"/>
      <c r="L301" s="13"/>
      <c r="M301" s="13">
        <v>155</v>
      </c>
      <c r="N301" s="540"/>
      <c r="O301" s="485">
        <f t="shared" si="3"/>
        <v>691</v>
      </c>
      <c r="P301" s="387">
        <v>141.87037037037041</v>
      </c>
      <c r="Q301" s="389">
        <v>131.27037037037042</v>
      </c>
      <c r="R301" s="389">
        <v>10.600000000000001</v>
      </c>
      <c r="S301" s="389">
        <v>0</v>
      </c>
      <c r="T301" s="389">
        <v>0</v>
      </c>
      <c r="U301" s="389">
        <v>0</v>
      </c>
      <c r="V301" s="515"/>
    </row>
    <row r="302" spans="1:22" ht="34.9" customHeight="1" x14ac:dyDescent="0.25">
      <c r="A302" s="13">
        <v>301</v>
      </c>
      <c r="B302" s="95">
        <v>45052</v>
      </c>
      <c r="C302" s="13">
        <v>661</v>
      </c>
      <c r="D302" s="485"/>
      <c r="E302" s="90"/>
      <c r="F302" s="13"/>
      <c r="G302" s="13">
        <v>4</v>
      </c>
      <c r="H302" s="13"/>
      <c r="I302" s="13">
        <v>120</v>
      </c>
      <c r="J302" s="13"/>
      <c r="K302" s="13"/>
      <c r="L302" s="13"/>
      <c r="M302" s="13">
        <v>255</v>
      </c>
      <c r="N302" s="540"/>
      <c r="O302" s="485">
        <f t="shared" si="3"/>
        <v>379</v>
      </c>
      <c r="P302" s="387">
        <v>219.02</v>
      </c>
      <c r="Q302" s="389">
        <v>108.94999999999999</v>
      </c>
      <c r="R302" s="389">
        <v>75.61</v>
      </c>
      <c r="S302" s="389">
        <v>20.71</v>
      </c>
      <c r="T302" s="389">
        <v>12</v>
      </c>
      <c r="U302" s="389">
        <v>1.75</v>
      </c>
      <c r="V302" s="515"/>
    </row>
    <row r="303" spans="1:22" ht="34.9" customHeight="1" x14ac:dyDescent="0.25">
      <c r="A303" s="190">
        <v>302</v>
      </c>
      <c r="B303" s="191">
        <v>45053</v>
      </c>
      <c r="C303" s="190"/>
      <c r="D303" s="190"/>
      <c r="E303" s="250"/>
      <c r="F303" s="190"/>
      <c r="G303" s="190"/>
      <c r="H303" s="190"/>
      <c r="I303" s="190"/>
      <c r="J303" s="190"/>
      <c r="K303" s="190"/>
      <c r="L303" s="190"/>
      <c r="M303" s="190"/>
      <c r="N303" s="542"/>
      <c r="O303" s="485">
        <f t="shared" si="3"/>
        <v>0</v>
      </c>
      <c r="P303" s="392"/>
      <c r="Q303" s="393"/>
      <c r="R303" s="393"/>
      <c r="S303" s="393"/>
      <c r="T303" s="393"/>
      <c r="U303" s="393"/>
      <c r="V303" s="515"/>
    </row>
    <row r="304" spans="1:22" ht="34.9" customHeight="1" x14ac:dyDescent="0.25">
      <c r="A304" s="13">
        <v>303</v>
      </c>
      <c r="B304" s="95">
        <v>45054</v>
      </c>
      <c r="C304" s="13"/>
      <c r="D304" s="485"/>
      <c r="E304" s="90"/>
      <c r="F304" s="13"/>
      <c r="G304" s="13"/>
      <c r="H304" s="13"/>
      <c r="I304" s="13">
        <v>433.38</v>
      </c>
      <c r="J304" s="13">
        <v>30</v>
      </c>
      <c r="K304" s="13"/>
      <c r="L304" s="13"/>
      <c r="M304" s="13">
        <v>519</v>
      </c>
      <c r="N304" s="540"/>
      <c r="O304" s="485">
        <f t="shared" si="3"/>
        <v>982.38</v>
      </c>
      <c r="P304" s="387">
        <v>204.33222222222224</v>
      </c>
      <c r="Q304" s="389">
        <v>182.76222222222222</v>
      </c>
      <c r="R304" s="389">
        <v>10.6</v>
      </c>
      <c r="S304" s="389">
        <v>0</v>
      </c>
      <c r="T304" s="389">
        <v>9.6700000000000017</v>
      </c>
      <c r="U304" s="389">
        <v>1.3</v>
      </c>
      <c r="V304" s="515"/>
    </row>
    <row r="305" spans="1:22" ht="34.9" customHeight="1" x14ac:dyDescent="0.25">
      <c r="A305" s="13">
        <v>304</v>
      </c>
      <c r="B305" s="95">
        <v>45055</v>
      </c>
      <c r="C305" s="13"/>
      <c r="D305" s="485"/>
      <c r="E305" s="90"/>
      <c r="F305" s="13"/>
      <c r="G305" s="13"/>
      <c r="H305" s="13"/>
      <c r="I305" s="13">
        <v>78</v>
      </c>
      <c r="J305" s="13">
        <v>49</v>
      </c>
      <c r="K305" s="13"/>
      <c r="L305" s="13"/>
      <c r="M305" s="13">
        <v>228</v>
      </c>
      <c r="N305" s="540"/>
      <c r="O305" s="485">
        <f t="shared" si="3"/>
        <v>355</v>
      </c>
      <c r="P305" s="387">
        <v>102.87000000000003</v>
      </c>
      <c r="Q305" s="389">
        <v>81.970000000000027</v>
      </c>
      <c r="R305" s="389">
        <v>20.900000000000006</v>
      </c>
      <c r="S305" s="389">
        <v>0</v>
      </c>
      <c r="T305" s="389">
        <v>0</v>
      </c>
      <c r="U305" s="389">
        <v>0</v>
      </c>
      <c r="V305" s="515"/>
    </row>
    <row r="306" spans="1:22" ht="66" customHeight="1" x14ac:dyDescent="0.25">
      <c r="A306" s="13">
        <v>305</v>
      </c>
      <c r="B306" s="95">
        <v>45056</v>
      </c>
      <c r="C306" s="13"/>
      <c r="D306" s="485"/>
      <c r="E306" s="90" t="s">
        <v>503</v>
      </c>
      <c r="F306" s="13">
        <f>20+36+114</f>
        <v>170</v>
      </c>
      <c r="G306" s="13"/>
      <c r="H306" s="13">
        <v>747</v>
      </c>
      <c r="I306" s="13">
        <v>32</v>
      </c>
      <c r="J306" s="13">
        <v>220</v>
      </c>
      <c r="K306" s="13"/>
      <c r="L306" s="13"/>
      <c r="M306" s="13">
        <v>345</v>
      </c>
      <c r="N306" s="540"/>
      <c r="O306" s="485">
        <f t="shared" si="3"/>
        <v>1514</v>
      </c>
      <c r="P306" s="387">
        <v>208.6622222222222</v>
      </c>
      <c r="Q306" s="389">
        <v>68.412222222222226</v>
      </c>
      <c r="R306" s="389">
        <v>109.29999999999995</v>
      </c>
      <c r="S306" s="389">
        <v>0</v>
      </c>
      <c r="T306" s="389">
        <v>29.840000000000003</v>
      </c>
      <c r="U306" s="389">
        <v>1.1100000000000003</v>
      </c>
      <c r="V306" s="515"/>
    </row>
    <row r="307" spans="1:22" ht="34.9" customHeight="1" x14ac:dyDescent="0.25">
      <c r="A307" s="13">
        <v>306</v>
      </c>
      <c r="B307" s="95">
        <v>45057</v>
      </c>
      <c r="C307" s="13"/>
      <c r="D307" s="485"/>
      <c r="E307" s="90"/>
      <c r="F307" s="13"/>
      <c r="G307" s="13"/>
      <c r="H307" s="13"/>
      <c r="I307" s="13">
        <v>112</v>
      </c>
      <c r="J307" s="13">
        <v>15</v>
      </c>
      <c r="K307" s="13"/>
      <c r="L307" s="13"/>
      <c r="M307" s="13">
        <v>21</v>
      </c>
      <c r="N307" s="540"/>
      <c r="O307" s="485">
        <f t="shared" si="3"/>
        <v>148</v>
      </c>
      <c r="P307" s="387">
        <v>34.9</v>
      </c>
      <c r="Q307" s="389">
        <v>33.15</v>
      </c>
      <c r="R307" s="389">
        <v>0</v>
      </c>
      <c r="S307" s="389">
        <v>0</v>
      </c>
      <c r="T307" s="389">
        <v>0</v>
      </c>
      <c r="U307" s="389">
        <v>1.75</v>
      </c>
      <c r="V307" s="515"/>
    </row>
    <row r="308" spans="1:22" ht="34.9" customHeight="1" x14ac:dyDescent="0.25">
      <c r="A308" s="13">
        <v>307</v>
      </c>
      <c r="B308" s="95">
        <v>45058</v>
      </c>
      <c r="C308" s="13"/>
      <c r="D308" s="485"/>
      <c r="E308" s="90" t="s">
        <v>504</v>
      </c>
      <c r="F308" s="13">
        <v>37</v>
      </c>
      <c r="G308" s="13"/>
      <c r="H308" s="13">
        <v>112</v>
      </c>
      <c r="I308" s="13">
        <v>46</v>
      </c>
      <c r="J308" s="13">
        <v>146</v>
      </c>
      <c r="K308" s="13"/>
      <c r="L308" s="13"/>
      <c r="M308" s="13">
        <v>540</v>
      </c>
      <c r="N308" s="540"/>
      <c r="O308" s="485">
        <f t="shared" si="3"/>
        <v>881</v>
      </c>
      <c r="P308" s="387">
        <v>170.29222222222228</v>
      </c>
      <c r="Q308" s="389">
        <v>140.23222222222228</v>
      </c>
      <c r="R308" s="389">
        <v>28.44</v>
      </c>
      <c r="S308" s="389">
        <v>0</v>
      </c>
      <c r="T308" s="389">
        <v>0</v>
      </c>
      <c r="U308" s="389">
        <v>1.62</v>
      </c>
      <c r="V308" s="515"/>
    </row>
    <row r="309" spans="1:22" ht="34.9" customHeight="1" x14ac:dyDescent="0.25">
      <c r="A309" s="13">
        <v>308</v>
      </c>
      <c r="B309" s="95">
        <v>45059</v>
      </c>
      <c r="C309" s="13">
        <v>98</v>
      </c>
      <c r="D309" s="485"/>
      <c r="E309" s="90"/>
      <c r="F309" s="13"/>
      <c r="G309" s="13"/>
      <c r="H309" s="13"/>
      <c r="I309" s="13">
        <v>17</v>
      </c>
      <c r="J309" s="13">
        <v>220</v>
      </c>
      <c r="K309" s="13"/>
      <c r="L309" s="13">
        <v>101</v>
      </c>
      <c r="M309" s="13">
        <v>522</v>
      </c>
      <c r="N309" s="540"/>
      <c r="O309" s="485">
        <f t="shared" si="3"/>
        <v>860</v>
      </c>
      <c r="P309" s="387">
        <v>197.25</v>
      </c>
      <c r="Q309" s="389">
        <v>80.819999999999993</v>
      </c>
      <c r="R309" s="389">
        <v>36.679999999999993</v>
      </c>
      <c r="S309" s="389">
        <v>0</v>
      </c>
      <c r="T309" s="389">
        <v>72</v>
      </c>
      <c r="U309" s="389">
        <v>7.75</v>
      </c>
      <c r="V309" s="515"/>
    </row>
    <row r="310" spans="1:22" ht="34.9" customHeight="1" x14ac:dyDescent="0.25">
      <c r="A310" s="190">
        <v>309</v>
      </c>
      <c r="B310" s="191">
        <v>45060</v>
      </c>
      <c r="C310" s="190"/>
      <c r="D310" s="190"/>
      <c r="E310" s="250"/>
      <c r="F310" s="190"/>
      <c r="G310" s="190"/>
      <c r="H310" s="190"/>
      <c r="I310" s="190"/>
      <c r="J310" s="190"/>
      <c r="K310" s="190"/>
      <c r="L310" s="190"/>
      <c r="M310" s="190"/>
      <c r="N310" s="542"/>
      <c r="O310" s="485">
        <f t="shared" si="3"/>
        <v>0</v>
      </c>
      <c r="P310" s="392"/>
      <c r="Q310" s="393"/>
      <c r="R310" s="393"/>
      <c r="S310" s="393"/>
      <c r="T310" s="393"/>
      <c r="U310" s="393"/>
      <c r="V310" s="515"/>
    </row>
    <row r="311" spans="1:22" ht="34.9" customHeight="1" x14ac:dyDescent="0.25">
      <c r="A311" s="13">
        <v>310</v>
      </c>
      <c r="B311" s="95">
        <v>45061</v>
      </c>
      <c r="C311" s="13"/>
      <c r="D311" s="485"/>
      <c r="E311" s="90" t="s">
        <v>505</v>
      </c>
      <c r="F311" s="13">
        <v>352</v>
      </c>
      <c r="G311" s="13"/>
      <c r="H311" s="13"/>
      <c r="I311" s="13">
        <v>144</v>
      </c>
      <c r="J311" s="13"/>
      <c r="K311" s="13"/>
      <c r="L311" s="13">
        <v>2</v>
      </c>
      <c r="M311" s="13">
        <v>318</v>
      </c>
      <c r="N311" s="540"/>
      <c r="O311" s="485">
        <f t="shared" si="3"/>
        <v>816</v>
      </c>
      <c r="P311" s="387">
        <v>220.47444444444449</v>
      </c>
      <c r="Q311" s="389">
        <v>220.47444444444449</v>
      </c>
      <c r="R311" s="389">
        <v>0</v>
      </c>
      <c r="S311" s="389">
        <v>0</v>
      </c>
      <c r="T311" s="389">
        <v>0</v>
      </c>
      <c r="U311" s="389">
        <v>0</v>
      </c>
      <c r="V311" s="515"/>
    </row>
    <row r="312" spans="1:22" ht="34.9" customHeight="1" x14ac:dyDescent="0.25">
      <c r="A312" s="13">
        <v>311</v>
      </c>
      <c r="B312" s="95">
        <v>45062</v>
      </c>
      <c r="C312" s="13"/>
      <c r="D312" s="485"/>
      <c r="E312" s="90" t="s">
        <v>506</v>
      </c>
      <c r="F312" s="13">
        <f>60+141</f>
        <v>201</v>
      </c>
      <c r="G312" s="13"/>
      <c r="H312" s="13"/>
      <c r="I312" s="13">
        <v>188</v>
      </c>
      <c r="J312" s="13"/>
      <c r="K312" s="13"/>
      <c r="L312" s="13">
        <v>28</v>
      </c>
      <c r="M312" s="13">
        <v>480</v>
      </c>
      <c r="N312" s="540"/>
      <c r="O312" s="485">
        <f t="shared" ref="O312:O375" si="4">SUM(G312:N312)+F312+D312</f>
        <v>897</v>
      </c>
      <c r="P312" s="387">
        <v>137.94222222222226</v>
      </c>
      <c r="Q312" s="389">
        <v>134.70222222222225</v>
      </c>
      <c r="R312" s="389">
        <v>0</v>
      </c>
      <c r="S312" s="389">
        <v>0</v>
      </c>
      <c r="T312" s="389">
        <v>0</v>
      </c>
      <c r="U312" s="389">
        <v>3.24</v>
      </c>
      <c r="V312" s="515"/>
    </row>
    <row r="313" spans="1:22" ht="34.9" customHeight="1" x14ac:dyDescent="0.25">
      <c r="A313" s="13">
        <v>312</v>
      </c>
      <c r="B313" s="95">
        <v>45063</v>
      </c>
      <c r="C313" s="13"/>
      <c r="D313" s="485"/>
      <c r="E313" s="90"/>
      <c r="F313" s="13"/>
      <c r="G313" s="13"/>
      <c r="H313" s="13"/>
      <c r="I313" s="13">
        <v>646</v>
      </c>
      <c r="J313" s="13">
        <v>168</v>
      </c>
      <c r="K313" s="13">
        <v>20</v>
      </c>
      <c r="L313" s="13"/>
      <c r="M313" s="13">
        <v>966</v>
      </c>
      <c r="N313" s="540"/>
      <c r="O313" s="485">
        <f t="shared" si="4"/>
        <v>1800</v>
      </c>
      <c r="P313" s="387">
        <v>355.85</v>
      </c>
      <c r="Q313" s="389">
        <v>295.33000000000004</v>
      </c>
      <c r="R313" s="389">
        <v>38.839999999999989</v>
      </c>
      <c r="S313" s="389">
        <v>0</v>
      </c>
      <c r="T313" s="389">
        <v>20</v>
      </c>
      <c r="U313" s="389">
        <v>1.68</v>
      </c>
      <c r="V313" s="515"/>
    </row>
    <row r="314" spans="1:22" ht="34.9" customHeight="1" x14ac:dyDescent="0.25">
      <c r="A314" s="13">
        <v>313</v>
      </c>
      <c r="B314" s="95">
        <v>45064</v>
      </c>
      <c r="C314" s="13"/>
      <c r="D314" s="485"/>
      <c r="E314" s="90"/>
      <c r="F314" s="13"/>
      <c r="G314" s="13"/>
      <c r="H314" s="13"/>
      <c r="I314" s="13">
        <v>1105</v>
      </c>
      <c r="J314" s="13">
        <v>632</v>
      </c>
      <c r="K314" s="13"/>
      <c r="L314" s="13">
        <v>48</v>
      </c>
      <c r="M314" s="13">
        <v>912</v>
      </c>
      <c r="N314" s="540"/>
      <c r="O314" s="485">
        <f t="shared" si="4"/>
        <v>2697</v>
      </c>
      <c r="P314" s="387">
        <v>534.56166666666661</v>
      </c>
      <c r="Q314" s="389">
        <v>467.60166666666669</v>
      </c>
      <c r="R314" s="389">
        <v>66.31</v>
      </c>
      <c r="S314" s="389">
        <v>0</v>
      </c>
      <c r="T314" s="389">
        <v>0</v>
      </c>
      <c r="U314" s="389">
        <v>0.64999999999999991</v>
      </c>
      <c r="V314" s="515"/>
    </row>
    <row r="315" spans="1:22" ht="34.9" customHeight="1" x14ac:dyDescent="0.25">
      <c r="A315" s="13">
        <v>314</v>
      </c>
      <c r="B315" s="95">
        <v>45065</v>
      </c>
      <c r="C315" s="13">
        <v>62</v>
      </c>
      <c r="D315" s="485"/>
      <c r="E315" s="90" t="s">
        <v>512</v>
      </c>
      <c r="F315" s="13">
        <v>100</v>
      </c>
      <c r="G315" s="13"/>
      <c r="H315" s="13">
        <v>145</v>
      </c>
      <c r="I315" s="13">
        <v>743.72</v>
      </c>
      <c r="J315" s="13">
        <v>1150.3</v>
      </c>
      <c r="K315" s="13"/>
      <c r="L315" s="13"/>
      <c r="M315" s="13">
        <v>1057</v>
      </c>
      <c r="N315" s="540"/>
      <c r="O315" s="485">
        <f t="shared" si="4"/>
        <v>3196.02</v>
      </c>
      <c r="P315" s="387">
        <v>661.96</v>
      </c>
      <c r="Q315" s="389">
        <v>561.98</v>
      </c>
      <c r="R315" s="389">
        <v>88.38000000000001</v>
      </c>
      <c r="S315" s="389">
        <v>0</v>
      </c>
      <c r="T315" s="389">
        <v>0</v>
      </c>
      <c r="U315" s="389">
        <v>11.6</v>
      </c>
      <c r="V315" s="515"/>
    </row>
    <row r="316" spans="1:22" ht="34.9" customHeight="1" x14ac:dyDescent="0.25">
      <c r="A316" s="13">
        <v>315</v>
      </c>
      <c r="B316" s="95">
        <v>45066</v>
      </c>
      <c r="C316" s="13">
        <v>5</v>
      </c>
      <c r="D316" s="485"/>
      <c r="E316" s="90"/>
      <c r="F316" s="13"/>
      <c r="G316" s="13">
        <v>1.76</v>
      </c>
      <c r="H316" s="13"/>
      <c r="I316" s="13">
        <v>274.94</v>
      </c>
      <c r="J316" s="13">
        <v>121</v>
      </c>
      <c r="K316" s="13"/>
      <c r="L316" s="13"/>
      <c r="M316" s="13">
        <v>833</v>
      </c>
      <c r="N316" s="540"/>
      <c r="O316" s="485">
        <f t="shared" si="4"/>
        <v>1230.7</v>
      </c>
      <c r="P316" s="387">
        <v>329.79000000000008</v>
      </c>
      <c r="Q316" s="389">
        <v>205.05000000000004</v>
      </c>
      <c r="R316" s="389">
        <v>88.14</v>
      </c>
      <c r="S316" s="389">
        <v>0</v>
      </c>
      <c r="T316" s="389">
        <v>20</v>
      </c>
      <c r="U316" s="389">
        <v>16.599999999999998</v>
      </c>
      <c r="V316" s="515"/>
    </row>
    <row r="317" spans="1:22" ht="34.9" customHeight="1" x14ac:dyDescent="0.25">
      <c r="A317" s="190">
        <v>316</v>
      </c>
      <c r="B317" s="191">
        <v>45067</v>
      </c>
      <c r="C317" s="190"/>
      <c r="D317" s="190"/>
      <c r="E317" s="250"/>
      <c r="F317" s="190"/>
      <c r="G317" s="190"/>
      <c r="H317" s="190"/>
      <c r="I317" s="190"/>
      <c r="J317" s="190"/>
      <c r="K317" s="190"/>
      <c r="L317" s="190"/>
      <c r="M317" s="190"/>
      <c r="N317" s="542"/>
      <c r="O317" s="485">
        <f t="shared" si="4"/>
        <v>0</v>
      </c>
      <c r="P317" s="392"/>
      <c r="Q317" s="393"/>
      <c r="R317" s="393"/>
      <c r="S317" s="393"/>
      <c r="T317" s="393"/>
      <c r="U317" s="393"/>
      <c r="V317" s="515"/>
    </row>
    <row r="318" spans="1:22" ht="34.9" customHeight="1" x14ac:dyDescent="0.25">
      <c r="A318" s="13">
        <v>317</v>
      </c>
      <c r="B318" s="95">
        <v>45068</v>
      </c>
      <c r="C318" s="13"/>
      <c r="D318" s="485"/>
      <c r="E318" s="319" t="s">
        <v>511</v>
      </c>
      <c r="F318" s="428">
        <v>98</v>
      </c>
      <c r="G318" s="13"/>
      <c r="H318" s="13"/>
      <c r="I318" s="13">
        <v>219</v>
      </c>
      <c r="J318" s="13">
        <v>208</v>
      </c>
      <c r="K318" s="13"/>
      <c r="L318" s="13">
        <v>29</v>
      </c>
      <c r="M318" s="13">
        <v>777</v>
      </c>
      <c r="N318" s="540"/>
      <c r="O318" s="485">
        <f t="shared" si="4"/>
        <v>1331</v>
      </c>
      <c r="P318" s="387">
        <v>250.54092592592593</v>
      </c>
      <c r="Q318" s="389">
        <v>149.40092592592595</v>
      </c>
      <c r="R318" s="389">
        <v>42.14</v>
      </c>
      <c r="S318" s="389">
        <v>0</v>
      </c>
      <c r="T318" s="389">
        <v>59</v>
      </c>
      <c r="U318" s="389">
        <v>0</v>
      </c>
      <c r="V318" s="515"/>
    </row>
    <row r="319" spans="1:22" ht="34.9" customHeight="1" x14ac:dyDescent="0.25">
      <c r="A319" s="13">
        <v>318</v>
      </c>
      <c r="B319" s="95">
        <v>45069</v>
      </c>
      <c r="C319" s="13">
        <f>165+96</f>
        <v>261</v>
      </c>
      <c r="D319" s="485"/>
      <c r="E319" s="90"/>
      <c r="F319" s="13"/>
      <c r="G319" s="13"/>
      <c r="H319" s="13">
        <v>33</v>
      </c>
      <c r="I319" s="13">
        <v>1569</v>
      </c>
      <c r="J319" s="13">
        <v>30</v>
      </c>
      <c r="K319" s="13"/>
      <c r="L319" s="13"/>
      <c r="M319" s="13">
        <v>861</v>
      </c>
      <c r="N319" s="540"/>
      <c r="O319" s="485">
        <f t="shared" si="4"/>
        <v>2493</v>
      </c>
      <c r="P319" s="387">
        <v>601.78111111111104</v>
      </c>
      <c r="Q319" s="389">
        <v>550.98111111111109</v>
      </c>
      <c r="R319" s="389">
        <v>30.799999999999997</v>
      </c>
      <c r="S319" s="389">
        <v>0</v>
      </c>
      <c r="T319" s="389">
        <v>20</v>
      </c>
      <c r="U319" s="389">
        <v>0</v>
      </c>
      <c r="V319" s="515"/>
    </row>
    <row r="320" spans="1:22" ht="79.5" customHeight="1" x14ac:dyDescent="0.25">
      <c r="A320" s="13">
        <v>319</v>
      </c>
      <c r="B320" s="95">
        <v>45070</v>
      </c>
      <c r="C320" s="13">
        <v>7</v>
      </c>
      <c r="D320" s="485"/>
      <c r="E320" s="90" t="s">
        <v>515</v>
      </c>
      <c r="F320" s="13">
        <f>199+65</f>
        <v>264</v>
      </c>
      <c r="G320" s="13"/>
      <c r="H320" s="13"/>
      <c r="I320" s="13">
        <v>258</v>
      </c>
      <c r="J320" s="13">
        <v>320</v>
      </c>
      <c r="K320" s="13"/>
      <c r="L320" s="13"/>
      <c r="M320" s="13">
        <v>518</v>
      </c>
      <c r="N320" s="540"/>
      <c r="O320" s="485">
        <f t="shared" si="4"/>
        <v>1360</v>
      </c>
      <c r="P320" s="387">
        <f>SUM(Q320:U320)</f>
        <v>251.49555555555602</v>
      </c>
      <c r="Q320" s="389">
        <f>345.965555555556-110.21</f>
        <v>235.75555555555604</v>
      </c>
      <c r="R320" s="389">
        <v>7.6999999999999993</v>
      </c>
      <c r="S320" s="389">
        <v>0</v>
      </c>
      <c r="T320" s="389">
        <v>0</v>
      </c>
      <c r="U320" s="389">
        <f>9.66-1.62</f>
        <v>8.0399999999999991</v>
      </c>
      <c r="V320" s="515"/>
    </row>
    <row r="321" spans="1:22" ht="34.9" customHeight="1" x14ac:dyDescent="0.25">
      <c r="A321" s="13">
        <v>320</v>
      </c>
      <c r="B321" s="95">
        <v>45071</v>
      </c>
      <c r="C321" s="13">
        <v>125</v>
      </c>
      <c r="D321" s="485"/>
      <c r="E321" s="90"/>
      <c r="F321" s="13"/>
      <c r="G321" s="13"/>
      <c r="H321" s="13"/>
      <c r="I321" s="13">
        <v>75</v>
      </c>
      <c r="J321" s="13">
        <v>70</v>
      </c>
      <c r="K321" s="13"/>
      <c r="L321" s="13">
        <v>30</v>
      </c>
      <c r="M321" s="13">
        <v>382</v>
      </c>
      <c r="N321" s="540"/>
      <c r="O321" s="485">
        <f t="shared" si="4"/>
        <v>557</v>
      </c>
      <c r="P321" s="387">
        <v>140.22592592592594</v>
      </c>
      <c r="Q321" s="389">
        <v>68.635925925925932</v>
      </c>
      <c r="R321" s="389">
        <v>49.34</v>
      </c>
      <c r="S321" s="389">
        <v>0</v>
      </c>
      <c r="T321" s="389">
        <v>15</v>
      </c>
      <c r="U321" s="389">
        <v>7.25</v>
      </c>
      <c r="V321" s="515"/>
    </row>
    <row r="322" spans="1:22" ht="34.9" customHeight="1" x14ac:dyDescent="0.25">
      <c r="A322" s="13">
        <v>321</v>
      </c>
      <c r="B322" s="95">
        <v>45072</v>
      </c>
      <c r="C322" s="13">
        <v>121</v>
      </c>
      <c r="D322" s="485"/>
      <c r="E322" s="90" t="s">
        <v>517</v>
      </c>
      <c r="F322" s="13">
        <v>388.3</v>
      </c>
      <c r="G322" s="13"/>
      <c r="H322" s="13"/>
      <c r="I322" s="13">
        <v>529</v>
      </c>
      <c r="J322" s="13">
        <v>48</v>
      </c>
      <c r="K322" s="13"/>
      <c r="L322" s="13"/>
      <c r="M322" s="13">
        <v>198</v>
      </c>
      <c r="N322" s="540"/>
      <c r="O322" s="485">
        <f t="shared" si="4"/>
        <v>1163.3</v>
      </c>
      <c r="P322" s="387">
        <v>405.84651851851856</v>
      </c>
      <c r="Q322" s="389">
        <v>344.7465185185186</v>
      </c>
      <c r="R322" s="389">
        <v>49.260000000000005</v>
      </c>
      <c r="S322" s="389">
        <v>7.5</v>
      </c>
      <c r="T322" s="389">
        <v>0</v>
      </c>
      <c r="U322" s="389">
        <v>4.34</v>
      </c>
      <c r="V322" s="515"/>
    </row>
    <row r="323" spans="1:22" ht="34.9" customHeight="1" x14ac:dyDescent="0.25">
      <c r="A323" s="13">
        <v>322</v>
      </c>
      <c r="B323" s="95">
        <v>45073</v>
      </c>
      <c r="C323" s="13">
        <v>30</v>
      </c>
      <c r="D323" s="485"/>
      <c r="E323" s="90" t="s">
        <v>519</v>
      </c>
      <c r="F323" s="13">
        <v>282.5</v>
      </c>
      <c r="G323" s="13"/>
      <c r="H323" s="13"/>
      <c r="I323" s="13">
        <v>112</v>
      </c>
      <c r="J323" s="13">
        <v>15</v>
      </c>
      <c r="K323" s="13"/>
      <c r="L323" s="13">
        <v>18</v>
      </c>
      <c r="M323" s="13">
        <v>435</v>
      </c>
      <c r="N323" s="540"/>
      <c r="O323" s="485">
        <f t="shared" si="4"/>
        <v>862.5</v>
      </c>
      <c r="P323" s="387">
        <v>120.38999999999997</v>
      </c>
      <c r="Q323" s="389">
        <v>98.179999999999978</v>
      </c>
      <c r="R323" s="389">
        <v>0</v>
      </c>
      <c r="S323" s="389">
        <v>22.209999999999997</v>
      </c>
      <c r="T323" s="389">
        <v>0</v>
      </c>
      <c r="U323" s="389">
        <v>0</v>
      </c>
      <c r="V323" s="515"/>
    </row>
    <row r="324" spans="1:22" ht="34.9" customHeight="1" x14ac:dyDescent="0.25">
      <c r="A324" s="190">
        <v>323</v>
      </c>
      <c r="B324" s="191">
        <v>45074</v>
      </c>
      <c r="C324" s="190"/>
      <c r="D324" s="190"/>
      <c r="E324" s="250"/>
      <c r="F324" s="190"/>
      <c r="G324" s="190"/>
      <c r="H324" s="190"/>
      <c r="I324" s="190"/>
      <c r="J324" s="190"/>
      <c r="K324" s="190"/>
      <c r="L324" s="190"/>
      <c r="M324" s="190"/>
      <c r="N324" s="542"/>
      <c r="O324" s="485">
        <f t="shared" si="4"/>
        <v>0</v>
      </c>
      <c r="P324" s="392"/>
      <c r="Q324" s="393"/>
      <c r="R324" s="393"/>
      <c r="S324" s="393"/>
      <c r="T324" s="393"/>
      <c r="U324" s="393"/>
      <c r="V324" s="515"/>
    </row>
    <row r="325" spans="1:22" ht="34.9" customHeight="1" x14ac:dyDescent="0.25">
      <c r="A325" s="13">
        <v>324</v>
      </c>
      <c r="B325" s="95">
        <v>45075</v>
      </c>
      <c r="C325" s="13"/>
      <c r="D325" s="485"/>
      <c r="E325" s="90" t="s">
        <v>520</v>
      </c>
      <c r="F325" s="13">
        <f>90+135</f>
        <v>225</v>
      </c>
      <c r="G325" s="13">
        <v>48</v>
      </c>
      <c r="H325" s="13"/>
      <c r="I325" s="13">
        <v>400</v>
      </c>
      <c r="J325" s="13">
        <v>408</v>
      </c>
      <c r="K325" s="13"/>
      <c r="L325" s="13">
        <v>66</v>
      </c>
      <c r="M325" s="13">
        <v>465</v>
      </c>
      <c r="N325" s="540"/>
      <c r="O325" s="485">
        <f t="shared" si="4"/>
        <v>1612</v>
      </c>
      <c r="P325" s="387">
        <v>292.95999999999998</v>
      </c>
      <c r="Q325" s="389">
        <v>219.77</v>
      </c>
      <c r="R325" s="389">
        <v>57.689999999999991</v>
      </c>
      <c r="S325" s="389">
        <v>0</v>
      </c>
      <c r="T325" s="389">
        <v>10</v>
      </c>
      <c r="U325" s="389">
        <v>5.5</v>
      </c>
      <c r="V325" s="515"/>
    </row>
    <row r="326" spans="1:22" ht="34.9" customHeight="1" x14ac:dyDescent="0.25">
      <c r="A326" s="13">
        <v>325</v>
      </c>
      <c r="B326" s="95">
        <v>45076</v>
      </c>
      <c r="C326" s="13">
        <v>120</v>
      </c>
      <c r="D326" s="485"/>
      <c r="E326" s="90" t="s">
        <v>523</v>
      </c>
      <c r="F326" s="13">
        <v>30</v>
      </c>
      <c r="G326" s="13"/>
      <c r="H326" s="13"/>
      <c r="I326" s="13">
        <v>140</v>
      </c>
      <c r="J326" s="13">
        <f>63+197</f>
        <v>260</v>
      </c>
      <c r="K326" s="13"/>
      <c r="L326" s="13"/>
      <c r="M326" s="13">
        <v>2904</v>
      </c>
      <c r="N326" s="540"/>
      <c r="O326" s="485">
        <f t="shared" si="4"/>
        <v>3334</v>
      </c>
      <c r="P326" s="387">
        <v>648.54500000000007</v>
      </c>
      <c r="Q326" s="389">
        <v>622.69500000000005</v>
      </c>
      <c r="R326" s="389">
        <v>2.4400000000000004</v>
      </c>
      <c r="S326" s="389">
        <v>3.41</v>
      </c>
      <c r="T326" s="389">
        <v>20</v>
      </c>
      <c r="U326" s="389">
        <v>0</v>
      </c>
      <c r="V326" s="515"/>
    </row>
    <row r="327" spans="1:22" ht="34.9" customHeight="1" x14ac:dyDescent="0.25">
      <c r="A327" s="13">
        <v>326</v>
      </c>
      <c r="B327" s="95">
        <v>45077</v>
      </c>
      <c r="C327" s="13">
        <v>540</v>
      </c>
      <c r="D327" s="485"/>
      <c r="E327" s="90"/>
      <c r="F327" s="13"/>
      <c r="G327" s="13"/>
      <c r="H327" s="13">
        <v>25</v>
      </c>
      <c r="I327" s="13">
        <v>102</v>
      </c>
      <c r="J327" s="13">
        <v>107</v>
      </c>
      <c r="K327" s="13"/>
      <c r="L327" s="13"/>
      <c r="M327" s="13">
        <v>527</v>
      </c>
      <c r="N327" s="540"/>
      <c r="O327" s="485">
        <f t="shared" si="4"/>
        <v>761</v>
      </c>
      <c r="P327" s="387">
        <v>268.52000000000004</v>
      </c>
      <c r="Q327" s="389">
        <v>69.970000000000013</v>
      </c>
      <c r="R327" s="389">
        <v>68.5</v>
      </c>
      <c r="S327" s="389">
        <v>108</v>
      </c>
      <c r="T327" s="389">
        <v>20</v>
      </c>
      <c r="U327" s="389">
        <v>2.0499999999999998</v>
      </c>
      <c r="V327" s="515"/>
    </row>
    <row r="328" spans="1:22" ht="34.9" customHeight="1" x14ac:dyDescent="0.25">
      <c r="A328" s="13">
        <v>327</v>
      </c>
      <c r="B328" s="95">
        <v>45078</v>
      </c>
      <c r="C328" s="13">
        <v>550</v>
      </c>
      <c r="D328" s="485"/>
      <c r="E328" s="90" t="s">
        <v>525</v>
      </c>
      <c r="F328" s="13">
        <f>85.5+766</f>
        <v>851.5</v>
      </c>
      <c r="G328" s="13"/>
      <c r="H328" s="13"/>
      <c r="I328" s="13">
        <v>287</v>
      </c>
      <c r="J328" s="13"/>
      <c r="K328" s="13"/>
      <c r="L328" s="13"/>
      <c r="M328" s="13">
        <v>1103</v>
      </c>
      <c r="N328" s="540"/>
      <c r="O328" s="485">
        <f t="shared" si="4"/>
        <v>2241.5</v>
      </c>
      <c r="P328" s="387">
        <v>873.12629629629635</v>
      </c>
      <c r="Q328" s="389">
        <v>825.27629629629632</v>
      </c>
      <c r="R328" s="389">
        <v>35.07</v>
      </c>
      <c r="S328" s="389">
        <v>12.269999999999994</v>
      </c>
      <c r="T328" s="389">
        <v>0</v>
      </c>
      <c r="U328" s="389">
        <v>0.51</v>
      </c>
      <c r="V328" s="515"/>
    </row>
    <row r="329" spans="1:22" ht="35.1" customHeight="1" x14ac:dyDescent="0.25">
      <c r="A329" s="432">
        <v>328</v>
      </c>
      <c r="B329" s="95">
        <v>45079</v>
      </c>
      <c r="C329" s="432"/>
      <c r="D329" s="485"/>
      <c r="E329" s="433"/>
      <c r="F329" s="432"/>
      <c r="G329" s="432"/>
      <c r="H329" s="432">
        <v>25</v>
      </c>
      <c r="I329" s="432">
        <v>285</v>
      </c>
      <c r="J329" s="432">
        <v>30</v>
      </c>
      <c r="K329" s="432"/>
      <c r="L329" s="432">
        <v>415</v>
      </c>
      <c r="M329" s="432">
        <v>128</v>
      </c>
      <c r="N329" s="540"/>
      <c r="O329" s="485">
        <f t="shared" si="4"/>
        <v>883</v>
      </c>
      <c r="P329" s="387">
        <v>233.71000000000004</v>
      </c>
      <c r="Q329" s="389">
        <v>111.47000000000001</v>
      </c>
      <c r="R329" s="389">
        <v>62.230000000000018</v>
      </c>
      <c r="S329" s="389">
        <v>0</v>
      </c>
      <c r="T329" s="389">
        <v>40</v>
      </c>
      <c r="U329" s="389">
        <v>20.009999999999998</v>
      </c>
      <c r="V329" s="515"/>
    </row>
    <row r="330" spans="1:22" ht="35.1" customHeight="1" x14ac:dyDescent="0.25">
      <c r="A330" s="432">
        <v>329</v>
      </c>
      <c r="B330" s="95">
        <v>45080</v>
      </c>
      <c r="C330" s="432">
        <v>60</v>
      </c>
      <c r="D330" s="485"/>
      <c r="E330" s="433"/>
      <c r="F330" s="432"/>
      <c r="G330" s="432"/>
      <c r="H330" s="432"/>
      <c r="I330" s="432">
        <v>496</v>
      </c>
      <c r="J330" s="432">
        <v>942</v>
      </c>
      <c r="K330" s="432"/>
      <c r="L330" s="432">
        <v>30</v>
      </c>
      <c r="M330" s="432">
        <v>411</v>
      </c>
      <c r="N330" s="540"/>
      <c r="O330" s="485">
        <f t="shared" si="4"/>
        <v>1879</v>
      </c>
      <c r="P330" s="387">
        <v>578.93999999999994</v>
      </c>
      <c r="Q330" s="389">
        <v>491.93999999999994</v>
      </c>
      <c r="R330" s="389">
        <v>67</v>
      </c>
      <c r="S330" s="389">
        <v>0</v>
      </c>
      <c r="T330" s="389">
        <v>20</v>
      </c>
      <c r="U330" s="389">
        <v>0</v>
      </c>
      <c r="V330" s="515"/>
    </row>
    <row r="331" spans="1:22" ht="35.1" customHeight="1" x14ac:dyDescent="0.25">
      <c r="A331" s="190">
        <v>330</v>
      </c>
      <c r="B331" s="191">
        <v>45081</v>
      </c>
      <c r="C331" s="190"/>
      <c r="D331" s="190"/>
      <c r="E331" s="250"/>
      <c r="F331" s="190"/>
      <c r="G331" s="190"/>
      <c r="H331" s="190"/>
      <c r="I331" s="190"/>
      <c r="J331" s="190"/>
      <c r="K331" s="190"/>
      <c r="L331" s="190"/>
      <c r="M331" s="190"/>
      <c r="N331" s="542"/>
      <c r="O331" s="485">
        <f t="shared" si="4"/>
        <v>0</v>
      </c>
      <c r="P331" s="392"/>
      <c r="Q331" s="393"/>
      <c r="R331" s="393"/>
      <c r="S331" s="393"/>
      <c r="T331" s="393"/>
      <c r="U331" s="393"/>
      <c r="V331" s="515"/>
    </row>
    <row r="332" spans="1:22" ht="35.1" customHeight="1" x14ac:dyDescent="0.25">
      <c r="A332" s="432">
        <v>331</v>
      </c>
      <c r="B332" s="95">
        <v>45082</v>
      </c>
      <c r="C332" s="432"/>
      <c r="D332" s="485"/>
      <c r="E332" s="433"/>
      <c r="F332" s="432"/>
      <c r="G332" s="432">
        <v>27.83</v>
      </c>
      <c r="H332" s="432"/>
      <c r="I332" s="432">
        <v>198</v>
      </c>
      <c r="J332" s="432">
        <v>30</v>
      </c>
      <c r="K332" s="432"/>
      <c r="L332" s="432">
        <v>62</v>
      </c>
      <c r="M332" s="432">
        <v>766</v>
      </c>
      <c r="N332" s="540"/>
      <c r="O332" s="485">
        <f t="shared" si="4"/>
        <v>1083.83</v>
      </c>
      <c r="P332" s="387">
        <v>227.91222222222223</v>
      </c>
      <c r="Q332" s="389">
        <v>167.05222222222224</v>
      </c>
      <c r="R332" s="389">
        <v>5.1099999999999994</v>
      </c>
      <c r="S332" s="389">
        <v>0</v>
      </c>
      <c r="T332" s="389">
        <v>46.430000000000007</v>
      </c>
      <c r="U332" s="389">
        <v>9.32</v>
      </c>
      <c r="V332" s="515"/>
    </row>
    <row r="333" spans="1:22" ht="35.1" customHeight="1" x14ac:dyDescent="0.25">
      <c r="A333" s="432">
        <v>332</v>
      </c>
      <c r="B333" s="95">
        <v>45083</v>
      </c>
      <c r="C333" s="432">
        <v>36</v>
      </c>
      <c r="D333" s="485"/>
      <c r="E333" s="433" t="s">
        <v>567</v>
      </c>
      <c r="F333" s="432">
        <f>6+20</f>
        <v>26</v>
      </c>
      <c r="G333" s="432"/>
      <c r="H333" s="432"/>
      <c r="I333" s="432">
        <v>123</v>
      </c>
      <c r="J333" s="432">
        <v>65</v>
      </c>
      <c r="K333" s="432"/>
      <c r="L333" s="432">
        <v>20</v>
      </c>
      <c r="M333" s="432">
        <v>659</v>
      </c>
      <c r="N333" s="540"/>
      <c r="O333" s="485">
        <f t="shared" si="4"/>
        <v>893</v>
      </c>
      <c r="P333" s="387">
        <v>193.1835185185185</v>
      </c>
      <c r="Q333" s="389">
        <v>99.693518518518516</v>
      </c>
      <c r="R333" s="389">
        <v>82.99</v>
      </c>
      <c r="S333" s="389">
        <v>7</v>
      </c>
      <c r="T333" s="389">
        <v>0</v>
      </c>
      <c r="U333" s="389">
        <v>3.5</v>
      </c>
      <c r="V333" s="515"/>
    </row>
    <row r="334" spans="1:22" ht="35.1" customHeight="1" x14ac:dyDescent="0.25">
      <c r="A334" s="432">
        <v>333</v>
      </c>
      <c r="B334" s="95">
        <v>45084</v>
      </c>
      <c r="C334" s="432">
        <v>9</v>
      </c>
      <c r="D334" s="485"/>
      <c r="E334" s="433"/>
      <c r="F334" s="432"/>
      <c r="G334" s="432"/>
      <c r="H334" s="432"/>
      <c r="I334" s="432">
        <v>470</v>
      </c>
      <c r="J334" s="432">
        <v>150</v>
      </c>
      <c r="K334" s="432"/>
      <c r="L334" s="432"/>
      <c r="M334" s="432">
        <v>930</v>
      </c>
      <c r="N334" s="540"/>
      <c r="O334" s="485">
        <f t="shared" si="4"/>
        <v>1550</v>
      </c>
      <c r="P334" s="387">
        <v>331.98666666666674</v>
      </c>
      <c r="Q334" s="389">
        <v>224.42666666666673</v>
      </c>
      <c r="R334" s="389">
        <v>68.56</v>
      </c>
      <c r="S334" s="389">
        <v>0</v>
      </c>
      <c r="T334" s="389">
        <v>35</v>
      </c>
      <c r="U334" s="389">
        <v>4</v>
      </c>
      <c r="V334" s="515"/>
    </row>
    <row r="335" spans="1:22" ht="35.1" customHeight="1" x14ac:dyDescent="0.25">
      <c r="A335" s="432">
        <v>334</v>
      </c>
      <c r="B335" s="95">
        <v>45085</v>
      </c>
      <c r="C335" s="432">
        <v>8</v>
      </c>
      <c r="D335" s="485"/>
      <c r="E335" s="433"/>
      <c r="F335" s="432"/>
      <c r="G335" s="432">
        <v>38</v>
      </c>
      <c r="H335" s="432"/>
      <c r="I335" s="432">
        <v>34</v>
      </c>
      <c r="J335" s="432">
        <v>269</v>
      </c>
      <c r="K335" s="432"/>
      <c r="L335" s="432">
        <v>30</v>
      </c>
      <c r="M335" s="432">
        <v>274</v>
      </c>
      <c r="N335" s="540"/>
      <c r="O335" s="485">
        <f t="shared" si="4"/>
        <v>645</v>
      </c>
      <c r="P335" s="387">
        <v>52.126296296296317</v>
      </c>
      <c r="Q335" s="389">
        <v>28.126296296296321</v>
      </c>
      <c r="R335" s="389">
        <v>0</v>
      </c>
      <c r="S335" s="389">
        <v>0</v>
      </c>
      <c r="T335" s="389">
        <v>20</v>
      </c>
      <c r="U335" s="389">
        <v>4</v>
      </c>
      <c r="V335" s="515"/>
    </row>
    <row r="336" spans="1:22" ht="35.1" customHeight="1" x14ac:dyDescent="0.25">
      <c r="A336" s="432">
        <v>335</v>
      </c>
      <c r="B336" s="95">
        <v>45086</v>
      </c>
      <c r="C336" s="432"/>
      <c r="D336" s="485"/>
      <c r="E336" s="433"/>
      <c r="F336" s="432"/>
      <c r="G336" s="432"/>
      <c r="H336" s="432"/>
      <c r="I336" s="432">
        <v>43</v>
      </c>
      <c r="J336" s="432"/>
      <c r="K336" s="432"/>
      <c r="L336" s="432">
        <v>34</v>
      </c>
      <c r="M336" s="432">
        <v>1371</v>
      </c>
      <c r="N336" s="540"/>
      <c r="O336" s="485">
        <f t="shared" si="4"/>
        <v>1448</v>
      </c>
      <c r="P336" s="387">
        <v>377.94777777777773</v>
      </c>
      <c r="Q336" s="389">
        <v>246.67777777777775</v>
      </c>
      <c r="R336" s="389">
        <v>63.55</v>
      </c>
      <c r="S336" s="389">
        <v>52.510000000000005</v>
      </c>
      <c r="T336" s="389">
        <v>0</v>
      </c>
      <c r="U336" s="389">
        <v>15.209999999999997</v>
      </c>
      <c r="V336" s="515"/>
    </row>
    <row r="337" spans="1:22" ht="35.1" customHeight="1" x14ac:dyDescent="0.25">
      <c r="A337" s="432">
        <v>336</v>
      </c>
      <c r="B337" s="95">
        <v>45087</v>
      </c>
      <c r="C337" s="432"/>
      <c r="D337" s="485"/>
      <c r="E337" s="433"/>
      <c r="F337" s="432"/>
      <c r="G337" s="432"/>
      <c r="H337" s="432"/>
      <c r="I337" s="432">
        <v>231</v>
      </c>
      <c r="J337" s="432"/>
      <c r="K337" s="432"/>
      <c r="L337" s="432"/>
      <c r="M337" s="432">
        <v>734</v>
      </c>
      <c r="N337" s="540"/>
      <c r="O337" s="485">
        <f t="shared" si="4"/>
        <v>965</v>
      </c>
      <c r="P337" s="387">
        <v>188.80851851851858</v>
      </c>
      <c r="Q337" s="389">
        <v>187.7585185185186</v>
      </c>
      <c r="R337" s="389">
        <v>0</v>
      </c>
      <c r="S337" s="389">
        <v>0.69999999999999929</v>
      </c>
      <c r="T337" s="389">
        <v>0</v>
      </c>
      <c r="U337" s="389">
        <v>0.34999999999999964</v>
      </c>
      <c r="V337" s="515"/>
    </row>
    <row r="338" spans="1:22" ht="35.1" customHeight="1" x14ac:dyDescent="0.25">
      <c r="A338" s="190">
        <v>337</v>
      </c>
      <c r="B338" s="191">
        <v>45088</v>
      </c>
      <c r="C338" s="190"/>
      <c r="D338" s="190"/>
      <c r="E338" s="250"/>
      <c r="F338" s="190"/>
      <c r="G338" s="190"/>
      <c r="H338" s="190"/>
      <c r="I338" s="190"/>
      <c r="J338" s="190"/>
      <c r="K338" s="190"/>
      <c r="L338" s="190"/>
      <c r="M338" s="190"/>
      <c r="N338" s="542"/>
      <c r="O338" s="485">
        <f t="shared" si="4"/>
        <v>0</v>
      </c>
      <c r="P338" s="392"/>
      <c r="Q338" s="393"/>
      <c r="R338" s="393"/>
      <c r="S338" s="393"/>
      <c r="T338" s="393"/>
      <c r="U338" s="393"/>
      <c r="V338" s="515"/>
    </row>
    <row r="339" spans="1:22" ht="35.1" customHeight="1" x14ac:dyDescent="0.25">
      <c r="A339" s="432">
        <v>338</v>
      </c>
      <c r="B339" s="95">
        <v>45089</v>
      </c>
      <c r="C339" s="432">
        <v>206</v>
      </c>
      <c r="D339" s="485"/>
      <c r="E339" s="433"/>
      <c r="F339" s="432"/>
      <c r="G339" s="432"/>
      <c r="H339" s="432"/>
      <c r="I339" s="432">
        <v>96</v>
      </c>
      <c r="J339" s="432"/>
      <c r="K339" s="432"/>
      <c r="L339" s="432"/>
      <c r="M339" s="432">
        <v>1195</v>
      </c>
      <c r="N339" s="540"/>
      <c r="O339" s="485">
        <f t="shared" si="4"/>
        <v>1291</v>
      </c>
      <c r="P339" s="387">
        <v>333.47629629629631</v>
      </c>
      <c r="Q339" s="389">
        <v>270.33629629629633</v>
      </c>
      <c r="R339" s="389">
        <v>52.089999999999989</v>
      </c>
      <c r="S339" s="389">
        <v>0</v>
      </c>
      <c r="T339" s="389">
        <v>0</v>
      </c>
      <c r="U339" s="389">
        <v>11.049999999999997</v>
      </c>
      <c r="V339" s="515"/>
    </row>
    <row r="340" spans="1:22" ht="35.1" customHeight="1" x14ac:dyDescent="0.25">
      <c r="A340" s="432">
        <v>339</v>
      </c>
      <c r="B340" s="95">
        <v>45090</v>
      </c>
      <c r="C340" s="432">
        <v>30</v>
      </c>
      <c r="D340" s="485"/>
      <c r="E340" s="433"/>
      <c r="F340" s="432"/>
      <c r="G340" s="432"/>
      <c r="H340" s="432"/>
      <c r="I340" s="432">
        <v>1</v>
      </c>
      <c r="J340" s="432">
        <v>403</v>
      </c>
      <c r="K340" s="432"/>
      <c r="L340" s="432"/>
      <c r="M340" s="432">
        <v>528</v>
      </c>
      <c r="N340" s="540"/>
      <c r="O340" s="485">
        <f t="shared" si="4"/>
        <v>932</v>
      </c>
      <c r="P340" s="387">
        <v>242.0885185185185</v>
      </c>
      <c r="Q340" s="389">
        <v>132.0885185185185</v>
      </c>
      <c r="R340" s="389">
        <v>30</v>
      </c>
      <c r="S340" s="389">
        <v>0</v>
      </c>
      <c r="T340" s="389">
        <v>80</v>
      </c>
      <c r="U340" s="389">
        <v>0</v>
      </c>
      <c r="V340" s="515"/>
    </row>
    <row r="341" spans="1:22" ht="35.1" customHeight="1" x14ac:dyDescent="0.25">
      <c r="A341" s="432">
        <v>340</v>
      </c>
      <c r="B341" s="95">
        <v>45091</v>
      </c>
      <c r="C341" s="432">
        <v>7</v>
      </c>
      <c r="D341" s="485"/>
      <c r="E341" s="433"/>
      <c r="F341" s="432"/>
      <c r="G341" s="432"/>
      <c r="H341" s="432"/>
      <c r="I341" s="432">
        <v>170</v>
      </c>
      <c r="J341" s="432"/>
      <c r="K341" s="432"/>
      <c r="L341" s="432">
        <v>30</v>
      </c>
      <c r="M341" s="432">
        <v>74</v>
      </c>
      <c r="N341" s="540"/>
      <c r="O341" s="485">
        <f t="shared" si="4"/>
        <v>274</v>
      </c>
      <c r="P341" s="387">
        <v>61.83</v>
      </c>
      <c r="Q341" s="389">
        <v>20.720000000000002</v>
      </c>
      <c r="R341" s="389">
        <v>33.700000000000003</v>
      </c>
      <c r="S341" s="389">
        <v>3.41</v>
      </c>
      <c r="T341" s="389">
        <v>0</v>
      </c>
      <c r="U341" s="389">
        <v>4</v>
      </c>
      <c r="V341" s="515"/>
    </row>
    <row r="342" spans="1:22" ht="35.1" customHeight="1" x14ac:dyDescent="0.25">
      <c r="A342" s="432">
        <v>341</v>
      </c>
      <c r="B342" s="95">
        <v>45092</v>
      </c>
      <c r="C342" s="432">
        <v>400</v>
      </c>
      <c r="D342" s="485"/>
      <c r="E342" s="433" t="s">
        <v>571</v>
      </c>
      <c r="F342" s="432">
        <f>120 + 70</f>
        <v>190</v>
      </c>
      <c r="G342" s="432"/>
      <c r="H342" s="432"/>
      <c r="I342" s="432">
        <v>45</v>
      </c>
      <c r="J342" s="432">
        <v>38</v>
      </c>
      <c r="K342" s="432"/>
      <c r="L342" s="432"/>
      <c r="M342" s="432">
        <v>786</v>
      </c>
      <c r="N342" s="540"/>
      <c r="O342" s="485">
        <f t="shared" si="4"/>
        <v>1059</v>
      </c>
      <c r="P342" s="387">
        <v>213.03185185185191</v>
      </c>
      <c r="Q342" s="389">
        <v>164.98185185185193</v>
      </c>
      <c r="R342" s="389">
        <v>11.55</v>
      </c>
      <c r="S342" s="389">
        <v>39.5</v>
      </c>
      <c r="T342" s="389">
        <v>40</v>
      </c>
      <c r="U342" s="389">
        <v>0</v>
      </c>
      <c r="V342" s="515">
        <v>43</v>
      </c>
    </row>
    <row r="343" spans="1:22" ht="35.1" customHeight="1" x14ac:dyDescent="0.25">
      <c r="A343" s="432">
        <v>342</v>
      </c>
      <c r="B343" s="95">
        <v>45093</v>
      </c>
      <c r="C343" s="432"/>
      <c r="D343" s="485"/>
      <c r="E343" s="433"/>
      <c r="F343" s="432"/>
      <c r="G343" s="432"/>
      <c r="H343" s="432"/>
      <c r="I343" s="432">
        <v>40</v>
      </c>
      <c r="J343" s="432">
        <v>419</v>
      </c>
      <c r="K343" s="432"/>
      <c r="L343" s="432"/>
      <c r="M343" s="432"/>
      <c r="N343" s="540"/>
      <c r="O343" s="485">
        <f t="shared" si="4"/>
        <v>459</v>
      </c>
      <c r="P343" s="387">
        <v>102.96000000000004</v>
      </c>
      <c r="Q343" s="389">
        <v>72.960000000000036</v>
      </c>
      <c r="R343" s="389">
        <v>26</v>
      </c>
      <c r="S343" s="389">
        <v>0</v>
      </c>
      <c r="T343" s="389">
        <v>0</v>
      </c>
      <c r="U343" s="389">
        <v>4</v>
      </c>
      <c r="V343" s="515">
        <v>0</v>
      </c>
    </row>
    <row r="344" spans="1:22" ht="35.1" customHeight="1" x14ac:dyDescent="0.25">
      <c r="A344" s="432">
        <v>343</v>
      </c>
      <c r="B344" s="95">
        <v>45094</v>
      </c>
      <c r="C344" s="432"/>
      <c r="D344" s="485"/>
      <c r="E344" s="433" t="s">
        <v>572</v>
      </c>
      <c r="F344" s="432">
        <v>150</v>
      </c>
      <c r="G344" s="432">
        <v>4.09</v>
      </c>
      <c r="H344" s="432"/>
      <c r="I344" s="432">
        <v>34.909999999999997</v>
      </c>
      <c r="J344" s="432">
        <v>48</v>
      </c>
      <c r="K344" s="432"/>
      <c r="L344" s="432"/>
      <c r="M344" s="432">
        <v>30</v>
      </c>
      <c r="N344" s="540"/>
      <c r="O344" s="485">
        <f t="shared" si="4"/>
        <v>267</v>
      </c>
      <c r="P344" s="387">
        <v>20.73</v>
      </c>
      <c r="Q344" s="389">
        <v>18.29</v>
      </c>
      <c r="R344" s="389">
        <v>2.4400000000000004</v>
      </c>
      <c r="S344" s="389">
        <v>0</v>
      </c>
      <c r="T344" s="389">
        <v>0</v>
      </c>
      <c r="U344" s="389">
        <v>0</v>
      </c>
      <c r="V344" s="515"/>
    </row>
    <row r="345" spans="1:22" ht="35.1" customHeight="1" x14ac:dyDescent="0.25">
      <c r="A345" s="190">
        <v>344</v>
      </c>
      <c r="B345" s="191">
        <v>45095</v>
      </c>
      <c r="C345" s="190"/>
      <c r="D345" s="190"/>
      <c r="E345" s="250"/>
      <c r="F345" s="190"/>
      <c r="G345" s="190"/>
      <c r="H345" s="190"/>
      <c r="I345" s="190"/>
      <c r="J345" s="190"/>
      <c r="K345" s="190"/>
      <c r="L345" s="190"/>
      <c r="M345" s="190"/>
      <c r="N345" s="542"/>
      <c r="O345" s="485">
        <f t="shared" si="4"/>
        <v>0</v>
      </c>
      <c r="P345" s="392"/>
      <c r="Q345" s="393"/>
      <c r="R345" s="393"/>
      <c r="S345" s="393"/>
      <c r="T345" s="393"/>
      <c r="U345" s="393"/>
      <c r="V345" s="515"/>
    </row>
    <row r="346" spans="1:22" ht="35.1" customHeight="1" x14ac:dyDescent="0.25">
      <c r="A346" s="432">
        <v>345</v>
      </c>
      <c r="B346" s="95">
        <v>45096</v>
      </c>
      <c r="C346" s="432"/>
      <c r="D346" s="485"/>
      <c r="E346" s="433" t="s">
        <v>573</v>
      </c>
      <c r="F346" s="432">
        <v>1208</v>
      </c>
      <c r="G346" s="432"/>
      <c r="H346" s="432"/>
      <c r="I346" s="432">
        <v>624</v>
      </c>
      <c r="J346" s="432">
        <v>96</v>
      </c>
      <c r="K346" s="432"/>
      <c r="L346" s="432"/>
      <c r="M346" s="432">
        <v>5</v>
      </c>
      <c r="N346" s="540"/>
      <c r="O346" s="485">
        <f t="shared" si="4"/>
        <v>1933</v>
      </c>
      <c r="P346" s="387">
        <v>160.64629629629633</v>
      </c>
      <c r="Q346" s="389">
        <v>134.64629629629633</v>
      </c>
      <c r="R346" s="389">
        <v>26</v>
      </c>
      <c r="S346" s="389">
        <v>0</v>
      </c>
      <c r="T346" s="389">
        <v>0</v>
      </c>
      <c r="U346" s="389">
        <v>0</v>
      </c>
      <c r="V346" s="515">
        <v>0</v>
      </c>
    </row>
    <row r="347" spans="1:22" ht="35.1" customHeight="1" x14ac:dyDescent="0.25">
      <c r="A347" s="432">
        <v>346</v>
      </c>
      <c r="B347" s="95">
        <v>45097</v>
      </c>
      <c r="C347" s="432">
        <v>138</v>
      </c>
      <c r="D347" s="485"/>
      <c r="E347" s="433"/>
      <c r="F347" s="432"/>
      <c r="G347" s="432"/>
      <c r="H347" s="432">
        <v>76</v>
      </c>
      <c r="I347" s="432">
        <v>648</v>
      </c>
      <c r="J347" s="432">
        <v>598</v>
      </c>
      <c r="K347" s="432"/>
      <c r="L347" s="432"/>
      <c r="M347" s="432">
        <v>369</v>
      </c>
      <c r="N347" s="540"/>
      <c r="O347" s="485">
        <f t="shared" si="4"/>
        <v>1691</v>
      </c>
      <c r="P347" s="387">
        <v>390.16629629629637</v>
      </c>
      <c r="Q347" s="389">
        <v>332.0662962962964</v>
      </c>
      <c r="R347" s="389">
        <v>57.45</v>
      </c>
      <c r="S347" s="389">
        <v>0</v>
      </c>
      <c r="T347" s="389">
        <v>0</v>
      </c>
      <c r="U347" s="389">
        <v>0.64999999999999991</v>
      </c>
      <c r="V347" s="515">
        <v>0</v>
      </c>
    </row>
    <row r="348" spans="1:22" ht="35.1" customHeight="1" x14ac:dyDescent="0.25">
      <c r="A348" s="432">
        <v>347</v>
      </c>
      <c r="B348" s="95">
        <v>45098</v>
      </c>
      <c r="C348" s="432"/>
      <c r="D348" s="485"/>
      <c r="E348" s="433"/>
      <c r="F348" s="432"/>
      <c r="G348" s="432"/>
      <c r="H348" s="432"/>
      <c r="I348" s="432">
        <v>12</v>
      </c>
      <c r="J348" s="432">
        <v>237</v>
      </c>
      <c r="K348" s="432"/>
      <c r="L348" s="432"/>
      <c r="M348" s="432">
        <v>1204</v>
      </c>
      <c r="N348" s="540"/>
      <c r="O348" s="485">
        <f t="shared" si="4"/>
        <v>1453</v>
      </c>
      <c r="P348" s="387">
        <v>276.36</v>
      </c>
      <c r="Q348" s="389">
        <v>244.03</v>
      </c>
      <c r="R348" s="389">
        <v>32.33</v>
      </c>
      <c r="S348" s="389">
        <v>0</v>
      </c>
      <c r="T348" s="389">
        <v>0</v>
      </c>
      <c r="U348" s="389">
        <v>0</v>
      </c>
      <c r="V348" s="515">
        <v>0</v>
      </c>
    </row>
    <row r="349" spans="1:22" ht="35.1" customHeight="1" x14ac:dyDescent="0.25">
      <c r="A349" s="432">
        <v>348</v>
      </c>
      <c r="B349" s="95">
        <v>45099</v>
      </c>
      <c r="C349" s="432"/>
      <c r="D349" s="485"/>
      <c r="E349" s="433"/>
      <c r="F349" s="432"/>
      <c r="G349" s="432">
        <v>3</v>
      </c>
      <c r="H349" s="432"/>
      <c r="I349" s="432">
        <v>108</v>
      </c>
      <c r="J349" s="432">
        <v>332</v>
      </c>
      <c r="K349" s="432"/>
      <c r="L349" s="432"/>
      <c r="M349" s="432">
        <v>598</v>
      </c>
      <c r="N349" s="540"/>
      <c r="O349" s="485">
        <f t="shared" si="4"/>
        <v>1041</v>
      </c>
      <c r="P349" s="387">
        <v>200.74000000000004</v>
      </c>
      <c r="Q349" s="389">
        <v>188.21000000000004</v>
      </c>
      <c r="R349" s="389">
        <v>4.22</v>
      </c>
      <c r="S349" s="389">
        <v>8.3099999999999987</v>
      </c>
      <c r="T349" s="389">
        <v>0</v>
      </c>
      <c r="U349" s="389">
        <v>0</v>
      </c>
      <c r="V349" s="515">
        <v>0</v>
      </c>
    </row>
    <row r="350" spans="1:22" ht="35.1" customHeight="1" x14ac:dyDescent="0.25">
      <c r="A350" s="432">
        <v>349</v>
      </c>
      <c r="B350" s="95">
        <v>45100</v>
      </c>
      <c r="C350" s="432">
        <v>80</v>
      </c>
      <c r="D350" s="485"/>
      <c r="E350" s="433"/>
      <c r="F350" s="432"/>
      <c r="G350" s="432"/>
      <c r="H350" s="432"/>
      <c r="I350" s="432">
        <v>95</v>
      </c>
      <c r="J350" s="432">
        <v>871</v>
      </c>
      <c r="K350" s="432"/>
      <c r="L350" s="432"/>
      <c r="M350" s="432">
        <v>410</v>
      </c>
      <c r="N350" s="540"/>
      <c r="O350" s="485">
        <f t="shared" si="4"/>
        <v>1376</v>
      </c>
      <c r="P350" s="387">
        <v>303.73444444444448</v>
      </c>
      <c r="Q350" s="389">
        <v>280.3944444444445</v>
      </c>
      <c r="R350" s="389">
        <v>3.34</v>
      </c>
      <c r="S350" s="389">
        <v>0</v>
      </c>
      <c r="T350" s="389">
        <v>20</v>
      </c>
      <c r="U350" s="389">
        <v>0</v>
      </c>
      <c r="V350" s="515">
        <v>0</v>
      </c>
    </row>
    <row r="351" spans="1:22" ht="35.1" customHeight="1" x14ac:dyDescent="0.25">
      <c r="A351" s="432">
        <v>350</v>
      </c>
      <c r="B351" s="95">
        <v>45101</v>
      </c>
      <c r="C351" s="432"/>
      <c r="D351" s="485"/>
      <c r="E351" s="433" t="s">
        <v>575</v>
      </c>
      <c r="F351" s="432">
        <v>115</v>
      </c>
      <c r="G351" s="432">
        <v>5.45</v>
      </c>
      <c r="H351" s="432"/>
      <c r="I351" s="432">
        <v>154.55000000000001</v>
      </c>
      <c r="J351" s="432"/>
      <c r="K351" s="432"/>
      <c r="L351" s="432"/>
      <c r="M351" s="432">
        <v>1</v>
      </c>
      <c r="N351" s="540"/>
      <c r="O351" s="485">
        <f t="shared" si="4"/>
        <v>276</v>
      </c>
      <c r="P351" s="387">
        <v>32.56</v>
      </c>
      <c r="Q351" s="389">
        <v>31.060000000000002</v>
      </c>
      <c r="R351" s="389">
        <v>0</v>
      </c>
      <c r="S351" s="389">
        <v>1.5</v>
      </c>
      <c r="T351" s="389">
        <v>0</v>
      </c>
      <c r="U351" s="389">
        <v>0</v>
      </c>
      <c r="V351" s="515">
        <v>0</v>
      </c>
    </row>
    <row r="352" spans="1:22" ht="35.1" customHeight="1" x14ac:dyDescent="0.25">
      <c r="A352" s="190">
        <v>351</v>
      </c>
      <c r="B352" s="191">
        <v>45102</v>
      </c>
      <c r="C352" s="190"/>
      <c r="D352" s="190"/>
      <c r="E352" s="250"/>
      <c r="F352" s="190"/>
      <c r="G352" s="190"/>
      <c r="H352" s="190"/>
      <c r="I352" s="190"/>
      <c r="J352" s="190"/>
      <c r="K352" s="190"/>
      <c r="L352" s="190"/>
      <c r="M352" s="190"/>
      <c r="N352" s="542"/>
      <c r="O352" s="485">
        <f t="shared" si="4"/>
        <v>0</v>
      </c>
      <c r="P352" s="392"/>
      <c r="Q352" s="393"/>
      <c r="R352" s="393"/>
      <c r="S352" s="393"/>
      <c r="T352" s="393"/>
      <c r="U352" s="393"/>
      <c r="V352" s="515"/>
    </row>
    <row r="353" spans="1:23" ht="54" customHeight="1" x14ac:dyDescent="0.25">
      <c r="A353" s="432">
        <v>352</v>
      </c>
      <c r="B353" s="95">
        <v>45103</v>
      </c>
      <c r="C353" s="432">
        <v>145</v>
      </c>
      <c r="D353" s="485"/>
      <c r="E353" s="433" t="s">
        <v>577</v>
      </c>
      <c r="F353" s="432">
        <v>230</v>
      </c>
      <c r="G353" s="432"/>
      <c r="H353" s="432"/>
      <c r="I353" s="432">
        <v>25</v>
      </c>
      <c r="J353" s="432">
        <v>48</v>
      </c>
      <c r="K353" s="432"/>
      <c r="L353" s="432">
        <v>33</v>
      </c>
      <c r="M353" s="432">
        <v>1792</v>
      </c>
      <c r="N353" s="540"/>
      <c r="O353" s="485">
        <f t="shared" si="4"/>
        <v>2128</v>
      </c>
      <c r="P353" s="387">
        <v>610.44000000000005</v>
      </c>
      <c r="Q353" s="389">
        <v>230.54000000000008</v>
      </c>
      <c r="R353" s="389">
        <v>320</v>
      </c>
      <c r="S353" s="389">
        <v>0</v>
      </c>
      <c r="T353" s="389">
        <v>40</v>
      </c>
      <c r="U353" s="389">
        <v>19.899999999999999</v>
      </c>
      <c r="V353" s="515">
        <v>0</v>
      </c>
    </row>
    <row r="354" spans="1:23" ht="35.1" customHeight="1" x14ac:dyDescent="0.25">
      <c r="A354" s="432">
        <v>353</v>
      </c>
      <c r="B354" s="95">
        <v>45104</v>
      </c>
      <c r="C354" s="432"/>
      <c r="D354" s="485"/>
      <c r="E354" s="433"/>
      <c r="F354" s="432"/>
      <c r="G354" s="432"/>
      <c r="H354" s="432"/>
      <c r="I354" s="432">
        <v>633</v>
      </c>
      <c r="J354" s="432">
        <v>96</v>
      </c>
      <c r="K354" s="432"/>
      <c r="L354" s="432"/>
      <c r="M354" s="432">
        <v>165</v>
      </c>
      <c r="N354" s="540"/>
      <c r="O354" s="485">
        <f t="shared" si="4"/>
        <v>894</v>
      </c>
      <c r="P354" s="387">
        <v>151.39592592592592</v>
      </c>
      <c r="Q354" s="389">
        <v>115.10592592592594</v>
      </c>
      <c r="R354" s="389">
        <v>26</v>
      </c>
      <c r="S354" s="389">
        <v>0</v>
      </c>
      <c r="T354" s="389">
        <v>10</v>
      </c>
      <c r="U354" s="389">
        <v>0.29000000000000004</v>
      </c>
      <c r="V354" s="515">
        <v>0</v>
      </c>
    </row>
    <row r="355" spans="1:23" ht="35.1" customHeight="1" x14ac:dyDescent="0.25">
      <c r="A355" s="432">
        <v>354</v>
      </c>
      <c r="B355" s="95">
        <v>45105</v>
      </c>
      <c r="C355" s="432"/>
      <c r="D355" s="485"/>
      <c r="E355" s="433"/>
      <c r="F355" s="432"/>
      <c r="G355" s="432"/>
      <c r="H355" s="432"/>
      <c r="I355" s="432">
        <v>103</v>
      </c>
      <c r="J355" s="432">
        <v>350</v>
      </c>
      <c r="K355" s="432"/>
      <c r="L355" s="432"/>
      <c r="M355" s="432">
        <v>283</v>
      </c>
      <c r="N355" s="540"/>
      <c r="O355" s="485">
        <f t="shared" si="4"/>
        <v>736</v>
      </c>
      <c r="P355" s="387">
        <v>114.83296296296298</v>
      </c>
      <c r="Q355" s="389">
        <v>69.792962962962974</v>
      </c>
      <c r="R355" s="389">
        <v>7.6999999999999993</v>
      </c>
      <c r="S355" s="389">
        <v>0</v>
      </c>
      <c r="T355" s="389">
        <v>37.340000000000003</v>
      </c>
      <c r="U355" s="389">
        <v>0</v>
      </c>
      <c r="V355" s="515">
        <v>0</v>
      </c>
    </row>
    <row r="356" spans="1:23" ht="35.1" customHeight="1" x14ac:dyDescent="0.25">
      <c r="A356" s="432">
        <v>355</v>
      </c>
      <c r="B356" s="95">
        <v>45106</v>
      </c>
      <c r="C356" s="432"/>
      <c r="D356" s="485"/>
      <c r="E356" s="433" t="s">
        <v>576</v>
      </c>
      <c r="F356" s="432">
        <v>50</v>
      </c>
      <c r="G356" s="432"/>
      <c r="H356" s="432"/>
      <c r="I356" s="432">
        <v>70</v>
      </c>
      <c r="J356" s="432">
        <v>48</v>
      </c>
      <c r="K356" s="432"/>
      <c r="L356" s="432"/>
      <c r="M356" s="432">
        <v>106</v>
      </c>
      <c r="N356" s="540"/>
      <c r="O356" s="485">
        <f t="shared" si="4"/>
        <v>274</v>
      </c>
      <c r="P356" s="387">
        <v>75.242962962962963</v>
      </c>
      <c r="Q356" s="389">
        <v>18.292962962962967</v>
      </c>
      <c r="R356" s="389">
        <v>56.95</v>
      </c>
      <c r="S356" s="389">
        <v>0</v>
      </c>
      <c r="T356" s="389">
        <v>0</v>
      </c>
      <c r="U356" s="389">
        <v>0</v>
      </c>
      <c r="V356" s="515">
        <v>0</v>
      </c>
    </row>
    <row r="357" spans="1:23" ht="35.1" customHeight="1" x14ac:dyDescent="0.25">
      <c r="A357" s="432">
        <v>356</v>
      </c>
      <c r="B357" s="95">
        <v>45107</v>
      </c>
      <c r="C357" s="432"/>
      <c r="D357" s="485"/>
      <c r="E357" s="433"/>
      <c r="F357" s="432"/>
      <c r="G357" s="432"/>
      <c r="H357" s="432">
        <v>320</v>
      </c>
      <c r="I357" s="432">
        <v>132</v>
      </c>
      <c r="J357" s="432">
        <v>93</v>
      </c>
      <c r="K357" s="432"/>
      <c r="L357" s="432"/>
      <c r="M357" s="432">
        <v>362</v>
      </c>
      <c r="N357" s="540"/>
      <c r="O357" s="485">
        <f t="shared" si="4"/>
        <v>907</v>
      </c>
      <c r="P357" s="387">
        <v>173.58814814814818</v>
      </c>
      <c r="Q357" s="389">
        <v>86.188148148148173</v>
      </c>
      <c r="R357" s="389">
        <v>15.399999999999999</v>
      </c>
      <c r="S357" s="389">
        <v>52</v>
      </c>
      <c r="T357" s="389">
        <v>20</v>
      </c>
      <c r="U357" s="389">
        <v>0</v>
      </c>
      <c r="V357" s="515">
        <v>0</v>
      </c>
    </row>
    <row r="358" spans="1:23" ht="35.1" customHeight="1" x14ac:dyDescent="0.25">
      <c r="A358" s="432">
        <v>357</v>
      </c>
      <c r="B358" s="95">
        <v>45108</v>
      </c>
      <c r="C358" s="432">
        <v>346</v>
      </c>
      <c r="D358" s="485"/>
      <c r="E358" s="433"/>
      <c r="F358" s="432"/>
      <c r="G358" s="432"/>
      <c r="H358" s="432"/>
      <c r="I358" s="432">
        <v>37</v>
      </c>
      <c r="J358" s="432">
        <v>150</v>
      </c>
      <c r="K358" s="432"/>
      <c r="L358" s="432"/>
      <c r="M358" s="432">
        <v>88</v>
      </c>
      <c r="N358" s="540"/>
      <c r="O358" s="485">
        <f t="shared" si="4"/>
        <v>275</v>
      </c>
      <c r="P358" s="387">
        <v>170.81148148148148</v>
      </c>
      <c r="Q358" s="389">
        <v>24.70148148148149</v>
      </c>
      <c r="R358" s="389">
        <v>65.990000000000009</v>
      </c>
      <c r="S358" s="389">
        <v>49.64</v>
      </c>
      <c r="T358" s="389">
        <v>20</v>
      </c>
      <c r="U358" s="389">
        <v>10.48</v>
      </c>
      <c r="V358" s="515">
        <v>0</v>
      </c>
    </row>
    <row r="359" spans="1:23" ht="35.1" customHeight="1" x14ac:dyDescent="0.25">
      <c r="A359" s="432">
        <v>358</v>
      </c>
      <c r="B359" s="191">
        <v>45109</v>
      </c>
      <c r="C359" s="190"/>
      <c r="D359" s="190"/>
      <c r="E359" s="250"/>
      <c r="F359" s="190"/>
      <c r="G359" s="190"/>
      <c r="H359" s="190"/>
      <c r="I359" s="190"/>
      <c r="J359" s="190"/>
      <c r="K359" s="190"/>
      <c r="L359" s="190"/>
      <c r="M359" s="190"/>
      <c r="N359" s="542"/>
      <c r="O359" s="485">
        <f t="shared" si="4"/>
        <v>0</v>
      </c>
      <c r="P359" s="392"/>
      <c r="Q359" s="393"/>
      <c r="R359" s="393"/>
      <c r="S359" s="393"/>
      <c r="T359" s="393"/>
      <c r="U359" s="393"/>
      <c r="V359" s="515"/>
    </row>
    <row r="360" spans="1:23" ht="35.1" customHeight="1" x14ac:dyDescent="0.25">
      <c r="A360" s="432">
        <v>359</v>
      </c>
      <c r="B360" s="95">
        <v>45110</v>
      </c>
      <c r="C360" s="432"/>
      <c r="D360" s="485"/>
      <c r="E360" s="433" t="s">
        <v>579</v>
      </c>
      <c r="F360" s="432">
        <v>130</v>
      </c>
      <c r="G360" s="432">
        <v>3</v>
      </c>
      <c r="H360" s="432"/>
      <c r="I360" s="432">
        <v>513</v>
      </c>
      <c r="J360" s="432">
        <v>55</v>
      </c>
      <c r="K360" s="432"/>
      <c r="L360" s="432">
        <v>232</v>
      </c>
      <c r="M360" s="432">
        <v>262</v>
      </c>
      <c r="N360" s="540"/>
      <c r="O360" s="485">
        <f t="shared" si="4"/>
        <v>1195</v>
      </c>
      <c r="P360" s="387">
        <v>217.29740740740743</v>
      </c>
      <c r="Q360" s="389">
        <v>179.99740740740742</v>
      </c>
      <c r="R360" s="389">
        <v>26</v>
      </c>
      <c r="S360" s="389">
        <v>0</v>
      </c>
      <c r="T360" s="389">
        <v>10</v>
      </c>
      <c r="U360" s="389">
        <v>1.3</v>
      </c>
      <c r="V360" s="515">
        <v>0</v>
      </c>
    </row>
    <row r="361" spans="1:23" ht="35.1" customHeight="1" x14ac:dyDescent="0.25">
      <c r="A361" s="432">
        <v>360</v>
      </c>
      <c r="B361" s="95">
        <v>45111</v>
      </c>
      <c r="C361" s="432"/>
      <c r="D361" s="485"/>
      <c r="E361" s="433"/>
      <c r="F361" s="432"/>
      <c r="G361" s="432">
        <v>1.19</v>
      </c>
      <c r="H361" s="432"/>
      <c r="I361" s="432">
        <v>458.81</v>
      </c>
      <c r="J361" s="432">
        <v>132</v>
      </c>
      <c r="K361" s="432"/>
      <c r="L361" s="432">
        <v>17</v>
      </c>
      <c r="M361" s="432">
        <v>1655</v>
      </c>
      <c r="N361" s="540"/>
      <c r="O361" s="485">
        <f t="shared" si="4"/>
        <v>2264</v>
      </c>
      <c r="P361" s="387">
        <v>422.67296296296303</v>
      </c>
      <c r="Q361" s="389">
        <v>376.70296296296306</v>
      </c>
      <c r="R361" s="389">
        <v>33.700000000000003</v>
      </c>
      <c r="S361" s="389">
        <v>0</v>
      </c>
      <c r="T361" s="389">
        <v>10</v>
      </c>
      <c r="U361" s="389">
        <v>2.2699999999999996</v>
      </c>
      <c r="V361" s="515">
        <v>0</v>
      </c>
    </row>
    <row r="362" spans="1:23" ht="35.1" customHeight="1" x14ac:dyDescent="0.25">
      <c r="A362" s="432">
        <v>361</v>
      </c>
      <c r="B362" s="95">
        <v>45112</v>
      </c>
      <c r="C362" s="432"/>
      <c r="D362" s="485"/>
      <c r="E362" s="433"/>
      <c r="F362" s="432"/>
      <c r="G362" s="432"/>
      <c r="H362" s="432"/>
      <c r="I362" s="432">
        <v>143</v>
      </c>
      <c r="J362" s="432">
        <v>377</v>
      </c>
      <c r="K362" s="432"/>
      <c r="L362" s="432"/>
      <c r="M362" s="432">
        <v>128</v>
      </c>
      <c r="N362" s="540"/>
      <c r="O362" s="485">
        <f t="shared" si="4"/>
        <v>648</v>
      </c>
      <c r="P362" s="387">
        <v>148.12851851851855</v>
      </c>
      <c r="Q362" s="389">
        <v>117.32851851851854</v>
      </c>
      <c r="R362" s="389">
        <v>30.8</v>
      </c>
      <c r="S362" s="389">
        <v>0</v>
      </c>
      <c r="T362" s="389">
        <v>0</v>
      </c>
      <c r="U362" s="389">
        <v>0</v>
      </c>
      <c r="V362" s="515">
        <v>0</v>
      </c>
    </row>
    <row r="363" spans="1:23" ht="35.1" customHeight="1" x14ac:dyDescent="0.25">
      <c r="A363" s="432">
        <v>362</v>
      </c>
      <c r="B363" s="95">
        <v>45113</v>
      </c>
      <c r="C363" s="432">
        <v>299</v>
      </c>
      <c r="D363" s="485"/>
      <c r="E363" s="433" t="s">
        <v>587</v>
      </c>
      <c r="F363" s="432">
        <v>197</v>
      </c>
      <c r="G363" s="432"/>
      <c r="H363" s="432"/>
      <c r="I363" s="432">
        <v>378</v>
      </c>
      <c r="J363" s="432">
        <v>313</v>
      </c>
      <c r="K363" s="432"/>
      <c r="L363" s="432"/>
      <c r="M363" s="432">
        <v>1840</v>
      </c>
      <c r="N363" s="540"/>
      <c r="O363" s="485">
        <f t="shared" si="4"/>
        <v>2728</v>
      </c>
      <c r="P363" s="387">
        <v>599.31999999999994</v>
      </c>
      <c r="Q363" s="389">
        <v>380.36</v>
      </c>
      <c r="R363" s="389">
        <v>24.96</v>
      </c>
      <c r="S363" s="389">
        <v>119</v>
      </c>
      <c r="T363" s="389">
        <v>75</v>
      </c>
      <c r="U363" s="389">
        <v>0</v>
      </c>
      <c r="V363" s="515">
        <v>0</v>
      </c>
    </row>
    <row r="364" spans="1:23" ht="35.1" customHeight="1" x14ac:dyDescent="0.25">
      <c r="A364" s="432">
        <v>363</v>
      </c>
      <c r="B364" s="95">
        <v>45114</v>
      </c>
      <c r="C364" s="432">
        <v>18</v>
      </c>
      <c r="D364" s="485"/>
      <c r="E364" s="433"/>
      <c r="F364" s="432"/>
      <c r="G364" s="432"/>
      <c r="H364" s="432">
        <v>125</v>
      </c>
      <c r="I364" s="432">
        <v>9</v>
      </c>
      <c r="J364" s="432">
        <v>563</v>
      </c>
      <c r="K364" s="432"/>
      <c r="L364" s="432"/>
      <c r="M364" s="432">
        <v>251</v>
      </c>
      <c r="N364" s="540"/>
      <c r="O364" s="485">
        <f t="shared" si="4"/>
        <v>948</v>
      </c>
      <c r="P364" s="387">
        <v>159.71</v>
      </c>
      <c r="Q364" s="389">
        <v>74.31</v>
      </c>
      <c r="R364" s="389">
        <v>2.9000000000000004</v>
      </c>
      <c r="S364" s="389">
        <v>3.5</v>
      </c>
      <c r="T364" s="389">
        <v>75</v>
      </c>
      <c r="U364" s="389">
        <v>4</v>
      </c>
      <c r="V364" s="515">
        <v>0</v>
      </c>
    </row>
    <row r="365" spans="1:23" ht="48" customHeight="1" x14ac:dyDescent="0.25">
      <c r="A365" s="432">
        <v>364</v>
      </c>
      <c r="B365" s="95">
        <v>45115</v>
      </c>
      <c r="C365" s="432"/>
      <c r="D365" s="485"/>
      <c r="E365" s="433"/>
      <c r="F365" s="432"/>
      <c r="G365" s="432"/>
      <c r="H365" s="432">
        <v>164</v>
      </c>
      <c r="I365" s="432">
        <v>250</v>
      </c>
      <c r="J365" s="432"/>
      <c r="K365" s="432"/>
      <c r="L365" s="432"/>
      <c r="M365" s="432">
        <v>1329</v>
      </c>
      <c r="N365" s="539" t="s">
        <v>585</v>
      </c>
      <c r="O365" s="485">
        <f t="shared" si="4"/>
        <v>1743</v>
      </c>
      <c r="P365" s="387">
        <v>467.13222222222225</v>
      </c>
      <c r="Q365" s="389">
        <v>435.95222222222225</v>
      </c>
      <c r="R365" s="389">
        <v>0</v>
      </c>
      <c r="S365" s="389">
        <v>0</v>
      </c>
      <c r="T365" s="389">
        <v>20</v>
      </c>
      <c r="U365" s="389">
        <v>11.18</v>
      </c>
      <c r="V365" s="515">
        <v>0</v>
      </c>
      <c r="W365" s="471" t="s">
        <v>586</v>
      </c>
    </row>
    <row r="366" spans="1:23" ht="35.1" customHeight="1" x14ac:dyDescent="0.25">
      <c r="A366" s="190">
        <v>365</v>
      </c>
      <c r="B366" s="191">
        <v>45116</v>
      </c>
      <c r="C366" s="190"/>
      <c r="D366" s="190"/>
      <c r="E366" s="250"/>
      <c r="F366" s="190"/>
      <c r="G366" s="190"/>
      <c r="H366" s="190"/>
      <c r="I366" s="190"/>
      <c r="J366" s="190"/>
      <c r="K366" s="190"/>
      <c r="L366" s="190"/>
      <c r="M366" s="190"/>
      <c r="N366" s="542"/>
      <c r="O366" s="485">
        <f t="shared" si="4"/>
        <v>0</v>
      </c>
      <c r="P366" s="392"/>
      <c r="Q366" s="393"/>
      <c r="R366" s="393"/>
      <c r="S366" s="393"/>
      <c r="T366" s="393"/>
      <c r="U366" s="393"/>
      <c r="V366" s="515"/>
    </row>
    <row r="367" spans="1:23" ht="35.1" customHeight="1" x14ac:dyDescent="0.25">
      <c r="A367" s="432">
        <v>366</v>
      </c>
      <c r="B367" s="95">
        <v>45117</v>
      </c>
      <c r="C367" s="432">
        <v>134</v>
      </c>
      <c r="D367" s="485"/>
      <c r="E367" s="433"/>
      <c r="F367" s="432"/>
      <c r="G367" s="432"/>
      <c r="H367" s="432">
        <v>163</v>
      </c>
      <c r="I367" s="432">
        <v>221</v>
      </c>
      <c r="J367" s="432">
        <v>218</v>
      </c>
      <c r="K367" s="432"/>
      <c r="L367" s="432"/>
      <c r="M367" s="432">
        <v>798</v>
      </c>
      <c r="N367" s="540"/>
      <c r="O367" s="485">
        <f t="shared" si="4"/>
        <v>1400</v>
      </c>
      <c r="P367" s="387">
        <v>302.31481481481484</v>
      </c>
      <c r="Q367" s="389">
        <v>118.38481481481483</v>
      </c>
      <c r="R367" s="389">
        <v>163.53</v>
      </c>
      <c r="S367" s="389">
        <v>2.7999999999999972</v>
      </c>
      <c r="T367" s="389">
        <v>15</v>
      </c>
      <c r="U367" s="389">
        <v>2.6</v>
      </c>
      <c r="V367" s="515"/>
    </row>
    <row r="368" spans="1:23" ht="108" customHeight="1" x14ac:dyDescent="0.25">
      <c r="A368" s="432">
        <v>367</v>
      </c>
      <c r="B368" s="95">
        <v>45118</v>
      </c>
      <c r="C368" s="432">
        <v>150</v>
      </c>
      <c r="D368" s="485"/>
      <c r="E368" s="433"/>
      <c r="F368" s="432"/>
      <c r="G368" s="432"/>
      <c r="H368" s="432"/>
      <c r="I368" s="432">
        <v>70</v>
      </c>
      <c r="J368" s="432"/>
      <c r="K368" s="432"/>
      <c r="L368" s="432"/>
      <c r="M368" s="432">
        <v>268</v>
      </c>
      <c r="N368" s="540"/>
      <c r="O368" s="485">
        <f t="shared" si="4"/>
        <v>338</v>
      </c>
      <c r="P368" s="387">
        <v>420.76</v>
      </c>
      <c r="Q368" s="389">
        <v>349.87</v>
      </c>
      <c r="R368" s="389">
        <v>6.5500000000000007</v>
      </c>
      <c r="S368" s="389">
        <v>0</v>
      </c>
      <c r="T368" s="389">
        <v>64.34</v>
      </c>
      <c r="U368" s="389">
        <v>0</v>
      </c>
      <c r="V368" s="515">
        <v>0</v>
      </c>
      <c r="W368" s="411" t="s">
        <v>590</v>
      </c>
    </row>
    <row r="369" spans="1:22" ht="35.1" customHeight="1" x14ac:dyDescent="0.25">
      <c r="A369" s="432">
        <v>368</v>
      </c>
      <c r="B369" s="95">
        <v>45119</v>
      </c>
      <c r="C369" s="432">
        <v>93</v>
      </c>
      <c r="D369" s="485"/>
      <c r="E369" s="433"/>
      <c r="F369" s="432"/>
      <c r="G369" s="432"/>
      <c r="H369" s="432"/>
      <c r="I369" s="432">
        <f>367</f>
        <v>367</v>
      </c>
      <c r="J369" s="432"/>
      <c r="K369" s="432"/>
      <c r="L369" s="432"/>
      <c r="M369" s="432">
        <v>83</v>
      </c>
      <c r="N369" s="540"/>
      <c r="O369" s="485">
        <f t="shared" si="4"/>
        <v>450</v>
      </c>
      <c r="P369" s="387">
        <v>55.3</v>
      </c>
      <c r="Q369" s="389">
        <v>61.27</v>
      </c>
      <c r="R369" s="389">
        <v>-5.9700000000000095</v>
      </c>
      <c r="S369" s="389">
        <v>0</v>
      </c>
      <c r="T369" s="389">
        <v>0</v>
      </c>
      <c r="U369" s="389">
        <v>0</v>
      </c>
      <c r="V369" s="515">
        <v>0</v>
      </c>
    </row>
    <row r="370" spans="1:22" ht="35.1" customHeight="1" x14ac:dyDescent="0.25">
      <c r="A370" s="432">
        <v>369</v>
      </c>
      <c r="B370" s="95">
        <v>45120</v>
      </c>
      <c r="C370" s="432">
        <v>100</v>
      </c>
      <c r="D370" s="485"/>
      <c r="E370" s="433"/>
      <c r="F370" s="432"/>
      <c r="G370" s="432"/>
      <c r="H370" s="432"/>
      <c r="I370" s="432">
        <v>9</v>
      </c>
      <c r="J370" s="432"/>
      <c r="K370" s="432"/>
      <c r="L370" s="432"/>
      <c r="M370" s="432">
        <v>43</v>
      </c>
      <c r="N370" s="540"/>
      <c r="O370" s="485">
        <f t="shared" si="4"/>
        <v>52</v>
      </c>
      <c r="P370" s="387">
        <v>143.86000000000001</v>
      </c>
      <c r="Q370" s="389">
        <v>106.48</v>
      </c>
      <c r="R370" s="389">
        <v>24.700000000000006</v>
      </c>
      <c r="S370" s="389">
        <v>0</v>
      </c>
      <c r="T370" s="389">
        <v>0</v>
      </c>
      <c r="U370" s="389">
        <v>12.68</v>
      </c>
      <c r="V370" s="515"/>
    </row>
    <row r="371" spans="1:22" ht="69" customHeight="1" x14ac:dyDescent="0.25">
      <c r="A371" s="432">
        <v>370</v>
      </c>
      <c r="B371" s="95">
        <v>45121</v>
      </c>
      <c r="C371" s="432"/>
      <c r="D371" s="485"/>
      <c r="E371" s="433" t="s">
        <v>592</v>
      </c>
      <c r="F371" s="432">
        <v>85</v>
      </c>
      <c r="G371" s="432"/>
      <c r="H371" s="432"/>
      <c r="I371" s="432">
        <v>206</v>
      </c>
      <c r="J371" s="432"/>
      <c r="K371" s="432"/>
      <c r="L371" s="432"/>
      <c r="M371" s="432"/>
      <c r="N371" s="540"/>
      <c r="O371" s="485">
        <f t="shared" si="4"/>
        <v>291</v>
      </c>
      <c r="P371" s="387">
        <v>197.66000000000003</v>
      </c>
      <c r="Q371" s="389">
        <v>162.40000000000003</v>
      </c>
      <c r="R371" s="389">
        <v>22.260000000000005</v>
      </c>
      <c r="S371" s="389">
        <v>0</v>
      </c>
      <c r="T371" s="389">
        <v>0</v>
      </c>
      <c r="U371" s="389">
        <v>13</v>
      </c>
      <c r="V371" s="515"/>
    </row>
    <row r="372" spans="1:22" ht="35.1" customHeight="1" x14ac:dyDescent="0.25">
      <c r="A372" s="432">
        <v>371</v>
      </c>
      <c r="B372" s="95">
        <v>45122</v>
      </c>
      <c r="C372" s="432">
        <v>500</v>
      </c>
      <c r="D372" s="485"/>
      <c r="E372" s="433"/>
      <c r="F372" s="432"/>
      <c r="G372" s="432"/>
      <c r="H372" s="432"/>
      <c r="I372" s="432">
        <v>20</v>
      </c>
      <c r="J372" s="432"/>
      <c r="K372" s="432"/>
      <c r="L372" s="432">
        <v>83</v>
      </c>
      <c r="M372" s="432">
        <v>290</v>
      </c>
      <c r="N372" s="540"/>
      <c r="O372" s="485">
        <f t="shared" si="4"/>
        <v>393</v>
      </c>
      <c r="P372" s="387">
        <v>594.91999999999996</v>
      </c>
      <c r="Q372" s="389">
        <v>323.05999999999995</v>
      </c>
      <c r="R372" s="389">
        <v>217.22000000000008</v>
      </c>
      <c r="S372" s="389">
        <v>53.34</v>
      </c>
      <c r="T372" s="389">
        <v>0</v>
      </c>
      <c r="U372" s="389">
        <v>1.3</v>
      </c>
      <c r="V372" s="515"/>
    </row>
    <row r="373" spans="1:22" ht="35.1" customHeight="1" x14ac:dyDescent="0.25">
      <c r="A373" s="190">
        <v>372</v>
      </c>
      <c r="B373" s="191">
        <v>45123</v>
      </c>
      <c r="C373" s="190"/>
      <c r="D373" s="190"/>
      <c r="E373" s="250"/>
      <c r="F373" s="190"/>
      <c r="G373" s="190"/>
      <c r="H373" s="190"/>
      <c r="I373" s="190"/>
      <c r="J373" s="190"/>
      <c r="K373" s="190"/>
      <c r="L373" s="190"/>
      <c r="M373" s="190"/>
      <c r="N373" s="542"/>
      <c r="O373" s="485">
        <f t="shared" si="4"/>
        <v>0</v>
      </c>
      <c r="P373" s="392"/>
      <c r="Q373" s="393"/>
      <c r="R373" s="393"/>
      <c r="S373" s="393"/>
      <c r="T373" s="393"/>
      <c r="U373" s="393"/>
      <c r="V373" s="515"/>
    </row>
    <row r="374" spans="1:22" ht="35.1" customHeight="1" x14ac:dyDescent="0.25">
      <c r="A374" s="432">
        <v>373</v>
      </c>
      <c r="B374" s="95">
        <v>45124</v>
      </c>
      <c r="C374" s="432"/>
      <c r="D374" s="485"/>
      <c r="E374" s="433" t="s">
        <v>594</v>
      </c>
      <c r="F374" s="432">
        <f>48+430</f>
        <v>478</v>
      </c>
      <c r="G374" s="432"/>
      <c r="H374" s="432"/>
      <c r="I374" s="432">
        <v>104</v>
      </c>
      <c r="J374" s="432">
        <v>638</v>
      </c>
      <c r="K374" s="432"/>
      <c r="L374" s="432">
        <v>40</v>
      </c>
      <c r="M374" s="432">
        <v>243</v>
      </c>
      <c r="N374" s="540"/>
      <c r="O374" s="485">
        <f t="shared" si="4"/>
        <v>1503</v>
      </c>
      <c r="P374" s="387">
        <v>346.06629629629634</v>
      </c>
      <c r="Q374" s="389">
        <v>342.38629629629634</v>
      </c>
      <c r="R374" s="389">
        <v>0</v>
      </c>
      <c r="S374" s="389">
        <v>0</v>
      </c>
      <c r="T374" s="389">
        <v>0</v>
      </c>
      <c r="U374" s="389">
        <v>3.6799999999999997</v>
      </c>
      <c r="V374" s="515"/>
    </row>
    <row r="375" spans="1:22" ht="35.1" customHeight="1" x14ac:dyDescent="0.25">
      <c r="A375" s="432">
        <v>374</v>
      </c>
      <c r="B375" s="95">
        <v>45125</v>
      </c>
      <c r="C375" s="432"/>
      <c r="D375" s="485"/>
      <c r="E375" s="433"/>
      <c r="F375" s="432"/>
      <c r="G375" s="432"/>
      <c r="H375" s="432"/>
      <c r="I375" s="432">
        <v>143</v>
      </c>
      <c r="J375" s="432">
        <v>200</v>
      </c>
      <c r="K375" s="432"/>
      <c r="L375" s="432">
        <v>2</v>
      </c>
      <c r="M375" s="432">
        <v>235</v>
      </c>
      <c r="N375" s="540"/>
      <c r="O375" s="485">
        <f t="shared" si="4"/>
        <v>580</v>
      </c>
      <c r="P375" s="387">
        <v>193.95000000000005</v>
      </c>
      <c r="Q375" s="389">
        <v>186.59000000000003</v>
      </c>
      <c r="R375" s="389">
        <v>0</v>
      </c>
      <c r="S375" s="389">
        <v>0</v>
      </c>
      <c r="T375" s="389">
        <v>0</v>
      </c>
      <c r="U375" s="389">
        <v>7.3599999999999994</v>
      </c>
      <c r="V375" s="515"/>
    </row>
    <row r="376" spans="1:22" ht="35.1" customHeight="1" x14ac:dyDescent="0.25">
      <c r="A376" s="432">
        <v>375</v>
      </c>
      <c r="B376" s="95">
        <v>45126</v>
      </c>
      <c r="C376" s="432"/>
      <c r="D376" s="485"/>
      <c r="E376" s="433"/>
      <c r="F376" s="432"/>
      <c r="G376" s="432">
        <v>21</v>
      </c>
      <c r="H376" s="432"/>
      <c r="I376" s="432">
        <v>244</v>
      </c>
      <c r="J376" s="432"/>
      <c r="K376" s="432"/>
      <c r="L376" s="432"/>
      <c r="M376" s="432">
        <v>275</v>
      </c>
      <c r="N376" s="540"/>
      <c r="O376" s="485">
        <f t="shared" ref="O376:O439" si="5">SUM(G376:N376)+F376+D376</f>
        <v>540</v>
      </c>
      <c r="P376" s="387">
        <v>277.98259259259265</v>
      </c>
      <c r="Q376" s="389">
        <v>208.28259259259261</v>
      </c>
      <c r="R376" s="389">
        <v>8.990000000000002</v>
      </c>
      <c r="S376" s="389">
        <v>9.67</v>
      </c>
      <c r="T376" s="389">
        <v>36</v>
      </c>
      <c r="U376" s="389">
        <v>15.04</v>
      </c>
      <c r="V376" s="515"/>
    </row>
    <row r="377" spans="1:22" ht="35.1" customHeight="1" x14ac:dyDescent="0.25">
      <c r="A377" s="432">
        <v>376</v>
      </c>
      <c r="B377" s="95">
        <v>45127</v>
      </c>
      <c r="C377" s="432"/>
      <c r="D377" s="485"/>
      <c r="E377" s="478" t="s">
        <v>511</v>
      </c>
      <c r="F377" s="476">
        <v>300</v>
      </c>
      <c r="G377" s="432"/>
      <c r="H377" s="432">
        <v>165</v>
      </c>
      <c r="I377" s="432">
        <v>63</v>
      </c>
      <c r="J377" s="432">
        <v>287</v>
      </c>
      <c r="K377" s="432"/>
      <c r="L377" s="432">
        <v>25</v>
      </c>
      <c r="M377" s="432">
        <v>53</v>
      </c>
      <c r="N377" s="540"/>
      <c r="O377" s="485">
        <f t="shared" si="5"/>
        <v>893</v>
      </c>
      <c r="P377" s="387">
        <v>115.61229629629631</v>
      </c>
      <c r="Q377" s="389">
        <v>92.56229629629631</v>
      </c>
      <c r="R377" s="389">
        <v>6.5500000000000007</v>
      </c>
      <c r="S377" s="389">
        <v>16.5</v>
      </c>
      <c r="T377" s="389">
        <v>0</v>
      </c>
      <c r="U377" s="389">
        <v>0</v>
      </c>
      <c r="V377" s="515"/>
    </row>
    <row r="378" spans="1:22" ht="35.1" customHeight="1" x14ac:dyDescent="0.25">
      <c r="A378" s="432">
        <v>377</v>
      </c>
      <c r="B378" s="95">
        <v>45128</v>
      </c>
      <c r="C378" s="432"/>
      <c r="D378" s="485"/>
      <c r="E378" s="433"/>
      <c r="F378" s="432"/>
      <c r="G378" s="432"/>
      <c r="H378" s="432"/>
      <c r="I378" s="432">
        <v>127</v>
      </c>
      <c r="J378" s="432"/>
      <c r="K378" s="432"/>
      <c r="L378" s="432">
        <v>444</v>
      </c>
      <c r="M378" s="432">
        <v>287</v>
      </c>
      <c r="N378" s="540"/>
      <c r="O378" s="485">
        <f t="shared" si="5"/>
        <v>858</v>
      </c>
      <c r="P378" s="387">
        <v>196.74</v>
      </c>
      <c r="Q378" s="389">
        <v>71.320000000000007</v>
      </c>
      <c r="R378" s="389">
        <v>118.42000000000002</v>
      </c>
      <c r="S378" s="389">
        <v>0</v>
      </c>
      <c r="T378" s="389">
        <v>0</v>
      </c>
      <c r="U378" s="389">
        <v>7</v>
      </c>
      <c r="V378" s="515">
        <v>0</v>
      </c>
    </row>
    <row r="379" spans="1:22" ht="35.1" customHeight="1" x14ac:dyDescent="0.25">
      <c r="A379" s="432">
        <v>378</v>
      </c>
      <c r="B379" s="95">
        <v>45129</v>
      </c>
      <c r="C379" s="432">
        <v>9</v>
      </c>
      <c r="D379" s="485"/>
      <c r="E379" s="433"/>
      <c r="F379" s="432"/>
      <c r="G379" s="432"/>
      <c r="H379" s="432"/>
      <c r="I379" s="432">
        <v>55</v>
      </c>
      <c r="J379" s="432"/>
      <c r="K379" s="432"/>
      <c r="L379" s="432"/>
      <c r="M379" s="432">
        <v>411</v>
      </c>
      <c r="N379" s="540"/>
      <c r="O379" s="485">
        <f t="shared" si="5"/>
        <v>466</v>
      </c>
      <c r="P379" s="387">
        <v>107.29629629629632</v>
      </c>
      <c r="Q379" s="389">
        <v>84.396296296296313</v>
      </c>
      <c r="R379" s="389">
        <v>2.9000000000000004</v>
      </c>
      <c r="S379" s="389">
        <v>0</v>
      </c>
      <c r="T379" s="389">
        <v>20</v>
      </c>
      <c r="U379" s="389">
        <v>0</v>
      </c>
      <c r="V379" s="515">
        <v>0</v>
      </c>
    </row>
    <row r="380" spans="1:22" ht="35.1" customHeight="1" x14ac:dyDescent="0.25">
      <c r="A380" s="190">
        <v>379</v>
      </c>
      <c r="B380" s="191">
        <v>45130</v>
      </c>
      <c r="C380" s="190"/>
      <c r="D380" s="190"/>
      <c r="E380" s="250"/>
      <c r="F380" s="190"/>
      <c r="G380" s="190"/>
      <c r="H380" s="190"/>
      <c r="I380" s="190"/>
      <c r="J380" s="190"/>
      <c r="K380" s="190"/>
      <c r="L380" s="190"/>
      <c r="M380" s="190"/>
      <c r="N380" s="542"/>
      <c r="O380" s="485">
        <f t="shared" si="5"/>
        <v>0</v>
      </c>
      <c r="P380" s="392"/>
      <c r="Q380" s="393"/>
      <c r="R380" s="393"/>
      <c r="S380" s="393"/>
      <c r="T380" s="393"/>
      <c r="U380" s="393"/>
      <c r="V380" s="515"/>
    </row>
    <row r="381" spans="1:22" ht="35.1" customHeight="1" x14ac:dyDescent="0.25">
      <c r="A381" s="432">
        <v>380</v>
      </c>
      <c r="B381" s="95">
        <v>45131</v>
      </c>
      <c r="C381" s="432"/>
      <c r="D381" s="485"/>
      <c r="E381" s="433"/>
      <c r="F381" s="432"/>
      <c r="G381" s="432"/>
      <c r="H381" s="432"/>
      <c r="I381" s="432">
        <v>113</v>
      </c>
      <c r="J381" s="432">
        <v>184</v>
      </c>
      <c r="K381" s="432"/>
      <c r="L381" s="432"/>
      <c r="M381" s="432"/>
      <c r="N381" s="540"/>
      <c r="O381" s="485">
        <f t="shared" si="5"/>
        <v>297</v>
      </c>
      <c r="P381" s="387">
        <v>68.980000000000018</v>
      </c>
      <c r="Q381" s="389">
        <v>24.120000000000005</v>
      </c>
      <c r="R381" s="389">
        <v>44.350000000000009</v>
      </c>
      <c r="S381" s="389">
        <v>0</v>
      </c>
      <c r="T381" s="389">
        <v>0</v>
      </c>
      <c r="U381" s="389">
        <v>0.51</v>
      </c>
      <c r="V381" s="515">
        <v>0</v>
      </c>
    </row>
    <row r="382" spans="1:22" ht="35.1" customHeight="1" x14ac:dyDescent="0.25">
      <c r="A382" s="432">
        <v>381</v>
      </c>
      <c r="B382" s="95">
        <v>45132</v>
      </c>
      <c r="C382" s="432">
        <v>47</v>
      </c>
      <c r="D382" s="485"/>
      <c r="E382" s="433"/>
      <c r="F382" s="432"/>
      <c r="G382" s="432"/>
      <c r="H382" s="432"/>
      <c r="I382" s="432">
        <v>353</v>
      </c>
      <c r="J382" s="432"/>
      <c r="K382" s="432"/>
      <c r="L382" s="432">
        <v>9</v>
      </c>
      <c r="M382" s="432">
        <v>418</v>
      </c>
      <c r="N382" s="540"/>
      <c r="O382" s="485">
        <f t="shared" si="5"/>
        <v>780</v>
      </c>
      <c r="P382" s="387">
        <v>199.9262962962963</v>
      </c>
      <c r="Q382" s="389">
        <v>73.246296296296293</v>
      </c>
      <c r="R382" s="389">
        <v>51.680000000000007</v>
      </c>
      <c r="S382" s="389">
        <v>0</v>
      </c>
      <c r="T382" s="389">
        <v>75</v>
      </c>
      <c r="U382" s="389">
        <v>0</v>
      </c>
      <c r="V382" s="515"/>
    </row>
    <row r="383" spans="1:22" ht="35.1" customHeight="1" x14ac:dyDescent="0.25">
      <c r="A383" s="432">
        <v>382</v>
      </c>
      <c r="B383" s="95">
        <v>45133</v>
      </c>
      <c r="C383" s="432">
        <v>61</v>
      </c>
      <c r="D383" s="485"/>
      <c r="E383" s="433"/>
      <c r="F383" s="432"/>
      <c r="G383" s="432"/>
      <c r="H383" s="432"/>
      <c r="I383" s="432">
        <v>330</v>
      </c>
      <c r="J383" s="432">
        <v>125</v>
      </c>
      <c r="K383" s="432"/>
      <c r="L383" s="432"/>
      <c r="M383" s="432">
        <v>400</v>
      </c>
      <c r="N383" s="540"/>
      <c r="O383" s="485">
        <f t="shared" si="5"/>
        <v>855</v>
      </c>
      <c r="P383" s="387">
        <v>162.8962962962963</v>
      </c>
      <c r="Q383" s="389">
        <v>47.546296296296305</v>
      </c>
      <c r="R383" s="389">
        <v>36.35</v>
      </c>
      <c r="S383" s="389">
        <v>0</v>
      </c>
      <c r="T383" s="389">
        <v>75</v>
      </c>
      <c r="U383" s="389">
        <v>4</v>
      </c>
      <c r="V383" s="515"/>
    </row>
    <row r="384" spans="1:22" ht="35.1" customHeight="1" x14ac:dyDescent="0.25">
      <c r="A384" s="432">
        <v>383</v>
      </c>
      <c r="B384" s="95">
        <v>45134</v>
      </c>
      <c r="C384" s="432">
        <v>24</v>
      </c>
      <c r="D384" s="485"/>
      <c r="E384" s="433"/>
      <c r="F384" s="432"/>
      <c r="G384" s="432"/>
      <c r="H384" s="432">
        <v>544</v>
      </c>
      <c r="I384" s="432">
        <v>330</v>
      </c>
      <c r="J384" s="432">
        <v>70</v>
      </c>
      <c r="K384" s="432"/>
      <c r="L384" s="432"/>
      <c r="M384" s="432">
        <v>429</v>
      </c>
      <c r="N384" s="540"/>
      <c r="O384" s="485">
        <f t="shared" si="5"/>
        <v>1373</v>
      </c>
      <c r="P384" s="387">
        <v>313.2</v>
      </c>
      <c r="Q384" s="389">
        <v>251.78000000000003</v>
      </c>
      <c r="R384" s="389">
        <v>17.899999999999999</v>
      </c>
      <c r="S384" s="389">
        <v>0</v>
      </c>
      <c r="T384" s="389">
        <v>40</v>
      </c>
      <c r="U384" s="389">
        <v>3.5199999999999996</v>
      </c>
      <c r="V384" s="515"/>
    </row>
    <row r="385" spans="1:23" ht="35.1" customHeight="1" x14ac:dyDescent="0.25">
      <c r="A385" s="432">
        <v>384</v>
      </c>
      <c r="B385" s="95">
        <v>45135</v>
      </c>
      <c r="C385" s="432"/>
      <c r="D385" s="485"/>
      <c r="E385" s="433"/>
      <c r="F385" s="432"/>
      <c r="G385" s="432"/>
      <c r="H385" s="432"/>
      <c r="I385" s="432">
        <v>423</v>
      </c>
      <c r="J385" s="432">
        <v>138</v>
      </c>
      <c r="K385" s="432"/>
      <c r="L385" s="432">
        <v>404</v>
      </c>
      <c r="M385" s="432">
        <v>394</v>
      </c>
      <c r="N385" s="540"/>
      <c r="O385" s="485">
        <f t="shared" si="5"/>
        <v>1359</v>
      </c>
      <c r="P385" s="387">
        <v>288.64</v>
      </c>
      <c r="Q385" s="389">
        <v>178.6</v>
      </c>
      <c r="R385" s="389">
        <v>76.54000000000002</v>
      </c>
      <c r="S385" s="389">
        <v>3.5</v>
      </c>
      <c r="T385" s="389">
        <v>30</v>
      </c>
      <c r="U385" s="389">
        <v>0</v>
      </c>
      <c r="V385" s="515"/>
    </row>
    <row r="386" spans="1:23" ht="35.1" customHeight="1" x14ac:dyDescent="0.25">
      <c r="A386" s="432">
        <v>385</v>
      </c>
      <c r="B386" s="95">
        <v>45136</v>
      </c>
      <c r="C386" s="432"/>
      <c r="D386" s="485"/>
      <c r="E386" s="433" t="s">
        <v>596</v>
      </c>
      <c r="F386" s="432">
        <v>300</v>
      </c>
      <c r="G386" s="432"/>
      <c r="H386" s="432"/>
      <c r="I386" s="432"/>
      <c r="J386" s="432"/>
      <c r="K386" s="432"/>
      <c r="L386" s="432"/>
      <c r="M386" s="432"/>
      <c r="N386" s="540"/>
      <c r="O386" s="485">
        <f t="shared" si="5"/>
        <v>300</v>
      </c>
      <c r="P386" s="387">
        <v>120.55629629629631</v>
      </c>
      <c r="Q386" s="389">
        <v>93.356296296296307</v>
      </c>
      <c r="R386" s="389">
        <v>7.1999999999999993</v>
      </c>
      <c r="S386" s="389">
        <v>0</v>
      </c>
      <c r="T386" s="389">
        <v>20</v>
      </c>
      <c r="U386" s="389">
        <v>0</v>
      </c>
      <c r="V386" s="515"/>
    </row>
    <row r="387" spans="1:23" ht="35.1" customHeight="1" x14ac:dyDescent="0.25">
      <c r="A387" s="190">
        <v>386</v>
      </c>
      <c r="B387" s="191">
        <v>45137</v>
      </c>
      <c r="C387" s="481"/>
      <c r="D387" s="481"/>
      <c r="E387" s="481"/>
      <c r="F387" s="481"/>
      <c r="G387" s="481"/>
      <c r="H387" s="481"/>
      <c r="I387" s="481"/>
      <c r="J387" s="481"/>
      <c r="K387" s="481"/>
      <c r="L387" s="481"/>
      <c r="M387" s="481"/>
      <c r="N387" s="545"/>
      <c r="O387" s="485">
        <f t="shared" si="5"/>
        <v>0</v>
      </c>
      <c r="P387" s="482"/>
      <c r="Q387" s="481"/>
      <c r="R387" s="481"/>
      <c r="S387" s="481"/>
      <c r="T387" s="481"/>
      <c r="U387" s="481"/>
    </row>
    <row r="388" spans="1:23" ht="35.1" customHeight="1" x14ac:dyDescent="0.25">
      <c r="A388" s="432">
        <v>387</v>
      </c>
      <c r="B388" s="95">
        <v>45138</v>
      </c>
      <c r="C388" s="432">
        <v>121</v>
      </c>
      <c r="D388" s="485"/>
      <c r="E388" s="433"/>
      <c r="F388" s="432"/>
      <c r="G388" s="432"/>
      <c r="H388" s="432"/>
      <c r="I388" s="432">
        <v>39</v>
      </c>
      <c r="J388" s="432"/>
      <c r="K388" s="432"/>
      <c r="L388" s="432">
        <v>100</v>
      </c>
      <c r="M388" s="432">
        <v>135</v>
      </c>
      <c r="N388" s="540"/>
      <c r="O388" s="485">
        <f t="shared" si="5"/>
        <v>274</v>
      </c>
      <c r="P388" s="387">
        <v>121.01629629629629</v>
      </c>
      <c r="Q388" s="389">
        <v>21.906296296296293</v>
      </c>
      <c r="R388" s="389">
        <v>47.11</v>
      </c>
      <c r="S388" s="389">
        <v>22</v>
      </c>
      <c r="T388" s="389">
        <v>30</v>
      </c>
      <c r="U388" s="389">
        <v>0</v>
      </c>
      <c r="V388" s="515"/>
    </row>
    <row r="389" spans="1:23" ht="82.5" customHeight="1" x14ac:dyDescent="0.25">
      <c r="A389" s="432">
        <v>388</v>
      </c>
      <c r="B389" s="95">
        <v>45139</v>
      </c>
      <c r="C389" s="432"/>
      <c r="D389" s="485"/>
      <c r="E389" s="433"/>
      <c r="F389" s="432"/>
      <c r="G389" s="432"/>
      <c r="H389" s="432">
        <v>410</v>
      </c>
      <c r="I389" s="432">
        <v>350</v>
      </c>
      <c r="J389" s="432"/>
      <c r="K389" s="432"/>
      <c r="L389" s="432">
        <v>481</v>
      </c>
      <c r="M389" s="432">
        <v>90</v>
      </c>
      <c r="N389" s="540"/>
      <c r="O389" s="485">
        <f t="shared" si="5"/>
        <v>1331</v>
      </c>
      <c r="P389" s="387">
        <v>296.30000000000007</v>
      </c>
      <c r="Q389" s="389">
        <v>238.84000000000003</v>
      </c>
      <c r="R389" s="389">
        <v>15</v>
      </c>
      <c r="S389" s="389">
        <v>0</v>
      </c>
      <c r="T389" s="389">
        <v>34.92</v>
      </c>
      <c r="U389" s="389">
        <v>7.54</v>
      </c>
      <c r="V389" s="515"/>
      <c r="W389" s="411" t="s">
        <v>618</v>
      </c>
    </row>
    <row r="390" spans="1:23" ht="35.1" customHeight="1" x14ac:dyDescent="0.25">
      <c r="A390" s="432">
        <v>389</v>
      </c>
      <c r="B390" s="95">
        <v>45140</v>
      </c>
      <c r="C390" s="432">
        <v>18</v>
      </c>
      <c r="D390" s="485"/>
      <c r="E390" s="433"/>
      <c r="F390" s="432"/>
      <c r="G390" s="432"/>
      <c r="H390" s="432">
        <v>1090</v>
      </c>
      <c r="I390" s="432">
        <v>304</v>
      </c>
      <c r="J390" s="432"/>
      <c r="K390" s="432"/>
      <c r="L390" s="432">
        <v>20</v>
      </c>
      <c r="M390" s="432">
        <v>47</v>
      </c>
      <c r="N390" s="540"/>
      <c r="O390" s="485">
        <f t="shared" si="5"/>
        <v>1461</v>
      </c>
      <c r="P390" s="387">
        <v>366.43000000000012</v>
      </c>
      <c r="Q390" s="389">
        <v>315.67000000000013</v>
      </c>
      <c r="R390" s="389">
        <v>37.260000000000005</v>
      </c>
      <c r="S390" s="389">
        <v>3.5</v>
      </c>
      <c r="T390" s="389">
        <v>10</v>
      </c>
      <c r="U390" s="389">
        <v>0</v>
      </c>
      <c r="V390" s="515"/>
    </row>
    <row r="391" spans="1:23" ht="35.1" customHeight="1" x14ac:dyDescent="0.25">
      <c r="A391" s="432">
        <v>390</v>
      </c>
      <c r="B391" s="95">
        <v>45141</v>
      </c>
      <c r="C391" s="432"/>
      <c r="D391" s="485">
        <v>18</v>
      </c>
      <c r="E391" s="433" t="s">
        <v>603</v>
      </c>
      <c r="F391" s="432">
        <v>48</v>
      </c>
      <c r="G391" s="432"/>
      <c r="H391" s="432">
        <v>150</v>
      </c>
      <c r="I391" s="432">
        <v>777</v>
      </c>
      <c r="J391" s="432"/>
      <c r="K391" s="432"/>
      <c r="L391" s="432">
        <v>241</v>
      </c>
      <c r="M391" s="432">
        <v>512</v>
      </c>
      <c r="N391" s="540"/>
      <c r="O391" s="485">
        <f t="shared" si="5"/>
        <v>1746</v>
      </c>
      <c r="P391" s="387">
        <v>362.43000000000006</v>
      </c>
      <c r="Q391" s="389">
        <v>235.99000000000007</v>
      </c>
      <c r="R391" s="389">
        <v>93.440000000000026</v>
      </c>
      <c r="S391" s="389">
        <v>18</v>
      </c>
      <c r="T391" s="389">
        <v>15</v>
      </c>
      <c r="U391" s="389">
        <v>0</v>
      </c>
      <c r="V391" s="515"/>
    </row>
    <row r="392" spans="1:23" ht="59.25" customHeight="1" x14ac:dyDescent="0.25">
      <c r="A392" s="432">
        <v>391</v>
      </c>
      <c r="B392" s="95">
        <v>45142</v>
      </c>
      <c r="C392" s="432"/>
      <c r="D392" s="485"/>
      <c r="E392" s="433" t="s">
        <v>606</v>
      </c>
      <c r="F392" s="432">
        <f>82+10</f>
        <v>92</v>
      </c>
      <c r="G392" s="432"/>
      <c r="H392" s="432"/>
      <c r="I392" s="432">
        <v>364</v>
      </c>
      <c r="J392" s="432"/>
      <c r="K392" s="432"/>
      <c r="L392" s="432"/>
      <c r="M392" s="432">
        <v>283</v>
      </c>
      <c r="N392" s="540"/>
      <c r="O392" s="485">
        <f t="shared" si="5"/>
        <v>739</v>
      </c>
      <c r="P392" s="387">
        <v>153.66629629629631</v>
      </c>
      <c r="Q392" s="389">
        <v>102.4562962962963</v>
      </c>
      <c r="R392" s="389">
        <v>23.650000000000002</v>
      </c>
      <c r="S392" s="389">
        <v>2.2699999999999996</v>
      </c>
      <c r="T392" s="389">
        <v>25</v>
      </c>
      <c r="U392" s="389">
        <v>0.29000000000000004</v>
      </c>
      <c r="V392" s="515"/>
      <c r="W392" s="411" t="s">
        <v>605</v>
      </c>
    </row>
    <row r="393" spans="1:23" ht="35.1" customHeight="1" x14ac:dyDescent="0.25">
      <c r="A393" s="432">
        <v>392</v>
      </c>
      <c r="B393" s="95">
        <v>45143</v>
      </c>
      <c r="C393" s="432"/>
      <c r="D393" s="485"/>
      <c r="E393" s="433" t="s">
        <v>607</v>
      </c>
      <c r="F393" s="432">
        <v>70</v>
      </c>
      <c r="G393" s="432">
        <v>7.18</v>
      </c>
      <c r="H393" s="432"/>
      <c r="I393" s="432">
        <v>204.82</v>
      </c>
      <c r="J393" s="432">
        <v>160</v>
      </c>
      <c r="K393" s="432"/>
      <c r="L393" s="432">
        <v>40</v>
      </c>
      <c r="M393" s="432">
        <v>589</v>
      </c>
      <c r="N393" s="540"/>
      <c r="O393" s="485">
        <f t="shared" si="5"/>
        <v>1071</v>
      </c>
      <c r="P393" s="387">
        <v>203.14851851851853</v>
      </c>
      <c r="Q393" s="389">
        <v>183.72851851851854</v>
      </c>
      <c r="R393" s="389">
        <v>0</v>
      </c>
      <c r="S393" s="389">
        <v>4.5</v>
      </c>
      <c r="T393" s="389">
        <v>14.920000000000002</v>
      </c>
      <c r="U393" s="389">
        <v>0</v>
      </c>
      <c r="V393" s="515"/>
    </row>
    <row r="394" spans="1:23" ht="35.1" customHeight="1" x14ac:dyDescent="0.25">
      <c r="A394" s="190">
        <v>393</v>
      </c>
      <c r="B394" s="191">
        <v>45144</v>
      </c>
      <c r="C394" s="190"/>
      <c r="D394" s="190"/>
      <c r="E394" s="250"/>
      <c r="F394" s="190"/>
      <c r="G394" s="190"/>
      <c r="H394" s="190"/>
      <c r="I394" s="190"/>
      <c r="J394" s="190"/>
      <c r="K394" s="190"/>
      <c r="L394" s="190"/>
      <c r="M394" s="190"/>
      <c r="N394" s="542"/>
      <c r="O394" s="190">
        <f t="shared" si="5"/>
        <v>0</v>
      </c>
      <c r="P394" s="392"/>
      <c r="Q394" s="393"/>
      <c r="R394" s="393"/>
      <c r="S394" s="393"/>
      <c r="T394" s="393"/>
      <c r="U394" s="393"/>
      <c r="V394" s="515"/>
    </row>
    <row r="395" spans="1:23" ht="35.1" customHeight="1" x14ac:dyDescent="0.25">
      <c r="A395" s="432">
        <v>394</v>
      </c>
      <c r="B395" s="95">
        <v>45145</v>
      </c>
      <c r="C395" s="432">
        <v>40</v>
      </c>
      <c r="D395" s="485"/>
      <c r="E395" s="489" t="s">
        <v>608</v>
      </c>
      <c r="F395" s="488">
        <f>10+48</f>
        <v>58</v>
      </c>
      <c r="G395" s="432"/>
      <c r="H395" s="432"/>
      <c r="I395" s="432">
        <v>146</v>
      </c>
      <c r="J395" s="432">
        <v>124</v>
      </c>
      <c r="K395" s="432"/>
      <c r="L395" s="432">
        <v>45</v>
      </c>
      <c r="M395" s="432">
        <v>449</v>
      </c>
      <c r="N395" s="540"/>
      <c r="O395" s="485">
        <f t="shared" si="5"/>
        <v>822</v>
      </c>
      <c r="P395" s="387">
        <v>189.81851851851857</v>
      </c>
      <c r="Q395" s="389">
        <v>176.49851851851855</v>
      </c>
      <c r="R395" s="389">
        <v>11.55</v>
      </c>
      <c r="S395" s="389">
        <v>0</v>
      </c>
      <c r="T395" s="389">
        <v>0</v>
      </c>
      <c r="U395" s="389">
        <v>1.77</v>
      </c>
      <c r="V395" s="515"/>
    </row>
    <row r="396" spans="1:23" ht="35.1" customHeight="1" x14ac:dyDescent="0.25">
      <c r="A396" s="432">
        <v>395</v>
      </c>
      <c r="B396" s="95">
        <v>45146</v>
      </c>
      <c r="C396" s="432"/>
      <c r="D396" s="485"/>
      <c r="E396" s="490"/>
      <c r="F396" s="490"/>
      <c r="G396" s="432"/>
      <c r="H396" s="432"/>
      <c r="I396" s="432">
        <v>57</v>
      </c>
      <c r="J396" s="432"/>
      <c r="K396" s="432"/>
      <c r="L396" s="432"/>
      <c r="M396" s="432">
        <v>86</v>
      </c>
      <c r="N396" s="540"/>
      <c r="O396" s="485">
        <f t="shared" si="5"/>
        <v>143</v>
      </c>
      <c r="P396" s="387">
        <v>32.839999999999996</v>
      </c>
      <c r="Q396" s="389">
        <v>32.839999999999996</v>
      </c>
      <c r="R396" s="389">
        <v>0</v>
      </c>
      <c r="S396" s="389">
        <v>0</v>
      </c>
      <c r="T396" s="389">
        <v>0</v>
      </c>
      <c r="U396" s="389">
        <v>0</v>
      </c>
      <c r="V396" s="515"/>
    </row>
    <row r="397" spans="1:23" ht="35.1" customHeight="1" x14ac:dyDescent="0.25">
      <c r="A397" s="432">
        <v>396</v>
      </c>
      <c r="B397" s="95">
        <v>45147</v>
      </c>
      <c r="C397" s="432"/>
      <c r="D397" s="485"/>
      <c r="E397" s="492" t="s">
        <v>615</v>
      </c>
      <c r="F397" s="492">
        <v>48</v>
      </c>
      <c r="G397" s="432"/>
      <c r="H397" s="432"/>
      <c r="I397" s="432">
        <v>368</v>
      </c>
      <c r="J397" s="432">
        <v>1175</v>
      </c>
      <c r="K397" s="432"/>
      <c r="L397" s="432"/>
      <c r="M397" s="432">
        <v>45</v>
      </c>
      <c r="N397" s="540"/>
      <c r="O397" s="485">
        <f t="shared" si="5"/>
        <v>1636</v>
      </c>
      <c r="P397" s="387">
        <v>378.27</v>
      </c>
      <c r="Q397" s="389">
        <v>143.32999999999998</v>
      </c>
      <c r="R397" s="389">
        <v>144.33000000000004</v>
      </c>
      <c r="S397" s="389">
        <v>9.9600000000000009</v>
      </c>
      <c r="T397" s="389">
        <v>80</v>
      </c>
      <c r="U397" s="389">
        <v>0.64999999999999991</v>
      </c>
      <c r="V397" s="515"/>
    </row>
    <row r="398" spans="1:23" ht="35.1" customHeight="1" x14ac:dyDescent="0.25">
      <c r="A398" s="432">
        <v>397</v>
      </c>
      <c r="B398" s="95">
        <v>45148</v>
      </c>
      <c r="C398" s="432"/>
      <c r="D398" s="485"/>
      <c r="E398" s="433" t="s">
        <v>617</v>
      </c>
      <c r="F398" s="432">
        <f>188+310</f>
        <v>498</v>
      </c>
      <c r="G398" s="432"/>
      <c r="H398" s="432"/>
      <c r="I398" s="432">
        <v>179</v>
      </c>
      <c r="J398" s="432">
        <v>80</v>
      </c>
      <c r="K398" s="432"/>
      <c r="L398" s="432">
        <v>5</v>
      </c>
      <c r="M398" s="432">
        <v>11</v>
      </c>
      <c r="N398" s="540"/>
      <c r="O398" s="485">
        <f t="shared" si="5"/>
        <v>773</v>
      </c>
      <c r="P398" s="387">
        <v>70.010000000000019</v>
      </c>
      <c r="Q398" s="389">
        <v>24.480000000000004</v>
      </c>
      <c r="R398" s="389">
        <v>41.160000000000011</v>
      </c>
      <c r="S398" s="389">
        <v>1.25</v>
      </c>
      <c r="T398" s="389">
        <v>0</v>
      </c>
      <c r="U398" s="389">
        <v>3.1199999999999997</v>
      </c>
      <c r="V398" s="515"/>
    </row>
    <row r="399" spans="1:23" ht="35.1" customHeight="1" x14ac:dyDescent="0.25">
      <c r="A399" s="432">
        <v>398</v>
      </c>
      <c r="B399" s="95">
        <v>45149</v>
      </c>
      <c r="C399" s="432"/>
      <c r="D399" s="485"/>
      <c r="E399" s="433"/>
      <c r="F399" s="432"/>
      <c r="G399" s="432"/>
      <c r="H399" s="432">
        <v>152</v>
      </c>
      <c r="I399" s="432">
        <v>205</v>
      </c>
      <c r="J399" s="432">
        <v>100</v>
      </c>
      <c r="K399" s="432"/>
      <c r="L399" s="432"/>
      <c r="M399" s="432">
        <v>100</v>
      </c>
      <c r="N399" s="540"/>
      <c r="O399" s="485">
        <f t="shared" si="5"/>
        <v>557</v>
      </c>
      <c r="P399" s="387">
        <v>140.44499999999999</v>
      </c>
      <c r="Q399" s="389">
        <v>80.935000000000002</v>
      </c>
      <c r="R399" s="389">
        <v>22.260000000000005</v>
      </c>
      <c r="S399" s="389">
        <v>2.25</v>
      </c>
      <c r="T399" s="389">
        <v>35</v>
      </c>
      <c r="U399" s="389">
        <v>0</v>
      </c>
      <c r="V399" s="515"/>
    </row>
    <row r="400" spans="1:23" ht="35.1" customHeight="1" x14ac:dyDescent="0.25">
      <c r="A400" s="432">
        <v>399</v>
      </c>
      <c r="B400" s="95">
        <v>45150</v>
      </c>
      <c r="C400" s="432"/>
      <c r="D400" s="485"/>
      <c r="E400" s="433"/>
      <c r="F400" s="432"/>
      <c r="G400" s="432"/>
      <c r="H400" s="432"/>
      <c r="I400" s="432">
        <v>84</v>
      </c>
      <c r="J400" s="432">
        <v>190</v>
      </c>
      <c r="K400" s="432"/>
      <c r="L400" s="432"/>
      <c r="M400" s="432">
        <v>156</v>
      </c>
      <c r="N400" s="540"/>
      <c r="O400" s="485">
        <f t="shared" si="5"/>
        <v>430</v>
      </c>
      <c r="P400" s="387">
        <v>106.8325925925926</v>
      </c>
      <c r="Q400" s="389">
        <v>71.832592592592604</v>
      </c>
      <c r="R400" s="389">
        <v>0</v>
      </c>
      <c r="S400" s="389">
        <v>0</v>
      </c>
      <c r="T400" s="389">
        <v>35</v>
      </c>
      <c r="U400" s="389">
        <v>0</v>
      </c>
      <c r="V400" s="515"/>
    </row>
    <row r="401" spans="1:23" ht="35.1" customHeight="1" x14ac:dyDescent="0.25">
      <c r="A401" s="190">
        <v>400</v>
      </c>
      <c r="B401" s="191">
        <v>45151</v>
      </c>
      <c r="C401" s="190"/>
      <c r="D401" s="190"/>
      <c r="E401" s="250"/>
      <c r="F401" s="190"/>
      <c r="G401" s="190"/>
      <c r="H401" s="190"/>
      <c r="I401" s="190"/>
      <c r="J401" s="190"/>
      <c r="K401" s="190"/>
      <c r="L401" s="190"/>
      <c r="M401" s="190"/>
      <c r="N401" s="542"/>
      <c r="O401" s="190">
        <f t="shared" si="5"/>
        <v>0</v>
      </c>
      <c r="P401" s="392"/>
      <c r="Q401" s="393"/>
      <c r="R401" s="393"/>
      <c r="S401" s="393"/>
      <c r="T401" s="393"/>
      <c r="U401" s="393"/>
      <c r="V401" s="515"/>
    </row>
    <row r="402" spans="1:23" ht="35.1" customHeight="1" x14ac:dyDescent="0.25">
      <c r="A402" s="432">
        <v>401</v>
      </c>
      <c r="B402" s="95">
        <v>45152</v>
      </c>
      <c r="C402" s="432"/>
      <c r="D402" s="485"/>
      <c r="E402" s="433"/>
      <c r="F402" s="432"/>
      <c r="G402" s="432"/>
      <c r="H402" s="432"/>
      <c r="I402" s="432">
        <v>110</v>
      </c>
      <c r="J402" s="432"/>
      <c r="K402" s="432"/>
      <c r="L402" s="432">
        <v>100</v>
      </c>
      <c r="M402" s="432">
        <v>161</v>
      </c>
      <c r="N402" s="540"/>
      <c r="O402" s="485">
        <f t="shared" si="5"/>
        <v>371</v>
      </c>
      <c r="P402" s="387">
        <v>74.186296296296305</v>
      </c>
      <c r="Q402" s="389">
        <v>29.256296296296302</v>
      </c>
      <c r="R402" s="389">
        <v>22.260000000000005</v>
      </c>
      <c r="S402" s="389">
        <v>8</v>
      </c>
      <c r="T402" s="389">
        <v>14.670000000000002</v>
      </c>
      <c r="U402" s="389">
        <v>0</v>
      </c>
      <c r="V402" s="515"/>
    </row>
    <row r="403" spans="1:23" ht="64.5" customHeight="1" x14ac:dyDescent="0.25">
      <c r="A403" s="432">
        <v>402</v>
      </c>
      <c r="B403" s="95">
        <v>45153</v>
      </c>
      <c r="C403" s="432"/>
      <c r="D403" s="485"/>
      <c r="E403" s="433" t="s">
        <v>619</v>
      </c>
      <c r="F403" s="432">
        <v>15</v>
      </c>
      <c r="G403" s="432"/>
      <c r="H403" s="432"/>
      <c r="I403" s="432">
        <v>51</v>
      </c>
      <c r="J403" s="432"/>
      <c r="K403" s="432"/>
      <c r="L403" s="432">
        <v>58</v>
      </c>
      <c r="M403" s="432">
        <v>249</v>
      </c>
      <c r="N403" s="540"/>
      <c r="O403" s="485">
        <f t="shared" si="5"/>
        <v>373</v>
      </c>
      <c r="P403" s="387">
        <v>91.610000000000014</v>
      </c>
      <c r="Q403" s="389">
        <v>34.99</v>
      </c>
      <c r="R403" s="389">
        <v>56.620000000000012</v>
      </c>
      <c r="S403" s="389">
        <v>0</v>
      </c>
      <c r="T403" s="389">
        <v>0</v>
      </c>
      <c r="U403" s="389">
        <v>0</v>
      </c>
      <c r="V403" s="515">
        <v>0</v>
      </c>
      <c r="W403" s="411" t="s">
        <v>620</v>
      </c>
    </row>
    <row r="404" spans="1:23" ht="35.1" customHeight="1" x14ac:dyDescent="0.25">
      <c r="A404" s="432">
        <v>403</v>
      </c>
      <c r="B404" s="95">
        <v>45154</v>
      </c>
      <c r="C404" s="432"/>
      <c r="D404" s="485"/>
      <c r="E404" s="433"/>
      <c r="F404" s="432"/>
      <c r="G404" s="432"/>
      <c r="H404" s="432"/>
      <c r="I404" s="432">
        <v>46</v>
      </c>
      <c r="J404" s="432">
        <v>219</v>
      </c>
      <c r="K404" s="432"/>
      <c r="L404" s="432">
        <v>250</v>
      </c>
      <c r="M404" s="432">
        <v>239</v>
      </c>
      <c r="N404" s="540"/>
      <c r="O404" s="485">
        <f t="shared" si="5"/>
        <v>754</v>
      </c>
      <c r="P404" s="387">
        <v>209.94000000000003</v>
      </c>
      <c r="Q404" s="389">
        <v>148.09000000000003</v>
      </c>
      <c r="R404" s="389">
        <v>0</v>
      </c>
      <c r="S404" s="389">
        <v>0</v>
      </c>
      <c r="T404" s="389">
        <v>60</v>
      </c>
      <c r="U404" s="389">
        <v>1.85</v>
      </c>
      <c r="V404" s="515"/>
    </row>
    <row r="405" spans="1:23" ht="35.1" customHeight="1" x14ac:dyDescent="0.25">
      <c r="A405" s="432">
        <v>404</v>
      </c>
      <c r="B405" s="95">
        <v>45155</v>
      </c>
      <c r="C405" s="432"/>
      <c r="D405" s="485"/>
      <c r="E405" s="433"/>
      <c r="F405" s="432"/>
      <c r="G405" s="432"/>
      <c r="H405" s="432"/>
      <c r="I405" s="432">
        <v>557</v>
      </c>
      <c r="J405" s="432">
        <v>341.2</v>
      </c>
      <c r="K405" s="432"/>
      <c r="L405" s="432">
        <v>13</v>
      </c>
      <c r="M405" s="432">
        <v>410</v>
      </c>
      <c r="N405" s="540"/>
      <c r="O405" s="485">
        <f t="shared" si="5"/>
        <v>1321.2</v>
      </c>
      <c r="P405" s="387">
        <v>322.04351851851857</v>
      </c>
      <c r="Q405" s="389">
        <v>161.49351851851856</v>
      </c>
      <c r="R405" s="389">
        <v>91.480000000000018</v>
      </c>
      <c r="S405" s="389">
        <v>6</v>
      </c>
      <c r="T405" s="389">
        <v>60</v>
      </c>
      <c r="U405" s="389">
        <v>3.0700000000000003</v>
      </c>
      <c r="V405" s="515"/>
    </row>
    <row r="406" spans="1:23" ht="35.1" customHeight="1" x14ac:dyDescent="0.25">
      <c r="A406" s="432">
        <v>405</v>
      </c>
      <c r="B406" s="95">
        <v>45156</v>
      </c>
      <c r="C406" s="432"/>
      <c r="D406" s="485"/>
      <c r="E406" s="433" t="s">
        <v>621</v>
      </c>
      <c r="F406" s="432">
        <f>29+24</f>
        <v>53</v>
      </c>
      <c r="G406" s="432"/>
      <c r="H406" s="432"/>
      <c r="I406" s="432">
        <v>182</v>
      </c>
      <c r="J406" s="432">
        <v>670</v>
      </c>
      <c r="K406" s="432"/>
      <c r="L406" s="432">
        <v>25</v>
      </c>
      <c r="M406" s="432">
        <v>170</v>
      </c>
      <c r="N406" s="540"/>
      <c r="O406" s="485">
        <f t="shared" si="5"/>
        <v>1100</v>
      </c>
      <c r="P406" s="387">
        <v>281.0535185185185</v>
      </c>
      <c r="Q406" s="389">
        <v>202.42351851851853</v>
      </c>
      <c r="R406" s="389">
        <v>28.810000000000006</v>
      </c>
      <c r="S406" s="389">
        <v>30</v>
      </c>
      <c r="T406" s="389">
        <v>19.819999999999993</v>
      </c>
      <c r="U406" s="389">
        <v>0</v>
      </c>
      <c r="V406" s="515"/>
    </row>
    <row r="407" spans="1:23" ht="35.1" customHeight="1" x14ac:dyDescent="0.25">
      <c r="A407" s="432">
        <v>406</v>
      </c>
      <c r="B407" s="95">
        <v>45157</v>
      </c>
      <c r="C407" s="432"/>
      <c r="D407" s="485"/>
      <c r="E407" s="433"/>
      <c r="F407" s="432"/>
      <c r="G407" s="432"/>
      <c r="H407" s="432"/>
      <c r="I407" s="432">
        <v>85</v>
      </c>
      <c r="J407" s="432"/>
      <c r="K407" s="432"/>
      <c r="L407" s="432">
        <v>290</v>
      </c>
      <c r="M407" s="432">
        <v>395</v>
      </c>
      <c r="N407" s="540"/>
      <c r="O407" s="485">
        <f t="shared" si="5"/>
        <v>770</v>
      </c>
      <c r="P407" s="387">
        <v>157.14000000000001</v>
      </c>
      <c r="Q407" s="389">
        <v>20.78</v>
      </c>
      <c r="R407" s="389">
        <v>35.360000000000007</v>
      </c>
      <c r="S407" s="389">
        <v>21</v>
      </c>
      <c r="T407" s="389">
        <v>80</v>
      </c>
      <c r="U407" s="389">
        <v>0</v>
      </c>
      <c r="V407" s="515"/>
    </row>
    <row r="408" spans="1:23" ht="35.1" customHeight="1" x14ac:dyDescent="0.25">
      <c r="A408" s="190">
        <v>407</v>
      </c>
      <c r="B408" s="191">
        <v>45158</v>
      </c>
      <c r="C408" s="190"/>
      <c r="D408" s="190"/>
      <c r="E408" s="250"/>
      <c r="F408" s="190"/>
      <c r="G408" s="190"/>
      <c r="H408" s="190"/>
      <c r="I408" s="190"/>
      <c r="J408" s="190"/>
      <c r="K408" s="190"/>
      <c r="L408" s="190"/>
      <c r="M408" s="190"/>
      <c r="N408" s="542"/>
      <c r="O408" s="190">
        <f t="shared" si="5"/>
        <v>0</v>
      </c>
      <c r="P408" s="392"/>
      <c r="Q408" s="393"/>
      <c r="R408" s="393"/>
      <c r="S408" s="393"/>
      <c r="T408" s="393"/>
      <c r="U408" s="393"/>
      <c r="V408" s="515"/>
    </row>
    <row r="409" spans="1:23" ht="61.5" customHeight="1" x14ac:dyDescent="0.25">
      <c r="A409" s="432">
        <v>408</v>
      </c>
      <c r="B409" s="95">
        <v>45159</v>
      </c>
      <c r="C409" s="432"/>
      <c r="D409" s="485"/>
      <c r="E409" s="433" t="s">
        <v>622</v>
      </c>
      <c r="F409" s="432">
        <f>45+80+193</f>
        <v>318</v>
      </c>
      <c r="G409" s="432"/>
      <c r="H409" s="432"/>
      <c r="I409" s="432">
        <v>97.5</v>
      </c>
      <c r="J409" s="432">
        <v>20</v>
      </c>
      <c r="K409" s="432"/>
      <c r="L409" s="432"/>
      <c r="M409" s="432">
        <v>201</v>
      </c>
      <c r="N409" s="540"/>
      <c r="O409" s="485">
        <f t="shared" si="5"/>
        <v>636.5</v>
      </c>
      <c r="P409" s="387">
        <v>101.34</v>
      </c>
      <c r="Q409" s="389">
        <v>72.34</v>
      </c>
      <c r="R409" s="389">
        <v>0</v>
      </c>
      <c r="S409" s="389">
        <v>9</v>
      </c>
      <c r="T409" s="389">
        <v>20</v>
      </c>
      <c r="U409" s="389">
        <v>0</v>
      </c>
      <c r="V409" s="515"/>
      <c r="W409" s="411" t="s">
        <v>623</v>
      </c>
    </row>
    <row r="410" spans="1:23" ht="35.1" customHeight="1" x14ac:dyDescent="0.25">
      <c r="A410" s="432">
        <v>409</v>
      </c>
      <c r="B410" s="95">
        <v>45160</v>
      </c>
      <c r="C410" s="432"/>
      <c r="D410" s="485"/>
      <c r="E410" s="433"/>
      <c r="F410" s="432"/>
      <c r="G410" s="432"/>
      <c r="H410" s="432"/>
      <c r="I410" s="432">
        <v>221</v>
      </c>
      <c r="J410" s="432">
        <v>150</v>
      </c>
      <c r="K410" s="432"/>
      <c r="L410" s="432"/>
      <c r="M410" s="432">
        <v>412</v>
      </c>
      <c r="N410" s="540"/>
      <c r="O410" s="485">
        <f t="shared" si="5"/>
        <v>783</v>
      </c>
      <c r="P410" s="387">
        <v>176.86</v>
      </c>
      <c r="Q410" s="389">
        <v>86.54000000000002</v>
      </c>
      <c r="R410" s="389">
        <v>41.78</v>
      </c>
      <c r="S410" s="389">
        <v>13.870000000000001</v>
      </c>
      <c r="T410" s="389">
        <v>34.67</v>
      </c>
      <c r="U410" s="389">
        <v>0</v>
      </c>
      <c r="V410" s="515"/>
    </row>
    <row r="411" spans="1:23" ht="35.1" customHeight="1" x14ac:dyDescent="0.25">
      <c r="A411" s="432">
        <v>410</v>
      </c>
      <c r="B411" s="95">
        <v>45161</v>
      </c>
      <c r="C411" s="432"/>
      <c r="D411" s="485"/>
      <c r="E411" s="433"/>
      <c r="F411" s="432"/>
      <c r="G411" s="432">
        <v>8</v>
      </c>
      <c r="H411" s="432"/>
      <c r="I411" s="432">
        <v>40</v>
      </c>
      <c r="J411" s="432">
        <v>80</v>
      </c>
      <c r="K411" s="432"/>
      <c r="L411" s="432"/>
      <c r="M411" s="432">
        <v>220</v>
      </c>
      <c r="N411" s="540"/>
      <c r="O411" s="485">
        <f t="shared" si="5"/>
        <v>348</v>
      </c>
      <c r="P411" s="387">
        <v>74.41</v>
      </c>
      <c r="Q411" s="389">
        <v>62.370000000000005</v>
      </c>
      <c r="R411" s="389">
        <v>-2.96</v>
      </c>
      <c r="S411" s="389">
        <v>0</v>
      </c>
      <c r="T411" s="389">
        <v>15</v>
      </c>
      <c r="U411" s="389">
        <v>0</v>
      </c>
      <c r="V411" s="515"/>
    </row>
    <row r="412" spans="1:23" ht="35.1" customHeight="1" x14ac:dyDescent="0.25">
      <c r="A412" s="432">
        <v>411</v>
      </c>
      <c r="B412" s="95">
        <v>45162</v>
      </c>
      <c r="C412" s="432"/>
      <c r="D412" s="485"/>
      <c r="E412" s="433" t="s">
        <v>624</v>
      </c>
      <c r="F412" s="432">
        <f>100+200</f>
        <v>300</v>
      </c>
      <c r="G412" s="432"/>
      <c r="H412" s="432"/>
      <c r="I412" s="432">
        <v>48</v>
      </c>
      <c r="J412" s="432"/>
      <c r="K412" s="432"/>
      <c r="L412" s="432"/>
      <c r="M412" s="432">
        <f>722-105</f>
        <v>617</v>
      </c>
      <c r="N412" s="540"/>
      <c r="O412" s="485">
        <f t="shared" si="5"/>
        <v>965</v>
      </c>
      <c r="P412" s="387">
        <v>136.11703703703705</v>
      </c>
      <c r="Q412" s="389">
        <v>100.57703703703703</v>
      </c>
      <c r="R412" s="389">
        <v>15.540000000000003</v>
      </c>
      <c r="S412" s="389">
        <v>0</v>
      </c>
      <c r="T412" s="389">
        <v>20</v>
      </c>
      <c r="U412" s="389">
        <v>0</v>
      </c>
      <c r="V412" s="515">
        <v>0</v>
      </c>
    </row>
    <row r="413" spans="1:23" ht="35.1" customHeight="1" x14ac:dyDescent="0.25">
      <c r="A413" s="432">
        <v>412</v>
      </c>
      <c r="B413" s="95">
        <v>45163</v>
      </c>
      <c r="C413" s="432"/>
      <c r="D413" s="485"/>
      <c r="E413" s="433"/>
      <c r="F413" s="432"/>
      <c r="G413" s="432"/>
      <c r="H413" s="432"/>
      <c r="I413" s="432">
        <v>50</v>
      </c>
      <c r="J413" s="432"/>
      <c r="K413" s="432"/>
      <c r="L413" s="432"/>
      <c r="M413" s="432">
        <f>250+87+30</f>
        <v>367</v>
      </c>
      <c r="N413" s="540"/>
      <c r="O413" s="485">
        <f t="shared" si="5"/>
        <v>417</v>
      </c>
      <c r="P413" s="387">
        <v>85.39</v>
      </c>
      <c r="Q413" s="389">
        <v>22.6</v>
      </c>
      <c r="R413" s="389">
        <v>0</v>
      </c>
      <c r="S413" s="389">
        <v>2.2699999999999996</v>
      </c>
      <c r="T413" s="389">
        <v>50</v>
      </c>
      <c r="U413" s="389">
        <v>10.52</v>
      </c>
      <c r="V413" s="515">
        <v>0</v>
      </c>
    </row>
    <row r="414" spans="1:23" ht="35.1" customHeight="1" x14ac:dyDescent="0.25">
      <c r="A414" s="432">
        <v>413</v>
      </c>
      <c r="B414" s="95">
        <v>45164</v>
      </c>
      <c r="C414" s="432"/>
      <c r="D414" s="485"/>
      <c r="E414" s="433"/>
      <c r="F414" s="432"/>
      <c r="G414" s="432"/>
      <c r="H414" s="432"/>
      <c r="I414" s="432">
        <v>138</v>
      </c>
      <c r="J414" s="432"/>
      <c r="K414" s="432"/>
      <c r="L414" s="432">
        <v>60</v>
      </c>
      <c r="M414" s="432">
        <v>139</v>
      </c>
      <c r="N414" s="540"/>
      <c r="O414" s="485">
        <f t="shared" si="5"/>
        <v>337</v>
      </c>
      <c r="P414" s="387">
        <v>103.29</v>
      </c>
      <c r="Q414" s="389">
        <v>94.009999999999991</v>
      </c>
      <c r="R414" s="389">
        <v>8.990000000000002</v>
      </c>
      <c r="S414" s="389">
        <v>0</v>
      </c>
      <c r="T414" s="389">
        <v>0</v>
      </c>
      <c r="U414" s="389">
        <v>0.29000000000000004</v>
      </c>
      <c r="V414" s="515"/>
    </row>
    <row r="415" spans="1:23" ht="35.1" customHeight="1" x14ac:dyDescent="0.25">
      <c r="A415" s="190">
        <v>414</v>
      </c>
      <c r="B415" s="191">
        <v>45165</v>
      </c>
      <c r="C415" s="190"/>
      <c r="D415" s="190"/>
      <c r="E415" s="250"/>
      <c r="F415" s="190"/>
      <c r="G415" s="190"/>
      <c r="H415" s="190"/>
      <c r="I415" s="190"/>
      <c r="J415" s="190"/>
      <c r="K415" s="190"/>
      <c r="L415" s="190"/>
      <c r="M415" s="190"/>
      <c r="N415" s="542"/>
      <c r="O415" s="190">
        <f t="shared" si="5"/>
        <v>0</v>
      </c>
      <c r="P415" s="392"/>
      <c r="Q415" s="393"/>
      <c r="R415" s="393"/>
      <c r="S415" s="393"/>
      <c r="T415" s="393"/>
      <c r="U415" s="393"/>
      <c r="V415" s="515"/>
    </row>
    <row r="416" spans="1:23" ht="35.1" customHeight="1" x14ac:dyDescent="0.25">
      <c r="A416" s="432">
        <v>415</v>
      </c>
      <c r="B416" s="95">
        <v>45166</v>
      </c>
      <c r="C416" s="432"/>
      <c r="D416" s="485"/>
      <c r="E416" s="433" t="s">
        <v>290</v>
      </c>
      <c r="F416" s="432">
        <v>60</v>
      </c>
      <c r="G416" s="432">
        <v>8</v>
      </c>
      <c r="H416" s="432"/>
      <c r="I416" s="432">
        <v>79</v>
      </c>
      <c r="J416" s="432"/>
      <c r="K416" s="432"/>
      <c r="L416" s="432"/>
      <c r="M416" s="432">
        <v>935</v>
      </c>
      <c r="N416" s="540"/>
      <c r="O416" s="485">
        <f t="shared" si="5"/>
        <v>1082</v>
      </c>
      <c r="P416" s="387">
        <v>229.24629629629624</v>
      </c>
      <c r="Q416" s="389">
        <v>171.61629629629624</v>
      </c>
      <c r="R416" s="389">
        <v>38.090000000000003</v>
      </c>
      <c r="S416" s="389">
        <v>4.5399999999999991</v>
      </c>
      <c r="T416" s="389">
        <v>15</v>
      </c>
      <c r="U416" s="389">
        <v>0</v>
      </c>
      <c r="V416" s="515"/>
    </row>
    <row r="417" spans="1:22" ht="35.1" customHeight="1" x14ac:dyDescent="0.25">
      <c r="A417" s="432">
        <v>416</v>
      </c>
      <c r="B417" s="95">
        <v>45167</v>
      </c>
      <c r="C417" s="432"/>
      <c r="D417" s="485"/>
      <c r="E417" s="433"/>
      <c r="F417" s="432"/>
      <c r="G417" s="432"/>
      <c r="H417" s="432"/>
      <c r="I417" s="432">
        <v>50</v>
      </c>
      <c r="J417" s="432">
        <v>354.46</v>
      </c>
      <c r="K417" s="432"/>
      <c r="L417" s="432">
        <v>148.54</v>
      </c>
      <c r="M417" s="432">
        <v>81</v>
      </c>
      <c r="N417" s="540"/>
      <c r="O417" s="485">
        <f t="shared" si="5"/>
        <v>634</v>
      </c>
      <c r="P417" s="387">
        <v>140.52000000000001</v>
      </c>
      <c r="Q417" s="389">
        <v>131.72</v>
      </c>
      <c r="R417" s="389">
        <v>5.8000000000000007</v>
      </c>
      <c r="S417" s="389">
        <v>3</v>
      </c>
      <c r="T417" s="389">
        <v>0</v>
      </c>
      <c r="U417" s="389">
        <v>0</v>
      </c>
      <c r="V417" s="515"/>
    </row>
    <row r="418" spans="1:22" ht="35.1" customHeight="1" x14ac:dyDescent="0.25">
      <c r="A418" s="432">
        <v>417</v>
      </c>
      <c r="B418" s="95">
        <v>45168</v>
      </c>
      <c r="C418" s="432"/>
      <c r="D418" s="485"/>
      <c r="E418" s="433"/>
      <c r="F418" s="432"/>
      <c r="G418" s="432"/>
      <c r="H418" s="432"/>
      <c r="I418" s="432">
        <v>553</v>
      </c>
      <c r="J418" s="432"/>
      <c r="K418" s="432"/>
      <c r="L418" s="432"/>
      <c r="M418" s="432">
        <v>273</v>
      </c>
      <c r="N418" s="540"/>
      <c r="O418" s="485">
        <f t="shared" si="5"/>
        <v>826</v>
      </c>
      <c r="P418" s="387">
        <v>186.74151851851855</v>
      </c>
      <c r="Q418" s="389">
        <v>83.898518518518529</v>
      </c>
      <c r="R418" s="389">
        <v>89.210000000000008</v>
      </c>
      <c r="S418" s="389">
        <v>0</v>
      </c>
      <c r="T418" s="389">
        <v>10</v>
      </c>
      <c r="U418" s="389">
        <v>3.6329999999999987</v>
      </c>
      <c r="V418" s="515"/>
    </row>
    <row r="419" spans="1:22" ht="35.1" customHeight="1" x14ac:dyDescent="0.25">
      <c r="A419" s="432">
        <v>418</v>
      </c>
      <c r="B419" s="95">
        <v>45169</v>
      </c>
      <c r="C419" s="432"/>
      <c r="D419" s="485"/>
      <c r="E419" s="433"/>
      <c r="F419" s="432"/>
      <c r="G419" s="432"/>
      <c r="H419" s="432"/>
      <c r="I419" s="432">
        <v>34</v>
      </c>
      <c r="J419" s="432">
        <v>18</v>
      </c>
      <c r="K419" s="432"/>
      <c r="L419" s="432">
        <v>70</v>
      </c>
      <c r="M419" s="432">
        <v>863</v>
      </c>
      <c r="N419" s="540"/>
      <c r="O419" s="485">
        <f t="shared" si="5"/>
        <v>985</v>
      </c>
      <c r="P419" s="387">
        <v>227.68000000000004</v>
      </c>
      <c r="Q419" s="389">
        <v>98.860000000000014</v>
      </c>
      <c r="R419" s="389">
        <v>22.57</v>
      </c>
      <c r="S419" s="389">
        <v>73.73</v>
      </c>
      <c r="T419" s="389">
        <v>25</v>
      </c>
      <c r="U419" s="389">
        <v>7.52</v>
      </c>
      <c r="V419" s="515"/>
    </row>
    <row r="420" spans="1:22" ht="35.1" customHeight="1" x14ac:dyDescent="0.25">
      <c r="A420" s="432">
        <v>419</v>
      </c>
      <c r="B420" s="95">
        <v>45170</v>
      </c>
      <c r="C420" s="432"/>
      <c r="D420" s="485"/>
      <c r="E420" s="433"/>
      <c r="F420" s="432"/>
      <c r="G420" s="432"/>
      <c r="H420" s="432"/>
      <c r="I420" s="432">
        <v>107</v>
      </c>
      <c r="J420" s="432">
        <v>880</v>
      </c>
      <c r="K420" s="432"/>
      <c r="L420" s="432">
        <v>90</v>
      </c>
      <c r="M420" s="432">
        <v>553</v>
      </c>
      <c r="N420" s="540"/>
      <c r="O420" s="485">
        <f t="shared" si="5"/>
        <v>1630</v>
      </c>
      <c r="P420" s="387">
        <v>345.54000000000008</v>
      </c>
      <c r="Q420" s="389">
        <v>235.44000000000005</v>
      </c>
      <c r="R420" s="389">
        <v>68.330000000000013</v>
      </c>
      <c r="S420" s="389">
        <v>0</v>
      </c>
      <c r="T420" s="389">
        <v>40</v>
      </c>
      <c r="U420" s="389">
        <v>1.77</v>
      </c>
      <c r="V420" s="515"/>
    </row>
    <row r="421" spans="1:22" ht="35.1" customHeight="1" x14ac:dyDescent="0.25">
      <c r="A421" s="432">
        <v>420</v>
      </c>
      <c r="B421" s="95">
        <v>45171</v>
      </c>
      <c r="C421" s="432"/>
      <c r="D421" s="485"/>
      <c r="E421" s="433"/>
      <c r="F421" s="432"/>
      <c r="G421" s="432"/>
      <c r="H421" s="432">
        <v>16</v>
      </c>
      <c r="I421" s="432">
        <v>20</v>
      </c>
      <c r="J421" s="432"/>
      <c r="K421" s="432"/>
      <c r="L421" s="432"/>
      <c r="M421" s="432">
        <v>120</v>
      </c>
      <c r="N421" s="540"/>
      <c r="O421" s="485">
        <f t="shared" si="5"/>
        <v>156</v>
      </c>
      <c r="P421" s="387">
        <v>28.950000000000003</v>
      </c>
      <c r="Q421" s="389">
        <v>6.8400000000000016</v>
      </c>
      <c r="R421" s="389">
        <v>2.11</v>
      </c>
      <c r="S421" s="389">
        <v>0</v>
      </c>
      <c r="T421" s="389">
        <v>20</v>
      </c>
      <c r="U421" s="389">
        <v>0</v>
      </c>
      <c r="V421" s="515"/>
    </row>
    <row r="422" spans="1:22" ht="35.1" customHeight="1" x14ac:dyDescent="0.25">
      <c r="A422" s="190">
        <v>421</v>
      </c>
      <c r="B422" s="191">
        <v>45172</v>
      </c>
      <c r="C422" s="190"/>
      <c r="D422" s="190"/>
      <c r="E422" s="250"/>
      <c r="F422" s="190"/>
      <c r="G422" s="190"/>
      <c r="H422" s="190"/>
      <c r="I422" s="190"/>
      <c r="J422" s="190"/>
      <c r="K422" s="190"/>
      <c r="L422" s="190"/>
      <c r="M422" s="190"/>
      <c r="N422" s="542"/>
      <c r="O422" s="190">
        <f t="shared" si="5"/>
        <v>0</v>
      </c>
      <c r="P422" s="392"/>
      <c r="Q422" s="393"/>
      <c r="R422" s="393"/>
      <c r="S422" s="393"/>
      <c r="T422" s="393"/>
      <c r="U422" s="393"/>
      <c r="V422" s="515"/>
    </row>
    <row r="423" spans="1:22" ht="35.1" customHeight="1" x14ac:dyDescent="0.25">
      <c r="A423" s="432">
        <v>422</v>
      </c>
      <c r="B423" s="95">
        <v>45173</v>
      </c>
      <c r="C423" s="432"/>
      <c r="D423" s="485"/>
      <c r="E423" s="433"/>
      <c r="F423" s="432"/>
      <c r="G423" s="432"/>
      <c r="H423" s="432"/>
      <c r="I423" s="432">
        <v>1154</v>
      </c>
      <c r="J423" s="432"/>
      <c r="K423" s="432"/>
      <c r="L423" s="432">
        <v>50</v>
      </c>
      <c r="M423" s="432">
        <v>78</v>
      </c>
      <c r="N423" s="540"/>
      <c r="O423" s="485">
        <f t="shared" si="5"/>
        <v>1282</v>
      </c>
      <c r="P423" s="387">
        <v>483.83629629629638</v>
      </c>
      <c r="Q423" s="389">
        <v>379.84629629629637</v>
      </c>
      <c r="R423" s="389">
        <v>6.5500000000000007</v>
      </c>
      <c r="S423" s="389">
        <v>67.52</v>
      </c>
      <c r="T423" s="389">
        <v>29.92</v>
      </c>
      <c r="U423" s="389">
        <v>0</v>
      </c>
      <c r="V423" s="515"/>
    </row>
    <row r="424" spans="1:22" ht="35.1" customHeight="1" x14ac:dyDescent="0.25">
      <c r="A424" s="432">
        <v>423</v>
      </c>
      <c r="B424" s="95">
        <v>45174</v>
      </c>
      <c r="C424" s="432"/>
      <c r="D424" s="485"/>
      <c r="E424" s="433"/>
      <c r="F424" s="432"/>
      <c r="G424" s="432">
        <v>3</v>
      </c>
      <c r="H424" s="432"/>
      <c r="I424" s="432">
        <v>137</v>
      </c>
      <c r="J424" s="432"/>
      <c r="K424" s="432"/>
      <c r="L424" s="432"/>
      <c r="M424" s="432">
        <v>384</v>
      </c>
      <c r="N424" s="540"/>
      <c r="O424" s="485">
        <f t="shared" si="5"/>
        <v>524</v>
      </c>
      <c r="P424" s="387">
        <v>110.84</v>
      </c>
      <c r="Q424" s="389">
        <v>58.160000000000011</v>
      </c>
      <c r="R424" s="389">
        <v>2.6799999999999997</v>
      </c>
      <c r="S424" s="389">
        <v>30</v>
      </c>
      <c r="T424" s="389">
        <v>20</v>
      </c>
      <c r="U424" s="389">
        <v>0</v>
      </c>
      <c r="V424" s="515"/>
    </row>
    <row r="425" spans="1:22" ht="35.1" customHeight="1" x14ac:dyDescent="0.25">
      <c r="A425" s="432">
        <v>424</v>
      </c>
      <c r="B425" s="95">
        <v>45175</v>
      </c>
      <c r="C425" s="432"/>
      <c r="D425" s="485"/>
      <c r="E425" s="433"/>
      <c r="F425" s="432"/>
      <c r="G425" s="432"/>
      <c r="H425" s="432"/>
      <c r="I425" s="432">
        <v>119</v>
      </c>
      <c r="J425" s="432">
        <v>346</v>
      </c>
      <c r="K425" s="432"/>
      <c r="L425" s="432">
        <v>48</v>
      </c>
      <c r="M425" s="432">
        <v>640</v>
      </c>
      <c r="N425" s="540"/>
      <c r="O425" s="485">
        <f t="shared" si="5"/>
        <v>1153</v>
      </c>
      <c r="P425" s="387">
        <v>260.0100000000001</v>
      </c>
      <c r="Q425" s="389">
        <v>227.68000000000009</v>
      </c>
      <c r="R425" s="389">
        <v>28.810000000000006</v>
      </c>
      <c r="S425" s="389">
        <v>0</v>
      </c>
      <c r="T425" s="389">
        <v>0</v>
      </c>
      <c r="U425" s="389">
        <v>3.5199999999999996</v>
      </c>
      <c r="V425" s="515"/>
    </row>
    <row r="426" spans="1:22" ht="35.1" customHeight="1" x14ac:dyDescent="0.25">
      <c r="A426" s="432">
        <v>425</v>
      </c>
      <c r="B426" s="95">
        <v>45176</v>
      </c>
      <c r="C426" s="432"/>
      <c r="D426" s="485"/>
      <c r="E426" s="433"/>
      <c r="F426" s="432"/>
      <c r="G426" s="432"/>
      <c r="H426" s="432"/>
      <c r="I426" s="432">
        <v>308</v>
      </c>
      <c r="J426" s="432">
        <v>300</v>
      </c>
      <c r="K426" s="432"/>
      <c r="L426" s="432"/>
      <c r="M426" s="432">
        <v>495</v>
      </c>
      <c r="N426" s="540"/>
      <c r="O426" s="485">
        <f t="shared" si="5"/>
        <v>1103</v>
      </c>
      <c r="P426" s="387">
        <v>229.14629629629638</v>
      </c>
      <c r="Q426" s="389">
        <v>214.47629629629637</v>
      </c>
      <c r="R426" s="389">
        <v>0</v>
      </c>
      <c r="S426" s="389">
        <v>0</v>
      </c>
      <c r="T426" s="389">
        <v>14.670000000000002</v>
      </c>
      <c r="U426" s="389">
        <v>0</v>
      </c>
      <c r="V426" s="515"/>
    </row>
    <row r="427" spans="1:22" ht="35.1" customHeight="1" x14ac:dyDescent="0.25">
      <c r="A427" s="432">
        <v>426</v>
      </c>
      <c r="B427" s="95">
        <v>45177</v>
      </c>
      <c r="C427" s="432"/>
      <c r="D427" s="485"/>
      <c r="E427" s="433"/>
      <c r="F427" s="432"/>
      <c r="G427" s="432"/>
      <c r="H427" s="432"/>
      <c r="I427" s="432">
        <v>1209</v>
      </c>
      <c r="J427" s="432">
        <v>505</v>
      </c>
      <c r="K427" s="432"/>
      <c r="L427" s="432"/>
      <c r="M427" s="432">
        <v>752</v>
      </c>
      <c r="N427" s="540"/>
      <c r="O427" s="485">
        <f t="shared" si="5"/>
        <v>2466</v>
      </c>
      <c r="P427" s="387">
        <f>SUM(Q427:V427)</f>
        <v>530.06851851851866</v>
      </c>
      <c r="Q427" s="389">
        <v>438.51851851851865</v>
      </c>
      <c r="R427" s="389">
        <v>31.920000000000009</v>
      </c>
      <c r="S427" s="389">
        <v>0</v>
      </c>
      <c r="T427" s="389">
        <v>54.67</v>
      </c>
      <c r="U427" s="389">
        <v>0.33999999999999986</v>
      </c>
      <c r="V427" s="515">
        <v>4.620000000000001</v>
      </c>
    </row>
    <row r="428" spans="1:22" ht="35.1" customHeight="1" x14ac:dyDescent="0.25">
      <c r="A428" s="432">
        <v>427</v>
      </c>
      <c r="B428" s="95">
        <v>45178</v>
      </c>
      <c r="C428" s="432"/>
      <c r="D428" s="485"/>
      <c r="E428" s="433"/>
      <c r="F428" s="432"/>
      <c r="G428" s="432"/>
      <c r="H428" s="432"/>
      <c r="I428" s="432">
        <v>118</v>
      </c>
      <c r="J428" s="432">
        <v>274</v>
      </c>
      <c r="K428" s="432"/>
      <c r="L428" s="432"/>
      <c r="M428" s="432">
        <v>779</v>
      </c>
      <c r="N428" s="540"/>
      <c r="O428" s="485">
        <f t="shared" si="5"/>
        <v>1171</v>
      </c>
      <c r="P428" s="387">
        <f>SUM(Q428:V428)</f>
        <v>216.27629629629629</v>
      </c>
      <c r="Q428" s="389">
        <v>82.646296296296299</v>
      </c>
      <c r="R428" s="389">
        <v>103.97000000000001</v>
      </c>
      <c r="S428" s="389">
        <v>0</v>
      </c>
      <c r="T428" s="389">
        <v>15</v>
      </c>
      <c r="U428" s="389">
        <v>7.89</v>
      </c>
      <c r="V428" s="515">
        <v>6.77</v>
      </c>
    </row>
    <row r="429" spans="1:22" ht="35.1" customHeight="1" x14ac:dyDescent="0.25">
      <c r="A429" s="190">
        <v>428</v>
      </c>
      <c r="B429" s="191">
        <v>45179</v>
      </c>
      <c r="C429" s="190"/>
      <c r="D429" s="190"/>
      <c r="E429" s="250"/>
      <c r="F429" s="190"/>
      <c r="G429" s="190"/>
      <c r="H429" s="190"/>
      <c r="I429" s="190"/>
      <c r="J429" s="190"/>
      <c r="K429" s="190"/>
      <c r="L429" s="190"/>
      <c r="M429" s="190"/>
      <c r="N429" s="542"/>
      <c r="O429" s="190">
        <f t="shared" si="5"/>
        <v>0</v>
      </c>
      <c r="P429" s="392"/>
      <c r="Q429" s="393"/>
      <c r="R429" s="393"/>
      <c r="S429" s="393"/>
      <c r="T429" s="393"/>
      <c r="U429" s="393"/>
      <c r="V429" s="517"/>
    </row>
    <row r="430" spans="1:22" ht="35.1" customHeight="1" x14ac:dyDescent="0.25">
      <c r="A430" s="284">
        <v>429</v>
      </c>
      <c r="B430" s="398">
        <v>45180</v>
      </c>
      <c r="C430" s="284"/>
      <c r="D430" s="284"/>
      <c r="E430" s="511" t="s">
        <v>505</v>
      </c>
      <c r="F430" s="284">
        <v>800</v>
      </c>
      <c r="G430" s="284"/>
      <c r="H430" s="284"/>
      <c r="I430" s="284">
        <v>714</v>
      </c>
      <c r="J430" s="284">
        <v>286</v>
      </c>
      <c r="K430" s="284"/>
      <c r="L430" s="284"/>
      <c r="M430" s="284">
        <v>1055</v>
      </c>
      <c r="N430" s="546"/>
      <c r="O430" s="284">
        <f t="shared" si="5"/>
        <v>2855</v>
      </c>
      <c r="P430" s="387">
        <f>SUM(Q430:V430)</f>
        <v>465.64629629629638</v>
      </c>
      <c r="Q430" s="518">
        <v>422.02629629629638</v>
      </c>
      <c r="R430" s="518">
        <v>28.770000000000003</v>
      </c>
      <c r="S430" s="518">
        <v>0</v>
      </c>
      <c r="T430" s="518">
        <v>0</v>
      </c>
      <c r="U430" s="518">
        <v>9</v>
      </c>
      <c r="V430" s="515">
        <v>5.8500000000000014</v>
      </c>
    </row>
    <row r="431" spans="1:22" ht="35.1" customHeight="1" x14ac:dyDescent="0.25">
      <c r="A431" s="432">
        <v>430</v>
      </c>
      <c r="B431" s="95">
        <v>45181</v>
      </c>
      <c r="C431" s="432"/>
      <c r="D431" s="485"/>
      <c r="E431" s="433"/>
      <c r="F431" s="432"/>
      <c r="G431" s="432">
        <v>114</v>
      </c>
      <c r="H431" s="432"/>
      <c r="I431" s="432">
        <v>95</v>
      </c>
      <c r="J431" s="432">
        <v>182</v>
      </c>
      <c r="K431" s="432"/>
      <c r="L431" s="432"/>
      <c r="M431" s="432">
        <v>1401</v>
      </c>
      <c r="N431" s="540"/>
      <c r="O431" s="485">
        <f t="shared" si="5"/>
        <v>1792</v>
      </c>
      <c r="P431" s="387">
        <f t="shared" ref="P431:P440" si="6">SUM(Q431:V431)</f>
        <v>385.82000000000005</v>
      </c>
      <c r="Q431" s="389">
        <v>345.22</v>
      </c>
      <c r="R431" s="389">
        <v>2.4400000000000004</v>
      </c>
      <c r="S431" s="389">
        <v>0</v>
      </c>
      <c r="T431" s="389">
        <v>30</v>
      </c>
      <c r="U431" s="389">
        <v>1.62</v>
      </c>
      <c r="V431" s="515">
        <v>6.54</v>
      </c>
    </row>
    <row r="432" spans="1:22" ht="35.1" customHeight="1" x14ac:dyDescent="0.25">
      <c r="A432" s="432">
        <v>431</v>
      </c>
      <c r="B432" s="95">
        <v>45182</v>
      </c>
      <c r="C432" s="432"/>
      <c r="D432" s="485"/>
      <c r="E432" s="433" t="s">
        <v>688</v>
      </c>
      <c r="F432" s="432">
        <v>47</v>
      </c>
      <c r="G432" s="432"/>
      <c r="H432" s="432"/>
      <c r="I432" s="432">
        <v>30</v>
      </c>
      <c r="J432" s="432">
        <v>21</v>
      </c>
      <c r="K432" s="432"/>
      <c r="L432" s="432">
        <v>50</v>
      </c>
      <c r="M432" s="432">
        <v>300</v>
      </c>
      <c r="N432" s="540"/>
      <c r="O432" s="485">
        <f t="shared" si="5"/>
        <v>448</v>
      </c>
      <c r="P432" s="387">
        <f t="shared" si="6"/>
        <v>112.7062962962963</v>
      </c>
      <c r="Q432" s="389">
        <v>102.21629629629631</v>
      </c>
      <c r="R432" s="389">
        <v>0</v>
      </c>
      <c r="S432" s="389">
        <v>6</v>
      </c>
      <c r="T432" s="389">
        <v>0</v>
      </c>
      <c r="U432" s="389">
        <v>0</v>
      </c>
      <c r="V432" s="515">
        <v>4.4899999999999984</v>
      </c>
    </row>
    <row r="433" spans="1:22" ht="35.1" customHeight="1" x14ac:dyDescent="0.25">
      <c r="A433" s="432">
        <v>432</v>
      </c>
      <c r="B433" s="95">
        <v>45183</v>
      </c>
      <c r="C433" s="432"/>
      <c r="D433" s="485"/>
      <c r="E433" s="433"/>
      <c r="F433" s="432"/>
      <c r="G433" s="432"/>
      <c r="H433" s="432">
        <v>30</v>
      </c>
      <c r="I433" s="432">
        <v>95</v>
      </c>
      <c r="J433" s="432">
        <v>29</v>
      </c>
      <c r="K433" s="432"/>
      <c r="L433" s="432">
        <v>4</v>
      </c>
      <c r="M433" s="432">
        <v>1311</v>
      </c>
      <c r="N433" s="540"/>
      <c r="O433" s="485">
        <f t="shared" si="5"/>
        <v>1469</v>
      </c>
      <c r="P433" s="387">
        <f t="shared" si="6"/>
        <v>330.16000000000008</v>
      </c>
      <c r="Q433" s="389">
        <v>316.31000000000012</v>
      </c>
      <c r="R433" s="389">
        <v>0.45000000000000018</v>
      </c>
      <c r="S433" s="389">
        <v>9</v>
      </c>
      <c r="T433" s="389">
        <v>0</v>
      </c>
      <c r="U433" s="389">
        <v>0</v>
      </c>
      <c r="V433" s="515">
        <v>4.3999999999999995</v>
      </c>
    </row>
    <row r="434" spans="1:22" ht="35.1" customHeight="1" x14ac:dyDescent="0.25">
      <c r="A434" s="432">
        <v>433</v>
      </c>
      <c r="B434" s="95">
        <v>45184</v>
      </c>
      <c r="C434" s="432"/>
      <c r="D434" s="485"/>
      <c r="E434" s="433" t="s">
        <v>691</v>
      </c>
      <c r="F434" s="432">
        <f>50+25</f>
        <v>75</v>
      </c>
      <c r="G434" s="432"/>
      <c r="H434" s="432"/>
      <c r="I434" s="432">
        <v>493</v>
      </c>
      <c r="J434" s="432">
        <v>196</v>
      </c>
      <c r="K434" s="432"/>
      <c r="L434" s="432">
        <v>37</v>
      </c>
      <c r="M434" s="432">
        <v>716</v>
      </c>
      <c r="N434" s="540"/>
      <c r="O434" s="485">
        <f t="shared" si="5"/>
        <v>1517</v>
      </c>
      <c r="P434" s="387">
        <f t="shared" si="6"/>
        <v>302.95851851851853</v>
      </c>
      <c r="Q434" s="389">
        <v>199.12851851851855</v>
      </c>
      <c r="R434" s="389">
        <v>16.190000000000001</v>
      </c>
      <c r="S434" s="389">
        <v>3.5</v>
      </c>
      <c r="T434" s="389">
        <v>54.67</v>
      </c>
      <c r="U434" s="389">
        <v>3.5199999999999996</v>
      </c>
      <c r="V434" s="515">
        <v>25.95</v>
      </c>
    </row>
    <row r="435" spans="1:22" ht="35.1" customHeight="1" x14ac:dyDescent="0.25">
      <c r="A435" s="432">
        <v>434</v>
      </c>
      <c r="B435" s="95">
        <v>45185</v>
      </c>
      <c r="C435" s="432"/>
      <c r="D435" s="485"/>
      <c r="E435" s="433"/>
      <c r="F435" s="432"/>
      <c r="G435" s="432">
        <v>80.209999999999994</v>
      </c>
      <c r="H435" s="432"/>
      <c r="I435" s="432">
        <v>738</v>
      </c>
      <c r="J435" s="432">
        <v>401</v>
      </c>
      <c r="K435" s="432"/>
      <c r="L435" s="432">
        <v>144.79</v>
      </c>
      <c r="M435" s="432">
        <v>502</v>
      </c>
      <c r="N435" s="540"/>
      <c r="O435" s="485">
        <f t="shared" si="5"/>
        <v>1866</v>
      </c>
      <c r="P435" s="387">
        <f t="shared" si="6"/>
        <v>411.01</v>
      </c>
      <c r="Q435" s="389">
        <v>297.18999999999994</v>
      </c>
      <c r="R435" s="389">
        <v>34.81</v>
      </c>
      <c r="S435" s="389">
        <v>0</v>
      </c>
      <c r="T435" s="389">
        <v>40</v>
      </c>
      <c r="U435" s="389">
        <v>6.42</v>
      </c>
      <c r="V435" s="515">
        <v>32.590000000000003</v>
      </c>
    </row>
    <row r="436" spans="1:22" ht="35.1" customHeight="1" x14ac:dyDescent="0.25">
      <c r="A436" s="190">
        <v>435</v>
      </c>
      <c r="B436" s="191">
        <v>45186</v>
      </c>
      <c r="C436" s="190"/>
      <c r="D436" s="190"/>
      <c r="E436" s="250"/>
      <c r="F436" s="190"/>
      <c r="G436" s="190"/>
      <c r="H436" s="190"/>
      <c r="I436" s="190"/>
      <c r="J436" s="190"/>
      <c r="K436" s="190"/>
      <c r="L436" s="190"/>
      <c r="M436" s="190"/>
      <c r="N436" s="542"/>
      <c r="O436" s="190">
        <f t="shared" si="5"/>
        <v>0</v>
      </c>
      <c r="P436" s="392"/>
      <c r="Q436" s="393"/>
      <c r="R436" s="393"/>
      <c r="S436" s="393"/>
      <c r="T436" s="393"/>
      <c r="U436" s="393"/>
      <c r="V436" s="517"/>
    </row>
    <row r="437" spans="1:22" ht="35.1" customHeight="1" x14ac:dyDescent="0.25">
      <c r="A437" s="432">
        <v>436</v>
      </c>
      <c r="B437" s="95">
        <v>45187</v>
      </c>
      <c r="C437" s="432"/>
      <c r="D437" s="485"/>
      <c r="E437" s="521" t="s">
        <v>693</v>
      </c>
      <c r="F437" s="520">
        <f>122+40</f>
        <v>162</v>
      </c>
      <c r="G437" s="432"/>
      <c r="H437" s="432"/>
      <c r="I437" s="432">
        <v>175</v>
      </c>
      <c r="J437" s="432">
        <v>181</v>
      </c>
      <c r="K437" s="432"/>
      <c r="L437" s="432">
        <v>338</v>
      </c>
      <c r="M437" s="432">
        <v>624</v>
      </c>
      <c r="N437" s="540"/>
      <c r="O437" s="485">
        <f t="shared" si="5"/>
        <v>1480</v>
      </c>
      <c r="P437" s="387">
        <f t="shared" si="6"/>
        <v>293.64333333333332</v>
      </c>
      <c r="Q437" s="389">
        <v>235.00333333333336</v>
      </c>
      <c r="R437" s="389">
        <v>23.670000000000005</v>
      </c>
      <c r="S437" s="389">
        <v>0</v>
      </c>
      <c r="T437" s="389">
        <v>15</v>
      </c>
      <c r="U437" s="389">
        <v>1.03</v>
      </c>
      <c r="V437" s="515">
        <v>18.939999999999998</v>
      </c>
    </row>
    <row r="438" spans="1:22" ht="35.1" customHeight="1" x14ac:dyDescent="0.25">
      <c r="A438" s="432">
        <v>437</v>
      </c>
      <c r="B438" s="95">
        <v>45188</v>
      </c>
      <c r="C438" s="432"/>
      <c r="D438" s="485"/>
      <c r="E438" s="433"/>
      <c r="F438" s="432"/>
      <c r="G438" s="432"/>
      <c r="H438" s="432">
        <v>518</v>
      </c>
      <c r="I438" s="432">
        <v>645</v>
      </c>
      <c r="J438" s="432">
        <f>273+133</f>
        <v>406</v>
      </c>
      <c r="K438" s="432"/>
      <c r="L438" s="432">
        <v>80</v>
      </c>
      <c r="M438" s="432">
        <v>286</v>
      </c>
      <c r="N438" s="540"/>
      <c r="O438" s="485">
        <f t="shared" si="5"/>
        <v>1935</v>
      </c>
      <c r="P438" s="387">
        <f t="shared" si="6"/>
        <v>411.72611111111109</v>
      </c>
      <c r="Q438" s="389">
        <v>365.32611111111112</v>
      </c>
      <c r="R438" s="389">
        <v>2.4400000000000004</v>
      </c>
      <c r="S438" s="389">
        <v>0</v>
      </c>
      <c r="T438" s="389">
        <v>15</v>
      </c>
      <c r="U438" s="389">
        <v>10.559999999999999</v>
      </c>
      <c r="V438" s="515">
        <v>18.399999999999999</v>
      </c>
    </row>
    <row r="439" spans="1:22" ht="35.1" customHeight="1" x14ac:dyDescent="0.25">
      <c r="A439" s="432">
        <v>438</v>
      </c>
      <c r="B439" s="95">
        <v>45189</v>
      </c>
      <c r="C439" s="432"/>
      <c r="D439" s="485"/>
      <c r="E439" s="433"/>
      <c r="F439" s="432"/>
      <c r="G439" s="432"/>
      <c r="H439" s="432"/>
      <c r="I439" s="432">
        <v>378</v>
      </c>
      <c r="J439" s="432"/>
      <c r="K439" s="432"/>
      <c r="L439" s="432"/>
      <c r="M439" s="432">
        <v>220</v>
      </c>
      <c r="N439" s="540"/>
      <c r="O439" s="485">
        <f t="shared" si="5"/>
        <v>598</v>
      </c>
      <c r="P439" s="387">
        <f t="shared" si="6"/>
        <v>138.93629629629629</v>
      </c>
      <c r="Q439" s="389">
        <v>96.666296296296281</v>
      </c>
      <c r="R439" s="389">
        <v>24.700000000000006</v>
      </c>
      <c r="S439" s="389">
        <v>0</v>
      </c>
      <c r="T439" s="389">
        <v>0</v>
      </c>
      <c r="U439" s="389">
        <v>0</v>
      </c>
      <c r="V439" s="515">
        <v>17.57</v>
      </c>
    </row>
    <row r="440" spans="1:22" ht="35.1" customHeight="1" x14ac:dyDescent="0.25">
      <c r="A440" s="432">
        <v>439</v>
      </c>
      <c r="B440" s="95">
        <v>45190</v>
      </c>
      <c r="C440" s="432"/>
      <c r="D440" s="485"/>
      <c r="E440" s="433"/>
      <c r="F440" s="432"/>
      <c r="G440" s="432"/>
      <c r="H440" s="432"/>
      <c r="I440" s="432">
        <v>76</v>
      </c>
      <c r="J440" s="432"/>
      <c r="K440" s="432"/>
      <c r="L440" s="432"/>
      <c r="M440" s="432">
        <v>651</v>
      </c>
      <c r="N440" s="540"/>
      <c r="O440" s="485">
        <f t="shared" ref="O440:O504" si="7">SUM(G440:N440)+F440+D440</f>
        <v>727</v>
      </c>
      <c r="P440" s="387">
        <f t="shared" si="6"/>
        <v>150.24000000000004</v>
      </c>
      <c r="Q440" s="389">
        <v>137.77000000000004</v>
      </c>
      <c r="R440" s="389">
        <v>0</v>
      </c>
      <c r="S440" s="389">
        <v>0</v>
      </c>
      <c r="T440" s="389">
        <v>0</v>
      </c>
      <c r="U440" s="389">
        <v>0</v>
      </c>
      <c r="V440" s="515">
        <v>12.469999999999999</v>
      </c>
    </row>
    <row r="441" spans="1:22" ht="35.1" customHeight="1" x14ac:dyDescent="0.25">
      <c r="A441" s="432">
        <v>440</v>
      </c>
      <c r="B441" s="95">
        <v>45191</v>
      </c>
      <c r="C441" s="432"/>
      <c r="D441" s="485"/>
      <c r="E441" s="433"/>
      <c r="F441" s="432"/>
      <c r="G441" s="432"/>
      <c r="H441" s="432"/>
      <c r="I441" s="432">
        <v>271</v>
      </c>
      <c r="J441" s="432">
        <v>71</v>
      </c>
      <c r="K441" s="432"/>
      <c r="L441" s="432"/>
      <c r="M441" s="432">
        <v>729</v>
      </c>
      <c r="N441" s="540"/>
      <c r="O441" s="485">
        <f t="shared" si="7"/>
        <v>1071</v>
      </c>
      <c r="P441" s="814">
        <f>SUM(Q441:V445)</f>
        <v>1053.8785185185186</v>
      </c>
      <c r="Q441" s="820">
        <v>661.26851851851859</v>
      </c>
      <c r="R441" s="820">
        <v>170.50000000000006</v>
      </c>
      <c r="S441" s="820">
        <v>24.5</v>
      </c>
      <c r="T441" s="820">
        <v>99.92</v>
      </c>
      <c r="U441" s="820">
        <v>9.65</v>
      </c>
      <c r="V441" s="823">
        <v>88.04</v>
      </c>
    </row>
    <row r="442" spans="1:22" ht="35.1" customHeight="1" x14ac:dyDescent="0.25">
      <c r="A442" s="432">
        <v>441</v>
      </c>
      <c r="B442" s="95">
        <v>45192</v>
      </c>
      <c r="C442" s="432"/>
      <c r="D442" s="485"/>
      <c r="E442" s="433" t="s">
        <v>505</v>
      </c>
      <c r="F442" s="432">
        <v>265</v>
      </c>
      <c r="G442" s="432"/>
      <c r="H442" s="432"/>
      <c r="I442" s="432">
        <v>80</v>
      </c>
      <c r="J442" s="432">
        <v>220</v>
      </c>
      <c r="K442" s="432"/>
      <c r="L442" s="432"/>
      <c r="M442" s="432">
        <v>410</v>
      </c>
      <c r="N442" s="540"/>
      <c r="O442" s="485">
        <f t="shared" si="7"/>
        <v>975</v>
      </c>
      <c r="P442" s="815"/>
      <c r="Q442" s="821"/>
      <c r="R442" s="821"/>
      <c r="S442" s="821"/>
      <c r="T442" s="821"/>
      <c r="U442" s="821"/>
      <c r="V442" s="824"/>
    </row>
    <row r="443" spans="1:22" ht="35.1" customHeight="1" x14ac:dyDescent="0.25">
      <c r="A443" s="190">
        <v>442</v>
      </c>
      <c r="B443" s="191">
        <v>45193</v>
      </c>
      <c r="C443" s="190"/>
      <c r="D443" s="190"/>
      <c r="E443" s="250"/>
      <c r="F443" s="190"/>
      <c r="G443" s="190"/>
      <c r="H443" s="190"/>
      <c r="I443" s="190"/>
      <c r="J443" s="190"/>
      <c r="K443" s="190"/>
      <c r="L443" s="190"/>
      <c r="M443" s="190"/>
      <c r="N443" s="542"/>
      <c r="O443" s="190">
        <f t="shared" si="7"/>
        <v>0</v>
      </c>
      <c r="P443" s="815"/>
      <c r="Q443" s="821"/>
      <c r="R443" s="821"/>
      <c r="S443" s="821"/>
      <c r="T443" s="821"/>
      <c r="U443" s="821"/>
      <c r="V443" s="824"/>
    </row>
    <row r="444" spans="1:22" ht="35.1" customHeight="1" x14ac:dyDescent="0.25">
      <c r="A444" s="432">
        <v>443</v>
      </c>
      <c r="B444" s="95">
        <v>45194</v>
      </c>
      <c r="C444" s="432"/>
      <c r="D444" s="485"/>
      <c r="E444" s="433"/>
      <c r="F444" s="432"/>
      <c r="G444" s="432"/>
      <c r="H444" s="432"/>
      <c r="I444" s="432">
        <v>382</v>
      </c>
      <c r="J444" s="432"/>
      <c r="K444" s="432"/>
      <c r="L444" s="432">
        <v>7</v>
      </c>
      <c r="M444" s="432">
        <v>1300</v>
      </c>
      <c r="N444" s="540"/>
      <c r="O444" s="485">
        <f t="shared" si="7"/>
        <v>1689</v>
      </c>
      <c r="P444" s="815"/>
      <c r="Q444" s="821"/>
      <c r="R444" s="821"/>
      <c r="S444" s="821"/>
      <c r="T444" s="821"/>
      <c r="U444" s="821"/>
      <c r="V444" s="824"/>
    </row>
    <row r="445" spans="1:22" ht="35.1" customHeight="1" x14ac:dyDescent="0.25">
      <c r="A445" s="432">
        <v>444</v>
      </c>
      <c r="B445" s="95">
        <v>45195</v>
      </c>
      <c r="C445" s="432"/>
      <c r="D445" s="485"/>
      <c r="E445" s="433"/>
      <c r="F445" s="432"/>
      <c r="G445" s="432"/>
      <c r="H445" s="432"/>
      <c r="I445" s="432">
        <v>98</v>
      </c>
      <c r="J445" s="432"/>
      <c r="K445" s="432"/>
      <c r="L445" s="432">
        <v>16</v>
      </c>
      <c r="M445" s="432">
        <v>152</v>
      </c>
      <c r="N445" s="540"/>
      <c r="O445" s="485">
        <f t="shared" si="7"/>
        <v>266</v>
      </c>
      <c r="P445" s="816"/>
      <c r="Q445" s="822"/>
      <c r="R445" s="822"/>
      <c r="S445" s="822"/>
      <c r="T445" s="822"/>
      <c r="U445" s="822"/>
      <c r="V445" s="825"/>
    </row>
    <row r="446" spans="1:22" ht="35.1" customHeight="1" x14ac:dyDescent="0.25">
      <c r="A446" s="432">
        <v>445</v>
      </c>
      <c r="B446" s="95">
        <v>45196</v>
      </c>
      <c r="C446" s="432"/>
      <c r="D446" s="485"/>
      <c r="E446" s="433"/>
      <c r="F446" s="432"/>
      <c r="G446" s="432"/>
      <c r="H446" s="432"/>
      <c r="I446" s="432">
        <v>60</v>
      </c>
      <c r="J446" s="432"/>
      <c r="K446" s="432"/>
      <c r="L446" s="432"/>
      <c r="M446" s="432">
        <v>314</v>
      </c>
      <c r="N446" s="540"/>
      <c r="O446" s="485">
        <f t="shared" si="7"/>
        <v>374</v>
      </c>
      <c r="P446" s="387">
        <f t="shared" ref="P446:P469" si="8">SUM(Q446:V446)</f>
        <v>162.65</v>
      </c>
      <c r="Q446" s="389">
        <v>51.39</v>
      </c>
      <c r="R446" s="389">
        <v>30.370000000000005</v>
      </c>
      <c r="S446" s="389">
        <v>0</v>
      </c>
      <c r="T446" s="389">
        <v>0</v>
      </c>
      <c r="U446" s="389">
        <v>12.54</v>
      </c>
      <c r="V446" s="515">
        <v>68.349999999999994</v>
      </c>
    </row>
    <row r="447" spans="1:22" ht="35.1" customHeight="1" x14ac:dyDescent="0.25">
      <c r="A447" s="432">
        <v>446</v>
      </c>
      <c r="B447" s="95">
        <v>45197</v>
      </c>
      <c r="C447" s="432"/>
      <c r="D447" s="485"/>
      <c r="E447" s="433"/>
      <c r="F447" s="432"/>
      <c r="G447" s="432"/>
      <c r="H447" s="432"/>
      <c r="I447" s="432">
        <v>187</v>
      </c>
      <c r="J447" s="432">
        <v>36</v>
      </c>
      <c r="K447" s="432"/>
      <c r="L447" s="432"/>
      <c r="M447" s="432">
        <v>832</v>
      </c>
      <c r="N447" s="540"/>
      <c r="O447" s="485">
        <f t="shared" si="7"/>
        <v>1055</v>
      </c>
      <c r="P447" s="387">
        <f t="shared" si="8"/>
        <v>279.97000000000003</v>
      </c>
      <c r="Q447" s="389">
        <v>255.83</v>
      </c>
      <c r="R447" s="389">
        <v>0</v>
      </c>
      <c r="S447" s="389">
        <v>0</v>
      </c>
      <c r="T447" s="389">
        <v>20</v>
      </c>
      <c r="U447" s="389">
        <v>4.1399999999999997</v>
      </c>
      <c r="V447" s="515">
        <v>0</v>
      </c>
    </row>
    <row r="448" spans="1:22" ht="35.1" customHeight="1" x14ac:dyDescent="0.25">
      <c r="A448" s="432">
        <v>447</v>
      </c>
      <c r="B448" s="95">
        <v>45198</v>
      </c>
      <c r="C448" s="432"/>
      <c r="D448" s="485"/>
      <c r="E448" s="433" t="s">
        <v>699</v>
      </c>
      <c r="F448" s="432">
        <f>25+15+5</f>
        <v>45</v>
      </c>
      <c r="G448" s="432"/>
      <c r="H448" s="432"/>
      <c r="I448" s="432">
        <v>54</v>
      </c>
      <c r="J448" s="432">
        <v>42</v>
      </c>
      <c r="K448" s="432"/>
      <c r="L448" s="432">
        <v>5</v>
      </c>
      <c r="M448" s="432">
        <v>288</v>
      </c>
      <c r="N448" s="540"/>
      <c r="O448" s="485">
        <f t="shared" si="7"/>
        <v>434</v>
      </c>
      <c r="P448" s="387">
        <f t="shared" si="8"/>
        <v>114.86629629629633</v>
      </c>
      <c r="Q448" s="389">
        <v>25.976296296296297</v>
      </c>
      <c r="R448" s="389">
        <v>68.890000000000029</v>
      </c>
      <c r="S448" s="389">
        <v>0</v>
      </c>
      <c r="T448" s="389">
        <v>20</v>
      </c>
      <c r="U448" s="389">
        <v>0</v>
      </c>
      <c r="V448" s="515">
        <v>0</v>
      </c>
    </row>
    <row r="449" spans="1:22" ht="35.1" customHeight="1" x14ac:dyDescent="0.25">
      <c r="A449" s="432">
        <v>448</v>
      </c>
      <c r="B449" s="95">
        <v>45199</v>
      </c>
      <c r="C449" s="432"/>
      <c r="D449" s="485"/>
      <c r="E449" s="433"/>
      <c r="F449" s="432"/>
      <c r="G449" s="432"/>
      <c r="H449" s="432"/>
      <c r="I449" s="432">
        <v>28</v>
      </c>
      <c r="J449" s="432"/>
      <c r="K449" s="432"/>
      <c r="L449" s="432">
        <v>55</v>
      </c>
      <c r="M449" s="432">
        <v>149</v>
      </c>
      <c r="N449" s="540"/>
      <c r="O449" s="485">
        <f t="shared" si="7"/>
        <v>232</v>
      </c>
      <c r="P449" s="387">
        <f t="shared" si="8"/>
        <v>49.016296296296289</v>
      </c>
      <c r="Q449" s="389">
        <v>24.506296296296295</v>
      </c>
      <c r="R449" s="389">
        <v>5.4600000000000009</v>
      </c>
      <c r="S449" s="389">
        <v>0</v>
      </c>
      <c r="T449" s="389">
        <v>14.670000000000002</v>
      </c>
      <c r="U449" s="389">
        <v>1.2999999999999998</v>
      </c>
      <c r="V449" s="515">
        <v>3.08</v>
      </c>
    </row>
    <row r="450" spans="1:22" ht="35.1" customHeight="1" x14ac:dyDescent="0.25">
      <c r="A450" s="190">
        <v>449</v>
      </c>
      <c r="B450" s="191">
        <v>45200</v>
      </c>
      <c r="C450" s="190"/>
      <c r="D450" s="190"/>
      <c r="E450" s="250"/>
      <c r="F450" s="190"/>
      <c r="G450" s="190"/>
      <c r="H450" s="190"/>
      <c r="I450" s="190"/>
      <c r="J450" s="190"/>
      <c r="K450" s="190"/>
      <c r="L450" s="190"/>
      <c r="M450" s="190"/>
      <c r="N450" s="542"/>
      <c r="O450" s="190">
        <f t="shared" si="7"/>
        <v>0</v>
      </c>
      <c r="P450" s="392"/>
      <c r="Q450" s="393"/>
      <c r="R450" s="393"/>
      <c r="S450" s="393"/>
      <c r="T450" s="393"/>
      <c r="U450" s="393"/>
      <c r="V450" s="517"/>
    </row>
    <row r="451" spans="1:22" ht="35.1" customHeight="1" x14ac:dyDescent="0.25">
      <c r="A451" s="432">
        <v>450</v>
      </c>
      <c r="B451" s="95">
        <v>45201</v>
      </c>
      <c r="C451" s="432"/>
      <c r="D451" s="485"/>
      <c r="E451" s="433" t="s">
        <v>700</v>
      </c>
      <c r="F451" s="432">
        <f>50+15</f>
        <v>65</v>
      </c>
      <c r="G451" s="432"/>
      <c r="H451" s="432"/>
      <c r="I451" s="432">
        <v>223</v>
      </c>
      <c r="J451" s="432"/>
      <c r="K451" s="432"/>
      <c r="L451" s="432"/>
      <c r="M451" s="432">
        <v>370</v>
      </c>
      <c r="N451" s="540"/>
      <c r="O451" s="485">
        <f t="shared" si="7"/>
        <v>658</v>
      </c>
      <c r="P451" s="387">
        <f t="shared" si="8"/>
        <v>158.89000000000004</v>
      </c>
      <c r="Q451" s="389">
        <v>101.20000000000002</v>
      </c>
      <c r="R451" s="389">
        <v>30.630000000000003</v>
      </c>
      <c r="S451" s="389">
        <v>6.3900000000000006</v>
      </c>
      <c r="T451" s="389">
        <v>14.670000000000002</v>
      </c>
      <c r="U451" s="389">
        <v>1.59</v>
      </c>
      <c r="V451" s="515">
        <v>4.41</v>
      </c>
    </row>
    <row r="452" spans="1:22" ht="35.1" customHeight="1" x14ac:dyDescent="0.25">
      <c r="A452" s="432">
        <v>451</v>
      </c>
      <c r="B452" s="95">
        <v>45202</v>
      </c>
      <c r="C452" s="432"/>
      <c r="D452" s="485"/>
      <c r="E452" s="433"/>
      <c r="F452" s="432"/>
      <c r="G452" s="432"/>
      <c r="H452" s="432"/>
      <c r="I452" s="432">
        <v>34</v>
      </c>
      <c r="J452" s="432"/>
      <c r="K452" s="432"/>
      <c r="L452" s="432"/>
      <c r="M452" s="432">
        <v>439</v>
      </c>
      <c r="N452" s="540"/>
      <c r="O452" s="485">
        <f t="shared" si="7"/>
        <v>473</v>
      </c>
      <c r="P452" s="387">
        <f t="shared" si="8"/>
        <v>97.090000000000018</v>
      </c>
      <c r="Q452" s="389">
        <v>32.290000000000006</v>
      </c>
      <c r="R452" s="389">
        <v>27.260000000000005</v>
      </c>
      <c r="S452" s="389">
        <v>0</v>
      </c>
      <c r="T452" s="389">
        <v>14.920000000000002</v>
      </c>
      <c r="U452" s="389">
        <v>1.25</v>
      </c>
      <c r="V452" s="515">
        <v>21.37</v>
      </c>
    </row>
    <row r="453" spans="1:22" ht="35.1" customHeight="1" x14ac:dyDescent="0.25">
      <c r="A453" s="432">
        <v>452</v>
      </c>
      <c r="B453" s="95">
        <v>45203</v>
      </c>
      <c r="C453" s="432"/>
      <c r="D453" s="485"/>
      <c r="E453" s="433"/>
      <c r="F453" s="432"/>
      <c r="G453" s="432"/>
      <c r="H453" s="432"/>
      <c r="I453" s="432">
        <v>23</v>
      </c>
      <c r="J453" s="432"/>
      <c r="K453" s="432"/>
      <c r="L453" s="432"/>
      <c r="M453" s="432">
        <v>188</v>
      </c>
      <c r="N453" s="540"/>
      <c r="O453" s="485">
        <f t="shared" si="7"/>
        <v>211</v>
      </c>
      <c r="P453" s="387">
        <f t="shared" si="8"/>
        <v>50.816296296296301</v>
      </c>
      <c r="Q453" s="389">
        <v>32.836296296296297</v>
      </c>
      <c r="R453" s="389">
        <v>9.120000000000001</v>
      </c>
      <c r="S453" s="389">
        <v>3.5</v>
      </c>
      <c r="T453" s="389">
        <v>0</v>
      </c>
      <c r="U453" s="389">
        <v>0.58000000000000007</v>
      </c>
      <c r="V453" s="515">
        <v>4.7800000000000011</v>
      </c>
    </row>
    <row r="454" spans="1:22" ht="35.1" customHeight="1" x14ac:dyDescent="0.25">
      <c r="A454" s="432">
        <v>453</v>
      </c>
      <c r="B454" s="95">
        <v>45204</v>
      </c>
      <c r="C454" s="432"/>
      <c r="D454" s="485"/>
      <c r="E454" s="433" t="s">
        <v>702</v>
      </c>
      <c r="F454" s="432">
        <v>18</v>
      </c>
      <c r="G454" s="432"/>
      <c r="H454" s="432"/>
      <c r="I454" s="432">
        <v>17</v>
      </c>
      <c r="J454" s="432">
        <v>252</v>
      </c>
      <c r="K454" s="432"/>
      <c r="L454" s="432"/>
      <c r="M454" s="432">
        <v>598</v>
      </c>
      <c r="N454" s="540"/>
      <c r="O454" s="485">
        <f t="shared" si="7"/>
        <v>885</v>
      </c>
      <c r="P454" s="387">
        <f t="shared" si="8"/>
        <v>208.62</v>
      </c>
      <c r="Q454" s="389">
        <v>174.66000000000003</v>
      </c>
      <c r="R454" s="389">
        <v>22.260000000000005</v>
      </c>
      <c r="S454" s="389">
        <v>6.23</v>
      </c>
      <c r="T454" s="389">
        <v>0</v>
      </c>
      <c r="U454" s="389">
        <v>0</v>
      </c>
      <c r="V454" s="515">
        <v>5.4700000000000006</v>
      </c>
    </row>
    <row r="455" spans="1:22" ht="35.1" customHeight="1" x14ac:dyDescent="0.25">
      <c r="A455" s="432">
        <v>454</v>
      </c>
      <c r="B455" s="95">
        <v>45205</v>
      </c>
      <c r="C455" s="432"/>
      <c r="D455" s="485"/>
      <c r="E455" s="433"/>
      <c r="F455" s="432"/>
      <c r="G455" s="432"/>
      <c r="H455" s="432"/>
      <c r="I455" s="432">
        <v>189</v>
      </c>
      <c r="J455" s="432"/>
      <c r="K455" s="432"/>
      <c r="L455" s="432"/>
      <c r="M455" s="432">
        <v>1049</v>
      </c>
      <c r="N455" s="540"/>
      <c r="O455" s="485">
        <f t="shared" si="7"/>
        <v>1238</v>
      </c>
      <c r="P455" s="387"/>
      <c r="Q455" s="389"/>
      <c r="R455" s="389"/>
      <c r="S455" s="389"/>
      <c r="T455" s="389"/>
      <c r="U455" s="389"/>
      <c r="V455" s="515"/>
    </row>
    <row r="456" spans="1:22" ht="35.1" customHeight="1" x14ac:dyDescent="0.25">
      <c r="A456" s="432">
        <v>455</v>
      </c>
      <c r="B456" s="95">
        <v>45206</v>
      </c>
      <c r="C456" s="432"/>
      <c r="D456" s="485"/>
      <c r="E456" s="433"/>
      <c r="F456" s="432"/>
      <c r="G456" s="432"/>
      <c r="H456" s="432"/>
      <c r="I456" s="432">
        <v>42</v>
      </c>
      <c r="J456" s="432"/>
      <c r="K456" s="432"/>
      <c r="L456" s="432"/>
      <c r="M456" s="432">
        <v>148</v>
      </c>
      <c r="N456" s="540"/>
      <c r="O456" s="485">
        <f t="shared" si="7"/>
        <v>190</v>
      </c>
      <c r="P456" s="387">
        <f t="shared" si="8"/>
        <v>50.27</v>
      </c>
      <c r="Q456" s="389">
        <v>31.970000000000006</v>
      </c>
      <c r="R456" s="389">
        <v>10.220000000000001</v>
      </c>
      <c r="S456" s="389">
        <v>0</v>
      </c>
      <c r="T456" s="389">
        <v>0</v>
      </c>
      <c r="U456" s="389">
        <v>0</v>
      </c>
      <c r="V456" s="515">
        <v>8.08</v>
      </c>
    </row>
    <row r="457" spans="1:22" ht="35.1" customHeight="1" x14ac:dyDescent="0.25">
      <c r="A457" s="190">
        <v>456</v>
      </c>
      <c r="B457" s="191">
        <v>45207</v>
      </c>
      <c r="C457" s="190"/>
      <c r="D457" s="190"/>
      <c r="E457" s="250"/>
      <c r="F457" s="190"/>
      <c r="G457" s="190"/>
      <c r="H457" s="190"/>
      <c r="I457" s="190"/>
      <c r="J457" s="190"/>
      <c r="K457" s="190"/>
      <c r="L457" s="190"/>
      <c r="M457" s="190"/>
      <c r="N457" s="542"/>
      <c r="O457" s="190">
        <f t="shared" si="7"/>
        <v>0</v>
      </c>
      <c r="P457" s="392"/>
      <c r="Q457" s="393"/>
      <c r="R457" s="393"/>
      <c r="S457" s="393"/>
      <c r="T457" s="393"/>
      <c r="U457" s="393"/>
      <c r="V457" s="517"/>
    </row>
    <row r="458" spans="1:22" ht="35.1" customHeight="1" x14ac:dyDescent="0.25">
      <c r="A458" s="432">
        <v>457</v>
      </c>
      <c r="B458" s="95">
        <v>45208</v>
      </c>
      <c r="C458" s="432"/>
      <c r="D458" s="485"/>
      <c r="E458" s="433" t="s">
        <v>706</v>
      </c>
      <c r="F458" s="432">
        <v>29</v>
      </c>
      <c r="G458" s="432"/>
      <c r="H458" s="432"/>
      <c r="I458" s="432"/>
      <c r="J458" s="432">
        <v>168</v>
      </c>
      <c r="K458" s="432"/>
      <c r="L458" s="432"/>
      <c r="M458" s="432">
        <v>298</v>
      </c>
      <c r="N458" s="540"/>
      <c r="O458" s="485">
        <f t="shared" si="7"/>
        <v>495</v>
      </c>
      <c r="P458" s="387">
        <f t="shared" si="8"/>
        <v>95.186296296296305</v>
      </c>
      <c r="Q458" s="389">
        <v>42.476296296296297</v>
      </c>
      <c r="R458" s="389">
        <v>0</v>
      </c>
      <c r="S458" s="389">
        <v>0</v>
      </c>
      <c r="T458" s="389">
        <v>40</v>
      </c>
      <c r="U458" s="389">
        <v>1.93</v>
      </c>
      <c r="V458" s="515">
        <v>10.780000000000001</v>
      </c>
    </row>
    <row r="459" spans="1:22" ht="35.1" customHeight="1" x14ac:dyDescent="0.25">
      <c r="A459" s="432">
        <v>458</v>
      </c>
      <c r="B459" s="95">
        <v>45209</v>
      </c>
      <c r="C459" s="432"/>
      <c r="D459" s="485"/>
      <c r="E459" s="433"/>
      <c r="F459" s="432"/>
      <c r="G459" s="432"/>
      <c r="H459" s="432"/>
      <c r="I459" s="432">
        <v>20</v>
      </c>
      <c r="J459" s="432"/>
      <c r="K459" s="432"/>
      <c r="L459" s="432"/>
      <c r="M459" s="432">
        <v>292</v>
      </c>
      <c r="N459" s="540"/>
      <c r="O459" s="485">
        <f t="shared" si="7"/>
        <v>312</v>
      </c>
      <c r="P459" s="387">
        <f t="shared" si="8"/>
        <v>60.684000000000012</v>
      </c>
      <c r="Q459" s="389">
        <v>34.26400000000001</v>
      </c>
      <c r="R459" s="389">
        <v>4.8800000000000008</v>
      </c>
      <c r="S459" s="389">
        <v>0</v>
      </c>
      <c r="T459" s="389">
        <v>20</v>
      </c>
      <c r="U459" s="389">
        <v>0</v>
      </c>
      <c r="V459" s="515">
        <v>1.54</v>
      </c>
    </row>
    <row r="460" spans="1:22" ht="35.1" customHeight="1" x14ac:dyDescent="0.25">
      <c r="A460" s="432">
        <v>459</v>
      </c>
      <c r="B460" s="95">
        <v>45210</v>
      </c>
      <c r="C460" s="432"/>
      <c r="D460" s="485"/>
      <c r="E460" s="433"/>
      <c r="F460" s="432"/>
      <c r="G460" s="432"/>
      <c r="H460" s="432"/>
      <c r="I460" s="432">
        <v>42</v>
      </c>
      <c r="J460" s="432">
        <v>314</v>
      </c>
      <c r="K460" s="432"/>
      <c r="L460" s="432">
        <v>36</v>
      </c>
      <c r="M460" s="432">
        <v>1000</v>
      </c>
      <c r="N460" s="540"/>
      <c r="O460" s="485">
        <f t="shared" si="7"/>
        <v>1392</v>
      </c>
      <c r="P460" s="387">
        <f t="shared" si="8"/>
        <v>408.7600000000001</v>
      </c>
      <c r="Q460" s="389">
        <v>244.09</v>
      </c>
      <c r="R460" s="389">
        <v>104.67000000000004</v>
      </c>
      <c r="S460" s="389">
        <v>15.799999999999997</v>
      </c>
      <c r="T460" s="389">
        <v>0</v>
      </c>
      <c r="U460" s="389">
        <v>18.669999999999998</v>
      </c>
      <c r="V460" s="515">
        <v>25.53</v>
      </c>
    </row>
    <row r="461" spans="1:22" ht="35.1" customHeight="1" x14ac:dyDescent="0.25">
      <c r="A461" s="432">
        <v>460</v>
      </c>
      <c r="B461" s="95">
        <v>45211</v>
      </c>
      <c r="C461" s="432"/>
      <c r="D461" s="485"/>
      <c r="E461" s="433"/>
      <c r="F461" s="432"/>
      <c r="G461" s="432"/>
      <c r="H461" s="432"/>
      <c r="I461" s="432">
        <v>39</v>
      </c>
      <c r="J461" s="432"/>
      <c r="K461" s="432"/>
      <c r="L461" s="432"/>
      <c r="M461" s="432">
        <v>696</v>
      </c>
      <c r="N461" s="540"/>
      <c r="O461" s="485">
        <f t="shared" si="7"/>
        <v>735</v>
      </c>
      <c r="P461" s="387">
        <f t="shared" si="8"/>
        <v>217.52551851851854</v>
      </c>
      <c r="Q461" s="389">
        <v>186.48551851851852</v>
      </c>
      <c r="R461" s="389">
        <v>0</v>
      </c>
      <c r="S461" s="389">
        <v>17.96</v>
      </c>
      <c r="T461" s="389">
        <v>0</v>
      </c>
      <c r="U461" s="389">
        <v>0</v>
      </c>
      <c r="V461" s="515">
        <v>13.08</v>
      </c>
    </row>
    <row r="462" spans="1:22" ht="35.1" customHeight="1" x14ac:dyDescent="0.25">
      <c r="A462" s="432">
        <v>461</v>
      </c>
      <c r="B462" s="95">
        <v>45212</v>
      </c>
      <c r="C462" s="432"/>
      <c r="D462" s="485"/>
      <c r="E462" s="433"/>
      <c r="F462" s="432"/>
      <c r="G462" s="432"/>
      <c r="H462" s="432"/>
      <c r="I462" s="432">
        <v>2</v>
      </c>
      <c r="J462" s="432"/>
      <c r="K462" s="432"/>
      <c r="L462" s="432"/>
      <c r="M462" s="432">
        <v>361</v>
      </c>
      <c r="N462" s="540"/>
      <c r="O462" s="485">
        <f t="shared" si="7"/>
        <v>363</v>
      </c>
      <c r="P462" s="387">
        <f t="shared" si="8"/>
        <v>72.889999999999986</v>
      </c>
      <c r="Q462" s="389">
        <v>57.009999999999991</v>
      </c>
      <c r="R462" s="389">
        <v>0</v>
      </c>
      <c r="S462" s="389">
        <v>0</v>
      </c>
      <c r="T462" s="389">
        <v>0</v>
      </c>
      <c r="U462" s="389">
        <v>2.1799999999999997</v>
      </c>
      <c r="V462" s="515">
        <v>13.7</v>
      </c>
    </row>
    <row r="463" spans="1:22" ht="35.1" customHeight="1" x14ac:dyDescent="0.25">
      <c r="A463" s="432">
        <v>462</v>
      </c>
      <c r="B463" s="95">
        <v>45213</v>
      </c>
      <c r="C463" s="432"/>
      <c r="D463" s="485"/>
      <c r="E463" s="433"/>
      <c r="F463" s="432"/>
      <c r="G463" s="432">
        <v>7</v>
      </c>
      <c r="H463" s="432"/>
      <c r="I463" s="432">
        <v>140</v>
      </c>
      <c r="J463" s="432"/>
      <c r="K463" s="432"/>
      <c r="L463" s="432"/>
      <c r="M463" s="432">
        <v>122</v>
      </c>
      <c r="N463" s="540"/>
      <c r="O463" s="485">
        <f t="shared" si="7"/>
        <v>269</v>
      </c>
      <c r="P463" s="387">
        <f t="shared" si="8"/>
        <v>51.456296296296294</v>
      </c>
      <c r="Q463" s="389">
        <v>10.986296296296295</v>
      </c>
      <c r="R463" s="389">
        <v>0</v>
      </c>
      <c r="S463" s="389">
        <v>7.2199999999999989</v>
      </c>
      <c r="T463" s="389">
        <v>20</v>
      </c>
      <c r="U463" s="389">
        <v>3.99</v>
      </c>
      <c r="V463" s="515">
        <v>9.259999999999998</v>
      </c>
    </row>
    <row r="464" spans="1:22" ht="35.1" customHeight="1" x14ac:dyDescent="0.25">
      <c r="A464" s="190">
        <v>463</v>
      </c>
      <c r="B464" s="191">
        <v>45214</v>
      </c>
      <c r="C464" s="190"/>
      <c r="D464" s="190"/>
      <c r="E464" s="250"/>
      <c r="F464" s="190"/>
      <c r="G464" s="190"/>
      <c r="H464" s="190"/>
      <c r="I464" s="190"/>
      <c r="J464" s="190"/>
      <c r="K464" s="190"/>
      <c r="L464" s="190"/>
      <c r="M464" s="190"/>
      <c r="N464" s="542"/>
      <c r="O464" s="190">
        <f t="shared" si="7"/>
        <v>0</v>
      </c>
      <c r="P464" s="392"/>
      <c r="Q464" s="393"/>
      <c r="R464" s="393"/>
      <c r="S464" s="393"/>
      <c r="T464" s="393"/>
      <c r="U464" s="393"/>
      <c r="V464" s="517"/>
    </row>
    <row r="465" spans="1:22" ht="35.1" customHeight="1" x14ac:dyDescent="0.25">
      <c r="A465" s="432">
        <v>464</v>
      </c>
      <c r="B465" s="95">
        <v>45215</v>
      </c>
      <c r="C465" s="432"/>
      <c r="D465" s="485"/>
      <c r="E465" s="433" t="s">
        <v>708</v>
      </c>
      <c r="F465" s="432">
        <f>60+50</f>
        <v>110</v>
      </c>
      <c r="G465" s="432"/>
      <c r="H465" s="432"/>
      <c r="I465" s="432">
        <v>423</v>
      </c>
      <c r="J465" s="432">
        <v>195</v>
      </c>
      <c r="K465" s="432"/>
      <c r="L465" s="432"/>
      <c r="M465" s="432">
        <v>300</v>
      </c>
      <c r="N465" s="540"/>
      <c r="O465" s="485">
        <f t="shared" si="7"/>
        <v>1028</v>
      </c>
      <c r="P465" s="387">
        <f t="shared" si="8"/>
        <v>228.4212962962963</v>
      </c>
      <c r="Q465" s="389">
        <v>101.09129629629629</v>
      </c>
      <c r="R465" s="389">
        <v>0</v>
      </c>
      <c r="S465" s="389">
        <v>73</v>
      </c>
      <c r="T465" s="389">
        <v>0</v>
      </c>
      <c r="U465" s="389">
        <v>0</v>
      </c>
      <c r="V465" s="515">
        <v>54.33</v>
      </c>
    </row>
    <row r="466" spans="1:22" ht="35.1" customHeight="1" x14ac:dyDescent="0.25">
      <c r="A466" s="432">
        <v>465</v>
      </c>
      <c r="B466" s="95">
        <v>45216</v>
      </c>
      <c r="C466" s="432"/>
      <c r="D466" s="485"/>
      <c r="E466" s="433"/>
      <c r="F466" s="432"/>
      <c r="G466" s="432"/>
      <c r="H466" s="432"/>
      <c r="I466" s="432">
        <v>250</v>
      </c>
      <c r="J466" s="432"/>
      <c r="K466" s="432"/>
      <c r="L466" s="432">
        <v>40</v>
      </c>
      <c r="M466" s="432">
        <v>248</v>
      </c>
      <c r="N466" s="540"/>
      <c r="O466" s="485">
        <f t="shared" si="7"/>
        <v>538</v>
      </c>
      <c r="P466" s="387">
        <f t="shared" si="8"/>
        <v>136.46851851851849</v>
      </c>
      <c r="Q466" s="389">
        <v>123.3085185185185</v>
      </c>
      <c r="R466" s="389">
        <v>2.11</v>
      </c>
      <c r="S466" s="389">
        <v>0</v>
      </c>
      <c r="T466" s="389">
        <v>0</v>
      </c>
      <c r="U466" s="389">
        <v>0.64999999999999991</v>
      </c>
      <c r="V466" s="515">
        <v>10.4</v>
      </c>
    </row>
    <row r="467" spans="1:22" ht="35.1" customHeight="1" x14ac:dyDescent="0.25">
      <c r="A467" s="432">
        <v>466</v>
      </c>
      <c r="B467" s="95">
        <v>45217</v>
      </c>
      <c r="C467" s="432"/>
      <c r="D467" s="485"/>
      <c r="E467" s="433"/>
      <c r="F467" s="432"/>
      <c r="G467" s="432"/>
      <c r="H467" s="432">
        <v>48</v>
      </c>
      <c r="I467" s="432">
        <v>202</v>
      </c>
      <c r="J467" s="432">
        <v>2</v>
      </c>
      <c r="K467" s="432"/>
      <c r="L467" s="432">
        <v>1</v>
      </c>
      <c r="M467" s="432">
        <v>270</v>
      </c>
      <c r="N467" s="540"/>
      <c r="O467" s="485">
        <f t="shared" si="7"/>
        <v>523</v>
      </c>
      <c r="P467" s="387">
        <f t="shared" si="8"/>
        <v>155.19999999999999</v>
      </c>
      <c r="Q467" s="389">
        <v>105.22999999999999</v>
      </c>
      <c r="R467" s="389">
        <v>9.14</v>
      </c>
      <c r="S467" s="389">
        <v>0</v>
      </c>
      <c r="T467" s="389">
        <v>0</v>
      </c>
      <c r="U467" s="389">
        <v>13.91</v>
      </c>
      <c r="V467" s="515">
        <v>26.92</v>
      </c>
    </row>
    <row r="468" spans="1:22" ht="35.1" customHeight="1" x14ac:dyDescent="0.25">
      <c r="A468" s="432">
        <v>467</v>
      </c>
      <c r="B468" s="95">
        <v>45218</v>
      </c>
      <c r="C468" s="432"/>
      <c r="D468" s="485"/>
      <c r="E468" s="433"/>
      <c r="F468" s="432"/>
      <c r="G468" s="432"/>
      <c r="H468" s="432"/>
      <c r="I468" s="432">
        <v>196</v>
      </c>
      <c r="J468" s="432">
        <v>210</v>
      </c>
      <c r="K468" s="432"/>
      <c r="L468" s="432"/>
      <c r="M468" s="432">
        <v>664</v>
      </c>
      <c r="N468" s="540"/>
      <c r="O468" s="485">
        <f t="shared" si="7"/>
        <v>1070</v>
      </c>
      <c r="P468" s="387">
        <f t="shared" si="8"/>
        <v>254.96400000000003</v>
      </c>
      <c r="Q468" s="389">
        <v>140.85400000000004</v>
      </c>
      <c r="R468" s="389">
        <v>0</v>
      </c>
      <c r="S468" s="389">
        <v>3.9499999999999993</v>
      </c>
      <c r="T468" s="389">
        <v>40</v>
      </c>
      <c r="U468" s="389">
        <v>5.76</v>
      </c>
      <c r="V468" s="515">
        <v>64.400000000000006</v>
      </c>
    </row>
    <row r="469" spans="1:22" ht="35.1" customHeight="1" x14ac:dyDescent="0.25">
      <c r="A469" s="432">
        <v>468</v>
      </c>
      <c r="B469" s="95">
        <v>45219</v>
      </c>
      <c r="C469" s="432"/>
      <c r="D469" s="485"/>
      <c r="E469" s="433"/>
      <c r="F469" s="432"/>
      <c r="G469" s="432">
        <v>7</v>
      </c>
      <c r="H469" s="432"/>
      <c r="I469" s="432">
        <v>76</v>
      </c>
      <c r="J469" s="432"/>
      <c r="K469" s="432"/>
      <c r="L469" s="432">
        <v>80</v>
      </c>
      <c r="M469" s="432">
        <v>280</v>
      </c>
      <c r="N469" s="540"/>
      <c r="O469" s="485">
        <f t="shared" si="7"/>
        <v>443</v>
      </c>
      <c r="P469" s="387">
        <f t="shared" si="8"/>
        <v>98.390000000000015</v>
      </c>
      <c r="Q469" s="389">
        <v>42.070000000000007</v>
      </c>
      <c r="R469" s="389">
        <v>0</v>
      </c>
      <c r="S469" s="389">
        <v>11.349999999999994</v>
      </c>
      <c r="T469" s="389">
        <v>25</v>
      </c>
      <c r="U469" s="389">
        <v>5.6199999999999992</v>
      </c>
      <c r="V469" s="515">
        <v>14.350000000000001</v>
      </c>
    </row>
    <row r="470" spans="1:22" ht="35.1" customHeight="1" x14ac:dyDescent="0.25">
      <c r="A470" s="432">
        <v>469</v>
      </c>
      <c r="B470" s="95">
        <v>45220</v>
      </c>
      <c r="C470" s="432"/>
      <c r="D470" s="485"/>
      <c r="E470" s="433" t="s">
        <v>717</v>
      </c>
      <c r="F470" s="432">
        <v>20</v>
      </c>
      <c r="G470" s="432">
        <v>7</v>
      </c>
      <c r="H470" s="432"/>
      <c r="I470" s="432">
        <v>649.71</v>
      </c>
      <c r="J470" s="432">
        <v>32</v>
      </c>
      <c r="K470" s="432"/>
      <c r="L470" s="432">
        <v>30</v>
      </c>
      <c r="M470" s="432">
        <v>80</v>
      </c>
      <c r="N470" s="540"/>
      <c r="O470" s="485">
        <f t="shared" si="7"/>
        <v>818.71</v>
      </c>
      <c r="P470" s="814">
        <f>SUM(Q470:V474)</f>
        <v>640.80000000000007</v>
      </c>
      <c r="Q470" s="820">
        <v>376.88</v>
      </c>
      <c r="R470" s="820">
        <v>51.55</v>
      </c>
      <c r="S470" s="820">
        <v>0</v>
      </c>
      <c r="T470" s="820">
        <v>120</v>
      </c>
      <c r="U470" s="820">
        <v>8.6300000000000008</v>
      </c>
      <c r="V470" s="823">
        <v>83.74</v>
      </c>
    </row>
    <row r="471" spans="1:22" ht="35.1" customHeight="1" x14ac:dyDescent="0.25">
      <c r="A471" s="190">
        <v>470</v>
      </c>
      <c r="B471" s="191">
        <v>45221</v>
      </c>
      <c r="C471" s="190"/>
      <c r="D471" s="190"/>
      <c r="E471" s="250"/>
      <c r="F471" s="190"/>
      <c r="G471" s="190"/>
      <c r="H471" s="190"/>
      <c r="I471" s="190"/>
      <c r="J471" s="190"/>
      <c r="K471" s="190"/>
      <c r="L471" s="190"/>
      <c r="M471" s="190"/>
      <c r="N471" s="542"/>
      <c r="O471" s="190"/>
      <c r="P471" s="815"/>
      <c r="Q471" s="821"/>
      <c r="R471" s="821"/>
      <c r="S471" s="821"/>
      <c r="T471" s="821"/>
      <c r="U471" s="821"/>
      <c r="V471" s="824"/>
    </row>
    <row r="472" spans="1:22" ht="35.1" customHeight="1" x14ac:dyDescent="0.25">
      <c r="A472" s="432">
        <v>471</v>
      </c>
      <c r="B472" s="95">
        <v>45222</v>
      </c>
      <c r="C472" s="527"/>
      <c r="D472" s="527"/>
      <c r="E472" s="528"/>
      <c r="F472" s="527"/>
      <c r="G472" s="527">
        <v>3.18</v>
      </c>
      <c r="H472" s="527"/>
      <c r="I472" s="527">
        <v>177.24</v>
      </c>
      <c r="J472" s="527"/>
      <c r="K472" s="527"/>
      <c r="L472" s="527">
        <v>92.58</v>
      </c>
      <c r="M472" s="527">
        <v>179</v>
      </c>
      <c r="N472" s="540"/>
      <c r="O472" s="527">
        <f t="shared" ref="O472" si="9">SUM(G472:N472)+F472+D472</f>
        <v>452</v>
      </c>
      <c r="P472" s="815"/>
      <c r="Q472" s="821"/>
      <c r="R472" s="821"/>
      <c r="S472" s="821"/>
      <c r="T472" s="821"/>
      <c r="U472" s="821"/>
      <c r="V472" s="824"/>
    </row>
    <row r="473" spans="1:22" ht="35.1" customHeight="1" x14ac:dyDescent="0.25">
      <c r="A473" s="432">
        <v>472</v>
      </c>
      <c r="B473" s="95">
        <v>45223</v>
      </c>
      <c r="C473" s="432"/>
      <c r="D473" s="485"/>
      <c r="E473" s="433"/>
      <c r="F473" s="432"/>
      <c r="G473" s="432"/>
      <c r="H473" s="432"/>
      <c r="I473" s="432">
        <f>71.2-26</f>
        <v>45.2</v>
      </c>
      <c r="J473" s="432"/>
      <c r="K473" s="432"/>
      <c r="L473" s="432">
        <v>1</v>
      </c>
      <c r="M473" s="432">
        <v>495</v>
      </c>
      <c r="N473" s="540"/>
      <c r="O473" s="485">
        <f t="shared" si="7"/>
        <v>541.20000000000005</v>
      </c>
      <c r="P473" s="815"/>
      <c r="Q473" s="821"/>
      <c r="R473" s="821"/>
      <c r="S473" s="821"/>
      <c r="T473" s="821"/>
      <c r="U473" s="821"/>
      <c r="V473" s="824"/>
    </row>
    <row r="474" spans="1:22" ht="35.1" customHeight="1" x14ac:dyDescent="0.25">
      <c r="A474" s="432">
        <v>473</v>
      </c>
      <c r="B474" s="95">
        <v>45224</v>
      </c>
      <c r="C474" s="432"/>
      <c r="D474" s="485"/>
      <c r="E474" s="433" t="s">
        <v>718</v>
      </c>
      <c r="F474" s="432">
        <v>10</v>
      </c>
      <c r="G474" s="432"/>
      <c r="H474" s="432"/>
      <c r="I474" s="432">
        <v>130</v>
      </c>
      <c r="J474" s="432"/>
      <c r="K474" s="432"/>
      <c r="L474" s="432"/>
      <c r="M474" s="432">
        <v>600</v>
      </c>
      <c r="N474" s="540"/>
      <c r="O474" s="485">
        <f t="shared" si="7"/>
        <v>740</v>
      </c>
      <c r="P474" s="816"/>
      <c r="Q474" s="822"/>
      <c r="R474" s="822"/>
      <c r="S474" s="822"/>
      <c r="T474" s="822"/>
      <c r="U474" s="822"/>
      <c r="V474" s="825"/>
    </row>
    <row r="475" spans="1:22" ht="35.1" customHeight="1" x14ac:dyDescent="0.25">
      <c r="A475" s="432">
        <v>474</v>
      </c>
      <c r="B475" s="95">
        <v>45225</v>
      </c>
      <c r="C475" s="432"/>
      <c r="D475" s="485"/>
      <c r="E475" s="433"/>
      <c r="F475" s="432"/>
      <c r="G475" s="432"/>
      <c r="H475" s="432"/>
      <c r="I475" s="432">
        <v>114</v>
      </c>
      <c r="J475" s="432"/>
      <c r="K475" s="432"/>
      <c r="L475" s="432">
        <v>11</v>
      </c>
      <c r="M475" s="432">
        <v>83</v>
      </c>
      <c r="N475" s="540"/>
      <c r="O475" s="485">
        <f t="shared" si="7"/>
        <v>208</v>
      </c>
      <c r="P475" s="814">
        <f>SUM(Q475:V481)</f>
        <v>874.65000000000009</v>
      </c>
      <c r="Q475" s="820">
        <v>567.92999999999995</v>
      </c>
      <c r="R475" s="820">
        <v>45.510000000000005</v>
      </c>
      <c r="S475" s="820">
        <v>46.090000000000011</v>
      </c>
      <c r="T475" s="820">
        <v>93.33</v>
      </c>
      <c r="U475" s="820">
        <v>20.58</v>
      </c>
      <c r="V475" s="823">
        <v>101.21</v>
      </c>
    </row>
    <row r="476" spans="1:22" ht="35.1" customHeight="1" x14ac:dyDescent="0.25">
      <c r="A476" s="432">
        <v>475</v>
      </c>
      <c r="B476" s="95">
        <v>45226</v>
      </c>
      <c r="C476" s="432"/>
      <c r="D476" s="485"/>
      <c r="E476" s="433"/>
      <c r="F476" s="432"/>
      <c r="G476" s="432"/>
      <c r="H476" s="432"/>
      <c r="I476" s="432">
        <v>38</v>
      </c>
      <c r="J476" s="432"/>
      <c r="K476" s="432"/>
      <c r="L476" s="432">
        <v>40</v>
      </c>
      <c r="M476" s="432">
        <v>548</v>
      </c>
      <c r="N476" s="540"/>
      <c r="O476" s="485">
        <f t="shared" si="7"/>
        <v>626</v>
      </c>
      <c r="P476" s="815"/>
      <c r="Q476" s="821"/>
      <c r="R476" s="821"/>
      <c r="S476" s="821"/>
      <c r="T476" s="821"/>
      <c r="U476" s="821"/>
      <c r="V476" s="824"/>
    </row>
    <row r="477" spans="1:22" ht="35.1" customHeight="1" x14ac:dyDescent="0.25">
      <c r="A477" s="432">
        <v>476</v>
      </c>
      <c r="B477" s="95">
        <v>45227</v>
      </c>
      <c r="C477" s="432"/>
      <c r="D477" s="485"/>
      <c r="E477" s="433"/>
      <c r="F477" s="432"/>
      <c r="G477" s="432"/>
      <c r="H477" s="432"/>
      <c r="I477" s="432">
        <v>111</v>
      </c>
      <c r="J477" s="432">
        <v>140</v>
      </c>
      <c r="K477" s="432"/>
      <c r="L477" s="432"/>
      <c r="M477" s="432">
        <v>114</v>
      </c>
      <c r="N477" s="540"/>
      <c r="O477" s="485">
        <f t="shared" si="7"/>
        <v>365</v>
      </c>
      <c r="P477" s="815"/>
      <c r="Q477" s="821"/>
      <c r="R477" s="821"/>
      <c r="S477" s="821"/>
      <c r="T477" s="821"/>
      <c r="U477" s="821"/>
      <c r="V477" s="824"/>
    </row>
    <row r="478" spans="1:22" ht="35.1" customHeight="1" x14ac:dyDescent="0.25">
      <c r="A478" s="190">
        <v>477</v>
      </c>
      <c r="B478" s="191">
        <v>45228</v>
      </c>
      <c r="C478" s="190"/>
      <c r="D478" s="190"/>
      <c r="E478" s="250"/>
      <c r="F478" s="190"/>
      <c r="G478" s="190"/>
      <c r="H478" s="190"/>
      <c r="I478" s="190"/>
      <c r="J478" s="190"/>
      <c r="K478" s="190"/>
      <c r="L478" s="190"/>
      <c r="M478" s="190"/>
      <c r="N478" s="542"/>
      <c r="O478" s="190">
        <f t="shared" si="7"/>
        <v>0</v>
      </c>
      <c r="P478" s="815"/>
      <c r="Q478" s="821"/>
      <c r="R478" s="821"/>
      <c r="S478" s="821"/>
      <c r="T478" s="821"/>
      <c r="U478" s="821"/>
      <c r="V478" s="824"/>
    </row>
    <row r="479" spans="1:22" ht="35.1" customHeight="1" x14ac:dyDescent="0.25">
      <c r="A479" s="432">
        <v>478</v>
      </c>
      <c r="B479" s="95">
        <v>45229</v>
      </c>
      <c r="C479" s="432"/>
      <c r="D479" s="485"/>
      <c r="E479" s="433"/>
      <c r="F479" s="432"/>
      <c r="G479" s="432"/>
      <c r="H479" s="432"/>
      <c r="I479" s="432">
        <v>199</v>
      </c>
      <c r="J479" s="432">
        <v>44</v>
      </c>
      <c r="K479" s="432"/>
      <c r="L479" s="432"/>
      <c r="M479" s="432">
        <v>340</v>
      </c>
      <c r="N479" s="540"/>
      <c r="O479" s="485">
        <f t="shared" si="7"/>
        <v>583</v>
      </c>
      <c r="P479" s="815"/>
      <c r="Q479" s="821"/>
      <c r="R479" s="821"/>
      <c r="S479" s="821"/>
      <c r="T479" s="821"/>
      <c r="U479" s="821"/>
      <c r="V479" s="824"/>
    </row>
    <row r="480" spans="1:22" ht="35.1" customHeight="1" x14ac:dyDescent="0.25">
      <c r="A480" s="432">
        <v>479</v>
      </c>
      <c r="B480" s="95">
        <v>45230</v>
      </c>
      <c r="C480" s="432"/>
      <c r="D480" s="485"/>
      <c r="E480" s="433" t="s">
        <v>720</v>
      </c>
      <c r="F480" s="432">
        <v>5</v>
      </c>
      <c r="G480" s="432"/>
      <c r="H480" s="432"/>
      <c r="I480" s="432">
        <v>61</v>
      </c>
      <c r="J480" s="432">
        <v>120</v>
      </c>
      <c r="K480" s="432"/>
      <c r="L480" s="432">
        <v>100</v>
      </c>
      <c r="M480" s="432">
        <v>318</v>
      </c>
      <c r="N480" s="540"/>
      <c r="O480" s="485">
        <f t="shared" si="7"/>
        <v>604</v>
      </c>
      <c r="P480" s="815"/>
      <c r="Q480" s="821"/>
      <c r="R480" s="821"/>
      <c r="S480" s="821"/>
      <c r="T480" s="821"/>
      <c r="U480" s="821"/>
      <c r="V480" s="824"/>
    </row>
    <row r="481" spans="1:22" ht="35.1" customHeight="1" x14ac:dyDescent="0.25">
      <c r="A481" s="432">
        <v>480</v>
      </c>
      <c r="B481" s="95">
        <v>45231</v>
      </c>
      <c r="C481" s="432"/>
      <c r="D481" s="485"/>
      <c r="E481" s="433"/>
      <c r="F481" s="432"/>
      <c r="G481" s="432"/>
      <c r="H481" s="432"/>
      <c r="I481" s="432">
        <v>109</v>
      </c>
      <c r="J481" s="432">
        <v>351</v>
      </c>
      <c r="K481" s="432"/>
      <c r="L481" s="432"/>
      <c r="M481" s="432">
        <v>394</v>
      </c>
      <c r="N481" s="540"/>
      <c r="O481" s="485">
        <f t="shared" si="7"/>
        <v>854</v>
      </c>
      <c r="P481" s="816"/>
      <c r="Q481" s="822"/>
      <c r="R481" s="822"/>
      <c r="S481" s="822"/>
      <c r="T481" s="822"/>
      <c r="U481" s="822"/>
      <c r="V481" s="825"/>
    </row>
    <row r="482" spans="1:22" ht="35.1" customHeight="1" x14ac:dyDescent="0.25">
      <c r="A482" s="432">
        <v>481</v>
      </c>
      <c r="B482" s="95">
        <v>45232</v>
      </c>
      <c r="C482" s="432"/>
      <c r="D482" s="485"/>
      <c r="E482" s="433" t="s">
        <v>723</v>
      </c>
      <c r="F482" s="432">
        <v>15</v>
      </c>
      <c r="G482" s="432"/>
      <c r="H482" s="432"/>
      <c r="I482" s="432">
        <v>1064.58</v>
      </c>
      <c r="J482" s="432">
        <v>412</v>
      </c>
      <c r="K482" s="432"/>
      <c r="L482" s="432">
        <v>37.42</v>
      </c>
      <c r="M482" s="432">
        <v>1904</v>
      </c>
      <c r="N482" s="540"/>
      <c r="O482" s="485">
        <f t="shared" si="7"/>
        <v>3433</v>
      </c>
      <c r="P482" s="387"/>
      <c r="Q482" s="389"/>
      <c r="R482" s="389"/>
      <c r="S482" s="389"/>
      <c r="T482" s="389"/>
      <c r="U482" s="389"/>
      <c r="V482" s="515"/>
    </row>
    <row r="483" spans="1:22" ht="35.1" customHeight="1" x14ac:dyDescent="0.25">
      <c r="A483" s="432">
        <v>482</v>
      </c>
      <c r="B483" s="95">
        <v>45233</v>
      </c>
      <c r="C483" s="432"/>
      <c r="D483" s="485"/>
      <c r="E483" s="433" t="s">
        <v>725</v>
      </c>
      <c r="F483" s="432">
        <f>42+18+56</f>
        <v>116</v>
      </c>
      <c r="G483" s="432"/>
      <c r="H483" s="432"/>
      <c r="I483" s="432">
        <v>298</v>
      </c>
      <c r="J483" s="432">
        <v>21</v>
      </c>
      <c r="K483" s="432"/>
      <c r="L483" s="432">
        <v>52</v>
      </c>
      <c r="M483" s="432">
        <v>2107</v>
      </c>
      <c r="N483" s="540"/>
      <c r="O483" s="485">
        <f t="shared" si="7"/>
        <v>2594</v>
      </c>
      <c r="P483" s="387"/>
      <c r="Q483" s="389"/>
      <c r="R483" s="389"/>
      <c r="S483" s="389"/>
      <c r="T483" s="389"/>
      <c r="U483" s="389"/>
      <c r="V483" s="515"/>
    </row>
    <row r="484" spans="1:22" ht="35.1" customHeight="1" x14ac:dyDescent="0.25">
      <c r="A484" s="432">
        <v>483</v>
      </c>
      <c r="B484" s="95">
        <v>45234</v>
      </c>
      <c r="C484" s="432"/>
      <c r="D484" s="485"/>
      <c r="E484" s="433"/>
      <c r="F484" s="432"/>
      <c r="G484" s="432"/>
      <c r="H484" s="432"/>
      <c r="I484" s="432">
        <v>112.5</v>
      </c>
      <c r="J484" s="432">
        <v>122</v>
      </c>
      <c r="K484" s="432"/>
      <c r="L484" s="432">
        <v>40</v>
      </c>
      <c r="M484" s="432">
        <v>1408</v>
      </c>
      <c r="N484" s="540"/>
      <c r="O484" s="485">
        <f t="shared" si="7"/>
        <v>1682.5</v>
      </c>
      <c r="P484" s="387"/>
      <c r="Q484" s="389"/>
      <c r="R484" s="389"/>
      <c r="S484" s="389"/>
      <c r="T484" s="389"/>
      <c r="U484" s="389"/>
      <c r="V484" s="515"/>
    </row>
    <row r="485" spans="1:22" ht="35.1" customHeight="1" x14ac:dyDescent="0.25">
      <c r="A485" s="190">
        <v>484</v>
      </c>
      <c r="B485" s="191">
        <v>45235</v>
      </c>
      <c r="C485" s="190"/>
      <c r="D485" s="190"/>
      <c r="E485" s="250"/>
      <c r="F485" s="190"/>
      <c r="G485" s="190"/>
      <c r="H485" s="190"/>
      <c r="I485" s="190"/>
      <c r="J485" s="190"/>
      <c r="K485" s="190"/>
      <c r="L485" s="190"/>
      <c r="M485" s="190"/>
      <c r="N485" s="542"/>
      <c r="O485" s="190">
        <f t="shared" si="7"/>
        <v>0</v>
      </c>
      <c r="P485" s="392"/>
      <c r="Q485" s="393"/>
      <c r="R485" s="393"/>
      <c r="S485" s="393"/>
      <c r="T485" s="393"/>
      <c r="U485" s="393"/>
      <c r="V485" s="517"/>
    </row>
    <row r="486" spans="1:22" ht="56.25" customHeight="1" x14ac:dyDescent="0.25">
      <c r="A486" s="432">
        <v>485</v>
      </c>
      <c r="B486" s="95">
        <v>45236</v>
      </c>
      <c r="C486" s="432"/>
      <c r="D486" s="485"/>
      <c r="E486" s="433" t="s">
        <v>727</v>
      </c>
      <c r="F486" s="432">
        <f>30+12+165</f>
        <v>207</v>
      </c>
      <c r="G486" s="432"/>
      <c r="H486" s="432"/>
      <c r="I486" s="432">
        <v>336</v>
      </c>
      <c r="J486" s="432">
        <v>317</v>
      </c>
      <c r="K486" s="432"/>
      <c r="L486" s="432"/>
      <c r="M486" s="432">
        <v>906</v>
      </c>
      <c r="N486" s="540"/>
      <c r="O486" s="485">
        <f t="shared" si="7"/>
        <v>1766</v>
      </c>
      <c r="P486" s="387"/>
      <c r="Q486" s="389"/>
      <c r="R486" s="389"/>
      <c r="S486" s="389"/>
      <c r="T486" s="389"/>
      <c r="U486" s="389"/>
      <c r="V486" s="515"/>
    </row>
    <row r="487" spans="1:22" ht="35.1" customHeight="1" x14ac:dyDescent="0.25">
      <c r="A487" s="432">
        <v>486</v>
      </c>
      <c r="B487" s="95">
        <v>45237</v>
      </c>
      <c r="C487" s="432"/>
      <c r="D487" s="485"/>
      <c r="E487" s="433"/>
      <c r="F487" s="432"/>
      <c r="G487" s="432"/>
      <c r="H487" s="432"/>
      <c r="I487" s="432">
        <v>206</v>
      </c>
      <c r="J487" s="432">
        <v>777</v>
      </c>
      <c r="K487" s="432"/>
      <c r="L487" s="432">
        <v>10</v>
      </c>
      <c r="M487" s="432">
        <v>868</v>
      </c>
      <c r="N487" s="540"/>
      <c r="O487" s="485">
        <f t="shared" si="7"/>
        <v>1861</v>
      </c>
      <c r="P487" s="387"/>
      <c r="Q487" s="389"/>
      <c r="R487" s="389"/>
      <c r="S487" s="389"/>
      <c r="T487" s="389"/>
      <c r="U487" s="389"/>
      <c r="V487" s="515"/>
    </row>
    <row r="488" spans="1:22" ht="35.1" customHeight="1" x14ac:dyDescent="0.25">
      <c r="A488" s="432">
        <v>487</v>
      </c>
      <c r="B488" s="95">
        <v>45238</v>
      </c>
      <c r="C488" s="432"/>
      <c r="D488" s="485"/>
      <c r="E488" s="433"/>
      <c r="F488" s="432"/>
      <c r="G488" s="432"/>
      <c r="H488" s="432"/>
      <c r="I488" s="432">
        <v>95</v>
      </c>
      <c r="J488" s="432"/>
      <c r="K488" s="432"/>
      <c r="L488" s="432"/>
      <c r="M488" s="432">
        <v>1110</v>
      </c>
      <c r="N488" s="540"/>
      <c r="O488" s="485">
        <f t="shared" si="7"/>
        <v>1205</v>
      </c>
      <c r="P488" s="387"/>
      <c r="Q488" s="389"/>
      <c r="R488" s="389"/>
      <c r="S488" s="389"/>
      <c r="T488" s="389"/>
      <c r="U488" s="389"/>
      <c r="V488" s="515"/>
    </row>
    <row r="489" spans="1:22" ht="35.1" customHeight="1" x14ac:dyDescent="0.25">
      <c r="A489" s="432">
        <v>488</v>
      </c>
      <c r="B489" s="95">
        <v>45239</v>
      </c>
      <c r="C489" s="432"/>
      <c r="D489" s="485"/>
      <c r="E489" s="433" t="s">
        <v>728</v>
      </c>
      <c r="F489" s="432">
        <v>170</v>
      </c>
      <c r="G489" s="432"/>
      <c r="H489" s="432"/>
      <c r="I489" s="432">
        <v>53</v>
      </c>
      <c r="J489" s="432">
        <v>1052</v>
      </c>
      <c r="K489" s="432"/>
      <c r="L489" s="432"/>
      <c r="M489" s="432">
        <v>549</v>
      </c>
      <c r="N489" s="540"/>
      <c r="O489" s="485">
        <f t="shared" si="7"/>
        <v>1824</v>
      </c>
      <c r="P489" s="387"/>
      <c r="Q489" s="389"/>
      <c r="R489" s="389"/>
      <c r="S489" s="389"/>
      <c r="T489" s="389"/>
      <c r="U489" s="389"/>
      <c r="V489" s="515"/>
    </row>
    <row r="490" spans="1:22" ht="35.1" customHeight="1" x14ac:dyDescent="0.25">
      <c r="A490" s="432">
        <v>489</v>
      </c>
      <c r="B490" s="95">
        <v>45240</v>
      </c>
      <c r="C490" s="432"/>
      <c r="D490" s="485"/>
      <c r="E490" s="433" t="s">
        <v>730</v>
      </c>
      <c r="F490" s="432">
        <f>32</f>
        <v>32</v>
      </c>
      <c r="G490" s="432"/>
      <c r="H490" s="432">
        <v>207</v>
      </c>
      <c r="I490" s="432">
        <v>69.64</v>
      </c>
      <c r="J490" s="432">
        <v>192</v>
      </c>
      <c r="K490" s="432"/>
      <c r="L490" s="432">
        <v>3</v>
      </c>
      <c r="M490" s="432">
        <v>998</v>
      </c>
      <c r="N490" s="540"/>
      <c r="O490" s="485">
        <f t="shared" si="7"/>
        <v>1501.6399999999999</v>
      </c>
      <c r="P490" s="387"/>
      <c r="Q490" s="389"/>
      <c r="R490" s="389"/>
      <c r="S490" s="389"/>
      <c r="T490" s="389"/>
      <c r="U490" s="389"/>
      <c r="V490" s="515"/>
    </row>
    <row r="491" spans="1:22" ht="35.1" customHeight="1" x14ac:dyDescent="0.25">
      <c r="A491" s="432">
        <v>490</v>
      </c>
      <c r="B491" s="95">
        <v>45241</v>
      </c>
      <c r="C491" s="432"/>
      <c r="D491" s="485"/>
      <c r="E491" s="433"/>
      <c r="F491" s="432"/>
      <c r="G491" s="432"/>
      <c r="H491" s="432"/>
      <c r="I491" s="432">
        <v>68</v>
      </c>
      <c r="J491" s="432">
        <v>584</v>
      </c>
      <c r="K491" s="432"/>
      <c r="L491" s="432"/>
      <c r="M491" s="432">
        <v>681</v>
      </c>
      <c r="N491" s="540"/>
      <c r="O491" s="485">
        <f t="shared" si="7"/>
        <v>1333</v>
      </c>
      <c r="P491" s="387"/>
      <c r="Q491" s="389"/>
      <c r="R491" s="389"/>
      <c r="S491" s="389"/>
      <c r="T491" s="389"/>
      <c r="U491" s="389"/>
      <c r="V491" s="515"/>
    </row>
    <row r="492" spans="1:22" ht="35.1" customHeight="1" x14ac:dyDescent="0.25">
      <c r="A492" s="190">
        <v>491</v>
      </c>
      <c r="B492" s="191">
        <v>45242</v>
      </c>
      <c r="C492" s="190"/>
      <c r="D492" s="190"/>
      <c r="E492" s="250"/>
      <c r="F492" s="190"/>
      <c r="G492" s="190"/>
      <c r="H492" s="190"/>
      <c r="I492" s="190"/>
      <c r="J492" s="190"/>
      <c r="K492" s="190"/>
      <c r="L492" s="190"/>
      <c r="M492" s="190"/>
      <c r="N492" s="542"/>
      <c r="O492" s="190"/>
      <c r="P492" s="392"/>
      <c r="Q492" s="393"/>
      <c r="R492" s="393"/>
      <c r="S492" s="393"/>
      <c r="T492" s="393"/>
      <c r="U492" s="393"/>
      <c r="V492" s="517"/>
    </row>
    <row r="493" spans="1:22" ht="35.1" customHeight="1" x14ac:dyDescent="0.25">
      <c r="A493" s="535">
        <v>492</v>
      </c>
      <c r="B493" s="95">
        <v>45243</v>
      </c>
      <c r="C493" s="432"/>
      <c r="D493" s="485"/>
      <c r="E493" s="433"/>
      <c r="F493" s="432"/>
      <c r="G493" s="432"/>
      <c r="H493" s="432"/>
      <c r="I493" s="432">
        <v>13</v>
      </c>
      <c r="J493" s="432"/>
      <c r="K493" s="432"/>
      <c r="L493" s="432"/>
      <c r="M493" s="432">
        <v>789</v>
      </c>
      <c r="N493" s="540"/>
      <c r="O493" s="485">
        <f t="shared" si="7"/>
        <v>802</v>
      </c>
      <c r="P493" s="387"/>
      <c r="Q493" s="389"/>
      <c r="R493" s="389"/>
      <c r="S493" s="389"/>
      <c r="T493" s="389"/>
      <c r="U493" s="389"/>
      <c r="V493" s="515"/>
    </row>
    <row r="494" spans="1:22" ht="35.1" customHeight="1" x14ac:dyDescent="0.25">
      <c r="A494" s="535">
        <v>493</v>
      </c>
      <c r="B494" s="95">
        <v>45244</v>
      </c>
      <c r="C494" s="432"/>
      <c r="D494" s="485"/>
      <c r="E494" s="433" t="s">
        <v>732</v>
      </c>
      <c r="F494" s="432">
        <v>100</v>
      </c>
      <c r="G494" s="432"/>
      <c r="H494" s="432"/>
      <c r="I494" s="432">
        <v>4</v>
      </c>
      <c r="J494" s="432">
        <v>855</v>
      </c>
      <c r="K494" s="432"/>
      <c r="L494" s="432">
        <v>538</v>
      </c>
      <c r="M494" s="432">
        <v>936</v>
      </c>
      <c r="N494" s="540"/>
      <c r="O494" s="485">
        <f t="shared" si="7"/>
        <v>2433</v>
      </c>
      <c r="P494" s="387"/>
      <c r="Q494" s="389"/>
      <c r="R494" s="389"/>
      <c r="S494" s="389"/>
      <c r="T494" s="389"/>
      <c r="U494" s="389"/>
      <c r="V494" s="515"/>
    </row>
    <row r="495" spans="1:22" ht="35.1" customHeight="1" x14ac:dyDescent="0.25">
      <c r="A495" s="535">
        <v>494</v>
      </c>
      <c r="B495" s="95">
        <v>45245</v>
      </c>
      <c r="C495" s="432"/>
      <c r="D495" s="485"/>
      <c r="E495" s="433"/>
      <c r="F495" s="432"/>
      <c r="G495" s="432"/>
      <c r="H495" s="432"/>
      <c r="I495" s="432">
        <v>118</v>
      </c>
      <c r="J495" s="432">
        <v>32</v>
      </c>
      <c r="K495" s="432"/>
      <c r="L495" s="432">
        <v>200</v>
      </c>
      <c r="M495" s="432">
        <v>746</v>
      </c>
      <c r="N495" s="540"/>
      <c r="O495" s="485">
        <f t="shared" si="7"/>
        <v>1096</v>
      </c>
      <c r="P495" s="387"/>
      <c r="Q495" s="389"/>
      <c r="R495" s="389"/>
      <c r="S495" s="389"/>
      <c r="T495" s="389"/>
      <c r="U495" s="389"/>
      <c r="V495" s="515"/>
    </row>
    <row r="496" spans="1:22" ht="35.1" customHeight="1" x14ac:dyDescent="0.25">
      <c r="A496" s="535">
        <v>495</v>
      </c>
      <c r="B496" s="95">
        <v>45246</v>
      </c>
      <c r="C496" s="432"/>
      <c r="D496" s="485"/>
      <c r="E496" s="433"/>
      <c r="F496" s="432"/>
      <c r="G496" s="432"/>
      <c r="H496" s="432"/>
      <c r="I496" s="432">
        <v>408</v>
      </c>
      <c r="J496" s="432">
        <v>94</v>
      </c>
      <c r="K496" s="432"/>
      <c r="L496" s="432">
        <v>1072</v>
      </c>
      <c r="M496" s="432"/>
      <c r="N496" s="540"/>
      <c r="O496" s="485">
        <f t="shared" si="7"/>
        <v>1574</v>
      </c>
      <c r="P496" s="387"/>
      <c r="Q496" s="389"/>
      <c r="R496" s="389"/>
      <c r="S496" s="389"/>
      <c r="T496" s="389"/>
      <c r="U496" s="389"/>
      <c r="V496" s="515"/>
    </row>
    <row r="497" spans="1:22" ht="35.1" customHeight="1" x14ac:dyDescent="0.25">
      <c r="A497" s="535">
        <v>496</v>
      </c>
      <c r="B497" s="95">
        <v>45247</v>
      </c>
      <c r="C497" s="432"/>
      <c r="D497" s="485"/>
      <c r="E497" s="433" t="s">
        <v>737</v>
      </c>
      <c r="F497" s="432">
        <v>10</v>
      </c>
      <c r="G497" s="432"/>
      <c r="H497" s="432"/>
      <c r="I497" s="432">
        <v>233</v>
      </c>
      <c r="J497" s="432">
        <v>322</v>
      </c>
      <c r="K497" s="432"/>
      <c r="L497" s="432">
        <v>51</v>
      </c>
      <c r="M497" s="432">
        <v>414</v>
      </c>
      <c r="N497" s="540"/>
      <c r="O497" s="485">
        <f t="shared" si="7"/>
        <v>1030</v>
      </c>
      <c r="P497" s="387"/>
      <c r="Q497" s="389"/>
      <c r="R497" s="389"/>
      <c r="S497" s="389"/>
      <c r="T497" s="389"/>
      <c r="U497" s="389"/>
      <c r="V497" s="515"/>
    </row>
    <row r="498" spans="1:22" ht="35.1" customHeight="1" x14ac:dyDescent="0.25">
      <c r="A498" s="190">
        <v>497</v>
      </c>
      <c r="B498" s="191">
        <v>45248</v>
      </c>
      <c r="C498" s="190"/>
      <c r="D498" s="190"/>
      <c r="E498" s="250"/>
      <c r="F498" s="190"/>
      <c r="G498" s="190"/>
      <c r="H498" s="190"/>
      <c r="I498" s="190"/>
      <c r="J498" s="190"/>
      <c r="K498" s="190"/>
      <c r="L498" s="190"/>
      <c r="M498" s="190"/>
      <c r="N498" s="542"/>
      <c r="O498" s="190">
        <f t="shared" si="7"/>
        <v>0</v>
      </c>
      <c r="P498" s="392"/>
      <c r="Q498" s="393"/>
      <c r="R498" s="393"/>
      <c r="S498" s="393"/>
      <c r="T498" s="393"/>
      <c r="U498" s="393"/>
      <c r="V498" s="517"/>
    </row>
    <row r="499" spans="1:22" ht="35.1" customHeight="1" x14ac:dyDescent="0.25">
      <c r="A499" s="190">
        <v>498</v>
      </c>
      <c r="B499" s="191">
        <v>45249</v>
      </c>
      <c r="C499" s="190"/>
      <c r="D499" s="190"/>
      <c r="E499" s="250"/>
      <c r="F499" s="190"/>
      <c r="G499" s="190"/>
      <c r="H499" s="190"/>
      <c r="I499" s="190"/>
      <c r="J499" s="190"/>
      <c r="K499" s="190"/>
      <c r="L499" s="190"/>
      <c r="M499" s="190"/>
      <c r="N499" s="542"/>
      <c r="O499" s="190">
        <f t="shared" si="7"/>
        <v>0</v>
      </c>
      <c r="P499" s="392"/>
      <c r="Q499" s="393"/>
      <c r="R499" s="393"/>
      <c r="S499" s="393"/>
      <c r="T499" s="393"/>
      <c r="U499" s="393"/>
      <c r="V499" s="517"/>
    </row>
    <row r="500" spans="1:22" ht="35.1" customHeight="1" x14ac:dyDescent="0.25">
      <c r="A500" s="535">
        <v>499</v>
      </c>
      <c r="B500" s="95">
        <v>45250</v>
      </c>
      <c r="C500" s="432"/>
      <c r="D500" s="485"/>
      <c r="E500" s="433"/>
      <c r="F500" s="432"/>
      <c r="G500" s="432"/>
      <c r="H500" s="432"/>
      <c r="I500" s="537">
        <v>389</v>
      </c>
      <c r="J500" s="537">
        <v>128</v>
      </c>
      <c r="K500" s="537"/>
      <c r="L500" s="537">
        <v>257</v>
      </c>
      <c r="M500" s="537">
        <v>182</v>
      </c>
      <c r="N500" s="540"/>
      <c r="O500" s="485">
        <f t="shared" si="7"/>
        <v>956</v>
      </c>
      <c r="P500" s="387"/>
      <c r="Q500" s="389"/>
      <c r="R500" s="389"/>
      <c r="S500" s="389"/>
      <c r="T500" s="389"/>
      <c r="U500" s="389"/>
      <c r="V500" s="515"/>
    </row>
    <row r="501" spans="1:22" ht="35.1" customHeight="1" x14ac:dyDescent="0.25">
      <c r="A501" s="535">
        <v>500</v>
      </c>
      <c r="B501" s="95">
        <v>45251</v>
      </c>
      <c r="C501" s="432"/>
      <c r="D501" s="485"/>
      <c r="E501" s="433" t="s">
        <v>741</v>
      </c>
      <c r="F501" s="432">
        <v>87</v>
      </c>
      <c r="G501" s="432"/>
      <c r="H501" s="432"/>
      <c r="I501" s="432">
        <v>505</v>
      </c>
      <c r="J501" s="432"/>
      <c r="K501" s="432"/>
      <c r="L501" s="432">
        <v>141</v>
      </c>
      <c r="M501" s="432">
        <v>810</v>
      </c>
      <c r="N501" s="540"/>
      <c r="O501" s="485">
        <f t="shared" si="7"/>
        <v>1543</v>
      </c>
      <c r="P501" s="387"/>
      <c r="Q501" s="389"/>
      <c r="R501" s="389"/>
      <c r="S501" s="389"/>
      <c r="T501" s="389"/>
      <c r="U501" s="389"/>
      <c r="V501" s="515"/>
    </row>
    <row r="502" spans="1:22" ht="35.1" customHeight="1" x14ac:dyDescent="0.25">
      <c r="A502" s="535">
        <v>501</v>
      </c>
      <c r="B502" s="95">
        <v>45252</v>
      </c>
      <c r="C502" s="432"/>
      <c r="D502" s="485"/>
      <c r="E502" s="433"/>
      <c r="F502" s="432"/>
      <c r="G502" s="432"/>
      <c r="H502" s="432"/>
      <c r="I502" s="432">
        <v>387</v>
      </c>
      <c r="J502" s="432"/>
      <c r="K502" s="432"/>
      <c r="L502" s="432"/>
      <c r="M502" s="432">
        <v>238</v>
      </c>
      <c r="N502" s="540"/>
      <c r="O502" s="485">
        <f t="shared" si="7"/>
        <v>625</v>
      </c>
      <c r="P502" s="387"/>
      <c r="Q502" s="389"/>
      <c r="R502" s="389"/>
      <c r="S502" s="389"/>
      <c r="T502" s="389"/>
      <c r="U502" s="389"/>
      <c r="V502" s="515"/>
    </row>
    <row r="503" spans="1:22" ht="35.1" customHeight="1" x14ac:dyDescent="0.25">
      <c r="A503" s="535">
        <v>502</v>
      </c>
      <c r="B503" s="95">
        <v>45253</v>
      </c>
      <c r="C503" s="432"/>
      <c r="D503" s="485"/>
      <c r="E503" s="433"/>
      <c r="F503" s="432"/>
      <c r="G503" s="432"/>
      <c r="H503" s="432"/>
      <c r="I503" s="432">
        <v>517.32000000000005</v>
      </c>
      <c r="J503" s="432">
        <v>309</v>
      </c>
      <c r="K503" s="432"/>
      <c r="L503" s="432"/>
      <c r="M503" s="432">
        <v>512</v>
      </c>
      <c r="N503" s="540"/>
      <c r="O503" s="485">
        <f t="shared" si="7"/>
        <v>1338.3200000000002</v>
      </c>
      <c r="P503" s="387"/>
      <c r="Q503" s="389"/>
      <c r="R503" s="389"/>
      <c r="S503" s="389"/>
      <c r="T503" s="389"/>
      <c r="U503" s="389"/>
      <c r="V503" s="515"/>
    </row>
    <row r="504" spans="1:22" ht="35.1" customHeight="1" x14ac:dyDescent="0.25">
      <c r="A504" s="535">
        <v>503</v>
      </c>
      <c r="B504" s="95">
        <v>45254</v>
      </c>
      <c r="C504" s="432"/>
      <c r="D504" s="485"/>
      <c r="E504" s="433" t="s">
        <v>742</v>
      </c>
      <c r="F504" s="432">
        <v>24.5</v>
      </c>
      <c r="G504" s="432"/>
      <c r="H504" s="432"/>
      <c r="I504" s="432">
        <v>233</v>
      </c>
      <c r="J504" s="432">
        <v>53</v>
      </c>
      <c r="K504" s="432"/>
      <c r="L504" s="432">
        <v>142.5</v>
      </c>
      <c r="M504" s="432">
        <v>652</v>
      </c>
      <c r="N504" s="540">
        <v>52</v>
      </c>
      <c r="O504" s="485">
        <f t="shared" si="7"/>
        <v>1157</v>
      </c>
      <c r="P504" s="387"/>
      <c r="Q504" s="389"/>
      <c r="R504" s="389"/>
      <c r="S504" s="389"/>
      <c r="T504" s="389"/>
      <c r="U504" s="389"/>
      <c r="V504" s="515"/>
    </row>
    <row r="505" spans="1:22" ht="35.1" customHeight="1" x14ac:dyDescent="0.25">
      <c r="A505" s="535">
        <v>504</v>
      </c>
      <c r="B505" s="95">
        <v>45255</v>
      </c>
      <c r="C505" s="432"/>
      <c r="D505" s="485"/>
      <c r="E505" s="433"/>
      <c r="F505" s="432"/>
      <c r="G505" s="432"/>
      <c r="H505" s="432"/>
      <c r="I505" s="432">
        <v>198.11</v>
      </c>
      <c r="J505" s="432">
        <v>2351</v>
      </c>
      <c r="K505" s="432"/>
      <c r="L505" s="432"/>
      <c r="M505" s="432">
        <v>404</v>
      </c>
      <c r="N505" s="540"/>
      <c r="O505" s="485">
        <f t="shared" ref="O505:O568" si="10">SUM(G505:N505)+F505+D505</f>
        <v>2953.11</v>
      </c>
      <c r="P505" s="387"/>
      <c r="Q505" s="389"/>
      <c r="R505" s="389"/>
      <c r="S505" s="389"/>
      <c r="T505" s="389"/>
      <c r="U505" s="389"/>
      <c r="V505" s="515"/>
    </row>
    <row r="506" spans="1:22" ht="35.1" customHeight="1" x14ac:dyDescent="0.25">
      <c r="A506" s="190">
        <v>505</v>
      </c>
      <c r="B506" s="191">
        <v>45256</v>
      </c>
      <c r="C506" s="190"/>
      <c r="D506" s="190"/>
      <c r="E506" s="250"/>
      <c r="F506" s="190"/>
      <c r="G506" s="190"/>
      <c r="H506" s="190"/>
      <c r="I506" s="190"/>
      <c r="J506" s="190"/>
      <c r="K506" s="190"/>
      <c r="L506" s="190"/>
      <c r="M506" s="190"/>
      <c r="N506" s="542"/>
      <c r="O506" s="190">
        <f t="shared" si="10"/>
        <v>0</v>
      </c>
      <c r="P506" s="392"/>
      <c r="Q506" s="393"/>
      <c r="R506" s="393"/>
      <c r="S506" s="393"/>
      <c r="T506" s="393"/>
      <c r="U506" s="393"/>
      <c r="V506" s="517"/>
    </row>
    <row r="507" spans="1:22" ht="35.1" customHeight="1" x14ac:dyDescent="0.25">
      <c r="A507" s="535">
        <v>506</v>
      </c>
      <c r="B507" s="95">
        <v>45257</v>
      </c>
      <c r="C507" s="432"/>
      <c r="D507" s="485"/>
      <c r="E507" s="433"/>
      <c r="F507" s="432"/>
      <c r="G507" s="432"/>
      <c r="H507" s="432"/>
      <c r="I507" s="432">
        <v>272</v>
      </c>
      <c r="J507" s="432">
        <v>40</v>
      </c>
      <c r="K507" s="432"/>
      <c r="L507" s="432">
        <v>250</v>
      </c>
      <c r="M507" s="432">
        <v>207</v>
      </c>
      <c r="N507" s="540"/>
      <c r="O507" s="485">
        <f t="shared" si="10"/>
        <v>769</v>
      </c>
      <c r="P507" s="387"/>
      <c r="Q507" s="389"/>
      <c r="R507" s="389"/>
      <c r="S507" s="389"/>
      <c r="T507" s="389"/>
      <c r="U507" s="389"/>
      <c r="V507" s="515"/>
    </row>
    <row r="508" spans="1:22" ht="35.1" customHeight="1" x14ac:dyDescent="0.25">
      <c r="A508" s="535">
        <v>507</v>
      </c>
      <c r="B508" s="95">
        <v>45258</v>
      </c>
      <c r="C508" s="432"/>
      <c r="D508" s="485"/>
      <c r="E508" s="433" t="s">
        <v>718</v>
      </c>
      <c r="F508" s="432">
        <v>8</v>
      </c>
      <c r="G508" s="432"/>
      <c r="H508" s="432">
        <v>167</v>
      </c>
      <c r="I508" s="432">
        <v>134</v>
      </c>
      <c r="J508" s="432">
        <v>100</v>
      </c>
      <c r="K508" s="432"/>
      <c r="L508" s="432"/>
      <c r="M508" s="432">
        <v>562</v>
      </c>
      <c r="N508" s="540"/>
      <c r="O508" s="485">
        <f t="shared" si="10"/>
        <v>971</v>
      </c>
      <c r="P508" s="387"/>
      <c r="Q508" s="389"/>
      <c r="R508" s="389"/>
      <c r="S508" s="389"/>
      <c r="T508" s="389"/>
      <c r="U508" s="389"/>
      <c r="V508" s="515"/>
    </row>
    <row r="509" spans="1:22" ht="35.1" customHeight="1" x14ac:dyDescent="0.25">
      <c r="A509" s="535">
        <v>508</v>
      </c>
      <c r="B509" s="95">
        <v>45259</v>
      </c>
      <c r="C509" s="432"/>
      <c r="D509" s="485"/>
      <c r="E509" s="433" t="s">
        <v>748</v>
      </c>
      <c r="F509" s="432">
        <v>150</v>
      </c>
      <c r="G509" s="432"/>
      <c r="H509" s="432">
        <v>150</v>
      </c>
      <c r="I509" s="432">
        <v>298</v>
      </c>
      <c r="J509" s="432">
        <v>453</v>
      </c>
      <c r="K509" s="432"/>
      <c r="L509" s="432"/>
      <c r="M509" s="432">
        <v>1257</v>
      </c>
      <c r="N509" s="540"/>
      <c r="O509" s="485">
        <f t="shared" si="10"/>
        <v>2308</v>
      </c>
      <c r="P509" s="387"/>
      <c r="Q509" s="389"/>
      <c r="R509" s="389"/>
      <c r="S509" s="389"/>
      <c r="T509" s="389"/>
      <c r="U509" s="389"/>
      <c r="V509" s="515"/>
    </row>
    <row r="510" spans="1:22" ht="35.1" customHeight="1" x14ac:dyDescent="0.25">
      <c r="A510" s="535">
        <v>509</v>
      </c>
      <c r="B510" s="95">
        <v>45260</v>
      </c>
      <c r="C510" s="432"/>
      <c r="D510" s="485"/>
      <c r="E510" s="433" t="s">
        <v>750</v>
      </c>
      <c r="F510" s="432">
        <f>5+6</f>
        <v>11</v>
      </c>
      <c r="G510" s="432"/>
      <c r="H510" s="432"/>
      <c r="I510" s="432">
        <v>20</v>
      </c>
      <c r="J510" s="432"/>
      <c r="K510" s="432"/>
      <c r="L510" s="432">
        <v>50</v>
      </c>
      <c r="M510" s="432">
        <v>325</v>
      </c>
      <c r="N510" s="540"/>
      <c r="O510" s="485">
        <f t="shared" si="10"/>
        <v>406</v>
      </c>
      <c r="P510" s="387"/>
      <c r="Q510" s="389"/>
      <c r="R510" s="389"/>
      <c r="S510" s="389"/>
      <c r="T510" s="389"/>
      <c r="U510" s="389"/>
      <c r="V510" s="515"/>
    </row>
    <row r="511" spans="1:22" ht="35.1" customHeight="1" x14ac:dyDescent="0.25">
      <c r="A511" s="535">
        <v>510</v>
      </c>
      <c r="B511" s="95">
        <v>45261</v>
      </c>
      <c r="C511" s="432"/>
      <c r="D511" s="485"/>
      <c r="E511" s="433"/>
      <c r="F511" s="432"/>
      <c r="G511" s="432"/>
      <c r="H511" s="432"/>
      <c r="I511" s="432">
        <v>105</v>
      </c>
      <c r="J511" s="432">
        <v>56</v>
      </c>
      <c r="K511" s="432"/>
      <c r="L511" s="432">
        <v>45</v>
      </c>
      <c r="M511" s="432">
        <v>305</v>
      </c>
      <c r="N511" s="540"/>
      <c r="O511" s="485">
        <f t="shared" si="10"/>
        <v>511</v>
      </c>
      <c r="P511" s="387"/>
      <c r="Q511" s="389"/>
      <c r="R511" s="389"/>
      <c r="S511" s="389"/>
      <c r="T511" s="389"/>
      <c r="U511" s="389"/>
      <c r="V511" s="515"/>
    </row>
    <row r="512" spans="1:22" ht="96.75" customHeight="1" x14ac:dyDescent="0.25">
      <c r="A512" s="535">
        <v>511</v>
      </c>
      <c r="B512" s="95">
        <v>45262</v>
      </c>
      <c r="C512" s="432"/>
      <c r="D512" s="485"/>
      <c r="E512" s="433" t="s">
        <v>752</v>
      </c>
      <c r="F512" s="432">
        <f>13+27+155+67</f>
        <v>262</v>
      </c>
      <c r="G512" s="432"/>
      <c r="H512" s="432"/>
      <c r="I512" s="432">
        <v>90.45</v>
      </c>
      <c r="J512" s="432">
        <v>210</v>
      </c>
      <c r="K512" s="432"/>
      <c r="L512" s="432"/>
      <c r="M512" s="432">
        <v>565</v>
      </c>
      <c r="N512" s="540"/>
      <c r="O512" s="485">
        <f t="shared" si="10"/>
        <v>1127.45</v>
      </c>
      <c r="P512" s="387"/>
      <c r="Q512" s="389"/>
      <c r="R512" s="389"/>
      <c r="S512" s="389"/>
      <c r="T512" s="389"/>
      <c r="U512" s="389"/>
      <c r="V512" s="515"/>
    </row>
    <row r="513" spans="1:22" ht="35.1" customHeight="1" x14ac:dyDescent="0.25">
      <c r="A513" s="190" t="s">
        <v>754</v>
      </c>
      <c r="B513" s="191">
        <v>45263</v>
      </c>
      <c r="C513" s="190"/>
      <c r="D513" s="190"/>
      <c r="E513" s="250"/>
      <c r="F513" s="190"/>
      <c r="G513" s="190"/>
      <c r="H513" s="190"/>
      <c r="I513" s="190"/>
      <c r="J513" s="190"/>
      <c r="K513" s="190"/>
      <c r="L513" s="190"/>
      <c r="M513" s="190"/>
      <c r="N513" s="542"/>
      <c r="O513" s="190">
        <f t="shared" si="10"/>
        <v>0</v>
      </c>
      <c r="P513" s="392"/>
      <c r="Q513" s="393"/>
      <c r="R513" s="393"/>
      <c r="S513" s="393"/>
      <c r="T513" s="393"/>
      <c r="U513" s="393"/>
      <c r="V513" s="517"/>
    </row>
    <row r="514" spans="1:22" ht="116.25" customHeight="1" x14ac:dyDescent="0.25">
      <c r="A514" s="535">
        <v>513</v>
      </c>
      <c r="B514" s="95">
        <v>45264</v>
      </c>
      <c r="C514" s="432"/>
      <c r="D514" s="485"/>
      <c r="E514" s="550" t="s">
        <v>753</v>
      </c>
      <c r="F514" s="432">
        <f>84+30+8+184+24+42</f>
        <v>372</v>
      </c>
      <c r="G514" s="432"/>
      <c r="H514" s="432"/>
      <c r="I514" s="432">
        <v>39.56</v>
      </c>
      <c r="J514" s="432">
        <v>208</v>
      </c>
      <c r="K514" s="432"/>
      <c r="L514" s="432">
        <v>2</v>
      </c>
      <c r="M514" s="432">
        <v>110</v>
      </c>
      <c r="N514" s="540"/>
      <c r="O514" s="485">
        <f t="shared" si="10"/>
        <v>731.56</v>
      </c>
      <c r="P514" s="387"/>
      <c r="Q514" s="389"/>
      <c r="R514" s="389"/>
      <c r="S514" s="389"/>
      <c r="T514" s="389"/>
      <c r="U514" s="389"/>
      <c r="V514" s="515"/>
    </row>
    <row r="515" spans="1:22" ht="35.1" customHeight="1" x14ac:dyDescent="0.25">
      <c r="A515" s="535">
        <v>514</v>
      </c>
      <c r="B515" s="95">
        <v>45265</v>
      </c>
      <c r="C515" s="432"/>
      <c r="D515" s="485"/>
      <c r="E515" s="552"/>
      <c r="F515" s="551"/>
      <c r="G515" s="551">
        <v>7</v>
      </c>
      <c r="H515" s="551"/>
      <c r="I515" s="551">
        <v>252</v>
      </c>
      <c r="J515" s="551">
        <v>289</v>
      </c>
      <c r="K515" s="551"/>
      <c r="L515" s="551">
        <v>8</v>
      </c>
      <c r="M515" s="551">
        <v>198</v>
      </c>
      <c r="N515" s="540"/>
      <c r="O515" s="485">
        <f t="shared" si="10"/>
        <v>754</v>
      </c>
      <c r="P515" s="387"/>
      <c r="Q515" s="389"/>
      <c r="R515" s="389"/>
      <c r="S515" s="389"/>
      <c r="T515" s="389"/>
      <c r="U515" s="389"/>
      <c r="V515" s="515"/>
    </row>
    <row r="516" spans="1:22" ht="35.1" customHeight="1" x14ac:dyDescent="0.25">
      <c r="A516" s="535">
        <v>515</v>
      </c>
      <c r="B516" s="95">
        <v>45266</v>
      </c>
      <c r="C516" s="432"/>
      <c r="D516" s="485"/>
      <c r="E516" s="433"/>
      <c r="F516" s="432"/>
      <c r="G516" s="432"/>
      <c r="H516" s="432"/>
      <c r="I516" s="432">
        <v>131</v>
      </c>
      <c r="J516" s="432">
        <v>15</v>
      </c>
      <c r="K516" s="432"/>
      <c r="L516" s="432"/>
      <c r="M516" s="432">
        <v>140</v>
      </c>
      <c r="N516" s="540"/>
      <c r="O516" s="485">
        <f t="shared" si="10"/>
        <v>286</v>
      </c>
      <c r="P516" s="387"/>
      <c r="Q516" s="389"/>
      <c r="R516" s="389"/>
      <c r="S516" s="389"/>
      <c r="T516" s="389"/>
      <c r="U516" s="389"/>
      <c r="V516" s="515"/>
    </row>
    <row r="517" spans="1:22" ht="35.1" customHeight="1" x14ac:dyDescent="0.25">
      <c r="A517" s="535">
        <v>516</v>
      </c>
      <c r="B517" s="95">
        <v>45267</v>
      </c>
      <c r="C517" s="432"/>
      <c r="D517" s="485"/>
      <c r="E517" s="433" t="s">
        <v>757</v>
      </c>
      <c r="F517" s="432">
        <f>5+7.68</f>
        <v>12.68</v>
      </c>
      <c r="G517" s="432"/>
      <c r="H517" s="432"/>
      <c r="I517" s="432">
        <v>187</v>
      </c>
      <c r="J517" s="432">
        <v>285</v>
      </c>
      <c r="K517" s="432"/>
      <c r="L517" s="432">
        <v>20</v>
      </c>
      <c r="M517" s="432">
        <v>472</v>
      </c>
      <c r="N517" s="540"/>
      <c r="O517" s="485">
        <f t="shared" si="10"/>
        <v>976.68</v>
      </c>
      <c r="P517" s="387"/>
      <c r="Q517" s="389"/>
      <c r="R517" s="389"/>
      <c r="S517" s="389"/>
      <c r="T517" s="389"/>
      <c r="U517" s="389"/>
      <c r="V517" s="515"/>
    </row>
    <row r="518" spans="1:22" ht="35.1" customHeight="1" x14ac:dyDescent="0.25">
      <c r="A518" s="535">
        <v>517</v>
      </c>
      <c r="B518" s="95">
        <v>45268</v>
      </c>
      <c r="C518" s="432"/>
      <c r="D518" s="485"/>
      <c r="E518" s="433" t="s">
        <v>769</v>
      </c>
      <c r="F518" s="432">
        <v>200</v>
      </c>
      <c r="G518" s="432"/>
      <c r="H518" s="432"/>
      <c r="I518" s="432">
        <v>39</v>
      </c>
      <c r="J518" s="432">
        <v>118</v>
      </c>
      <c r="K518" s="432"/>
      <c r="L518" s="432"/>
      <c r="M518" s="432">
        <v>840</v>
      </c>
      <c r="N518" s="540"/>
      <c r="O518" s="485">
        <f t="shared" si="10"/>
        <v>1197</v>
      </c>
      <c r="P518" s="387"/>
      <c r="Q518" s="389"/>
      <c r="R518" s="389"/>
      <c r="S518" s="389"/>
      <c r="T518" s="389"/>
      <c r="U518" s="389"/>
      <c r="V518" s="515"/>
    </row>
    <row r="519" spans="1:22" ht="35.1" customHeight="1" x14ac:dyDescent="0.25">
      <c r="A519" s="535">
        <v>518</v>
      </c>
      <c r="B519" s="95">
        <v>45269</v>
      </c>
      <c r="C519" s="432"/>
      <c r="D519" s="485"/>
      <c r="E519" s="433" t="s">
        <v>770</v>
      </c>
      <c r="F519" s="432">
        <f>20+7</f>
        <v>27</v>
      </c>
      <c r="G519" s="432"/>
      <c r="H519" s="432"/>
      <c r="I519" s="432">
        <v>102</v>
      </c>
      <c r="J519" s="432"/>
      <c r="K519" s="432"/>
      <c r="L519" s="432">
        <v>100</v>
      </c>
      <c r="M519" s="432">
        <f>363-21</f>
        <v>342</v>
      </c>
      <c r="N519" s="540"/>
      <c r="O519" s="485">
        <f t="shared" si="10"/>
        <v>571</v>
      </c>
      <c r="P519" s="387"/>
      <c r="Q519" s="389"/>
      <c r="R519" s="389"/>
      <c r="S519" s="389"/>
      <c r="T519" s="389"/>
      <c r="U519" s="389"/>
      <c r="V519" s="515"/>
    </row>
    <row r="520" spans="1:22" ht="35.1" customHeight="1" x14ac:dyDescent="0.25">
      <c r="A520" s="535">
        <v>519</v>
      </c>
      <c r="B520" s="95">
        <v>45270</v>
      </c>
      <c r="C520" s="432"/>
      <c r="D520" s="485"/>
      <c r="E520" s="433"/>
      <c r="F520" s="432"/>
      <c r="G520" s="432"/>
      <c r="H520" s="432"/>
      <c r="I520" s="432">
        <v>28.82</v>
      </c>
      <c r="J520" s="432"/>
      <c r="K520" s="432"/>
      <c r="L520" s="432">
        <v>58</v>
      </c>
      <c r="M520" s="432">
        <v>66</v>
      </c>
      <c r="N520" s="540"/>
      <c r="O520" s="485">
        <f t="shared" si="10"/>
        <v>152.82</v>
      </c>
      <c r="P520" s="387"/>
      <c r="Q520" s="389"/>
      <c r="R520" s="389"/>
      <c r="S520" s="389"/>
      <c r="T520" s="389"/>
      <c r="U520" s="389"/>
      <c r="V520" s="515"/>
    </row>
    <row r="521" spans="1:22" ht="35.1" customHeight="1" x14ac:dyDescent="0.25">
      <c r="A521" s="535">
        <v>520</v>
      </c>
      <c r="B521" s="95">
        <v>45271</v>
      </c>
      <c r="C521" s="432"/>
      <c r="D521" s="485"/>
      <c r="E521" s="433" t="s">
        <v>718</v>
      </c>
      <c r="F521" s="432">
        <v>28</v>
      </c>
      <c r="G521" s="432"/>
      <c r="H521" s="432"/>
      <c r="I521" s="432">
        <v>72</v>
      </c>
      <c r="J521" s="432"/>
      <c r="K521" s="432"/>
      <c r="L521" s="432">
        <v>44</v>
      </c>
      <c r="M521" s="432">
        <v>410</v>
      </c>
      <c r="N521" s="540"/>
      <c r="O521" s="485">
        <f t="shared" si="10"/>
        <v>554</v>
      </c>
      <c r="P521" s="387"/>
      <c r="Q521" s="389"/>
      <c r="R521" s="389"/>
      <c r="S521" s="389"/>
      <c r="T521" s="389"/>
      <c r="U521" s="389"/>
      <c r="V521" s="515"/>
    </row>
    <row r="522" spans="1:22" ht="35.1" customHeight="1" x14ac:dyDescent="0.25">
      <c r="A522" s="535">
        <v>521</v>
      </c>
      <c r="B522" s="95">
        <v>45272</v>
      </c>
      <c r="C522" s="432"/>
      <c r="D522" s="485"/>
      <c r="E522" s="433" t="s">
        <v>741</v>
      </c>
      <c r="F522" s="432">
        <v>7</v>
      </c>
      <c r="G522" s="432"/>
      <c r="H522" s="432"/>
      <c r="I522" s="432">
        <v>62</v>
      </c>
      <c r="J522" s="432"/>
      <c r="K522" s="432"/>
      <c r="L522" s="432">
        <v>36</v>
      </c>
      <c r="M522" s="432">
        <v>362</v>
      </c>
      <c r="N522" s="540"/>
      <c r="O522" s="485">
        <f t="shared" si="10"/>
        <v>467</v>
      </c>
      <c r="P522" s="387"/>
      <c r="Q522" s="389"/>
      <c r="R522" s="389"/>
      <c r="S522" s="389"/>
      <c r="T522" s="389"/>
      <c r="U522" s="389"/>
      <c r="V522" s="515"/>
    </row>
    <row r="523" spans="1:22" ht="35.1" customHeight="1" x14ac:dyDescent="0.25">
      <c r="A523" s="535">
        <v>522</v>
      </c>
      <c r="B523" s="95">
        <v>45273</v>
      </c>
      <c r="C523" s="432"/>
      <c r="D523" s="485"/>
      <c r="E523" s="433"/>
      <c r="F523" s="432"/>
      <c r="G523" s="432"/>
      <c r="H523" s="432"/>
      <c r="I523" s="432">
        <v>61</v>
      </c>
      <c r="J523" s="432">
        <v>74</v>
      </c>
      <c r="K523" s="432"/>
      <c r="L523" s="432"/>
      <c r="M523" s="432">
        <v>940</v>
      </c>
      <c r="N523" s="540"/>
      <c r="O523" s="485">
        <f t="shared" si="10"/>
        <v>1075</v>
      </c>
      <c r="P523" s="387"/>
      <c r="Q523" s="389"/>
      <c r="R523" s="389"/>
      <c r="S523" s="389"/>
      <c r="T523" s="389"/>
      <c r="U523" s="389"/>
      <c r="V523" s="515"/>
    </row>
    <row r="524" spans="1:22" ht="35.1" customHeight="1" x14ac:dyDescent="0.25">
      <c r="A524" s="535">
        <v>523</v>
      </c>
      <c r="B524" s="95">
        <v>45274</v>
      </c>
      <c r="C524" s="432"/>
      <c r="D524" s="485"/>
      <c r="E524" s="433"/>
      <c r="F524" s="432"/>
      <c r="G524" s="432"/>
      <c r="H524" s="432"/>
      <c r="I524" s="432">
        <v>50</v>
      </c>
      <c r="J524" s="432"/>
      <c r="K524" s="432"/>
      <c r="L524" s="432">
        <v>3</v>
      </c>
      <c r="M524" s="432">
        <v>272</v>
      </c>
      <c r="N524" s="540"/>
      <c r="O524" s="485">
        <f t="shared" si="10"/>
        <v>325</v>
      </c>
      <c r="P524" s="387"/>
      <c r="Q524" s="389"/>
      <c r="R524" s="389"/>
      <c r="S524" s="389"/>
      <c r="T524" s="389"/>
      <c r="U524" s="389"/>
      <c r="V524" s="515"/>
    </row>
    <row r="525" spans="1:22" ht="35.1" customHeight="1" x14ac:dyDescent="0.25">
      <c r="A525" s="535">
        <v>524</v>
      </c>
      <c r="B525" s="95">
        <v>45275</v>
      </c>
      <c r="C525" s="432"/>
      <c r="D525" s="485"/>
      <c r="E525" s="433" t="s">
        <v>778</v>
      </c>
      <c r="F525" s="432">
        <v>30</v>
      </c>
      <c r="G525" s="432"/>
      <c r="H525" s="432"/>
      <c r="I525" s="432"/>
      <c r="J525" s="432">
        <v>80</v>
      </c>
      <c r="K525" s="432"/>
      <c r="L525" s="432">
        <v>48</v>
      </c>
      <c r="M525" s="432">
        <v>262</v>
      </c>
      <c r="N525" s="540"/>
      <c r="O525" s="485">
        <f t="shared" si="10"/>
        <v>420</v>
      </c>
      <c r="P525" s="387"/>
      <c r="Q525" s="389"/>
      <c r="R525" s="389"/>
      <c r="S525" s="389"/>
      <c r="T525" s="389"/>
      <c r="U525" s="389"/>
      <c r="V525" s="515"/>
    </row>
    <row r="526" spans="1:22" ht="35.1" customHeight="1" x14ac:dyDescent="0.25">
      <c r="A526" s="535">
        <v>525</v>
      </c>
      <c r="B526" s="95">
        <v>45276</v>
      </c>
      <c r="C526" s="432"/>
      <c r="D526" s="485"/>
      <c r="E526" s="433" t="s">
        <v>779</v>
      </c>
      <c r="F526" s="432">
        <f>34+28</f>
        <v>62</v>
      </c>
      <c r="G526" s="432"/>
      <c r="H526" s="432"/>
      <c r="I526" s="432">
        <v>233</v>
      </c>
      <c r="J526" s="432">
        <v>124</v>
      </c>
      <c r="K526" s="432"/>
      <c r="L526" s="432">
        <v>56</v>
      </c>
      <c r="M526" s="432">
        <v>428</v>
      </c>
      <c r="N526" s="540"/>
      <c r="O526" s="485">
        <f t="shared" si="10"/>
        <v>903</v>
      </c>
      <c r="P526" s="387"/>
      <c r="Q526" s="389"/>
      <c r="R526" s="389"/>
      <c r="S526" s="389"/>
      <c r="T526" s="389"/>
      <c r="U526" s="389"/>
      <c r="V526" s="515"/>
    </row>
    <row r="527" spans="1:22" ht="35.1" customHeight="1" x14ac:dyDescent="0.25">
      <c r="A527" s="535">
        <v>526</v>
      </c>
      <c r="B527" s="95">
        <v>45277</v>
      </c>
      <c r="C527" s="432"/>
      <c r="D527" s="485"/>
      <c r="E527" s="433"/>
      <c r="F527" s="432"/>
      <c r="G527" s="432"/>
      <c r="H527" s="432"/>
      <c r="I527" s="432">
        <v>181</v>
      </c>
      <c r="J527" s="432"/>
      <c r="K527" s="432"/>
      <c r="L527" s="432">
        <v>6</v>
      </c>
      <c r="M527" s="432">
        <v>62</v>
      </c>
      <c r="N527" s="540"/>
      <c r="O527" s="485">
        <f t="shared" si="10"/>
        <v>249</v>
      </c>
      <c r="P527" s="387"/>
      <c r="Q527" s="389"/>
      <c r="R527" s="389"/>
      <c r="S527" s="389"/>
      <c r="T527" s="389"/>
      <c r="U527" s="389"/>
      <c r="V527" s="515"/>
    </row>
    <row r="528" spans="1:22" ht="35.1" customHeight="1" x14ac:dyDescent="0.25">
      <c r="A528" s="535">
        <v>527</v>
      </c>
      <c r="B528" s="95">
        <v>45278</v>
      </c>
      <c r="C528" s="432"/>
      <c r="D528" s="485"/>
      <c r="E528" s="433" t="s">
        <v>718</v>
      </c>
      <c r="F528" s="432">
        <f>32+21</f>
        <v>53</v>
      </c>
      <c r="G528" s="432"/>
      <c r="H528" s="432"/>
      <c r="I528" s="432">
        <v>148.69999999999999</v>
      </c>
      <c r="J528" s="432">
        <v>152</v>
      </c>
      <c r="K528" s="432"/>
      <c r="L528" s="432">
        <v>66.5</v>
      </c>
      <c r="M528" s="432">
        <v>302.3</v>
      </c>
      <c r="N528" s="540"/>
      <c r="O528" s="485">
        <f t="shared" si="10"/>
        <v>722.5</v>
      </c>
      <c r="P528" s="387"/>
      <c r="Q528" s="389"/>
      <c r="R528" s="389"/>
      <c r="S528" s="389"/>
      <c r="T528" s="389"/>
      <c r="U528" s="389"/>
      <c r="V528" s="515"/>
    </row>
    <row r="529" spans="1:22" ht="35.1" customHeight="1" x14ac:dyDescent="0.25">
      <c r="A529" s="535">
        <v>528</v>
      </c>
      <c r="B529" s="95">
        <v>45279</v>
      </c>
      <c r="C529" s="432"/>
      <c r="D529" s="485"/>
      <c r="E529" s="433"/>
      <c r="F529" s="432"/>
      <c r="G529" s="432"/>
      <c r="H529" s="432"/>
      <c r="I529" s="432">
        <v>189</v>
      </c>
      <c r="J529" s="432"/>
      <c r="K529" s="432"/>
      <c r="L529" s="432">
        <v>48.61</v>
      </c>
      <c r="M529" s="432">
        <v>762.4</v>
      </c>
      <c r="N529" s="540"/>
      <c r="O529" s="485">
        <f t="shared" si="10"/>
        <v>1000.01</v>
      </c>
      <c r="P529" s="387"/>
      <c r="Q529" s="389"/>
      <c r="R529" s="389"/>
      <c r="S529" s="389"/>
      <c r="T529" s="389"/>
      <c r="U529" s="389"/>
      <c r="V529" s="515"/>
    </row>
    <row r="530" spans="1:22" ht="35.1" customHeight="1" x14ac:dyDescent="0.25">
      <c r="A530" s="535">
        <v>529</v>
      </c>
      <c r="B530" s="95">
        <v>45280</v>
      </c>
      <c r="C530" s="432"/>
      <c r="D530" s="485"/>
      <c r="E530" s="433" t="s">
        <v>782</v>
      </c>
      <c r="F530" s="432">
        <f>16+20+44.5</f>
        <v>80.5</v>
      </c>
      <c r="G530" s="432"/>
      <c r="H530" s="432"/>
      <c r="I530" s="432">
        <v>312</v>
      </c>
      <c r="J530" s="432">
        <v>34</v>
      </c>
      <c r="K530" s="432"/>
      <c r="L530" s="432"/>
      <c r="M530" s="432">
        <v>192</v>
      </c>
      <c r="N530" s="540"/>
      <c r="O530" s="485">
        <f t="shared" si="10"/>
        <v>618.5</v>
      </c>
      <c r="P530" s="387"/>
      <c r="Q530" s="389"/>
      <c r="R530" s="389"/>
      <c r="S530" s="389"/>
      <c r="T530" s="389"/>
      <c r="U530" s="389"/>
      <c r="V530" s="515"/>
    </row>
    <row r="531" spans="1:22" ht="99.75" customHeight="1" x14ac:dyDescent="0.25">
      <c r="A531" s="535">
        <v>530</v>
      </c>
      <c r="B531" s="95">
        <v>45281</v>
      </c>
      <c r="C531" s="432"/>
      <c r="D531" s="485"/>
      <c r="E531" s="433" t="s">
        <v>783</v>
      </c>
      <c r="F531" s="432">
        <f>344.2+17+10</f>
        <v>371.2</v>
      </c>
      <c r="G531" s="432"/>
      <c r="H531" s="432"/>
      <c r="I531" s="432">
        <v>292</v>
      </c>
      <c r="J531" s="432">
        <v>102</v>
      </c>
      <c r="K531" s="432"/>
      <c r="L531" s="432"/>
      <c r="M531" s="432">
        <v>379</v>
      </c>
      <c r="N531" s="540">
        <v>12</v>
      </c>
      <c r="O531" s="485">
        <f t="shared" si="10"/>
        <v>1156.2</v>
      </c>
      <c r="P531" s="387"/>
      <c r="Q531" s="389"/>
      <c r="R531" s="389"/>
      <c r="S531" s="389"/>
      <c r="T531" s="389"/>
      <c r="U531" s="389"/>
      <c r="V531" s="515"/>
    </row>
    <row r="532" spans="1:22" ht="35.1" customHeight="1" x14ac:dyDescent="0.25">
      <c r="A532" s="535">
        <v>531</v>
      </c>
      <c r="B532" s="95">
        <v>45282</v>
      </c>
      <c r="C532" s="432"/>
      <c r="D532" s="485"/>
      <c r="E532" s="433"/>
      <c r="F532" s="432"/>
      <c r="G532" s="432"/>
      <c r="H532" s="432"/>
      <c r="I532" s="432">
        <v>232</v>
      </c>
      <c r="J532" s="432"/>
      <c r="K532" s="432"/>
      <c r="L532" s="432">
        <v>110</v>
      </c>
      <c r="M532" s="432">
        <v>452</v>
      </c>
      <c r="N532" s="540"/>
      <c r="O532" s="485">
        <f t="shared" si="10"/>
        <v>794</v>
      </c>
      <c r="P532" s="387"/>
      <c r="Q532" s="389"/>
      <c r="R532" s="389"/>
      <c r="S532" s="389"/>
      <c r="T532" s="389"/>
      <c r="U532" s="389"/>
      <c r="V532" s="515"/>
    </row>
    <row r="533" spans="1:22" ht="35.1" customHeight="1" x14ac:dyDescent="0.25">
      <c r="A533" s="535">
        <v>532</v>
      </c>
      <c r="B533" s="95">
        <v>45283</v>
      </c>
      <c r="C533" s="432"/>
      <c r="D533" s="485"/>
      <c r="E533" s="433"/>
      <c r="F533" s="432"/>
      <c r="G533" s="432"/>
      <c r="H533" s="432"/>
      <c r="I533" s="432">
        <v>40</v>
      </c>
      <c r="J533" s="432"/>
      <c r="K533" s="432"/>
      <c r="L533" s="432">
        <v>26</v>
      </c>
      <c r="M533" s="432">
        <v>269</v>
      </c>
      <c r="N533" s="540"/>
      <c r="O533" s="485">
        <f t="shared" si="10"/>
        <v>335</v>
      </c>
      <c r="P533" s="387"/>
      <c r="Q533" s="389"/>
      <c r="R533" s="389"/>
      <c r="S533" s="389"/>
      <c r="T533" s="389"/>
      <c r="U533" s="389"/>
      <c r="V533" s="515"/>
    </row>
    <row r="534" spans="1:22" s="481" customFormat="1" ht="35.1" customHeight="1" x14ac:dyDescent="0.25">
      <c r="A534" s="190">
        <v>533</v>
      </c>
      <c r="B534" s="191">
        <v>45284</v>
      </c>
      <c r="C534" s="190"/>
      <c r="D534" s="190"/>
      <c r="E534" s="250"/>
      <c r="F534" s="190"/>
      <c r="G534" s="190"/>
      <c r="H534" s="190"/>
      <c r="I534" s="190"/>
      <c r="J534" s="190"/>
      <c r="K534" s="190"/>
      <c r="L534" s="190"/>
      <c r="M534" s="190"/>
      <c r="N534" s="542"/>
      <c r="O534" s="190">
        <f t="shared" si="10"/>
        <v>0</v>
      </c>
      <c r="P534" s="392"/>
      <c r="Q534" s="393"/>
      <c r="R534" s="393"/>
      <c r="S534" s="393"/>
      <c r="T534" s="393"/>
      <c r="U534" s="393"/>
      <c r="V534" s="517"/>
    </row>
    <row r="535" spans="1:22" s="481" customFormat="1" ht="35.1" customHeight="1" x14ac:dyDescent="0.25">
      <c r="A535" s="190">
        <v>534</v>
      </c>
      <c r="B535" s="191">
        <v>45285</v>
      </c>
      <c r="C535" s="190"/>
      <c r="D535" s="190"/>
      <c r="E535" s="250"/>
      <c r="F535" s="190"/>
      <c r="G535" s="190"/>
      <c r="H535" s="190"/>
      <c r="I535" s="190"/>
      <c r="J535" s="190"/>
      <c r="K535" s="190"/>
      <c r="L535" s="190"/>
      <c r="M535" s="190"/>
      <c r="N535" s="542"/>
      <c r="O535" s="190">
        <f t="shared" si="10"/>
        <v>0</v>
      </c>
      <c r="P535" s="392"/>
      <c r="Q535" s="393"/>
      <c r="R535" s="393"/>
      <c r="S535" s="393"/>
      <c r="T535" s="393"/>
      <c r="U535" s="393"/>
      <c r="V535" s="517"/>
    </row>
    <row r="536" spans="1:22" ht="35.1" customHeight="1" x14ac:dyDescent="0.25">
      <c r="A536" s="535">
        <v>535</v>
      </c>
      <c r="B536" s="95">
        <v>45286</v>
      </c>
      <c r="C536" s="432"/>
      <c r="D536" s="485"/>
      <c r="E536" s="433"/>
      <c r="F536" s="432"/>
      <c r="G536" s="432"/>
      <c r="H536" s="432"/>
      <c r="I536" s="432">
        <v>155</v>
      </c>
      <c r="J536" s="432">
        <v>104</v>
      </c>
      <c r="K536" s="432"/>
      <c r="L536" s="432">
        <v>56</v>
      </c>
      <c r="M536" s="432">
        <v>50</v>
      </c>
      <c r="N536" s="540"/>
      <c r="O536" s="485">
        <f t="shared" si="10"/>
        <v>365</v>
      </c>
      <c r="P536" s="387"/>
      <c r="Q536" s="389"/>
      <c r="R536" s="389"/>
      <c r="S536" s="389"/>
      <c r="T536" s="389"/>
      <c r="U536" s="389"/>
      <c r="V536" s="515"/>
    </row>
    <row r="537" spans="1:22" ht="35.1" customHeight="1" x14ac:dyDescent="0.25">
      <c r="A537" s="535">
        <v>536</v>
      </c>
      <c r="B537" s="95">
        <v>45287</v>
      </c>
      <c r="C537" s="432"/>
      <c r="D537" s="485"/>
      <c r="E537" s="433" t="s">
        <v>784</v>
      </c>
      <c r="F537" s="432">
        <v>15</v>
      </c>
      <c r="G537" s="432"/>
      <c r="H537" s="432"/>
      <c r="I537" s="432">
        <v>94</v>
      </c>
      <c r="J537" s="432">
        <v>22</v>
      </c>
      <c r="K537" s="432"/>
      <c r="L537" s="432"/>
      <c r="M537" s="432">
        <v>48</v>
      </c>
      <c r="N537" s="540"/>
      <c r="O537" s="485">
        <f t="shared" si="10"/>
        <v>179</v>
      </c>
      <c r="P537" s="387"/>
      <c r="Q537" s="389"/>
      <c r="R537" s="389"/>
      <c r="S537" s="389"/>
      <c r="T537" s="389"/>
      <c r="U537" s="389"/>
      <c r="V537" s="515"/>
    </row>
    <row r="538" spans="1:22" ht="35.1" customHeight="1" x14ac:dyDescent="0.25">
      <c r="A538" s="535">
        <v>537</v>
      </c>
      <c r="B538" s="95">
        <v>45288</v>
      </c>
      <c r="C538" s="432"/>
      <c r="D538" s="485"/>
      <c r="E538" s="433" t="s">
        <v>785</v>
      </c>
      <c r="F538" s="432">
        <f>23+26</f>
        <v>49</v>
      </c>
      <c r="G538" s="432"/>
      <c r="H538" s="432"/>
      <c r="I538" s="432">
        <v>119</v>
      </c>
      <c r="J538" s="432">
        <v>15</v>
      </c>
      <c r="K538" s="432"/>
      <c r="L538" s="432">
        <v>1</v>
      </c>
      <c r="M538" s="432">
        <v>197</v>
      </c>
      <c r="N538" s="540"/>
      <c r="O538" s="485">
        <f t="shared" si="10"/>
        <v>381</v>
      </c>
      <c r="P538" s="387"/>
      <c r="Q538" s="389"/>
      <c r="R538" s="389"/>
      <c r="S538" s="389"/>
      <c r="T538" s="389"/>
      <c r="U538" s="389"/>
      <c r="V538" s="515"/>
    </row>
    <row r="539" spans="1:22" ht="35.1" customHeight="1" x14ac:dyDescent="0.25">
      <c r="A539" s="535">
        <v>538</v>
      </c>
      <c r="B539" s="95">
        <v>45289</v>
      </c>
      <c r="C539" s="432"/>
      <c r="D539" s="485"/>
      <c r="E539" s="433"/>
      <c r="F539" s="432"/>
      <c r="G539" s="432"/>
      <c r="H539" s="432"/>
      <c r="I539" s="432">
        <v>18.7</v>
      </c>
      <c r="J539" s="432"/>
      <c r="K539" s="432"/>
      <c r="L539" s="432">
        <v>136</v>
      </c>
      <c r="M539" s="432">
        <v>325.60000000000002</v>
      </c>
      <c r="N539" s="540"/>
      <c r="O539" s="485">
        <f t="shared" si="10"/>
        <v>480.3</v>
      </c>
      <c r="P539" s="387"/>
      <c r="Q539" s="389"/>
      <c r="R539" s="389"/>
      <c r="S539" s="389"/>
      <c r="T539" s="389"/>
      <c r="U539" s="389"/>
      <c r="V539" s="515"/>
    </row>
    <row r="540" spans="1:22" ht="35.1" customHeight="1" x14ac:dyDescent="0.25">
      <c r="A540" s="535">
        <v>539</v>
      </c>
      <c r="B540" s="95">
        <v>45290</v>
      </c>
      <c r="C540" s="432"/>
      <c r="D540" s="485"/>
      <c r="E540" s="433"/>
      <c r="F540" s="432"/>
      <c r="G540" s="432"/>
      <c r="H540" s="432"/>
      <c r="I540" s="432">
        <v>94</v>
      </c>
      <c r="J540" s="432"/>
      <c r="K540" s="432"/>
      <c r="L540" s="432">
        <v>14</v>
      </c>
      <c r="M540" s="432">
        <v>86</v>
      </c>
      <c r="N540" s="540"/>
      <c r="O540" s="485">
        <f t="shared" si="10"/>
        <v>194</v>
      </c>
      <c r="P540" s="387"/>
      <c r="Q540" s="389"/>
      <c r="R540" s="389"/>
      <c r="S540" s="389"/>
      <c r="T540" s="389"/>
      <c r="U540" s="389"/>
      <c r="V540" s="515"/>
    </row>
    <row r="541" spans="1:22" s="481" customFormat="1" ht="35.1" customHeight="1" x14ac:dyDescent="0.25">
      <c r="A541" s="190">
        <v>540</v>
      </c>
      <c r="B541" s="191">
        <v>45291</v>
      </c>
      <c r="C541" s="190"/>
      <c r="D541" s="190"/>
      <c r="E541" s="250"/>
      <c r="F541" s="190"/>
      <c r="G541" s="190"/>
      <c r="H541" s="190"/>
      <c r="I541" s="190"/>
      <c r="J541" s="190"/>
      <c r="K541" s="190"/>
      <c r="L541" s="190"/>
      <c r="M541" s="190"/>
      <c r="N541" s="542"/>
      <c r="O541" s="190">
        <f t="shared" si="10"/>
        <v>0</v>
      </c>
      <c r="P541" s="392"/>
      <c r="Q541" s="393"/>
      <c r="R541" s="393"/>
      <c r="S541" s="393"/>
      <c r="T541" s="393"/>
      <c r="U541" s="393"/>
      <c r="V541" s="517"/>
    </row>
    <row r="542" spans="1:22" s="481" customFormat="1" ht="35.1" customHeight="1" x14ac:dyDescent="0.25">
      <c r="A542" s="190">
        <v>541</v>
      </c>
      <c r="B542" s="191">
        <v>45292</v>
      </c>
      <c r="C542" s="190"/>
      <c r="D542" s="190"/>
      <c r="E542" s="250"/>
      <c r="F542" s="190"/>
      <c r="G542" s="190"/>
      <c r="H542" s="190"/>
      <c r="I542" s="190"/>
      <c r="J542" s="190"/>
      <c r="K542" s="190"/>
      <c r="L542" s="190"/>
      <c r="M542" s="190"/>
      <c r="N542" s="542"/>
      <c r="O542" s="190">
        <f t="shared" si="10"/>
        <v>0</v>
      </c>
      <c r="P542" s="392"/>
      <c r="Q542" s="393"/>
      <c r="R542" s="393"/>
      <c r="S542" s="393"/>
      <c r="T542" s="393"/>
      <c r="U542" s="393"/>
      <c r="V542" s="517"/>
    </row>
    <row r="543" spans="1:22" s="481" customFormat="1" ht="35.1" customHeight="1" x14ac:dyDescent="0.25">
      <c r="A543" s="190">
        <v>542</v>
      </c>
      <c r="B543" s="191">
        <v>45293</v>
      </c>
      <c r="C543" s="190"/>
      <c r="D543" s="190"/>
      <c r="E543" s="250"/>
      <c r="F543" s="190"/>
      <c r="G543" s="190"/>
      <c r="H543" s="190"/>
      <c r="I543" s="190"/>
      <c r="J543" s="190"/>
      <c r="K543" s="190"/>
      <c r="L543" s="190"/>
      <c r="M543" s="190"/>
      <c r="N543" s="542"/>
      <c r="O543" s="190">
        <f t="shared" si="10"/>
        <v>0</v>
      </c>
      <c r="P543" s="392"/>
      <c r="Q543" s="393"/>
      <c r="R543" s="393"/>
      <c r="S543" s="393"/>
      <c r="T543" s="393"/>
      <c r="U543" s="393"/>
      <c r="V543" s="517"/>
    </row>
    <row r="544" spans="1:22" s="481" customFormat="1" ht="35.1" customHeight="1" x14ac:dyDescent="0.25">
      <c r="A544" s="190">
        <v>543</v>
      </c>
      <c r="B544" s="191">
        <v>45294</v>
      </c>
      <c r="C544" s="190"/>
      <c r="D544" s="190"/>
      <c r="E544" s="250"/>
      <c r="F544" s="190"/>
      <c r="G544" s="190"/>
      <c r="H544" s="190"/>
      <c r="I544" s="190"/>
      <c r="J544" s="190"/>
      <c r="K544" s="190"/>
      <c r="L544" s="190"/>
      <c r="M544" s="190"/>
      <c r="N544" s="542"/>
      <c r="O544" s="190">
        <f t="shared" si="10"/>
        <v>0</v>
      </c>
      <c r="P544" s="392"/>
      <c r="Q544" s="393"/>
      <c r="R544" s="393"/>
      <c r="S544" s="393"/>
      <c r="T544" s="393"/>
      <c r="U544" s="393"/>
      <c r="V544" s="517"/>
    </row>
    <row r="545" spans="1:22" s="481" customFormat="1" ht="35.1" customHeight="1" x14ac:dyDescent="0.25">
      <c r="A545" s="190">
        <v>544</v>
      </c>
      <c r="B545" s="191">
        <v>45295</v>
      </c>
      <c r="C545" s="190"/>
      <c r="D545" s="190"/>
      <c r="E545" s="250"/>
      <c r="F545" s="190"/>
      <c r="G545" s="190"/>
      <c r="H545" s="190"/>
      <c r="I545" s="190"/>
      <c r="J545" s="190"/>
      <c r="K545" s="190"/>
      <c r="L545" s="190"/>
      <c r="M545" s="190"/>
      <c r="N545" s="542"/>
      <c r="O545" s="190">
        <f t="shared" si="10"/>
        <v>0</v>
      </c>
      <c r="P545" s="392"/>
      <c r="Q545" s="393"/>
      <c r="R545" s="393"/>
      <c r="S545" s="393"/>
      <c r="T545" s="393"/>
      <c r="U545" s="393"/>
      <c r="V545" s="517"/>
    </row>
    <row r="546" spans="1:22" s="481" customFormat="1" ht="35.1" customHeight="1" x14ac:dyDescent="0.25">
      <c r="A546" s="190">
        <v>545</v>
      </c>
      <c r="B546" s="191">
        <v>45296</v>
      </c>
      <c r="C546" s="190"/>
      <c r="D546" s="190"/>
      <c r="E546" s="250"/>
      <c r="F546" s="190"/>
      <c r="G546" s="190"/>
      <c r="H546" s="190"/>
      <c r="I546" s="190"/>
      <c r="J546" s="190"/>
      <c r="K546" s="190"/>
      <c r="L546" s="190"/>
      <c r="M546" s="190"/>
      <c r="N546" s="542"/>
      <c r="O546" s="190">
        <f t="shared" si="10"/>
        <v>0</v>
      </c>
      <c r="P546" s="392"/>
      <c r="Q546" s="393"/>
      <c r="R546" s="393"/>
      <c r="S546" s="393"/>
      <c r="T546" s="393"/>
      <c r="U546" s="393"/>
      <c r="V546" s="517"/>
    </row>
    <row r="547" spans="1:22" s="481" customFormat="1" ht="35.1" customHeight="1" x14ac:dyDescent="0.25">
      <c r="A547" s="190">
        <v>546</v>
      </c>
      <c r="B547" s="191">
        <v>45297</v>
      </c>
      <c r="C547" s="190"/>
      <c r="D547" s="190"/>
      <c r="E547" s="250"/>
      <c r="F547" s="190"/>
      <c r="G547" s="190"/>
      <c r="H547" s="190"/>
      <c r="I547" s="190"/>
      <c r="J547" s="190"/>
      <c r="K547" s="190"/>
      <c r="L547" s="190"/>
      <c r="M547" s="190"/>
      <c r="N547" s="542"/>
      <c r="O547" s="190">
        <f t="shared" si="10"/>
        <v>0</v>
      </c>
      <c r="P547" s="392"/>
      <c r="Q547" s="393"/>
      <c r="R547" s="393"/>
      <c r="S547" s="393"/>
      <c r="T547" s="393"/>
      <c r="U547" s="393"/>
      <c r="V547" s="517"/>
    </row>
    <row r="548" spans="1:22" s="481" customFormat="1" ht="35.1" customHeight="1" x14ac:dyDescent="0.25">
      <c r="A548" s="190">
        <v>547</v>
      </c>
      <c r="B548" s="191">
        <v>45298</v>
      </c>
      <c r="C548" s="190"/>
      <c r="D548" s="190"/>
      <c r="E548" s="250"/>
      <c r="F548" s="190"/>
      <c r="G548" s="190"/>
      <c r="H548" s="190"/>
      <c r="I548" s="190"/>
      <c r="J548" s="190"/>
      <c r="K548" s="190"/>
      <c r="L548" s="190"/>
      <c r="M548" s="190"/>
      <c r="N548" s="542"/>
      <c r="O548" s="190">
        <f t="shared" si="10"/>
        <v>0</v>
      </c>
      <c r="P548" s="392"/>
      <c r="Q548" s="393"/>
      <c r="R548" s="393"/>
      <c r="S548" s="393"/>
      <c r="T548" s="393"/>
      <c r="U548" s="393"/>
      <c r="V548" s="517"/>
    </row>
    <row r="549" spans="1:22" ht="35.1" customHeight="1" x14ac:dyDescent="0.25">
      <c r="A549" s="535">
        <v>548</v>
      </c>
      <c r="B549" s="95">
        <v>45299</v>
      </c>
      <c r="C549" s="432"/>
      <c r="D549" s="485"/>
      <c r="E549" s="433"/>
      <c r="F549" s="432"/>
      <c r="G549" s="432"/>
      <c r="H549" s="432"/>
      <c r="I549" s="432">
        <v>55</v>
      </c>
      <c r="J549" s="432">
        <v>186.9</v>
      </c>
      <c r="K549" s="432"/>
      <c r="L549" s="432">
        <v>30</v>
      </c>
      <c r="M549" s="432">
        <v>267</v>
      </c>
      <c r="N549" s="540"/>
      <c r="O549" s="485">
        <f t="shared" si="10"/>
        <v>538.9</v>
      </c>
      <c r="P549" s="387"/>
      <c r="Q549" s="389"/>
      <c r="R549" s="389"/>
      <c r="S549" s="389"/>
      <c r="T549" s="389"/>
      <c r="U549" s="389"/>
      <c r="V549" s="515"/>
    </row>
    <row r="550" spans="1:22" ht="35.1" customHeight="1" x14ac:dyDescent="0.25">
      <c r="A550" s="535">
        <v>549</v>
      </c>
      <c r="B550" s="95">
        <v>45300</v>
      </c>
      <c r="C550" s="432"/>
      <c r="D550" s="485"/>
      <c r="E550" s="433" t="s">
        <v>787</v>
      </c>
      <c r="F550" s="432">
        <f>8+22+10</f>
        <v>40</v>
      </c>
      <c r="G550" s="432"/>
      <c r="H550" s="432"/>
      <c r="I550" s="432">
        <v>245</v>
      </c>
      <c r="J550" s="432"/>
      <c r="K550" s="432"/>
      <c r="L550" s="432">
        <v>30.56</v>
      </c>
      <c r="M550" s="432">
        <v>99</v>
      </c>
      <c r="N550" s="540"/>
      <c r="O550" s="485">
        <f t="shared" si="10"/>
        <v>414.56</v>
      </c>
      <c r="P550" s="387"/>
      <c r="Q550" s="389"/>
      <c r="R550" s="389"/>
      <c r="S550" s="389"/>
      <c r="T550" s="389"/>
      <c r="U550" s="389"/>
      <c r="V550" s="515"/>
    </row>
    <row r="551" spans="1:22" ht="35.1" customHeight="1" x14ac:dyDescent="0.25">
      <c r="A551" s="535">
        <v>550</v>
      </c>
      <c r="B551" s="95">
        <v>45301</v>
      </c>
      <c r="C551" s="432"/>
      <c r="D551" s="485"/>
      <c r="E551" s="433"/>
      <c r="F551" s="432"/>
      <c r="G551" s="432"/>
      <c r="H551" s="432"/>
      <c r="I551" s="432">
        <v>95</v>
      </c>
      <c r="J551" s="432">
        <v>125</v>
      </c>
      <c r="K551" s="432"/>
      <c r="L551" s="432"/>
      <c r="M551" s="432">
        <v>370</v>
      </c>
      <c r="N551" s="540"/>
      <c r="O551" s="485">
        <f t="shared" si="10"/>
        <v>590</v>
      </c>
      <c r="P551" s="387"/>
      <c r="Q551" s="389"/>
      <c r="R551" s="389"/>
      <c r="S551" s="389"/>
      <c r="T551" s="389"/>
      <c r="U551" s="389"/>
      <c r="V551" s="515"/>
    </row>
    <row r="552" spans="1:22" ht="35.1" customHeight="1" x14ac:dyDescent="0.25">
      <c r="A552" s="535">
        <v>551</v>
      </c>
      <c r="B552" s="95">
        <v>45302</v>
      </c>
      <c r="C552" s="432"/>
      <c r="D552" s="485"/>
      <c r="E552" s="433"/>
      <c r="F552" s="432"/>
      <c r="G552" s="432">
        <v>60</v>
      </c>
      <c r="H552" s="432"/>
      <c r="I552" s="432">
        <v>3</v>
      </c>
      <c r="J552" s="432"/>
      <c r="K552" s="432"/>
      <c r="L552" s="432">
        <v>34</v>
      </c>
      <c r="M552" s="432">
        <v>306</v>
      </c>
      <c r="N552" s="540"/>
      <c r="O552" s="485">
        <f t="shared" si="10"/>
        <v>403</v>
      </c>
      <c r="P552" s="387"/>
      <c r="Q552" s="389"/>
      <c r="R552" s="389"/>
      <c r="S552" s="389"/>
      <c r="T552" s="389"/>
      <c r="U552" s="389"/>
      <c r="V552" s="515"/>
    </row>
    <row r="553" spans="1:22" ht="35.1" customHeight="1" x14ac:dyDescent="0.25">
      <c r="A553" s="535">
        <v>552</v>
      </c>
      <c r="B553" s="95">
        <v>45303</v>
      </c>
      <c r="C553" s="432"/>
      <c r="D553" s="485"/>
      <c r="E553" s="433" t="s">
        <v>792</v>
      </c>
      <c r="F553" s="432">
        <f>127</f>
        <v>127</v>
      </c>
      <c r="G553" s="432"/>
      <c r="H553" s="432"/>
      <c r="I553" s="432">
        <v>500</v>
      </c>
      <c r="J553" s="432"/>
      <c r="K553" s="432"/>
      <c r="L553" s="432">
        <v>12</v>
      </c>
      <c r="M553" s="432">
        <v>333</v>
      </c>
      <c r="N553" s="540"/>
      <c r="O553" s="485">
        <f t="shared" si="10"/>
        <v>972</v>
      </c>
      <c r="P553" s="387"/>
      <c r="Q553" s="389"/>
      <c r="R553" s="389"/>
      <c r="S553" s="389"/>
      <c r="T553" s="389"/>
      <c r="U553" s="389"/>
      <c r="V553" s="515"/>
    </row>
    <row r="554" spans="1:22" ht="35.1" customHeight="1" x14ac:dyDescent="0.25">
      <c r="A554" s="535">
        <v>553</v>
      </c>
      <c r="B554" s="95">
        <v>45304</v>
      </c>
      <c r="C554" s="432"/>
      <c r="D554" s="485"/>
      <c r="E554" s="433"/>
      <c r="F554" s="432"/>
      <c r="G554" s="432"/>
      <c r="H554" s="432"/>
      <c r="I554" s="432">
        <v>14</v>
      </c>
      <c r="J554" s="432">
        <v>494</v>
      </c>
      <c r="K554" s="432"/>
      <c r="L554" s="432">
        <v>7</v>
      </c>
      <c r="M554" s="432">
        <v>875</v>
      </c>
      <c r="N554" s="540"/>
      <c r="O554" s="485">
        <f t="shared" si="10"/>
        <v>1390</v>
      </c>
      <c r="P554" s="387"/>
      <c r="Q554" s="389"/>
      <c r="R554" s="389"/>
      <c r="S554" s="389"/>
      <c r="T554" s="389"/>
      <c r="U554" s="389"/>
      <c r="V554" s="515"/>
    </row>
    <row r="555" spans="1:22" s="481" customFormat="1" ht="35.1" customHeight="1" x14ac:dyDescent="0.25">
      <c r="A555" s="190">
        <v>554</v>
      </c>
      <c r="B555" s="191">
        <v>45305</v>
      </c>
      <c r="C555" s="190"/>
      <c r="D555" s="190"/>
      <c r="E555" s="250"/>
      <c r="F555" s="190"/>
      <c r="G555" s="190"/>
      <c r="H555" s="190"/>
      <c r="I555" s="190"/>
      <c r="J555" s="190"/>
      <c r="K555" s="190"/>
      <c r="L555" s="190"/>
      <c r="M555" s="190"/>
      <c r="N555" s="542"/>
      <c r="O555" s="190">
        <f t="shared" si="10"/>
        <v>0</v>
      </c>
      <c r="P555" s="392"/>
      <c r="Q555" s="393"/>
      <c r="R555" s="393"/>
      <c r="S555" s="393"/>
      <c r="T555" s="393"/>
      <c r="U555" s="393"/>
      <c r="V555" s="517"/>
    </row>
    <row r="556" spans="1:22" ht="35.1" customHeight="1" x14ac:dyDescent="0.25">
      <c r="A556" s="535">
        <v>555</v>
      </c>
      <c r="B556" s="95">
        <v>45306</v>
      </c>
      <c r="C556" s="432"/>
      <c r="D556" s="485"/>
      <c r="E556" s="433"/>
      <c r="F556" s="432"/>
      <c r="G556" s="432"/>
      <c r="H556" s="432"/>
      <c r="I556" s="432">
        <v>248</v>
      </c>
      <c r="J556" s="432"/>
      <c r="K556" s="432"/>
      <c r="L556" s="432">
        <v>168</v>
      </c>
      <c r="M556" s="432">
        <v>337</v>
      </c>
      <c r="N556" s="540"/>
      <c r="O556" s="485">
        <f t="shared" si="10"/>
        <v>753</v>
      </c>
      <c r="P556" s="387"/>
      <c r="Q556" s="389"/>
      <c r="R556" s="389"/>
      <c r="S556" s="389"/>
      <c r="T556" s="389"/>
      <c r="U556" s="389"/>
      <c r="V556" s="515"/>
    </row>
    <row r="557" spans="1:22" ht="35.1" customHeight="1" x14ac:dyDescent="0.25">
      <c r="A557" s="535">
        <v>556</v>
      </c>
      <c r="B557" s="95">
        <v>45307</v>
      </c>
      <c r="C557" s="432"/>
      <c r="D557" s="485"/>
      <c r="E557" s="433"/>
      <c r="F557" s="432"/>
      <c r="G557" s="432"/>
      <c r="H557" s="432"/>
      <c r="I557" s="432">
        <v>103</v>
      </c>
      <c r="J557" s="432">
        <v>40</v>
      </c>
      <c r="K557" s="432"/>
      <c r="L557" s="432">
        <v>30</v>
      </c>
      <c r="M557" s="432">
        <v>186</v>
      </c>
      <c r="N557" s="540"/>
      <c r="O557" s="485">
        <f t="shared" si="10"/>
        <v>359</v>
      </c>
      <c r="P557" s="387"/>
      <c r="Q557" s="389"/>
      <c r="R557" s="389"/>
      <c r="S557" s="389"/>
      <c r="T557" s="389"/>
      <c r="U557" s="389"/>
      <c r="V557" s="515"/>
    </row>
    <row r="558" spans="1:22" ht="35.1" customHeight="1" x14ac:dyDescent="0.25">
      <c r="A558" s="535">
        <v>557</v>
      </c>
      <c r="B558" s="95">
        <v>45308</v>
      </c>
      <c r="C558" s="432"/>
      <c r="D558" s="485"/>
      <c r="E558" s="433" t="s">
        <v>795</v>
      </c>
      <c r="F558" s="432">
        <f>57</f>
        <v>57</v>
      </c>
      <c r="G558" s="432"/>
      <c r="H558" s="432"/>
      <c r="I558" s="432">
        <v>26</v>
      </c>
      <c r="J558" s="432">
        <v>77</v>
      </c>
      <c r="K558" s="432"/>
      <c r="L558" s="432">
        <v>182.7</v>
      </c>
      <c r="M558" s="432">
        <v>446.3</v>
      </c>
      <c r="N558" s="540"/>
      <c r="O558" s="485">
        <f t="shared" si="10"/>
        <v>789</v>
      </c>
      <c r="P558" s="387"/>
      <c r="Q558" s="389"/>
      <c r="R558" s="389"/>
      <c r="S558" s="389"/>
      <c r="T558" s="389"/>
      <c r="U558" s="389"/>
      <c r="V558" s="515"/>
    </row>
    <row r="559" spans="1:22" ht="35.1" customHeight="1" x14ac:dyDescent="0.25">
      <c r="A559" s="535">
        <v>558</v>
      </c>
      <c r="B559" s="95">
        <v>45309</v>
      </c>
      <c r="C559" s="432"/>
      <c r="D559" s="485"/>
      <c r="E559" s="433"/>
      <c r="F559" s="432"/>
      <c r="G559" s="432"/>
      <c r="H559" s="432"/>
      <c r="I559" s="432">
        <v>103</v>
      </c>
      <c r="J559" s="432">
        <v>19</v>
      </c>
      <c r="K559" s="432"/>
      <c r="L559" s="432">
        <v>60</v>
      </c>
      <c r="M559" s="432">
        <v>191</v>
      </c>
      <c r="N559" s="540"/>
      <c r="O559" s="485">
        <f t="shared" si="10"/>
        <v>373</v>
      </c>
      <c r="P559" s="387"/>
      <c r="Q559" s="389"/>
      <c r="R559" s="389"/>
      <c r="S559" s="389"/>
      <c r="T559" s="389"/>
      <c r="U559" s="389"/>
      <c r="V559" s="515"/>
    </row>
    <row r="560" spans="1:22" ht="35.1" customHeight="1" x14ac:dyDescent="0.25">
      <c r="A560" s="535">
        <v>559</v>
      </c>
      <c r="B560" s="95">
        <v>45310</v>
      </c>
      <c r="C560" s="432"/>
      <c r="D560" s="485"/>
      <c r="E560" s="433"/>
      <c r="F560" s="432"/>
      <c r="G560" s="432"/>
      <c r="H560" s="432"/>
      <c r="I560" s="432">
        <v>61.5</v>
      </c>
      <c r="J560" s="432">
        <v>361</v>
      </c>
      <c r="K560" s="432"/>
      <c r="L560" s="432"/>
      <c r="M560" s="432">
        <v>546</v>
      </c>
      <c r="N560" s="540"/>
      <c r="O560" s="485">
        <f t="shared" si="10"/>
        <v>968.5</v>
      </c>
      <c r="P560" s="387"/>
      <c r="Q560" s="389"/>
      <c r="R560" s="389"/>
      <c r="S560" s="389"/>
      <c r="T560" s="389"/>
      <c r="U560" s="389"/>
      <c r="V560" s="515"/>
    </row>
    <row r="561" spans="1:22" ht="35.1" customHeight="1" x14ac:dyDescent="0.25">
      <c r="A561" s="535">
        <v>560</v>
      </c>
      <c r="B561" s="95">
        <v>45311</v>
      </c>
      <c r="C561" s="432"/>
      <c r="D561" s="485"/>
      <c r="E561" s="433"/>
      <c r="F561" s="432"/>
      <c r="G561" s="432"/>
      <c r="H561" s="432"/>
      <c r="I561" s="432">
        <v>479</v>
      </c>
      <c r="J561" s="432">
        <v>120</v>
      </c>
      <c r="K561" s="432"/>
      <c r="L561" s="432"/>
      <c r="M561" s="432">
        <v>523</v>
      </c>
      <c r="N561" s="540"/>
      <c r="O561" s="485">
        <f t="shared" si="10"/>
        <v>1122</v>
      </c>
      <c r="P561" s="387"/>
      <c r="Q561" s="389"/>
      <c r="R561" s="389"/>
      <c r="S561" s="389"/>
      <c r="T561" s="389"/>
      <c r="U561" s="389"/>
      <c r="V561" s="515"/>
    </row>
    <row r="562" spans="1:22" s="481" customFormat="1" ht="35.1" customHeight="1" x14ac:dyDescent="0.25">
      <c r="A562" s="190">
        <v>561</v>
      </c>
      <c r="B562" s="191">
        <v>45312</v>
      </c>
      <c r="C562" s="190"/>
      <c r="D562" s="190"/>
      <c r="E562" s="250"/>
      <c r="F562" s="190"/>
      <c r="G562" s="190"/>
      <c r="H562" s="190"/>
      <c r="I562" s="190"/>
      <c r="J562" s="190"/>
      <c r="K562" s="190"/>
      <c r="L562" s="190"/>
      <c r="M562" s="190"/>
      <c r="N562" s="542"/>
      <c r="O562" s="190">
        <f t="shared" si="10"/>
        <v>0</v>
      </c>
      <c r="P562" s="392"/>
      <c r="Q562" s="393"/>
      <c r="R562" s="393"/>
      <c r="S562" s="393"/>
      <c r="T562" s="393"/>
      <c r="U562" s="393"/>
      <c r="V562" s="517"/>
    </row>
    <row r="563" spans="1:22" ht="35.1" customHeight="1" x14ac:dyDescent="0.25">
      <c r="A563" s="535">
        <v>562</v>
      </c>
      <c r="B563" s="95">
        <v>45313</v>
      </c>
      <c r="C563" s="432"/>
      <c r="D563" s="485"/>
      <c r="E563" s="433"/>
      <c r="F563" s="432"/>
      <c r="G563" s="432"/>
      <c r="H563" s="432"/>
      <c r="I563" s="432">
        <v>95</v>
      </c>
      <c r="J563" s="432">
        <v>31</v>
      </c>
      <c r="K563" s="432"/>
      <c r="L563" s="432">
        <v>36</v>
      </c>
      <c r="M563" s="432">
        <v>1480</v>
      </c>
      <c r="N563" s="540"/>
      <c r="O563" s="485">
        <f t="shared" si="10"/>
        <v>1642</v>
      </c>
      <c r="P563" s="387"/>
      <c r="Q563" s="389"/>
      <c r="R563" s="389"/>
      <c r="S563" s="389"/>
      <c r="T563" s="389"/>
      <c r="U563" s="389"/>
      <c r="V563" s="515"/>
    </row>
    <row r="564" spans="1:22" ht="35.1" customHeight="1" x14ac:dyDescent="0.25">
      <c r="A564" s="535">
        <v>563</v>
      </c>
      <c r="B564" s="95">
        <v>45314</v>
      </c>
      <c r="C564" s="432"/>
      <c r="D564" s="485"/>
      <c r="E564" s="433"/>
      <c r="F564" s="432"/>
      <c r="G564" s="432"/>
      <c r="H564" s="432">
        <v>180</v>
      </c>
      <c r="I564" s="432">
        <v>351</v>
      </c>
      <c r="J564" s="432">
        <v>753</v>
      </c>
      <c r="K564" s="432"/>
      <c r="L564" s="432">
        <v>149</v>
      </c>
      <c r="M564" s="432">
        <v>1126.5999999999999</v>
      </c>
      <c r="N564" s="540">
        <v>15</v>
      </c>
      <c r="O564" s="485">
        <f t="shared" si="10"/>
        <v>2574.6</v>
      </c>
      <c r="P564" s="387"/>
      <c r="Q564" s="389"/>
      <c r="R564" s="389"/>
      <c r="S564" s="389"/>
      <c r="T564" s="389"/>
      <c r="U564" s="389"/>
      <c r="V564" s="515"/>
    </row>
    <row r="565" spans="1:22" ht="35.1" customHeight="1" x14ac:dyDescent="0.25">
      <c r="A565" s="535">
        <v>564</v>
      </c>
      <c r="B565" s="95">
        <v>45315</v>
      </c>
      <c r="C565" s="432"/>
      <c r="D565" s="485"/>
      <c r="E565" s="433" t="s">
        <v>805</v>
      </c>
      <c r="F565" s="432">
        <v>106</v>
      </c>
      <c r="G565" s="432"/>
      <c r="H565" s="432"/>
      <c r="I565" s="432">
        <v>94</v>
      </c>
      <c r="J565" s="432">
        <v>180</v>
      </c>
      <c r="K565" s="432"/>
      <c r="L565" s="432"/>
      <c r="M565" s="432">
        <v>264</v>
      </c>
      <c r="N565" s="540"/>
      <c r="O565" s="485">
        <f t="shared" si="10"/>
        <v>644</v>
      </c>
      <c r="P565" s="387"/>
      <c r="Q565" s="389"/>
      <c r="R565" s="389"/>
      <c r="S565" s="389"/>
      <c r="T565" s="389"/>
      <c r="U565" s="389"/>
      <c r="V565" s="515"/>
    </row>
    <row r="566" spans="1:22" ht="35.1" customHeight="1" x14ac:dyDescent="0.25">
      <c r="A566" s="535">
        <v>565</v>
      </c>
      <c r="B566" s="95">
        <v>45316</v>
      </c>
      <c r="C566" s="432"/>
      <c r="D566" s="485"/>
      <c r="E566" s="433"/>
      <c r="F566" s="432"/>
      <c r="G566" s="432"/>
      <c r="H566" s="432"/>
      <c r="I566" s="432">
        <v>49</v>
      </c>
      <c r="J566" s="432"/>
      <c r="K566" s="432"/>
      <c r="L566" s="432">
        <v>7</v>
      </c>
      <c r="M566" s="432">
        <v>637</v>
      </c>
      <c r="N566" s="540"/>
      <c r="O566" s="485">
        <f t="shared" si="10"/>
        <v>693</v>
      </c>
      <c r="P566" s="387"/>
      <c r="Q566" s="389"/>
      <c r="R566" s="389"/>
      <c r="S566" s="389"/>
      <c r="T566" s="389"/>
      <c r="U566" s="389"/>
      <c r="V566" s="515"/>
    </row>
    <row r="567" spans="1:22" ht="35.1" customHeight="1" x14ac:dyDescent="0.25">
      <c r="A567" s="535">
        <v>566</v>
      </c>
      <c r="B567" s="95">
        <v>45317</v>
      </c>
      <c r="C567" s="432"/>
      <c r="D567" s="485"/>
      <c r="E567" s="433"/>
      <c r="F567" s="432"/>
      <c r="G567" s="432"/>
      <c r="H567" s="432"/>
      <c r="I567" s="432">
        <v>91</v>
      </c>
      <c r="J567" s="432"/>
      <c r="K567" s="432"/>
      <c r="L567" s="432"/>
      <c r="M567" s="432">
        <v>451</v>
      </c>
      <c r="N567" s="540"/>
      <c r="O567" s="485">
        <f t="shared" si="10"/>
        <v>542</v>
      </c>
      <c r="P567" s="387"/>
      <c r="Q567" s="389"/>
      <c r="R567" s="389"/>
      <c r="S567" s="389"/>
      <c r="T567" s="389"/>
      <c r="U567" s="389"/>
      <c r="V567" s="515"/>
    </row>
    <row r="568" spans="1:22" ht="35.1" customHeight="1" x14ac:dyDescent="0.25">
      <c r="A568" s="535">
        <v>567</v>
      </c>
      <c r="B568" s="95">
        <v>45318</v>
      </c>
      <c r="C568" s="432"/>
      <c r="D568" s="485"/>
      <c r="E568" s="433"/>
      <c r="F568" s="432"/>
      <c r="G568" s="432"/>
      <c r="H568" s="432"/>
      <c r="I568" s="432">
        <v>189</v>
      </c>
      <c r="J568" s="432">
        <v>100</v>
      </c>
      <c r="K568" s="432"/>
      <c r="L568" s="432">
        <v>100</v>
      </c>
      <c r="M568" s="432">
        <v>879</v>
      </c>
      <c r="N568" s="540"/>
      <c r="O568" s="485">
        <f t="shared" si="10"/>
        <v>1268</v>
      </c>
      <c r="P568" s="387"/>
      <c r="Q568" s="389"/>
      <c r="R568" s="389"/>
      <c r="S568" s="389"/>
      <c r="T568" s="389"/>
      <c r="U568" s="389"/>
      <c r="V568" s="515"/>
    </row>
    <row r="569" spans="1:22" s="481" customFormat="1" ht="35.1" customHeight="1" x14ac:dyDescent="0.25">
      <c r="A569" s="190">
        <v>568</v>
      </c>
      <c r="B569" s="191">
        <v>45319</v>
      </c>
      <c r="C569" s="190"/>
      <c r="D569" s="190"/>
      <c r="E569" s="250"/>
      <c r="F569" s="190"/>
      <c r="G569" s="190"/>
      <c r="H569" s="190"/>
      <c r="I569" s="190"/>
      <c r="J569" s="190"/>
      <c r="K569" s="190"/>
      <c r="L569" s="190"/>
      <c r="M569" s="190"/>
      <c r="N569" s="542"/>
      <c r="O569" s="190">
        <f>SUM(G569:N569)+F569+D569</f>
        <v>0</v>
      </c>
      <c r="P569" s="392"/>
      <c r="Q569" s="393"/>
      <c r="R569" s="393"/>
      <c r="S569" s="393"/>
      <c r="T569" s="393"/>
      <c r="U569" s="393"/>
      <c r="V569" s="517"/>
    </row>
    <row r="570" spans="1:22" ht="35.1" customHeight="1" x14ac:dyDescent="0.25">
      <c r="A570" s="535">
        <v>569</v>
      </c>
      <c r="B570" s="95">
        <v>45320</v>
      </c>
      <c r="C570" s="432"/>
      <c r="D570" s="485"/>
      <c r="E570" s="433" t="s">
        <v>811</v>
      </c>
      <c r="F570" s="432">
        <f>+'DETALLE DE CREDITOS'!F380+'DETALLE DE CREDITOS'!F381</f>
        <v>115</v>
      </c>
      <c r="G570" s="432"/>
      <c r="H570" s="432"/>
      <c r="I570" s="432">
        <v>305.54000000000002</v>
      </c>
      <c r="J570" s="432"/>
      <c r="K570" s="432"/>
      <c r="L570" s="432">
        <v>13</v>
      </c>
      <c r="M570" s="432">
        <v>163</v>
      </c>
      <c r="N570" s="540">
        <v>28</v>
      </c>
      <c r="O570" s="485">
        <f t="shared" ref="O570:O632" si="11">SUM(G570:N570)+F570+D570</f>
        <v>624.54</v>
      </c>
      <c r="P570" s="387"/>
      <c r="Q570" s="389"/>
      <c r="R570" s="389"/>
      <c r="S570" s="389"/>
      <c r="T570" s="389"/>
      <c r="U570" s="389"/>
      <c r="V570" s="515"/>
    </row>
    <row r="571" spans="1:22" ht="35.1" customHeight="1" x14ac:dyDescent="0.25">
      <c r="A571" s="535">
        <v>570</v>
      </c>
      <c r="B571" s="95">
        <v>45321</v>
      </c>
      <c r="C571" s="432"/>
      <c r="D571" s="485"/>
      <c r="E571" s="433" t="s">
        <v>821</v>
      </c>
      <c r="F571" s="432">
        <f>+'DETALLE DE CREDITOS'!F383</f>
        <v>8.3000000000000007</v>
      </c>
      <c r="G571" s="432"/>
      <c r="H571" s="432"/>
      <c r="I571" s="432">
        <v>5</v>
      </c>
      <c r="J571" s="432">
        <v>76</v>
      </c>
      <c r="K571" s="432"/>
      <c r="L571" s="432"/>
      <c r="M571" s="432">
        <v>296</v>
      </c>
      <c r="N571" s="540"/>
      <c r="O571" s="485">
        <f t="shared" si="11"/>
        <v>385.3</v>
      </c>
      <c r="P571" s="387"/>
      <c r="Q571" s="389"/>
      <c r="R571" s="389"/>
      <c r="S571" s="389"/>
      <c r="T571" s="389"/>
      <c r="U571" s="389"/>
      <c r="V571" s="515"/>
    </row>
    <row r="572" spans="1:22" ht="35.1" customHeight="1" x14ac:dyDescent="0.25">
      <c r="A572" s="535">
        <v>571</v>
      </c>
      <c r="B572" s="95">
        <v>45322</v>
      </c>
      <c r="C572" s="432"/>
      <c r="D572" s="485"/>
      <c r="E572" s="433" t="s">
        <v>823</v>
      </c>
      <c r="F572" s="432">
        <v>55</v>
      </c>
      <c r="G572" s="432"/>
      <c r="H572" s="432"/>
      <c r="I572" s="432">
        <v>202</v>
      </c>
      <c r="J572" s="432">
        <v>271</v>
      </c>
      <c r="K572" s="432"/>
      <c r="L572" s="432">
        <v>7</v>
      </c>
      <c r="M572" s="432">
        <v>52</v>
      </c>
      <c r="N572" s="540"/>
      <c r="O572" s="485">
        <f t="shared" si="11"/>
        <v>587</v>
      </c>
      <c r="P572" s="387"/>
      <c r="Q572" s="389"/>
      <c r="R572" s="389"/>
      <c r="S572" s="389"/>
      <c r="T572" s="389"/>
      <c r="U572" s="389"/>
      <c r="V572" s="515"/>
    </row>
    <row r="573" spans="1:22" ht="61.5" customHeight="1" x14ac:dyDescent="0.25">
      <c r="A573" s="535">
        <v>572</v>
      </c>
      <c r="B573" s="95">
        <v>45323</v>
      </c>
      <c r="C573" s="432"/>
      <c r="D573" s="485"/>
      <c r="E573" s="433" t="s">
        <v>830</v>
      </c>
      <c r="F573" s="432">
        <f>+'DETALLE DE CREDITOS'!F389+'DETALLE DE CREDITOS'!F391+'DETALLE DE CREDITOS'!F388</f>
        <v>610</v>
      </c>
      <c r="G573" s="432"/>
      <c r="H573" s="432"/>
      <c r="I573" s="432">
        <v>390</v>
      </c>
      <c r="J573" s="432"/>
      <c r="K573" s="432"/>
      <c r="L573" s="432"/>
      <c r="M573" s="432">
        <v>629</v>
      </c>
      <c r="N573" s="540"/>
      <c r="O573" s="485">
        <f t="shared" si="11"/>
        <v>1629</v>
      </c>
      <c r="P573" s="387"/>
      <c r="Q573" s="389"/>
      <c r="R573" s="389"/>
      <c r="S573" s="389"/>
      <c r="T573" s="389"/>
      <c r="U573" s="389"/>
      <c r="V573" s="515"/>
    </row>
    <row r="574" spans="1:22" ht="35.1" customHeight="1" x14ac:dyDescent="0.25">
      <c r="A574" s="535">
        <v>573</v>
      </c>
      <c r="B574" s="95">
        <v>45324</v>
      </c>
      <c r="C574" s="432"/>
      <c r="D574" s="485"/>
      <c r="E574" s="607"/>
      <c r="F574" s="432"/>
      <c r="G574" s="432"/>
      <c r="H574" s="432"/>
      <c r="I574" s="432">
        <v>60</v>
      </c>
      <c r="J574" s="432">
        <v>135</v>
      </c>
      <c r="K574" s="432"/>
      <c r="L574" s="432">
        <v>28</v>
      </c>
      <c r="M574" s="432">
        <v>674</v>
      </c>
      <c r="N574" s="540"/>
      <c r="O574" s="485">
        <f t="shared" si="11"/>
        <v>897</v>
      </c>
      <c r="P574" s="387"/>
      <c r="Q574" s="389"/>
      <c r="R574" s="389"/>
      <c r="S574" s="389"/>
      <c r="T574" s="389"/>
      <c r="U574" s="389"/>
      <c r="V574" s="515"/>
    </row>
    <row r="575" spans="1:22" ht="35.1" customHeight="1" x14ac:dyDescent="0.25">
      <c r="A575" s="535">
        <v>574</v>
      </c>
      <c r="B575" s="95">
        <v>45325</v>
      </c>
      <c r="C575" s="432"/>
      <c r="D575" s="485"/>
      <c r="E575" s="433"/>
      <c r="F575" s="432"/>
      <c r="G575" s="432"/>
      <c r="H575" s="432">
        <v>32</v>
      </c>
      <c r="I575" s="432">
        <v>25</v>
      </c>
      <c r="J575" s="432"/>
      <c r="K575" s="432"/>
      <c r="L575" s="432"/>
      <c r="M575" s="432">
        <v>151</v>
      </c>
      <c r="N575" s="540"/>
      <c r="O575" s="485">
        <f t="shared" si="11"/>
        <v>208</v>
      </c>
      <c r="P575" s="387"/>
      <c r="Q575" s="389"/>
      <c r="R575" s="389"/>
      <c r="S575" s="389"/>
      <c r="T575" s="389"/>
      <c r="U575" s="389"/>
      <c r="V575" s="515"/>
    </row>
    <row r="576" spans="1:22" s="481" customFormat="1" ht="35.1" customHeight="1" x14ac:dyDescent="0.25">
      <c r="A576" s="190">
        <v>575</v>
      </c>
      <c r="B576" s="191">
        <v>45326</v>
      </c>
      <c r="C576" s="190"/>
      <c r="D576" s="190"/>
      <c r="E576" s="250"/>
      <c r="F576" s="190"/>
      <c r="G576" s="190"/>
      <c r="H576" s="190"/>
      <c r="I576" s="190"/>
      <c r="J576" s="190"/>
      <c r="K576" s="190"/>
      <c r="L576" s="190"/>
      <c r="M576" s="190"/>
      <c r="N576" s="542"/>
      <c r="O576" s="190">
        <f t="shared" si="11"/>
        <v>0</v>
      </c>
      <c r="P576" s="392"/>
      <c r="Q576" s="393"/>
      <c r="R576" s="393"/>
      <c r="S576" s="393"/>
      <c r="T576" s="393"/>
      <c r="U576" s="393"/>
      <c r="V576" s="517"/>
    </row>
    <row r="577" spans="1:22" ht="35.1" customHeight="1" x14ac:dyDescent="0.25">
      <c r="A577" s="535">
        <v>576</v>
      </c>
      <c r="B577" s="95">
        <v>45327</v>
      </c>
      <c r="C577" s="432"/>
      <c r="D577" s="485"/>
      <c r="E577" s="433"/>
      <c r="F577" s="432"/>
      <c r="G577" s="432"/>
      <c r="H577" s="432"/>
      <c r="I577" s="432"/>
      <c r="J577" s="432"/>
      <c r="K577" s="432"/>
      <c r="L577" s="432"/>
      <c r="M577" s="432"/>
      <c r="N577" s="540"/>
      <c r="O577" s="485">
        <f t="shared" si="11"/>
        <v>0</v>
      </c>
      <c r="P577" s="387"/>
      <c r="Q577" s="389"/>
      <c r="R577" s="389"/>
      <c r="S577" s="389"/>
      <c r="T577" s="389"/>
      <c r="U577" s="389"/>
      <c r="V577" s="515"/>
    </row>
    <row r="578" spans="1:22" ht="35.1" customHeight="1" x14ac:dyDescent="0.25">
      <c r="A578" s="535">
        <v>577</v>
      </c>
      <c r="B578" s="95">
        <v>45328</v>
      </c>
      <c r="C578" s="432"/>
      <c r="D578" s="485"/>
      <c r="E578" s="433"/>
      <c r="F578" s="432"/>
      <c r="G578" s="432"/>
      <c r="H578" s="432"/>
      <c r="I578" s="432"/>
      <c r="J578" s="432"/>
      <c r="K578" s="432"/>
      <c r="L578" s="432"/>
      <c r="M578" s="432"/>
      <c r="N578" s="540"/>
      <c r="O578" s="485">
        <f t="shared" si="11"/>
        <v>0</v>
      </c>
      <c r="P578" s="387"/>
      <c r="Q578" s="389"/>
      <c r="R578" s="389"/>
      <c r="S578" s="389"/>
      <c r="T578" s="389"/>
      <c r="U578" s="389"/>
      <c r="V578" s="515"/>
    </row>
    <row r="579" spans="1:22" ht="35.1" customHeight="1" x14ac:dyDescent="0.25">
      <c r="A579" s="535">
        <v>578</v>
      </c>
      <c r="B579" s="95">
        <v>45329</v>
      </c>
      <c r="C579" s="432"/>
      <c r="D579" s="485"/>
      <c r="E579" s="433"/>
      <c r="F579" s="432"/>
      <c r="G579" s="432"/>
      <c r="H579" s="432"/>
      <c r="I579" s="432"/>
      <c r="J579" s="432"/>
      <c r="K579" s="432"/>
      <c r="L579" s="432"/>
      <c r="M579" s="432"/>
      <c r="N579" s="540"/>
      <c r="O579" s="485">
        <f t="shared" si="11"/>
        <v>0</v>
      </c>
      <c r="P579" s="387"/>
      <c r="Q579" s="389"/>
      <c r="R579" s="389"/>
      <c r="S579" s="389"/>
      <c r="T579" s="389"/>
      <c r="U579" s="389"/>
      <c r="V579" s="515"/>
    </row>
    <row r="580" spans="1:22" ht="35.1" customHeight="1" x14ac:dyDescent="0.25">
      <c r="A580" s="535">
        <v>579</v>
      </c>
      <c r="B580" s="95">
        <v>45330</v>
      </c>
      <c r="C580" s="432"/>
      <c r="D580" s="485"/>
      <c r="E580" s="433"/>
      <c r="F580" s="432"/>
      <c r="G580" s="432"/>
      <c r="H580" s="432"/>
      <c r="I580" s="432"/>
      <c r="J580" s="432"/>
      <c r="K580" s="432"/>
      <c r="L580" s="432"/>
      <c r="M580" s="432"/>
      <c r="N580" s="540"/>
      <c r="O580" s="485">
        <f t="shared" si="11"/>
        <v>0</v>
      </c>
      <c r="P580" s="387"/>
      <c r="Q580" s="389"/>
      <c r="R580" s="389"/>
      <c r="S580" s="389"/>
      <c r="T580" s="389"/>
      <c r="U580" s="389"/>
      <c r="V580" s="515"/>
    </row>
    <row r="581" spans="1:22" ht="35.1" customHeight="1" x14ac:dyDescent="0.25">
      <c r="A581" s="535">
        <v>580</v>
      </c>
      <c r="B581" s="95">
        <v>45331</v>
      </c>
      <c r="C581" s="432"/>
      <c r="D581" s="485"/>
      <c r="E581" s="433"/>
      <c r="F581" s="432"/>
      <c r="G581" s="432"/>
      <c r="H581" s="432"/>
      <c r="I581" s="432"/>
      <c r="J581" s="432"/>
      <c r="K581" s="432"/>
      <c r="L581" s="432"/>
      <c r="M581" s="432"/>
      <c r="N581" s="540"/>
      <c r="O581" s="485">
        <f t="shared" si="11"/>
        <v>0</v>
      </c>
      <c r="P581" s="387"/>
      <c r="Q581" s="389"/>
      <c r="R581" s="389"/>
      <c r="S581" s="389"/>
      <c r="T581" s="389"/>
      <c r="U581" s="389"/>
      <c r="V581" s="515"/>
    </row>
    <row r="582" spans="1:22" ht="35.1" customHeight="1" x14ac:dyDescent="0.25">
      <c r="A582" s="535">
        <v>581</v>
      </c>
      <c r="B582" s="95">
        <v>45332</v>
      </c>
      <c r="C582" s="432"/>
      <c r="D582" s="485"/>
      <c r="E582" s="433"/>
      <c r="F582" s="432"/>
      <c r="G582" s="432"/>
      <c r="H582" s="432"/>
      <c r="I582" s="432"/>
      <c r="J582" s="432"/>
      <c r="K582" s="432"/>
      <c r="L582" s="432"/>
      <c r="M582" s="432"/>
      <c r="N582" s="540"/>
      <c r="O582" s="485">
        <f t="shared" si="11"/>
        <v>0</v>
      </c>
      <c r="P582" s="387"/>
      <c r="Q582" s="389"/>
      <c r="R582" s="389"/>
      <c r="S582" s="389"/>
      <c r="T582" s="389"/>
      <c r="U582" s="389"/>
      <c r="V582" s="515"/>
    </row>
    <row r="583" spans="1:22" ht="35.1" customHeight="1" x14ac:dyDescent="0.25">
      <c r="A583" s="535">
        <v>582</v>
      </c>
      <c r="B583" s="95">
        <v>45333</v>
      </c>
      <c r="C583" s="432"/>
      <c r="D583" s="485"/>
      <c r="E583" s="433"/>
      <c r="F583" s="432"/>
      <c r="G583" s="432"/>
      <c r="H583" s="432"/>
      <c r="I583" s="432"/>
      <c r="J583" s="432"/>
      <c r="K583" s="432"/>
      <c r="L583" s="432"/>
      <c r="M583" s="432"/>
      <c r="N583" s="540"/>
      <c r="O583" s="485">
        <f t="shared" si="11"/>
        <v>0</v>
      </c>
      <c r="P583" s="387"/>
      <c r="Q583" s="389"/>
      <c r="R583" s="389"/>
      <c r="S583" s="389"/>
      <c r="T583" s="389"/>
      <c r="U583" s="389"/>
      <c r="V583" s="515"/>
    </row>
    <row r="584" spans="1:22" ht="35.1" customHeight="1" x14ac:dyDescent="0.25">
      <c r="A584" s="535">
        <v>583</v>
      </c>
      <c r="B584" s="95">
        <v>45334</v>
      </c>
      <c r="C584" s="432"/>
      <c r="D584" s="485"/>
      <c r="E584" s="433"/>
      <c r="F584" s="432"/>
      <c r="G584" s="432"/>
      <c r="H584" s="432"/>
      <c r="I584" s="432"/>
      <c r="J584" s="432"/>
      <c r="K584" s="432"/>
      <c r="L584" s="432"/>
      <c r="M584" s="432"/>
      <c r="N584" s="540"/>
      <c r="O584" s="485">
        <f t="shared" si="11"/>
        <v>0</v>
      </c>
      <c r="P584" s="387"/>
      <c r="Q584" s="389"/>
      <c r="R584" s="389"/>
      <c r="S584" s="389"/>
      <c r="T584" s="389"/>
      <c r="U584" s="389"/>
      <c r="V584" s="515"/>
    </row>
    <row r="585" spans="1:22" ht="35.1" customHeight="1" x14ac:dyDescent="0.25">
      <c r="A585" s="535">
        <v>584</v>
      </c>
      <c r="B585" s="95">
        <v>45335</v>
      </c>
      <c r="C585" s="432"/>
      <c r="D585" s="485"/>
      <c r="E585" s="433"/>
      <c r="F585" s="432"/>
      <c r="G585" s="432"/>
      <c r="H585" s="432"/>
      <c r="I585" s="432"/>
      <c r="J585" s="432"/>
      <c r="K585" s="432"/>
      <c r="L585" s="432"/>
      <c r="M585" s="432"/>
      <c r="N585" s="540"/>
      <c r="O585" s="485">
        <f t="shared" si="11"/>
        <v>0</v>
      </c>
      <c r="P585" s="387"/>
      <c r="Q585" s="389"/>
      <c r="R585" s="389"/>
      <c r="S585" s="389"/>
      <c r="T585" s="389"/>
      <c r="U585" s="389"/>
      <c r="V585" s="515"/>
    </row>
    <row r="586" spans="1:22" ht="35.1" customHeight="1" x14ac:dyDescent="0.25">
      <c r="A586" s="535">
        <v>585</v>
      </c>
      <c r="B586" s="95">
        <v>45336</v>
      </c>
      <c r="C586" s="432"/>
      <c r="D586" s="485"/>
      <c r="E586" s="433"/>
      <c r="F586" s="432"/>
      <c r="G586" s="432"/>
      <c r="H586" s="432"/>
      <c r="I586" s="432"/>
      <c r="J586" s="432"/>
      <c r="K586" s="432"/>
      <c r="L586" s="432"/>
      <c r="M586" s="432"/>
      <c r="N586" s="540"/>
      <c r="O586" s="485">
        <f t="shared" si="11"/>
        <v>0</v>
      </c>
      <c r="P586" s="387"/>
      <c r="Q586" s="389"/>
      <c r="R586" s="389"/>
      <c r="S586" s="389"/>
      <c r="T586" s="389"/>
      <c r="U586" s="389"/>
      <c r="V586" s="515"/>
    </row>
    <row r="587" spans="1:22" ht="35.1" customHeight="1" x14ac:dyDescent="0.25">
      <c r="A587" s="535">
        <v>586</v>
      </c>
      <c r="B587" s="95">
        <v>45337</v>
      </c>
      <c r="C587" s="432"/>
      <c r="D587" s="485"/>
      <c r="E587" s="433"/>
      <c r="F587" s="432"/>
      <c r="G587" s="432"/>
      <c r="H587" s="432"/>
      <c r="I587" s="432"/>
      <c r="J587" s="432"/>
      <c r="K587" s="432"/>
      <c r="L587" s="432"/>
      <c r="M587" s="432"/>
      <c r="N587" s="540"/>
      <c r="O587" s="485">
        <f t="shared" si="11"/>
        <v>0</v>
      </c>
      <c r="P587" s="387"/>
      <c r="Q587" s="389"/>
      <c r="R587" s="389"/>
      <c r="S587" s="389"/>
      <c r="T587" s="389"/>
      <c r="U587" s="389"/>
      <c r="V587" s="515"/>
    </row>
    <row r="588" spans="1:22" ht="35.1" customHeight="1" x14ac:dyDescent="0.25">
      <c r="A588" s="535">
        <v>587</v>
      </c>
      <c r="B588" s="95">
        <v>45338</v>
      </c>
      <c r="C588" s="432"/>
      <c r="D588" s="485"/>
      <c r="E588" s="433"/>
      <c r="F588" s="432"/>
      <c r="G588" s="432"/>
      <c r="H588" s="432"/>
      <c r="I588" s="432"/>
      <c r="J588" s="432"/>
      <c r="K588" s="432"/>
      <c r="L588" s="432"/>
      <c r="M588" s="432"/>
      <c r="N588" s="540"/>
      <c r="O588" s="485">
        <f t="shared" si="11"/>
        <v>0</v>
      </c>
      <c r="P588" s="387"/>
      <c r="Q588" s="389"/>
      <c r="R588" s="389"/>
      <c r="S588" s="389"/>
      <c r="T588" s="389"/>
      <c r="U588" s="389"/>
      <c r="V588" s="515"/>
    </row>
    <row r="589" spans="1:22" ht="35.1" customHeight="1" x14ac:dyDescent="0.25">
      <c r="A589" s="535">
        <v>588</v>
      </c>
      <c r="B589" s="95">
        <v>45339</v>
      </c>
      <c r="C589" s="432"/>
      <c r="D589" s="485"/>
      <c r="E589" s="433"/>
      <c r="F589" s="432"/>
      <c r="G589" s="432"/>
      <c r="H589" s="432"/>
      <c r="I589" s="432"/>
      <c r="J589" s="432"/>
      <c r="K589" s="432"/>
      <c r="L589" s="432"/>
      <c r="M589" s="432"/>
      <c r="N589" s="540"/>
      <c r="O589" s="485">
        <f t="shared" si="11"/>
        <v>0</v>
      </c>
      <c r="P589" s="387"/>
      <c r="Q589" s="389"/>
      <c r="R589" s="389"/>
      <c r="S589" s="389"/>
      <c r="T589" s="389"/>
      <c r="U589" s="389"/>
      <c r="V589" s="515"/>
    </row>
    <row r="590" spans="1:22" ht="35.1" customHeight="1" x14ac:dyDescent="0.25">
      <c r="A590" s="535">
        <v>589</v>
      </c>
      <c r="B590" s="95">
        <v>45340</v>
      </c>
      <c r="C590" s="432"/>
      <c r="D590" s="485"/>
      <c r="E590" s="433"/>
      <c r="F590" s="432"/>
      <c r="G590" s="432"/>
      <c r="H590" s="432"/>
      <c r="I590" s="432"/>
      <c r="J590" s="432"/>
      <c r="K590" s="432"/>
      <c r="L590" s="432"/>
      <c r="M590" s="432"/>
      <c r="N590" s="540"/>
      <c r="O590" s="485">
        <f t="shared" si="11"/>
        <v>0</v>
      </c>
      <c r="P590" s="387"/>
      <c r="Q590" s="389"/>
      <c r="R590" s="389"/>
      <c r="S590" s="389"/>
      <c r="T590" s="389"/>
      <c r="U590" s="389"/>
      <c r="V590" s="515"/>
    </row>
    <row r="591" spans="1:22" ht="35.1" customHeight="1" x14ac:dyDescent="0.25">
      <c r="A591" s="535">
        <v>590</v>
      </c>
      <c r="B591" s="95">
        <v>45341</v>
      </c>
      <c r="C591" s="432"/>
      <c r="D591" s="485"/>
      <c r="E591" s="433"/>
      <c r="F591" s="432"/>
      <c r="G591" s="432"/>
      <c r="H591" s="432"/>
      <c r="I591" s="432"/>
      <c r="J591" s="432"/>
      <c r="K591" s="432"/>
      <c r="L591" s="432"/>
      <c r="M591" s="432"/>
      <c r="N591" s="540"/>
      <c r="O591" s="485">
        <f t="shared" si="11"/>
        <v>0</v>
      </c>
      <c r="P591" s="387"/>
      <c r="Q591" s="389"/>
      <c r="R591" s="389"/>
      <c r="S591" s="389"/>
      <c r="T591" s="389"/>
      <c r="U591" s="389"/>
      <c r="V591" s="515"/>
    </row>
    <row r="592" spans="1:22" ht="35.1" customHeight="1" x14ac:dyDescent="0.25">
      <c r="A592" s="535">
        <v>591</v>
      </c>
      <c r="B592" s="95">
        <v>45342</v>
      </c>
      <c r="C592" s="432"/>
      <c r="D592" s="485"/>
      <c r="E592" s="433"/>
      <c r="F592" s="432"/>
      <c r="G592" s="432"/>
      <c r="H592" s="432"/>
      <c r="I592" s="432"/>
      <c r="J592" s="432"/>
      <c r="K592" s="432"/>
      <c r="L592" s="432"/>
      <c r="M592" s="432"/>
      <c r="N592" s="540"/>
      <c r="O592" s="485">
        <f t="shared" si="11"/>
        <v>0</v>
      </c>
      <c r="P592" s="387"/>
      <c r="Q592" s="389"/>
      <c r="R592" s="389"/>
      <c r="S592" s="389"/>
      <c r="T592" s="389"/>
      <c r="U592" s="389"/>
      <c r="V592" s="515"/>
    </row>
    <row r="593" spans="1:22" ht="35.1" customHeight="1" x14ac:dyDescent="0.25">
      <c r="A593" s="535">
        <v>592</v>
      </c>
      <c r="B593" s="95">
        <v>45343</v>
      </c>
      <c r="C593" s="432"/>
      <c r="D593" s="485"/>
      <c r="E593" s="433"/>
      <c r="F593" s="432"/>
      <c r="G593" s="432"/>
      <c r="H593" s="432"/>
      <c r="I593" s="432"/>
      <c r="J593" s="432"/>
      <c r="K593" s="432"/>
      <c r="L593" s="432"/>
      <c r="M593" s="432"/>
      <c r="N593" s="540"/>
      <c r="O593" s="485">
        <f t="shared" si="11"/>
        <v>0</v>
      </c>
      <c r="P593" s="387"/>
      <c r="Q593" s="389"/>
      <c r="R593" s="389"/>
      <c r="S593" s="389"/>
      <c r="T593" s="389"/>
      <c r="U593" s="389"/>
      <c r="V593" s="515"/>
    </row>
    <row r="594" spans="1:22" ht="35.1" customHeight="1" x14ac:dyDescent="0.25">
      <c r="A594" s="535">
        <v>593</v>
      </c>
      <c r="B594" s="95">
        <v>45344</v>
      </c>
      <c r="C594" s="432"/>
      <c r="D594" s="485"/>
      <c r="E594" s="433"/>
      <c r="F594" s="432"/>
      <c r="G594" s="432"/>
      <c r="H594" s="432"/>
      <c r="I594" s="432"/>
      <c r="J594" s="432"/>
      <c r="K594" s="432"/>
      <c r="L594" s="432"/>
      <c r="M594" s="432"/>
      <c r="N594" s="540"/>
      <c r="O594" s="485">
        <f t="shared" si="11"/>
        <v>0</v>
      </c>
      <c r="P594" s="387"/>
      <c r="Q594" s="389"/>
      <c r="R594" s="389"/>
      <c r="S594" s="389"/>
      <c r="T594" s="389"/>
      <c r="U594" s="389"/>
      <c r="V594" s="516"/>
    </row>
    <row r="595" spans="1:22" ht="35.1" customHeight="1" x14ac:dyDescent="0.25">
      <c r="A595" s="535">
        <v>594</v>
      </c>
      <c r="B595" s="95">
        <v>45345</v>
      </c>
      <c r="C595" s="432"/>
      <c r="D595" s="485"/>
      <c r="E595" s="433"/>
      <c r="F595" s="432"/>
      <c r="G595" s="432"/>
      <c r="H595" s="432"/>
      <c r="I595" s="432"/>
      <c r="J595" s="432"/>
      <c r="K595" s="432"/>
      <c r="L595" s="432"/>
      <c r="M595" s="432"/>
      <c r="N595" s="540"/>
      <c r="O595" s="485">
        <f t="shared" si="11"/>
        <v>0</v>
      </c>
      <c r="P595" s="387"/>
      <c r="Q595" s="389"/>
      <c r="R595" s="389"/>
      <c r="S595" s="389"/>
      <c r="T595" s="389"/>
      <c r="U595" s="389"/>
      <c r="V595" s="516"/>
    </row>
    <row r="596" spans="1:22" ht="35.1" customHeight="1" x14ac:dyDescent="0.25">
      <c r="A596" s="535">
        <v>595</v>
      </c>
      <c r="B596" s="95">
        <v>45346</v>
      </c>
      <c r="C596" s="432"/>
      <c r="D596" s="485"/>
      <c r="E596" s="433"/>
      <c r="F596" s="432"/>
      <c r="G596" s="432"/>
      <c r="H596" s="432"/>
      <c r="I596" s="432"/>
      <c r="J596" s="432"/>
      <c r="K596" s="432"/>
      <c r="L596" s="432"/>
      <c r="M596" s="432"/>
      <c r="N596" s="540"/>
      <c r="O596" s="485">
        <f t="shared" si="11"/>
        <v>0</v>
      </c>
      <c r="P596" s="387"/>
      <c r="Q596" s="389"/>
      <c r="R596" s="389"/>
      <c r="S596" s="389"/>
      <c r="T596" s="389"/>
      <c r="U596" s="389"/>
      <c r="V596" s="516"/>
    </row>
    <row r="597" spans="1:22" ht="35.1" customHeight="1" x14ac:dyDescent="0.25">
      <c r="A597" s="535">
        <v>596</v>
      </c>
      <c r="B597" s="95">
        <v>45347</v>
      </c>
      <c r="C597" s="432"/>
      <c r="D597" s="485"/>
      <c r="E597" s="433"/>
      <c r="F597" s="432"/>
      <c r="G597" s="432"/>
      <c r="H597" s="432"/>
      <c r="I597" s="432"/>
      <c r="J597" s="432"/>
      <c r="K597" s="432"/>
      <c r="L597" s="432"/>
      <c r="M597" s="432"/>
      <c r="N597" s="540"/>
      <c r="O597" s="485">
        <f t="shared" si="11"/>
        <v>0</v>
      </c>
      <c r="P597" s="387"/>
      <c r="Q597" s="389"/>
      <c r="R597" s="389"/>
      <c r="S597" s="389"/>
      <c r="T597" s="389"/>
      <c r="U597" s="389"/>
      <c r="V597" s="516"/>
    </row>
    <row r="598" spans="1:22" ht="35.1" customHeight="1" x14ac:dyDescent="0.25">
      <c r="A598" s="535">
        <v>597</v>
      </c>
      <c r="B598" s="95">
        <v>45348</v>
      </c>
      <c r="C598" s="432"/>
      <c r="D598" s="485"/>
      <c r="E598" s="433"/>
      <c r="F598" s="432"/>
      <c r="G598" s="432"/>
      <c r="H598" s="432"/>
      <c r="I598" s="432"/>
      <c r="J598" s="432"/>
      <c r="K598" s="432"/>
      <c r="L598" s="432"/>
      <c r="M598" s="432"/>
      <c r="N598" s="540"/>
      <c r="O598" s="485">
        <f t="shared" si="11"/>
        <v>0</v>
      </c>
      <c r="P598" s="387"/>
      <c r="Q598" s="389"/>
      <c r="R598" s="389"/>
      <c r="S598" s="389"/>
      <c r="T598" s="389"/>
      <c r="U598" s="389"/>
      <c r="V598" s="516"/>
    </row>
    <row r="599" spans="1:22" ht="35.1" customHeight="1" x14ac:dyDescent="0.25">
      <c r="A599" s="535">
        <v>598</v>
      </c>
      <c r="B599" s="95">
        <v>45349</v>
      </c>
      <c r="C599" s="432"/>
      <c r="D599" s="485"/>
      <c r="E599" s="433"/>
      <c r="F599" s="432"/>
      <c r="G599" s="432"/>
      <c r="H599" s="432"/>
      <c r="I599" s="432"/>
      <c r="J599" s="432"/>
      <c r="K599" s="432"/>
      <c r="L599" s="432"/>
      <c r="M599" s="432"/>
      <c r="N599" s="540"/>
      <c r="O599" s="485">
        <f t="shared" si="11"/>
        <v>0</v>
      </c>
      <c r="P599" s="387"/>
      <c r="Q599" s="389"/>
      <c r="R599" s="389"/>
      <c r="S599" s="389"/>
      <c r="T599" s="389"/>
      <c r="U599" s="389"/>
      <c r="V599" s="516"/>
    </row>
    <row r="600" spans="1:22" ht="35.1" customHeight="1" x14ac:dyDescent="0.25">
      <c r="A600" s="535">
        <v>599</v>
      </c>
      <c r="B600" s="95">
        <v>45350</v>
      </c>
      <c r="C600" s="432"/>
      <c r="D600" s="485"/>
      <c r="E600" s="433"/>
      <c r="F600" s="432"/>
      <c r="G600" s="432"/>
      <c r="H600" s="432"/>
      <c r="I600" s="432"/>
      <c r="J600" s="432"/>
      <c r="K600" s="432"/>
      <c r="L600" s="432"/>
      <c r="M600" s="432"/>
      <c r="N600" s="540"/>
      <c r="O600" s="485">
        <f t="shared" si="11"/>
        <v>0</v>
      </c>
      <c r="P600" s="387"/>
      <c r="Q600" s="389"/>
      <c r="R600" s="389"/>
      <c r="S600" s="389"/>
      <c r="T600" s="389"/>
      <c r="U600" s="389"/>
      <c r="V600" s="516"/>
    </row>
    <row r="601" spans="1:22" ht="35.1" customHeight="1" x14ac:dyDescent="0.25">
      <c r="A601" s="535">
        <v>600</v>
      </c>
      <c r="B601" s="95">
        <v>45351</v>
      </c>
      <c r="C601" s="432"/>
      <c r="D601" s="485"/>
      <c r="E601" s="433"/>
      <c r="F601" s="432"/>
      <c r="G601" s="432"/>
      <c r="H601" s="432"/>
      <c r="I601" s="432"/>
      <c r="J601" s="432"/>
      <c r="K601" s="432"/>
      <c r="L601" s="432"/>
      <c r="M601" s="432"/>
      <c r="N601" s="540"/>
      <c r="O601" s="485">
        <f t="shared" si="11"/>
        <v>0</v>
      </c>
      <c r="P601" s="387"/>
      <c r="Q601" s="389"/>
      <c r="R601" s="389"/>
      <c r="S601" s="389"/>
      <c r="T601" s="389"/>
      <c r="U601" s="389"/>
      <c r="V601" s="516"/>
    </row>
    <row r="602" spans="1:22" ht="35.1" customHeight="1" x14ac:dyDescent="0.25">
      <c r="A602" s="535">
        <v>601</v>
      </c>
      <c r="B602" s="95">
        <v>45352</v>
      </c>
      <c r="C602" s="432"/>
      <c r="D602" s="485"/>
      <c r="E602" s="433"/>
      <c r="F602" s="432"/>
      <c r="G602" s="432"/>
      <c r="H602" s="432"/>
      <c r="I602" s="432"/>
      <c r="J602" s="432"/>
      <c r="K602" s="432"/>
      <c r="L602" s="432"/>
      <c r="M602" s="432"/>
      <c r="N602" s="540"/>
      <c r="O602" s="485">
        <f t="shared" si="11"/>
        <v>0</v>
      </c>
      <c r="P602" s="387"/>
      <c r="Q602" s="389"/>
      <c r="R602" s="389"/>
      <c r="S602" s="389"/>
      <c r="T602" s="389"/>
      <c r="U602" s="389"/>
      <c r="V602" s="516"/>
    </row>
    <row r="603" spans="1:22" ht="35.1" customHeight="1" x14ac:dyDescent="0.25">
      <c r="A603" s="535">
        <v>602</v>
      </c>
      <c r="B603" s="95">
        <v>45353</v>
      </c>
      <c r="C603" s="432"/>
      <c r="D603" s="485"/>
      <c r="E603" s="433"/>
      <c r="F603" s="432"/>
      <c r="G603" s="432"/>
      <c r="H603" s="432"/>
      <c r="I603" s="432"/>
      <c r="J603" s="432"/>
      <c r="K603" s="432"/>
      <c r="L603" s="432"/>
      <c r="M603" s="432"/>
      <c r="N603" s="540"/>
      <c r="O603" s="485">
        <f t="shared" si="11"/>
        <v>0</v>
      </c>
      <c r="P603" s="387"/>
      <c r="Q603" s="389"/>
      <c r="R603" s="389"/>
      <c r="S603" s="389"/>
      <c r="T603" s="389"/>
      <c r="U603" s="389"/>
      <c r="V603" s="516"/>
    </row>
    <row r="604" spans="1:22" ht="35.1" customHeight="1" x14ac:dyDescent="0.25">
      <c r="A604" s="535">
        <v>603</v>
      </c>
      <c r="B604" s="95">
        <v>45354</v>
      </c>
      <c r="C604" s="432"/>
      <c r="D604" s="485"/>
      <c r="E604" s="433"/>
      <c r="F604" s="432"/>
      <c r="G604" s="432"/>
      <c r="H604" s="432"/>
      <c r="I604" s="432"/>
      <c r="J604" s="432"/>
      <c r="K604" s="432"/>
      <c r="L604" s="432"/>
      <c r="M604" s="432"/>
      <c r="N604" s="540"/>
      <c r="O604" s="485">
        <f t="shared" si="11"/>
        <v>0</v>
      </c>
      <c r="P604" s="387"/>
      <c r="Q604" s="389"/>
      <c r="R604" s="389"/>
      <c r="S604" s="389"/>
      <c r="T604" s="389"/>
      <c r="U604" s="389"/>
      <c r="V604" s="516"/>
    </row>
    <row r="605" spans="1:22" ht="35.1" customHeight="1" x14ac:dyDescent="0.25">
      <c r="A605" s="535">
        <v>604</v>
      </c>
      <c r="B605" s="95">
        <v>45355</v>
      </c>
      <c r="C605" s="432"/>
      <c r="D605" s="485"/>
      <c r="E605" s="433"/>
      <c r="F605" s="432"/>
      <c r="G605" s="432"/>
      <c r="H605" s="432"/>
      <c r="I605" s="432"/>
      <c r="J605" s="432"/>
      <c r="K605" s="432"/>
      <c r="L605" s="432"/>
      <c r="M605" s="432"/>
      <c r="N605" s="540"/>
      <c r="O605" s="485">
        <f t="shared" si="11"/>
        <v>0</v>
      </c>
      <c r="P605" s="387"/>
      <c r="Q605" s="389"/>
      <c r="R605" s="389"/>
      <c r="S605" s="389"/>
      <c r="T605" s="389"/>
      <c r="U605" s="389"/>
    </row>
    <row r="606" spans="1:22" ht="35.1" customHeight="1" x14ac:dyDescent="0.25">
      <c r="A606" s="535">
        <v>605</v>
      </c>
      <c r="B606" s="95">
        <v>45356</v>
      </c>
      <c r="C606" s="432"/>
      <c r="D606" s="485"/>
      <c r="E606" s="433"/>
      <c r="F606" s="432"/>
      <c r="G606" s="432"/>
      <c r="H606" s="432"/>
      <c r="I606" s="432"/>
      <c r="J606" s="432"/>
      <c r="K606" s="432"/>
      <c r="L606" s="432"/>
      <c r="M606" s="432"/>
      <c r="N606" s="540"/>
      <c r="O606" s="485">
        <f t="shared" si="11"/>
        <v>0</v>
      </c>
      <c r="P606" s="387"/>
      <c r="Q606" s="389"/>
      <c r="R606" s="389"/>
      <c r="S606" s="389"/>
      <c r="T606" s="389"/>
      <c r="U606" s="389"/>
    </row>
    <row r="607" spans="1:22" ht="35.1" customHeight="1" x14ac:dyDescent="0.25">
      <c r="A607" s="535">
        <v>606</v>
      </c>
      <c r="B607" s="95">
        <v>45357</v>
      </c>
      <c r="C607" s="432"/>
      <c r="D607" s="485"/>
      <c r="E607" s="433"/>
      <c r="F607" s="432"/>
      <c r="G607" s="432"/>
      <c r="H607" s="432"/>
      <c r="I607" s="432"/>
      <c r="J607" s="432"/>
      <c r="K607" s="432"/>
      <c r="L607" s="432"/>
      <c r="M607" s="432"/>
      <c r="N607" s="540"/>
      <c r="O607" s="485">
        <f t="shared" si="11"/>
        <v>0</v>
      </c>
      <c r="P607" s="387"/>
      <c r="Q607" s="389"/>
      <c r="R607" s="389"/>
      <c r="S607" s="389"/>
      <c r="T607" s="389"/>
      <c r="U607" s="389"/>
    </row>
    <row r="608" spans="1:22" ht="35.1" customHeight="1" x14ac:dyDescent="0.25">
      <c r="A608" s="535">
        <v>607</v>
      </c>
      <c r="B608" s="95">
        <v>45358</v>
      </c>
      <c r="C608" s="432"/>
      <c r="D608" s="485"/>
      <c r="E608" s="433"/>
      <c r="F608" s="432"/>
      <c r="G608" s="432"/>
      <c r="H608" s="432"/>
      <c r="I608" s="432"/>
      <c r="J608" s="432"/>
      <c r="K608" s="432"/>
      <c r="L608" s="432"/>
      <c r="M608" s="432"/>
      <c r="N608" s="540"/>
      <c r="O608" s="485">
        <f t="shared" si="11"/>
        <v>0</v>
      </c>
      <c r="P608" s="387"/>
      <c r="Q608" s="389"/>
      <c r="R608" s="389"/>
      <c r="S608" s="389"/>
      <c r="T608" s="389"/>
      <c r="U608" s="389"/>
    </row>
    <row r="609" spans="1:21" ht="35.1" customHeight="1" x14ac:dyDescent="0.25">
      <c r="A609" s="535">
        <v>608</v>
      </c>
      <c r="B609" s="95">
        <v>45359</v>
      </c>
      <c r="C609" s="432"/>
      <c r="D609" s="485"/>
      <c r="E609" s="433"/>
      <c r="F609" s="432"/>
      <c r="G609" s="432"/>
      <c r="H609" s="432"/>
      <c r="I609" s="432"/>
      <c r="J609" s="432"/>
      <c r="K609" s="432"/>
      <c r="L609" s="432"/>
      <c r="M609" s="432"/>
      <c r="N609" s="540"/>
      <c r="O609" s="485">
        <f t="shared" si="11"/>
        <v>0</v>
      </c>
      <c r="P609" s="387"/>
      <c r="Q609" s="389"/>
      <c r="R609" s="389"/>
      <c r="S609" s="389"/>
      <c r="T609" s="389"/>
      <c r="U609" s="389"/>
    </row>
    <row r="610" spans="1:21" ht="35.1" customHeight="1" x14ac:dyDescent="0.25">
      <c r="A610" s="535">
        <v>609</v>
      </c>
      <c r="B610" s="95">
        <v>45360</v>
      </c>
      <c r="C610" s="432"/>
      <c r="D610" s="485"/>
      <c r="E610" s="433"/>
      <c r="F610" s="432"/>
      <c r="G610" s="432"/>
      <c r="H610" s="432"/>
      <c r="I610" s="432"/>
      <c r="J610" s="432"/>
      <c r="K610" s="432"/>
      <c r="L610" s="432"/>
      <c r="M610" s="432"/>
      <c r="N610" s="540"/>
      <c r="O610" s="485">
        <f t="shared" si="11"/>
        <v>0</v>
      </c>
      <c r="P610" s="387"/>
      <c r="Q610" s="389"/>
      <c r="R610" s="389"/>
      <c r="S610" s="389"/>
      <c r="T610" s="389"/>
      <c r="U610" s="389"/>
    </row>
    <row r="611" spans="1:21" ht="35.1" customHeight="1" x14ac:dyDescent="0.25">
      <c r="A611" s="535">
        <v>610</v>
      </c>
      <c r="B611" s="95">
        <v>45361</v>
      </c>
      <c r="C611" s="432"/>
      <c r="D611" s="485"/>
      <c r="E611" s="433"/>
      <c r="F611" s="432"/>
      <c r="G611" s="432"/>
      <c r="H611" s="432"/>
      <c r="I611" s="432"/>
      <c r="J611" s="432"/>
      <c r="K611" s="432"/>
      <c r="L611" s="432"/>
      <c r="M611" s="432"/>
      <c r="N611" s="540"/>
      <c r="O611" s="485">
        <f t="shared" si="11"/>
        <v>0</v>
      </c>
      <c r="P611" s="387"/>
      <c r="Q611" s="389"/>
      <c r="R611" s="389"/>
      <c r="S611" s="389"/>
      <c r="T611" s="389"/>
      <c r="U611" s="389"/>
    </row>
    <row r="612" spans="1:21" ht="35.1" customHeight="1" x14ac:dyDescent="0.25">
      <c r="A612" s="535">
        <v>611</v>
      </c>
      <c r="B612" s="95">
        <v>45362</v>
      </c>
      <c r="C612" s="432"/>
      <c r="D612" s="485"/>
      <c r="E612" s="433"/>
      <c r="F612" s="432"/>
      <c r="G612" s="432"/>
      <c r="H612" s="432"/>
      <c r="I612" s="432"/>
      <c r="J612" s="432"/>
      <c r="K612" s="432"/>
      <c r="L612" s="432"/>
      <c r="M612" s="432"/>
      <c r="N612" s="540"/>
      <c r="O612" s="485">
        <f t="shared" si="11"/>
        <v>0</v>
      </c>
      <c r="P612" s="387"/>
      <c r="Q612" s="389"/>
      <c r="R612" s="389"/>
      <c r="S612" s="389"/>
      <c r="T612" s="389"/>
      <c r="U612" s="389"/>
    </row>
    <row r="613" spans="1:21" ht="35.1" customHeight="1" x14ac:dyDescent="0.25">
      <c r="A613" s="535">
        <v>612</v>
      </c>
      <c r="B613" s="95">
        <v>45363</v>
      </c>
      <c r="C613" s="432"/>
      <c r="D613" s="485"/>
      <c r="E613" s="433"/>
      <c r="F613" s="432"/>
      <c r="G613" s="432"/>
      <c r="H613" s="432"/>
      <c r="I613" s="432"/>
      <c r="J613" s="432"/>
      <c r="K613" s="432"/>
      <c r="L613" s="432"/>
      <c r="M613" s="432"/>
      <c r="N613" s="540"/>
      <c r="O613" s="485">
        <f t="shared" si="11"/>
        <v>0</v>
      </c>
      <c r="P613" s="387"/>
      <c r="Q613" s="389"/>
      <c r="R613" s="389"/>
      <c r="S613" s="389"/>
      <c r="T613" s="389"/>
      <c r="U613" s="389"/>
    </row>
    <row r="614" spans="1:21" ht="35.1" customHeight="1" x14ac:dyDescent="0.25">
      <c r="A614" s="535">
        <v>613</v>
      </c>
      <c r="B614" s="95">
        <v>45364</v>
      </c>
      <c r="C614" s="432"/>
      <c r="D614" s="485"/>
      <c r="E614" s="433"/>
      <c r="F614" s="432"/>
      <c r="G614" s="432"/>
      <c r="H614" s="432"/>
      <c r="I614" s="432"/>
      <c r="J614" s="432"/>
      <c r="K614" s="432"/>
      <c r="L614" s="432"/>
      <c r="M614" s="432"/>
      <c r="N614" s="540"/>
      <c r="O614" s="485">
        <f t="shared" si="11"/>
        <v>0</v>
      </c>
      <c r="P614" s="387"/>
      <c r="Q614" s="389"/>
      <c r="R614" s="389"/>
      <c r="S614" s="389"/>
      <c r="T614" s="389"/>
      <c r="U614" s="389"/>
    </row>
    <row r="615" spans="1:21" ht="35.1" customHeight="1" x14ac:dyDescent="0.25">
      <c r="A615" s="535">
        <v>614</v>
      </c>
      <c r="B615" s="95">
        <v>45365</v>
      </c>
      <c r="C615" s="432"/>
      <c r="D615" s="485"/>
      <c r="E615" s="433"/>
      <c r="F615" s="432"/>
      <c r="G615" s="432"/>
      <c r="H615" s="432"/>
      <c r="I615" s="432"/>
      <c r="J615" s="432"/>
      <c r="K615" s="432"/>
      <c r="L615" s="432"/>
      <c r="M615" s="432"/>
      <c r="N615" s="540"/>
      <c r="O615" s="485">
        <f t="shared" si="11"/>
        <v>0</v>
      </c>
      <c r="P615" s="387"/>
      <c r="Q615" s="389"/>
      <c r="R615" s="389"/>
      <c r="S615" s="389"/>
      <c r="T615" s="389"/>
      <c r="U615" s="389"/>
    </row>
    <row r="616" spans="1:21" ht="35.1" customHeight="1" x14ac:dyDescent="0.25">
      <c r="A616" s="535">
        <v>615</v>
      </c>
      <c r="B616" s="95">
        <v>45366</v>
      </c>
      <c r="C616" s="432"/>
      <c r="D616" s="485"/>
      <c r="E616" s="433"/>
      <c r="F616" s="432"/>
      <c r="G616" s="432"/>
      <c r="H616" s="432"/>
      <c r="I616" s="432"/>
      <c r="J616" s="432"/>
      <c r="K616" s="432"/>
      <c r="L616" s="432"/>
      <c r="M616" s="432"/>
      <c r="N616" s="540"/>
      <c r="O616" s="485">
        <f t="shared" si="11"/>
        <v>0</v>
      </c>
      <c r="P616" s="387"/>
      <c r="Q616" s="389"/>
      <c r="R616" s="389"/>
      <c r="S616" s="389"/>
      <c r="T616" s="389"/>
      <c r="U616" s="389"/>
    </row>
    <row r="617" spans="1:21" ht="35.1" customHeight="1" x14ac:dyDescent="0.25">
      <c r="A617" s="535">
        <v>616</v>
      </c>
      <c r="B617" s="95">
        <v>45367</v>
      </c>
      <c r="C617" s="432"/>
      <c r="D617" s="485"/>
      <c r="E617" s="433"/>
      <c r="F617" s="432"/>
      <c r="G617" s="432"/>
      <c r="H617" s="432"/>
      <c r="I617" s="432"/>
      <c r="J617" s="432"/>
      <c r="K617" s="432"/>
      <c r="L617" s="432"/>
      <c r="M617" s="432"/>
      <c r="N617" s="540"/>
      <c r="O617" s="485">
        <f t="shared" si="11"/>
        <v>0</v>
      </c>
      <c r="P617" s="387"/>
      <c r="Q617" s="389"/>
      <c r="R617" s="389"/>
      <c r="S617" s="389"/>
      <c r="T617" s="389"/>
      <c r="U617" s="389"/>
    </row>
    <row r="618" spans="1:21" ht="35.1" customHeight="1" x14ac:dyDescent="0.25">
      <c r="A618" s="535">
        <v>617</v>
      </c>
      <c r="B618" s="95">
        <v>45368</v>
      </c>
      <c r="C618" s="432"/>
      <c r="D618" s="485"/>
      <c r="E618" s="433"/>
      <c r="F618" s="432"/>
      <c r="G618" s="432"/>
      <c r="H618" s="432"/>
      <c r="I618" s="432"/>
      <c r="J618" s="432"/>
      <c r="K618" s="432"/>
      <c r="L618" s="432"/>
      <c r="M618" s="432"/>
      <c r="N618" s="540"/>
      <c r="O618" s="485">
        <f t="shared" si="11"/>
        <v>0</v>
      </c>
      <c r="P618" s="387"/>
      <c r="Q618" s="389"/>
      <c r="R618" s="389"/>
      <c r="S618" s="389"/>
      <c r="T618" s="389"/>
      <c r="U618" s="389"/>
    </row>
    <row r="619" spans="1:21" ht="35.1" customHeight="1" x14ac:dyDescent="0.25">
      <c r="A619" s="535">
        <v>618</v>
      </c>
      <c r="B619" s="95">
        <v>45369</v>
      </c>
      <c r="C619" s="432"/>
      <c r="D619" s="485"/>
      <c r="E619" s="433"/>
      <c r="F619" s="432"/>
      <c r="G619" s="432"/>
      <c r="H619" s="432"/>
      <c r="I619" s="432"/>
      <c r="J619" s="432"/>
      <c r="K619" s="432"/>
      <c r="L619" s="432"/>
      <c r="M619" s="432"/>
      <c r="N619" s="540"/>
      <c r="O619" s="485">
        <f t="shared" si="11"/>
        <v>0</v>
      </c>
      <c r="P619" s="387"/>
      <c r="Q619" s="389"/>
      <c r="R619" s="389"/>
      <c r="S619" s="389"/>
      <c r="T619" s="389"/>
      <c r="U619" s="389"/>
    </row>
    <row r="620" spans="1:21" ht="35.1" customHeight="1" x14ac:dyDescent="0.25">
      <c r="A620" s="535">
        <v>619</v>
      </c>
      <c r="B620" s="95">
        <v>45370</v>
      </c>
      <c r="C620" s="432"/>
      <c r="D620" s="485"/>
      <c r="E620" s="433"/>
      <c r="F620" s="432"/>
      <c r="G620" s="432"/>
      <c r="H620" s="432"/>
      <c r="I620" s="432"/>
      <c r="J620" s="432"/>
      <c r="K620" s="432"/>
      <c r="L620" s="432"/>
      <c r="M620" s="432"/>
      <c r="N620" s="540"/>
      <c r="O620" s="485">
        <f t="shared" si="11"/>
        <v>0</v>
      </c>
      <c r="P620" s="387"/>
      <c r="Q620" s="389"/>
      <c r="R620" s="389"/>
      <c r="S620" s="389"/>
      <c r="T620" s="389"/>
      <c r="U620" s="389"/>
    </row>
    <row r="621" spans="1:21" ht="35.1" customHeight="1" x14ac:dyDescent="0.25">
      <c r="A621" s="535">
        <v>620</v>
      </c>
      <c r="B621" s="95">
        <v>45371</v>
      </c>
      <c r="C621" s="432"/>
      <c r="D621" s="485"/>
      <c r="E621" s="433"/>
      <c r="F621" s="432"/>
      <c r="G621" s="432"/>
      <c r="H621" s="432"/>
      <c r="I621" s="432"/>
      <c r="J621" s="432"/>
      <c r="K621" s="432"/>
      <c r="L621" s="432"/>
      <c r="M621" s="432"/>
      <c r="N621" s="540"/>
      <c r="O621" s="485">
        <f t="shared" si="11"/>
        <v>0</v>
      </c>
      <c r="P621" s="387"/>
      <c r="Q621" s="389"/>
      <c r="R621" s="389"/>
      <c r="S621" s="389"/>
      <c r="T621" s="389"/>
      <c r="U621" s="389"/>
    </row>
    <row r="622" spans="1:21" ht="35.1" customHeight="1" x14ac:dyDescent="0.25">
      <c r="A622" s="535">
        <v>621</v>
      </c>
      <c r="B622" s="95">
        <v>45372</v>
      </c>
      <c r="C622" s="432"/>
      <c r="D622" s="485"/>
      <c r="E622" s="433"/>
      <c r="F622" s="432"/>
      <c r="G622" s="432"/>
      <c r="H622" s="432"/>
      <c r="I622" s="432"/>
      <c r="J622" s="432"/>
      <c r="K622" s="432"/>
      <c r="L622" s="432"/>
      <c r="M622" s="432"/>
      <c r="N622" s="540"/>
      <c r="O622" s="485">
        <f t="shared" si="11"/>
        <v>0</v>
      </c>
      <c r="P622" s="387"/>
      <c r="Q622" s="389"/>
      <c r="R622" s="389"/>
      <c r="S622" s="389"/>
      <c r="T622" s="389"/>
      <c r="U622" s="389"/>
    </row>
    <row r="623" spans="1:21" ht="35.1" customHeight="1" x14ac:dyDescent="0.25">
      <c r="A623" s="535">
        <v>622</v>
      </c>
      <c r="B623" s="95">
        <v>45373</v>
      </c>
      <c r="C623" s="432"/>
      <c r="D623" s="485"/>
      <c r="E623" s="433"/>
      <c r="F623" s="432"/>
      <c r="G623" s="432"/>
      <c r="H623" s="432"/>
      <c r="I623" s="432"/>
      <c r="J623" s="432"/>
      <c r="K623" s="432"/>
      <c r="L623" s="432"/>
      <c r="M623" s="432"/>
      <c r="N623" s="540"/>
      <c r="O623" s="485">
        <f t="shared" si="11"/>
        <v>0</v>
      </c>
      <c r="P623" s="387"/>
      <c r="Q623" s="389"/>
      <c r="R623" s="389"/>
      <c r="S623" s="389"/>
      <c r="T623" s="389"/>
      <c r="U623" s="389"/>
    </row>
    <row r="624" spans="1:21" ht="35.1" customHeight="1" x14ac:dyDescent="0.25">
      <c r="A624" s="535">
        <v>623</v>
      </c>
      <c r="B624" s="95">
        <v>45374</v>
      </c>
      <c r="C624" s="432"/>
      <c r="D624" s="485"/>
      <c r="E624" s="433"/>
      <c r="F624" s="432"/>
      <c r="G624" s="432"/>
      <c r="H624" s="432"/>
      <c r="I624" s="432"/>
      <c r="J624" s="432"/>
      <c r="K624" s="432"/>
      <c r="L624" s="432"/>
      <c r="M624" s="432"/>
      <c r="N624" s="540"/>
      <c r="O624" s="485">
        <f t="shared" si="11"/>
        <v>0</v>
      </c>
      <c r="P624" s="387"/>
      <c r="Q624" s="389"/>
      <c r="R624" s="389"/>
      <c r="S624" s="389"/>
      <c r="T624" s="389"/>
      <c r="U624" s="389"/>
    </row>
    <row r="625" spans="1:21" ht="35.1" customHeight="1" x14ac:dyDescent="0.25">
      <c r="A625" s="535">
        <v>624</v>
      </c>
      <c r="B625" s="95">
        <v>45375</v>
      </c>
      <c r="C625" s="432"/>
      <c r="D625" s="485"/>
      <c r="E625" s="433"/>
      <c r="F625" s="432"/>
      <c r="G625" s="432"/>
      <c r="H625" s="432"/>
      <c r="I625" s="432"/>
      <c r="J625" s="432"/>
      <c r="K625" s="432"/>
      <c r="L625" s="432"/>
      <c r="M625" s="432"/>
      <c r="N625" s="540"/>
      <c r="O625" s="485">
        <f t="shared" si="11"/>
        <v>0</v>
      </c>
      <c r="P625" s="387"/>
      <c r="Q625" s="389"/>
      <c r="R625" s="389"/>
      <c r="S625" s="389"/>
      <c r="T625" s="389"/>
      <c r="U625" s="389"/>
    </row>
    <row r="626" spans="1:21" ht="35.1" customHeight="1" x14ac:dyDescent="0.25">
      <c r="A626" s="535">
        <v>625</v>
      </c>
      <c r="B626" s="95">
        <v>45376</v>
      </c>
      <c r="C626" s="432"/>
      <c r="D626" s="485"/>
      <c r="E626" s="433"/>
      <c r="F626" s="432"/>
      <c r="G626" s="432"/>
      <c r="H626" s="432"/>
      <c r="I626" s="432"/>
      <c r="J626" s="432"/>
      <c r="K626" s="432"/>
      <c r="L626" s="432"/>
      <c r="M626" s="432"/>
      <c r="N626" s="540"/>
      <c r="O626" s="485">
        <f t="shared" si="11"/>
        <v>0</v>
      </c>
      <c r="P626" s="387"/>
      <c r="Q626" s="389"/>
      <c r="R626" s="389"/>
      <c r="S626" s="389"/>
      <c r="T626" s="389"/>
      <c r="U626" s="389"/>
    </row>
    <row r="627" spans="1:21" ht="35.1" customHeight="1" x14ac:dyDescent="0.25">
      <c r="A627" s="535">
        <v>626</v>
      </c>
      <c r="B627" s="95">
        <v>45377</v>
      </c>
      <c r="C627" s="432"/>
      <c r="D627" s="485"/>
      <c r="E627" s="433"/>
      <c r="F627" s="432"/>
      <c r="G627" s="432"/>
      <c r="H627" s="432"/>
      <c r="I627" s="432"/>
      <c r="J627" s="432"/>
      <c r="K627" s="432"/>
      <c r="L627" s="432"/>
      <c r="M627" s="432"/>
      <c r="N627" s="540"/>
      <c r="O627" s="485">
        <f t="shared" si="11"/>
        <v>0</v>
      </c>
      <c r="P627" s="387"/>
      <c r="Q627" s="389"/>
      <c r="R627" s="389"/>
      <c r="S627" s="389"/>
      <c r="T627" s="389"/>
      <c r="U627" s="389"/>
    </row>
    <row r="628" spans="1:21" ht="35.1" customHeight="1" x14ac:dyDescent="0.25">
      <c r="A628" s="535">
        <v>627</v>
      </c>
      <c r="B628" s="95">
        <v>45378</v>
      </c>
      <c r="C628" s="432"/>
      <c r="D628" s="485"/>
      <c r="E628" s="433"/>
      <c r="F628" s="432"/>
      <c r="G628" s="432"/>
      <c r="H628" s="432"/>
      <c r="I628" s="432"/>
      <c r="J628" s="432"/>
      <c r="K628" s="432"/>
      <c r="L628" s="432"/>
      <c r="M628" s="432"/>
      <c r="N628" s="540"/>
      <c r="O628" s="485">
        <f t="shared" si="11"/>
        <v>0</v>
      </c>
      <c r="P628" s="387"/>
      <c r="Q628" s="389"/>
      <c r="R628" s="389"/>
      <c r="S628" s="389"/>
      <c r="T628" s="389"/>
      <c r="U628" s="389"/>
    </row>
    <row r="629" spans="1:21" ht="35.1" customHeight="1" x14ac:dyDescent="0.25">
      <c r="A629" s="535">
        <v>628</v>
      </c>
      <c r="B629" s="95">
        <v>45379</v>
      </c>
      <c r="C629" s="432"/>
      <c r="D629" s="485"/>
      <c r="E629" s="433"/>
      <c r="F629" s="432"/>
      <c r="G629" s="432"/>
      <c r="H629" s="432"/>
      <c r="I629" s="432"/>
      <c r="J629" s="432"/>
      <c r="K629" s="432"/>
      <c r="L629" s="432"/>
      <c r="M629" s="432"/>
      <c r="N629" s="540"/>
      <c r="O629" s="485">
        <f t="shared" si="11"/>
        <v>0</v>
      </c>
      <c r="P629" s="387"/>
      <c r="Q629" s="389"/>
      <c r="R629" s="389"/>
      <c r="S629" s="389"/>
      <c r="T629" s="389"/>
      <c r="U629" s="389"/>
    </row>
    <row r="630" spans="1:21" ht="35.1" customHeight="1" x14ac:dyDescent="0.25">
      <c r="A630" s="535">
        <v>629</v>
      </c>
      <c r="B630" s="95">
        <v>45380</v>
      </c>
      <c r="C630" s="432"/>
      <c r="D630" s="485"/>
      <c r="E630" s="433"/>
      <c r="F630" s="432"/>
      <c r="G630" s="432"/>
      <c r="H630" s="432"/>
      <c r="I630" s="432"/>
      <c r="J630" s="432"/>
      <c r="K630" s="432"/>
      <c r="L630" s="432"/>
      <c r="M630" s="432"/>
      <c r="N630" s="540"/>
      <c r="O630" s="485">
        <f t="shared" si="11"/>
        <v>0</v>
      </c>
      <c r="P630" s="387"/>
      <c r="Q630" s="389"/>
      <c r="R630" s="389"/>
      <c r="S630" s="389"/>
      <c r="T630" s="389"/>
      <c r="U630" s="389"/>
    </row>
    <row r="631" spans="1:21" ht="35.1" customHeight="1" x14ac:dyDescent="0.25">
      <c r="A631" s="535">
        <v>630</v>
      </c>
      <c r="B631" s="95">
        <v>45381</v>
      </c>
      <c r="C631" s="432"/>
      <c r="D631" s="485"/>
      <c r="E631" s="433"/>
      <c r="F631" s="432"/>
      <c r="G631" s="432"/>
      <c r="H631" s="432"/>
      <c r="I631" s="432"/>
      <c r="J631" s="432"/>
      <c r="K631" s="432"/>
      <c r="L631" s="432"/>
      <c r="M631" s="432"/>
      <c r="N631" s="540"/>
      <c r="O631" s="485">
        <f t="shared" si="11"/>
        <v>0</v>
      </c>
      <c r="P631" s="387"/>
      <c r="Q631" s="389"/>
      <c r="R631" s="389"/>
      <c r="S631" s="389"/>
      <c r="T631" s="389"/>
      <c r="U631" s="389"/>
    </row>
    <row r="632" spans="1:21" ht="35.1" customHeight="1" x14ac:dyDescent="0.25">
      <c r="A632" s="535">
        <v>631</v>
      </c>
      <c r="B632" s="95">
        <v>45382</v>
      </c>
      <c r="C632" s="432"/>
      <c r="D632" s="485"/>
      <c r="E632" s="433"/>
      <c r="F632" s="432"/>
      <c r="G632" s="432"/>
      <c r="H632" s="432"/>
      <c r="I632" s="432"/>
      <c r="J632" s="432"/>
      <c r="K632" s="432"/>
      <c r="L632" s="432"/>
      <c r="M632" s="432"/>
      <c r="N632" s="540"/>
      <c r="O632" s="485">
        <f t="shared" si="11"/>
        <v>0</v>
      </c>
      <c r="P632" s="387"/>
      <c r="Q632" s="389"/>
      <c r="R632" s="389"/>
      <c r="S632" s="389"/>
      <c r="T632" s="389"/>
      <c r="U632" s="389"/>
    </row>
    <row r="633" spans="1:21" ht="35.1" customHeight="1" x14ac:dyDescent="0.25">
      <c r="A633" s="535">
        <v>632</v>
      </c>
      <c r="B633" s="95">
        <v>45383</v>
      </c>
      <c r="C633" s="432"/>
      <c r="D633" s="485"/>
      <c r="E633" s="433"/>
      <c r="F633" s="432"/>
      <c r="G633" s="432"/>
      <c r="H633" s="432"/>
      <c r="I633" s="432"/>
      <c r="J633" s="432"/>
      <c r="K633" s="432"/>
      <c r="L633" s="432"/>
      <c r="M633" s="432"/>
      <c r="N633" s="540"/>
      <c r="O633" s="485">
        <f t="shared" ref="O633:O696" si="12">SUM(G633:N633)+F633+D633</f>
        <v>0</v>
      </c>
      <c r="P633" s="387"/>
      <c r="Q633" s="389"/>
      <c r="R633" s="389"/>
      <c r="S633" s="389"/>
      <c r="T633" s="389"/>
      <c r="U633" s="389"/>
    </row>
    <row r="634" spans="1:21" ht="35.1" customHeight="1" x14ac:dyDescent="0.25">
      <c r="A634" s="535">
        <v>633</v>
      </c>
      <c r="B634" s="95">
        <v>45384</v>
      </c>
      <c r="C634" s="432"/>
      <c r="D634" s="485"/>
      <c r="E634" s="433"/>
      <c r="F634" s="432"/>
      <c r="G634" s="432"/>
      <c r="H634" s="432"/>
      <c r="I634" s="432"/>
      <c r="J634" s="432"/>
      <c r="K634" s="432"/>
      <c r="L634" s="432"/>
      <c r="M634" s="432"/>
      <c r="N634" s="540"/>
      <c r="O634" s="485">
        <f t="shared" si="12"/>
        <v>0</v>
      </c>
      <c r="P634" s="387"/>
      <c r="Q634" s="389"/>
      <c r="R634" s="389"/>
      <c r="S634" s="389"/>
      <c r="T634" s="389"/>
      <c r="U634" s="389"/>
    </row>
    <row r="635" spans="1:21" ht="35.1" customHeight="1" x14ac:dyDescent="0.25">
      <c r="A635" s="535">
        <v>634</v>
      </c>
      <c r="B635" s="95">
        <v>45385</v>
      </c>
      <c r="C635" s="432"/>
      <c r="D635" s="485"/>
      <c r="E635" s="433"/>
      <c r="F635" s="432"/>
      <c r="G635" s="432"/>
      <c r="H635" s="432"/>
      <c r="I635" s="432"/>
      <c r="J635" s="432"/>
      <c r="K635" s="432"/>
      <c r="L635" s="432"/>
      <c r="M635" s="432"/>
      <c r="N635" s="540"/>
      <c r="O635" s="485">
        <f t="shared" si="12"/>
        <v>0</v>
      </c>
      <c r="P635" s="387"/>
      <c r="Q635" s="389"/>
      <c r="R635" s="389"/>
      <c r="S635" s="389"/>
      <c r="T635" s="389"/>
      <c r="U635" s="389"/>
    </row>
    <row r="636" spans="1:21" ht="35.1" customHeight="1" x14ac:dyDescent="0.25">
      <c r="A636" s="535">
        <v>635</v>
      </c>
      <c r="B636" s="95">
        <v>45386</v>
      </c>
      <c r="C636" s="432"/>
      <c r="D636" s="485"/>
      <c r="E636" s="433"/>
      <c r="F636" s="432"/>
      <c r="G636" s="432"/>
      <c r="H636" s="432"/>
      <c r="I636" s="432"/>
      <c r="J636" s="432"/>
      <c r="K636" s="432"/>
      <c r="L636" s="432"/>
      <c r="M636" s="432"/>
      <c r="N636" s="540"/>
      <c r="O636" s="485">
        <f t="shared" si="12"/>
        <v>0</v>
      </c>
      <c r="P636" s="387"/>
      <c r="Q636" s="389"/>
      <c r="R636" s="389"/>
      <c r="S636" s="389"/>
      <c r="T636" s="389"/>
      <c r="U636" s="389"/>
    </row>
    <row r="637" spans="1:21" ht="35.1" customHeight="1" x14ac:dyDescent="0.25">
      <c r="A637" s="535">
        <v>636</v>
      </c>
      <c r="B637" s="95">
        <v>45387</v>
      </c>
      <c r="C637" s="432"/>
      <c r="D637" s="485"/>
      <c r="E637" s="433"/>
      <c r="F637" s="432"/>
      <c r="G637" s="432"/>
      <c r="H637" s="432"/>
      <c r="I637" s="432"/>
      <c r="J637" s="432"/>
      <c r="K637" s="432"/>
      <c r="L637" s="432"/>
      <c r="M637" s="432"/>
      <c r="N637" s="540"/>
      <c r="O637" s="485">
        <f t="shared" si="12"/>
        <v>0</v>
      </c>
      <c r="P637" s="387"/>
      <c r="Q637" s="389"/>
      <c r="R637" s="389"/>
      <c r="S637" s="389"/>
      <c r="T637" s="389"/>
      <c r="U637" s="389"/>
    </row>
    <row r="638" spans="1:21" ht="35.1" customHeight="1" x14ac:dyDescent="0.25">
      <c r="A638" s="535">
        <v>637</v>
      </c>
      <c r="B638" s="95">
        <v>45388</v>
      </c>
      <c r="C638" s="432"/>
      <c r="D638" s="485"/>
      <c r="E638" s="433"/>
      <c r="F638" s="432"/>
      <c r="G638" s="432"/>
      <c r="H638" s="432"/>
      <c r="I638" s="432"/>
      <c r="J638" s="432"/>
      <c r="K638" s="432"/>
      <c r="L638" s="432"/>
      <c r="M638" s="432"/>
      <c r="N638" s="540"/>
      <c r="O638" s="485">
        <f t="shared" si="12"/>
        <v>0</v>
      </c>
      <c r="P638" s="387"/>
      <c r="Q638" s="389"/>
      <c r="R638" s="389"/>
      <c r="S638" s="389"/>
      <c r="T638" s="389"/>
      <c r="U638" s="389"/>
    </row>
    <row r="639" spans="1:21" ht="35.1" customHeight="1" x14ac:dyDescent="0.25">
      <c r="A639" s="535">
        <v>638</v>
      </c>
      <c r="B639" s="95">
        <v>45389</v>
      </c>
      <c r="C639" s="432"/>
      <c r="D639" s="485"/>
      <c r="E639" s="433"/>
      <c r="F639" s="432"/>
      <c r="G639" s="432"/>
      <c r="H639" s="432"/>
      <c r="I639" s="432"/>
      <c r="J639" s="432"/>
      <c r="K639" s="432"/>
      <c r="L639" s="432"/>
      <c r="M639" s="432"/>
      <c r="N639" s="540"/>
      <c r="O639" s="485">
        <f t="shared" si="12"/>
        <v>0</v>
      </c>
      <c r="P639" s="387"/>
      <c r="Q639" s="389"/>
      <c r="R639" s="389"/>
      <c r="S639" s="389"/>
      <c r="T639" s="389"/>
      <c r="U639" s="389"/>
    </row>
    <row r="640" spans="1:21" ht="35.1" customHeight="1" x14ac:dyDescent="0.25">
      <c r="A640" s="535">
        <v>639</v>
      </c>
      <c r="B640" s="95">
        <v>45390</v>
      </c>
      <c r="C640" s="432"/>
      <c r="D640" s="485"/>
      <c r="E640" s="433"/>
      <c r="F640" s="432"/>
      <c r="G640" s="432"/>
      <c r="H640" s="432"/>
      <c r="I640" s="432"/>
      <c r="J640" s="432"/>
      <c r="K640" s="432"/>
      <c r="L640" s="432"/>
      <c r="M640" s="432"/>
      <c r="N640" s="540"/>
      <c r="O640" s="485">
        <f t="shared" si="12"/>
        <v>0</v>
      </c>
      <c r="P640" s="387"/>
      <c r="Q640" s="389"/>
      <c r="R640" s="389"/>
      <c r="S640" s="389"/>
      <c r="T640" s="389"/>
      <c r="U640" s="389"/>
    </row>
    <row r="641" spans="1:21" ht="35.1" customHeight="1" x14ac:dyDescent="0.25">
      <c r="A641" s="535">
        <v>640</v>
      </c>
      <c r="B641" s="95">
        <v>45391</v>
      </c>
      <c r="C641" s="432"/>
      <c r="D641" s="485"/>
      <c r="E641" s="433"/>
      <c r="F641" s="432"/>
      <c r="G641" s="432"/>
      <c r="H641" s="432"/>
      <c r="I641" s="432"/>
      <c r="J641" s="432"/>
      <c r="K641" s="432"/>
      <c r="L641" s="432"/>
      <c r="M641" s="432"/>
      <c r="N641" s="540"/>
      <c r="O641" s="485">
        <f t="shared" si="12"/>
        <v>0</v>
      </c>
      <c r="P641" s="387"/>
      <c r="Q641" s="389"/>
      <c r="R641" s="389"/>
      <c r="S641" s="389"/>
      <c r="T641" s="389"/>
      <c r="U641" s="389"/>
    </row>
    <row r="642" spans="1:21" ht="35.1" customHeight="1" x14ac:dyDescent="0.25">
      <c r="A642" s="535">
        <v>641</v>
      </c>
      <c r="B642" s="95">
        <v>45392</v>
      </c>
      <c r="C642" s="432"/>
      <c r="D642" s="485"/>
      <c r="E642" s="433"/>
      <c r="F642" s="432"/>
      <c r="G642" s="432"/>
      <c r="H642" s="432"/>
      <c r="I642" s="432"/>
      <c r="J642" s="432"/>
      <c r="K642" s="432"/>
      <c r="L642" s="432"/>
      <c r="M642" s="432"/>
      <c r="N642" s="540"/>
      <c r="O642" s="485">
        <f t="shared" si="12"/>
        <v>0</v>
      </c>
      <c r="P642" s="387"/>
      <c r="Q642" s="389"/>
      <c r="R642" s="389"/>
      <c r="S642" s="389"/>
      <c r="T642" s="389"/>
      <c r="U642" s="389"/>
    </row>
    <row r="643" spans="1:21" ht="35.1" customHeight="1" x14ac:dyDescent="0.25">
      <c r="A643" s="535">
        <v>642</v>
      </c>
      <c r="B643" s="95">
        <v>45393</v>
      </c>
      <c r="C643" s="432"/>
      <c r="D643" s="485"/>
      <c r="E643" s="433"/>
      <c r="F643" s="432"/>
      <c r="G643" s="432"/>
      <c r="H643" s="432"/>
      <c r="I643" s="432"/>
      <c r="J643" s="432"/>
      <c r="K643" s="432"/>
      <c r="L643" s="432"/>
      <c r="M643" s="432"/>
      <c r="N643" s="540"/>
      <c r="O643" s="485">
        <f t="shared" si="12"/>
        <v>0</v>
      </c>
      <c r="P643" s="387"/>
      <c r="Q643" s="389"/>
      <c r="R643" s="389"/>
      <c r="S643" s="389"/>
      <c r="T643" s="389"/>
      <c r="U643" s="389"/>
    </row>
    <row r="644" spans="1:21" ht="35.1" customHeight="1" x14ac:dyDescent="0.25">
      <c r="A644" s="535">
        <v>643</v>
      </c>
      <c r="B644" s="95">
        <v>45394</v>
      </c>
      <c r="C644" s="432"/>
      <c r="D644" s="485"/>
      <c r="E644" s="433"/>
      <c r="F644" s="432"/>
      <c r="G644" s="432"/>
      <c r="H644" s="432"/>
      <c r="I644" s="432"/>
      <c r="J644" s="432"/>
      <c r="K644" s="432"/>
      <c r="L644" s="432"/>
      <c r="M644" s="432"/>
      <c r="N644" s="540"/>
      <c r="O644" s="485">
        <f t="shared" si="12"/>
        <v>0</v>
      </c>
      <c r="P644" s="387"/>
      <c r="Q644" s="389"/>
      <c r="R644" s="389"/>
      <c r="S644" s="389"/>
      <c r="T644" s="389"/>
      <c r="U644" s="389"/>
    </row>
    <row r="645" spans="1:21" ht="35.1" customHeight="1" x14ac:dyDescent="0.25">
      <c r="A645" s="535">
        <v>644</v>
      </c>
      <c r="B645" s="95">
        <v>45395</v>
      </c>
      <c r="C645" s="432"/>
      <c r="D645" s="485"/>
      <c r="E645" s="433"/>
      <c r="F645" s="432"/>
      <c r="G645" s="432"/>
      <c r="H645" s="432"/>
      <c r="I645" s="432"/>
      <c r="J645" s="432"/>
      <c r="K645" s="432"/>
      <c r="L645" s="432"/>
      <c r="M645" s="432"/>
      <c r="N645" s="540"/>
      <c r="O645" s="485">
        <f t="shared" si="12"/>
        <v>0</v>
      </c>
      <c r="P645" s="387"/>
      <c r="Q645" s="389"/>
      <c r="R645" s="389"/>
      <c r="S645" s="389"/>
      <c r="T645" s="389"/>
      <c r="U645" s="389"/>
    </row>
    <row r="646" spans="1:21" ht="35.1" customHeight="1" x14ac:dyDescent="0.25">
      <c r="A646" s="535">
        <v>645</v>
      </c>
      <c r="B646" s="95">
        <v>45396</v>
      </c>
      <c r="C646" s="432"/>
      <c r="D646" s="485"/>
      <c r="E646" s="433"/>
      <c r="F646" s="432"/>
      <c r="G646" s="432"/>
      <c r="H646" s="432"/>
      <c r="I646" s="432"/>
      <c r="J646" s="432"/>
      <c r="K646" s="432"/>
      <c r="L646" s="432"/>
      <c r="M646" s="432"/>
      <c r="N646" s="540"/>
      <c r="O646" s="485">
        <f t="shared" si="12"/>
        <v>0</v>
      </c>
      <c r="P646" s="387"/>
      <c r="Q646" s="389"/>
      <c r="R646" s="389"/>
      <c r="S646" s="389"/>
      <c r="T646" s="389"/>
      <c r="U646" s="389"/>
    </row>
    <row r="647" spans="1:21" ht="35.1" customHeight="1" x14ac:dyDescent="0.25">
      <c r="A647" s="535">
        <v>646</v>
      </c>
      <c r="B647" s="95">
        <v>45397</v>
      </c>
      <c r="C647" s="432"/>
      <c r="D647" s="485"/>
      <c r="E647" s="433"/>
      <c r="F647" s="432"/>
      <c r="G647" s="432"/>
      <c r="H647" s="432"/>
      <c r="I647" s="432"/>
      <c r="J647" s="432"/>
      <c r="K647" s="432"/>
      <c r="L647" s="432"/>
      <c r="M647" s="432"/>
      <c r="N647" s="540"/>
      <c r="O647" s="485">
        <f t="shared" si="12"/>
        <v>0</v>
      </c>
      <c r="P647" s="387"/>
      <c r="Q647" s="389"/>
      <c r="R647" s="389"/>
      <c r="S647" s="389"/>
      <c r="T647" s="389"/>
      <c r="U647" s="389"/>
    </row>
    <row r="648" spans="1:21" ht="35.1" customHeight="1" x14ac:dyDescent="0.25">
      <c r="A648" s="535">
        <v>647</v>
      </c>
      <c r="B648" s="95">
        <v>45398</v>
      </c>
      <c r="C648" s="432"/>
      <c r="D648" s="485"/>
      <c r="E648" s="433"/>
      <c r="F648" s="432"/>
      <c r="G648" s="432"/>
      <c r="H648" s="432"/>
      <c r="I648" s="432"/>
      <c r="J648" s="432"/>
      <c r="K648" s="432"/>
      <c r="L648" s="432"/>
      <c r="M648" s="432"/>
      <c r="N648" s="540"/>
      <c r="O648" s="485">
        <f t="shared" si="12"/>
        <v>0</v>
      </c>
      <c r="P648" s="387"/>
      <c r="Q648" s="389"/>
      <c r="R648" s="389"/>
      <c r="S648" s="389"/>
      <c r="T648" s="389"/>
      <c r="U648" s="389"/>
    </row>
    <row r="649" spans="1:21" ht="35.1" customHeight="1" x14ac:dyDescent="0.25">
      <c r="A649" s="535">
        <v>648</v>
      </c>
      <c r="B649" s="95">
        <v>45399</v>
      </c>
      <c r="C649" s="432"/>
      <c r="D649" s="485"/>
      <c r="E649" s="433"/>
      <c r="F649" s="432"/>
      <c r="G649" s="432"/>
      <c r="H649" s="432"/>
      <c r="I649" s="432"/>
      <c r="J649" s="432"/>
      <c r="K649" s="432"/>
      <c r="L649" s="432"/>
      <c r="M649" s="432"/>
      <c r="N649" s="540"/>
      <c r="O649" s="485">
        <f t="shared" si="12"/>
        <v>0</v>
      </c>
      <c r="P649" s="387"/>
      <c r="Q649" s="389"/>
      <c r="R649" s="389"/>
      <c r="S649" s="389"/>
      <c r="T649" s="389"/>
      <c r="U649" s="389"/>
    </row>
    <row r="650" spans="1:21" ht="35.1" customHeight="1" x14ac:dyDescent="0.25">
      <c r="A650" s="535">
        <v>649</v>
      </c>
      <c r="B650" s="95">
        <v>45400</v>
      </c>
      <c r="C650" s="432"/>
      <c r="D650" s="485"/>
      <c r="E650" s="433"/>
      <c r="F650" s="432"/>
      <c r="G650" s="432"/>
      <c r="H650" s="432"/>
      <c r="I650" s="432"/>
      <c r="J650" s="432"/>
      <c r="K650" s="432"/>
      <c r="L650" s="432"/>
      <c r="M650" s="432"/>
      <c r="N650" s="540"/>
      <c r="O650" s="485">
        <f t="shared" si="12"/>
        <v>0</v>
      </c>
      <c r="P650" s="387"/>
      <c r="Q650" s="389"/>
      <c r="R650" s="389"/>
      <c r="S650" s="389"/>
      <c r="T650" s="389"/>
      <c r="U650" s="389"/>
    </row>
    <row r="651" spans="1:21" ht="35.1" customHeight="1" x14ac:dyDescent="0.25">
      <c r="A651" s="535">
        <v>650</v>
      </c>
      <c r="B651" s="95">
        <v>45401</v>
      </c>
      <c r="C651" s="432"/>
      <c r="D651" s="485"/>
      <c r="E651" s="433"/>
      <c r="F651" s="432"/>
      <c r="G651" s="432"/>
      <c r="H651" s="432"/>
      <c r="I651" s="432"/>
      <c r="J651" s="432"/>
      <c r="K651" s="432"/>
      <c r="L651" s="432"/>
      <c r="M651" s="432"/>
      <c r="N651" s="540"/>
      <c r="O651" s="485">
        <f t="shared" si="12"/>
        <v>0</v>
      </c>
      <c r="P651" s="387"/>
      <c r="Q651" s="389"/>
      <c r="R651" s="389"/>
      <c r="S651" s="389"/>
      <c r="T651" s="389"/>
      <c r="U651" s="389"/>
    </row>
    <row r="652" spans="1:21" ht="35.1" customHeight="1" x14ac:dyDescent="0.25">
      <c r="A652" s="535">
        <v>651</v>
      </c>
      <c r="B652" s="95">
        <v>45402</v>
      </c>
      <c r="C652" s="432"/>
      <c r="D652" s="485"/>
      <c r="E652" s="433"/>
      <c r="F652" s="432"/>
      <c r="G652" s="432"/>
      <c r="H652" s="432"/>
      <c r="I652" s="432"/>
      <c r="J652" s="432"/>
      <c r="K652" s="432"/>
      <c r="L652" s="432"/>
      <c r="M652" s="432"/>
      <c r="N652" s="540"/>
      <c r="O652" s="485">
        <f t="shared" si="12"/>
        <v>0</v>
      </c>
      <c r="P652" s="387"/>
      <c r="Q652" s="389"/>
      <c r="R652" s="389"/>
      <c r="S652" s="389"/>
      <c r="T652" s="389"/>
      <c r="U652" s="389"/>
    </row>
    <row r="653" spans="1:21" ht="35.1" customHeight="1" x14ac:dyDescent="0.25">
      <c r="A653" s="535">
        <v>652</v>
      </c>
      <c r="B653" s="95">
        <v>45403</v>
      </c>
      <c r="C653" s="432"/>
      <c r="D653" s="485"/>
      <c r="E653" s="433"/>
      <c r="F653" s="432"/>
      <c r="G653" s="432"/>
      <c r="H653" s="432"/>
      <c r="I653" s="432"/>
      <c r="J653" s="432"/>
      <c r="K653" s="432"/>
      <c r="L653" s="432"/>
      <c r="M653" s="432"/>
      <c r="N653" s="540"/>
      <c r="O653" s="485">
        <f t="shared" si="12"/>
        <v>0</v>
      </c>
      <c r="P653" s="387"/>
      <c r="Q653" s="389"/>
      <c r="R653" s="389"/>
      <c r="S653" s="389"/>
      <c r="T653" s="389"/>
      <c r="U653" s="389"/>
    </row>
    <row r="654" spans="1:21" ht="35.1" customHeight="1" x14ac:dyDescent="0.25">
      <c r="A654" s="535">
        <v>653</v>
      </c>
      <c r="B654" s="95">
        <v>45404</v>
      </c>
      <c r="C654" s="432"/>
      <c r="D654" s="485"/>
      <c r="E654" s="433"/>
      <c r="F654" s="432"/>
      <c r="G654" s="432"/>
      <c r="H654" s="432"/>
      <c r="I654" s="432"/>
      <c r="J654" s="432"/>
      <c r="K654" s="432"/>
      <c r="L654" s="432"/>
      <c r="M654" s="432"/>
      <c r="N654" s="540"/>
      <c r="O654" s="485">
        <f t="shared" si="12"/>
        <v>0</v>
      </c>
      <c r="P654" s="387"/>
      <c r="Q654" s="389"/>
      <c r="R654" s="389"/>
      <c r="S654" s="389"/>
      <c r="T654" s="389"/>
      <c r="U654" s="389"/>
    </row>
    <row r="655" spans="1:21" ht="35.1" customHeight="1" x14ac:dyDescent="0.25">
      <c r="A655" s="535">
        <v>654</v>
      </c>
      <c r="B655" s="95">
        <v>45405</v>
      </c>
      <c r="C655" s="432"/>
      <c r="D655" s="485"/>
      <c r="E655" s="433"/>
      <c r="F655" s="432"/>
      <c r="G655" s="432"/>
      <c r="H655" s="432"/>
      <c r="I655" s="432"/>
      <c r="J655" s="432"/>
      <c r="K655" s="432"/>
      <c r="L655" s="432"/>
      <c r="M655" s="432"/>
      <c r="N655" s="540"/>
      <c r="O655" s="485">
        <f t="shared" si="12"/>
        <v>0</v>
      </c>
      <c r="P655" s="387"/>
      <c r="Q655" s="389"/>
      <c r="R655" s="389"/>
      <c r="S655" s="389"/>
      <c r="T655" s="389"/>
      <c r="U655" s="389"/>
    </row>
    <row r="656" spans="1:21" ht="35.1" customHeight="1" x14ac:dyDescent="0.25">
      <c r="A656" s="535">
        <v>655</v>
      </c>
      <c r="B656" s="95">
        <v>45406</v>
      </c>
      <c r="C656" s="432"/>
      <c r="D656" s="485"/>
      <c r="E656" s="433"/>
      <c r="F656" s="432"/>
      <c r="G656" s="432"/>
      <c r="H656" s="432"/>
      <c r="I656" s="432"/>
      <c r="J656" s="432"/>
      <c r="K656" s="432"/>
      <c r="L656" s="432"/>
      <c r="M656" s="432"/>
      <c r="N656" s="540"/>
      <c r="O656" s="485">
        <f t="shared" si="12"/>
        <v>0</v>
      </c>
      <c r="P656" s="387"/>
      <c r="Q656" s="389"/>
      <c r="R656" s="389"/>
      <c r="S656" s="389"/>
      <c r="T656" s="389"/>
      <c r="U656" s="389"/>
    </row>
    <row r="657" spans="1:21" ht="35.1" customHeight="1" x14ac:dyDescent="0.25">
      <c r="A657" s="535">
        <v>656</v>
      </c>
      <c r="B657" s="95">
        <v>45407</v>
      </c>
      <c r="C657" s="432"/>
      <c r="D657" s="485"/>
      <c r="E657" s="433"/>
      <c r="F657" s="432"/>
      <c r="G657" s="432"/>
      <c r="H657" s="432"/>
      <c r="I657" s="432"/>
      <c r="J657" s="432"/>
      <c r="K657" s="432"/>
      <c r="L657" s="432"/>
      <c r="M657" s="432"/>
      <c r="N657" s="540"/>
      <c r="O657" s="485">
        <f t="shared" si="12"/>
        <v>0</v>
      </c>
      <c r="P657" s="387"/>
      <c r="Q657" s="389"/>
      <c r="R657" s="389"/>
      <c r="S657" s="389"/>
      <c r="T657" s="389"/>
      <c r="U657" s="389"/>
    </row>
    <row r="658" spans="1:21" ht="35.1" customHeight="1" x14ac:dyDescent="0.25">
      <c r="A658" s="535">
        <v>657</v>
      </c>
      <c r="B658" s="95">
        <v>45408</v>
      </c>
      <c r="C658" s="432"/>
      <c r="D658" s="485"/>
      <c r="E658" s="433"/>
      <c r="F658" s="432"/>
      <c r="G658" s="432"/>
      <c r="H658" s="432"/>
      <c r="I658" s="432"/>
      <c r="J658" s="432"/>
      <c r="K658" s="432"/>
      <c r="L658" s="432"/>
      <c r="M658" s="432"/>
      <c r="N658" s="540"/>
      <c r="O658" s="485">
        <f t="shared" si="12"/>
        <v>0</v>
      </c>
      <c r="P658" s="387"/>
      <c r="Q658" s="389"/>
      <c r="R658" s="389"/>
      <c r="S658" s="389"/>
      <c r="T658" s="389"/>
      <c r="U658" s="389"/>
    </row>
    <row r="659" spans="1:21" ht="35.1" customHeight="1" x14ac:dyDescent="0.25">
      <c r="A659" s="535">
        <v>658</v>
      </c>
      <c r="B659" s="95">
        <v>45409</v>
      </c>
      <c r="C659" s="432"/>
      <c r="D659" s="485"/>
      <c r="E659" s="433"/>
      <c r="F659" s="432"/>
      <c r="G659" s="432"/>
      <c r="H659" s="432"/>
      <c r="I659" s="432"/>
      <c r="J659" s="432"/>
      <c r="K659" s="432"/>
      <c r="L659" s="432"/>
      <c r="M659" s="432"/>
      <c r="N659" s="540"/>
      <c r="O659" s="485">
        <f t="shared" si="12"/>
        <v>0</v>
      </c>
      <c r="P659" s="387"/>
      <c r="Q659" s="389"/>
      <c r="R659" s="389"/>
      <c r="S659" s="389"/>
      <c r="T659" s="389"/>
      <c r="U659" s="389"/>
    </row>
    <row r="660" spans="1:21" ht="35.1" customHeight="1" x14ac:dyDescent="0.25">
      <c r="A660" s="535">
        <v>659</v>
      </c>
      <c r="B660" s="95">
        <v>45410</v>
      </c>
      <c r="C660" s="432"/>
      <c r="D660" s="485"/>
      <c r="E660" s="433"/>
      <c r="F660" s="432"/>
      <c r="G660" s="432"/>
      <c r="H660" s="432"/>
      <c r="I660" s="432"/>
      <c r="J660" s="432"/>
      <c r="K660" s="432"/>
      <c r="L660" s="432"/>
      <c r="M660" s="432"/>
      <c r="N660" s="540"/>
      <c r="O660" s="485">
        <f t="shared" si="12"/>
        <v>0</v>
      </c>
      <c r="P660" s="387"/>
      <c r="Q660" s="389"/>
      <c r="R660" s="389"/>
      <c r="S660" s="389"/>
      <c r="T660" s="389"/>
      <c r="U660" s="389"/>
    </row>
    <row r="661" spans="1:21" ht="35.1" customHeight="1" x14ac:dyDescent="0.25">
      <c r="A661" s="535">
        <v>660</v>
      </c>
      <c r="B661" s="95">
        <v>45411</v>
      </c>
      <c r="C661" s="432"/>
      <c r="D661" s="485"/>
      <c r="E661" s="433"/>
      <c r="F661" s="432"/>
      <c r="G661" s="432"/>
      <c r="H661" s="432"/>
      <c r="I661" s="432"/>
      <c r="J661" s="432"/>
      <c r="K661" s="432"/>
      <c r="L661" s="432"/>
      <c r="M661" s="432"/>
      <c r="N661" s="540"/>
      <c r="O661" s="485">
        <f t="shared" si="12"/>
        <v>0</v>
      </c>
      <c r="P661" s="387"/>
      <c r="Q661" s="389"/>
      <c r="R661" s="389"/>
      <c r="S661" s="389"/>
      <c r="T661" s="389"/>
      <c r="U661" s="389"/>
    </row>
    <row r="662" spans="1:21" ht="35.1" customHeight="1" x14ac:dyDescent="0.25">
      <c r="A662" s="535">
        <v>661</v>
      </c>
      <c r="B662" s="95">
        <v>45412</v>
      </c>
      <c r="C662" s="432"/>
      <c r="D662" s="485"/>
      <c r="E662" s="433"/>
      <c r="F662" s="432"/>
      <c r="G662" s="432"/>
      <c r="H662" s="432"/>
      <c r="I662" s="432"/>
      <c r="J662" s="432"/>
      <c r="K662" s="432"/>
      <c r="L662" s="432"/>
      <c r="M662" s="432"/>
      <c r="N662" s="540"/>
      <c r="O662" s="485">
        <f t="shared" si="12"/>
        <v>0</v>
      </c>
      <c r="P662" s="387"/>
      <c r="Q662" s="389"/>
      <c r="R662" s="389"/>
      <c r="S662" s="389"/>
      <c r="T662" s="389"/>
      <c r="U662" s="389"/>
    </row>
    <row r="663" spans="1:21" ht="35.1" customHeight="1" x14ac:dyDescent="0.25">
      <c r="A663" s="535">
        <v>662</v>
      </c>
      <c r="B663" s="95">
        <v>45413</v>
      </c>
      <c r="C663" s="432"/>
      <c r="D663" s="485"/>
      <c r="E663" s="433"/>
      <c r="F663" s="432"/>
      <c r="G663" s="432"/>
      <c r="H663" s="432"/>
      <c r="I663" s="432"/>
      <c r="J663" s="432"/>
      <c r="K663" s="432"/>
      <c r="L663" s="432"/>
      <c r="M663" s="432"/>
      <c r="N663" s="540"/>
      <c r="O663" s="485">
        <f t="shared" si="12"/>
        <v>0</v>
      </c>
      <c r="P663" s="387"/>
      <c r="Q663" s="389"/>
      <c r="R663" s="389"/>
      <c r="S663" s="389"/>
      <c r="T663" s="389"/>
      <c r="U663" s="389"/>
    </row>
    <row r="664" spans="1:21" ht="35.1" customHeight="1" x14ac:dyDescent="0.25">
      <c r="A664" s="535">
        <v>663</v>
      </c>
      <c r="B664" s="95">
        <v>45414</v>
      </c>
      <c r="C664" s="432"/>
      <c r="D664" s="485"/>
      <c r="E664" s="433"/>
      <c r="F664" s="432"/>
      <c r="G664" s="432"/>
      <c r="H664" s="432"/>
      <c r="I664" s="432"/>
      <c r="J664" s="432"/>
      <c r="K664" s="432"/>
      <c r="L664" s="432"/>
      <c r="M664" s="432"/>
      <c r="N664" s="540"/>
      <c r="O664" s="485">
        <f t="shared" si="12"/>
        <v>0</v>
      </c>
      <c r="P664" s="387"/>
      <c r="Q664" s="389"/>
      <c r="R664" s="389"/>
      <c r="S664" s="389"/>
      <c r="T664" s="389"/>
      <c r="U664" s="389"/>
    </row>
    <row r="665" spans="1:21" ht="35.1" customHeight="1" x14ac:dyDescent="0.25">
      <c r="A665" s="535">
        <v>664</v>
      </c>
      <c r="B665" s="95">
        <v>45415</v>
      </c>
      <c r="C665" s="432"/>
      <c r="D665" s="485"/>
      <c r="E665" s="433"/>
      <c r="F665" s="432"/>
      <c r="G665" s="432"/>
      <c r="H665" s="432"/>
      <c r="I665" s="432"/>
      <c r="J665" s="432"/>
      <c r="K665" s="432"/>
      <c r="L665" s="432"/>
      <c r="M665" s="432"/>
      <c r="N665" s="540"/>
      <c r="O665" s="485">
        <f t="shared" si="12"/>
        <v>0</v>
      </c>
      <c r="P665" s="387"/>
      <c r="Q665" s="389"/>
      <c r="R665" s="389"/>
      <c r="S665" s="389"/>
      <c r="T665" s="389"/>
      <c r="U665" s="389"/>
    </row>
    <row r="666" spans="1:21" ht="35.1" customHeight="1" x14ac:dyDescent="0.25">
      <c r="A666" s="535">
        <v>665</v>
      </c>
      <c r="B666" s="95">
        <v>45416</v>
      </c>
      <c r="C666" s="432"/>
      <c r="D666" s="485"/>
      <c r="E666" s="433"/>
      <c r="F666" s="432"/>
      <c r="G666" s="432"/>
      <c r="H666" s="432"/>
      <c r="I666" s="432"/>
      <c r="J666" s="432"/>
      <c r="K666" s="432"/>
      <c r="L666" s="432"/>
      <c r="M666" s="432"/>
      <c r="N666" s="540"/>
      <c r="O666" s="485">
        <f t="shared" si="12"/>
        <v>0</v>
      </c>
      <c r="P666" s="387"/>
      <c r="Q666" s="389"/>
      <c r="R666" s="389"/>
      <c r="S666" s="389"/>
      <c r="T666" s="389"/>
      <c r="U666" s="389"/>
    </row>
    <row r="667" spans="1:21" ht="35.1" customHeight="1" x14ac:dyDescent="0.25">
      <c r="A667" s="535">
        <v>666</v>
      </c>
      <c r="B667" s="95">
        <v>45417</v>
      </c>
      <c r="C667" s="432"/>
      <c r="D667" s="485"/>
      <c r="E667" s="433"/>
      <c r="F667" s="432"/>
      <c r="G667" s="432"/>
      <c r="H667" s="432"/>
      <c r="I667" s="432"/>
      <c r="J667" s="432"/>
      <c r="K667" s="432"/>
      <c r="L667" s="432"/>
      <c r="M667" s="432"/>
      <c r="N667" s="540"/>
      <c r="O667" s="485">
        <f t="shared" si="12"/>
        <v>0</v>
      </c>
      <c r="P667" s="387"/>
      <c r="Q667" s="389"/>
      <c r="R667" s="389"/>
      <c r="S667" s="389"/>
      <c r="T667" s="389"/>
      <c r="U667" s="389"/>
    </row>
    <row r="668" spans="1:21" ht="35.1" customHeight="1" x14ac:dyDescent="0.25">
      <c r="A668" s="535">
        <v>667</v>
      </c>
      <c r="B668" s="95">
        <v>45418</v>
      </c>
      <c r="C668" s="432"/>
      <c r="D668" s="485"/>
      <c r="E668" s="433"/>
      <c r="F668" s="432"/>
      <c r="G668" s="432"/>
      <c r="H668" s="432"/>
      <c r="I668" s="432"/>
      <c r="J668" s="432"/>
      <c r="K668" s="432"/>
      <c r="L668" s="432"/>
      <c r="M668" s="432"/>
      <c r="N668" s="540"/>
      <c r="O668" s="485">
        <f t="shared" si="12"/>
        <v>0</v>
      </c>
      <c r="P668" s="387"/>
      <c r="Q668" s="389"/>
      <c r="R668" s="389"/>
      <c r="S668" s="389"/>
      <c r="T668" s="389"/>
      <c r="U668" s="389"/>
    </row>
    <row r="669" spans="1:21" ht="35.1" customHeight="1" x14ac:dyDescent="0.25">
      <c r="A669" s="535">
        <v>668</v>
      </c>
      <c r="B669" s="95">
        <v>45419</v>
      </c>
      <c r="C669" s="432"/>
      <c r="D669" s="485"/>
      <c r="E669" s="433"/>
      <c r="F669" s="432"/>
      <c r="G669" s="432"/>
      <c r="H669" s="432"/>
      <c r="I669" s="432"/>
      <c r="J669" s="432"/>
      <c r="K669" s="432"/>
      <c r="L669" s="432"/>
      <c r="M669" s="432"/>
      <c r="N669" s="540"/>
      <c r="O669" s="485">
        <f t="shared" si="12"/>
        <v>0</v>
      </c>
      <c r="P669" s="387"/>
      <c r="Q669" s="389"/>
      <c r="R669" s="389"/>
      <c r="S669" s="389"/>
      <c r="T669" s="389"/>
      <c r="U669" s="389"/>
    </row>
    <row r="670" spans="1:21" ht="35.1" customHeight="1" x14ac:dyDescent="0.25">
      <c r="A670" s="535">
        <v>669</v>
      </c>
      <c r="B670" s="95">
        <v>45420</v>
      </c>
      <c r="C670" s="432"/>
      <c r="D670" s="485"/>
      <c r="E670" s="433"/>
      <c r="F670" s="432"/>
      <c r="G670" s="432"/>
      <c r="H670" s="432"/>
      <c r="I670" s="432"/>
      <c r="J670" s="432"/>
      <c r="K670" s="432"/>
      <c r="L670" s="432"/>
      <c r="M670" s="432"/>
      <c r="N670" s="540"/>
      <c r="O670" s="485">
        <f t="shared" si="12"/>
        <v>0</v>
      </c>
      <c r="P670" s="387"/>
      <c r="Q670" s="389"/>
      <c r="R670" s="389"/>
      <c r="S670" s="389"/>
      <c r="T670" s="389"/>
      <c r="U670" s="389"/>
    </row>
    <row r="671" spans="1:21" ht="35.1" customHeight="1" x14ac:dyDescent="0.25">
      <c r="A671" s="535">
        <v>670</v>
      </c>
      <c r="B671" s="95">
        <v>45421</v>
      </c>
      <c r="C671" s="432"/>
      <c r="D671" s="485"/>
      <c r="E671" s="433"/>
      <c r="F671" s="432"/>
      <c r="G671" s="432"/>
      <c r="H671" s="432"/>
      <c r="I671" s="432"/>
      <c r="J671" s="432"/>
      <c r="K671" s="432"/>
      <c r="L671" s="432"/>
      <c r="M671" s="432"/>
      <c r="N671" s="540"/>
      <c r="O671" s="485">
        <f t="shared" si="12"/>
        <v>0</v>
      </c>
      <c r="P671" s="387"/>
      <c r="Q671" s="389"/>
      <c r="R671" s="389"/>
      <c r="S671" s="389"/>
      <c r="T671" s="389"/>
      <c r="U671" s="389"/>
    </row>
    <row r="672" spans="1:21" ht="35.1" customHeight="1" x14ac:dyDescent="0.25">
      <c r="A672" s="535">
        <v>671</v>
      </c>
      <c r="B672" s="95">
        <v>45422</v>
      </c>
      <c r="C672" s="432"/>
      <c r="D672" s="485"/>
      <c r="E672" s="433"/>
      <c r="F672" s="432"/>
      <c r="G672" s="432"/>
      <c r="H672" s="432"/>
      <c r="I672" s="432"/>
      <c r="J672" s="432"/>
      <c r="K672" s="432"/>
      <c r="L672" s="432"/>
      <c r="M672" s="432"/>
      <c r="N672" s="540"/>
      <c r="O672" s="485">
        <f t="shared" si="12"/>
        <v>0</v>
      </c>
      <c r="P672" s="387"/>
      <c r="Q672" s="389"/>
      <c r="R672" s="389"/>
      <c r="S672" s="389"/>
      <c r="T672" s="389"/>
      <c r="U672" s="389"/>
    </row>
    <row r="673" spans="1:21" ht="35.1" customHeight="1" x14ac:dyDescent="0.25">
      <c r="A673" s="535">
        <v>672</v>
      </c>
      <c r="B673" s="95">
        <v>45423</v>
      </c>
      <c r="C673" s="432"/>
      <c r="D673" s="485"/>
      <c r="E673" s="433"/>
      <c r="F673" s="432"/>
      <c r="G673" s="432"/>
      <c r="H673" s="432"/>
      <c r="I673" s="432"/>
      <c r="J673" s="432"/>
      <c r="K673" s="432"/>
      <c r="L673" s="432"/>
      <c r="M673" s="432"/>
      <c r="N673" s="540"/>
      <c r="O673" s="485">
        <f t="shared" si="12"/>
        <v>0</v>
      </c>
      <c r="P673" s="387"/>
      <c r="Q673" s="389"/>
      <c r="R673" s="389"/>
      <c r="S673" s="389"/>
      <c r="T673" s="389"/>
      <c r="U673" s="389"/>
    </row>
    <row r="674" spans="1:21" ht="35.1" customHeight="1" x14ac:dyDescent="0.25">
      <c r="A674" s="535">
        <v>673</v>
      </c>
      <c r="B674" s="95">
        <v>45424</v>
      </c>
      <c r="C674" s="432"/>
      <c r="D674" s="485"/>
      <c r="E674" s="433"/>
      <c r="F674" s="432"/>
      <c r="G674" s="432"/>
      <c r="H674" s="432"/>
      <c r="I674" s="432"/>
      <c r="J674" s="432"/>
      <c r="K674" s="432"/>
      <c r="L674" s="432"/>
      <c r="M674" s="432"/>
      <c r="N674" s="540"/>
      <c r="O674" s="485">
        <f t="shared" si="12"/>
        <v>0</v>
      </c>
      <c r="P674" s="387"/>
      <c r="Q674" s="389"/>
      <c r="R674" s="389"/>
      <c r="S674" s="389"/>
      <c r="T674" s="389"/>
      <c r="U674" s="389"/>
    </row>
    <row r="675" spans="1:21" ht="35.1" customHeight="1" x14ac:dyDescent="0.25">
      <c r="A675" s="535">
        <v>674</v>
      </c>
      <c r="B675" s="95">
        <v>45425</v>
      </c>
      <c r="C675" s="432"/>
      <c r="D675" s="485"/>
      <c r="E675" s="433"/>
      <c r="F675" s="432"/>
      <c r="G675" s="432"/>
      <c r="H675" s="432"/>
      <c r="I675" s="432"/>
      <c r="J675" s="432"/>
      <c r="K675" s="432"/>
      <c r="L675" s="432"/>
      <c r="M675" s="432"/>
      <c r="N675" s="540"/>
      <c r="O675" s="485">
        <f t="shared" si="12"/>
        <v>0</v>
      </c>
      <c r="P675" s="387"/>
      <c r="Q675" s="389"/>
      <c r="R675" s="389"/>
      <c r="S675" s="389"/>
      <c r="T675" s="389"/>
      <c r="U675" s="389"/>
    </row>
    <row r="676" spans="1:21" ht="35.1" customHeight="1" x14ac:dyDescent="0.25">
      <c r="A676" s="535">
        <v>675</v>
      </c>
      <c r="B676" s="95">
        <v>45426</v>
      </c>
      <c r="C676" s="432"/>
      <c r="D676" s="485"/>
      <c r="E676" s="433"/>
      <c r="F676" s="432"/>
      <c r="G676" s="432"/>
      <c r="H676" s="432"/>
      <c r="I676" s="432"/>
      <c r="J676" s="432"/>
      <c r="K676" s="432"/>
      <c r="L676" s="432"/>
      <c r="M676" s="432"/>
      <c r="N676" s="540"/>
      <c r="O676" s="485">
        <f t="shared" si="12"/>
        <v>0</v>
      </c>
      <c r="P676" s="387"/>
      <c r="Q676" s="389"/>
      <c r="R676" s="389"/>
      <c r="S676" s="389"/>
      <c r="T676" s="389"/>
      <c r="U676" s="389"/>
    </row>
    <row r="677" spans="1:21" ht="35.1" customHeight="1" x14ac:dyDescent="0.25">
      <c r="A677" s="535">
        <v>676</v>
      </c>
      <c r="B677" s="95">
        <v>45427</v>
      </c>
      <c r="C677" s="432"/>
      <c r="D677" s="485"/>
      <c r="E677" s="433"/>
      <c r="F677" s="432"/>
      <c r="G677" s="432"/>
      <c r="H677" s="432"/>
      <c r="I677" s="432"/>
      <c r="J677" s="432"/>
      <c r="K677" s="432"/>
      <c r="L677" s="432"/>
      <c r="M677" s="432"/>
      <c r="N677" s="540"/>
      <c r="O677" s="485">
        <f t="shared" si="12"/>
        <v>0</v>
      </c>
      <c r="P677" s="387"/>
      <c r="Q677" s="389"/>
      <c r="R677" s="389"/>
      <c r="S677" s="389"/>
      <c r="T677" s="389"/>
      <c r="U677" s="389"/>
    </row>
    <row r="678" spans="1:21" ht="35.1" customHeight="1" x14ac:dyDescent="0.25">
      <c r="A678" s="535">
        <v>677</v>
      </c>
      <c r="B678" s="95">
        <v>45428</v>
      </c>
      <c r="C678" s="432"/>
      <c r="D678" s="485"/>
      <c r="E678" s="433"/>
      <c r="F678" s="432"/>
      <c r="G678" s="432"/>
      <c r="H678" s="432"/>
      <c r="I678" s="432"/>
      <c r="J678" s="432"/>
      <c r="K678" s="432"/>
      <c r="L678" s="432"/>
      <c r="M678" s="432"/>
      <c r="N678" s="540"/>
      <c r="O678" s="485">
        <f t="shared" si="12"/>
        <v>0</v>
      </c>
      <c r="P678" s="387"/>
      <c r="Q678" s="389"/>
      <c r="R678" s="389"/>
      <c r="S678" s="389"/>
      <c r="T678" s="389"/>
      <c r="U678" s="389"/>
    </row>
    <row r="679" spans="1:21" ht="35.1" customHeight="1" x14ac:dyDescent="0.25">
      <c r="A679" s="535">
        <v>678</v>
      </c>
      <c r="B679" s="95">
        <v>45429</v>
      </c>
      <c r="C679" s="432"/>
      <c r="D679" s="485"/>
      <c r="E679" s="433"/>
      <c r="F679" s="432"/>
      <c r="G679" s="432"/>
      <c r="H679" s="432"/>
      <c r="I679" s="432"/>
      <c r="J679" s="432"/>
      <c r="K679" s="432"/>
      <c r="L679" s="432"/>
      <c r="M679" s="432"/>
      <c r="N679" s="540"/>
      <c r="O679" s="485">
        <f t="shared" si="12"/>
        <v>0</v>
      </c>
      <c r="P679" s="387"/>
      <c r="Q679" s="389"/>
      <c r="R679" s="389"/>
      <c r="S679" s="389"/>
      <c r="T679" s="389"/>
      <c r="U679" s="389"/>
    </row>
    <row r="680" spans="1:21" ht="35.1" customHeight="1" x14ac:dyDescent="0.25">
      <c r="A680" s="535">
        <v>679</v>
      </c>
      <c r="B680" s="95">
        <v>45430</v>
      </c>
      <c r="C680" s="432"/>
      <c r="D680" s="485"/>
      <c r="E680" s="433"/>
      <c r="F680" s="432"/>
      <c r="G680" s="432"/>
      <c r="H680" s="432"/>
      <c r="I680" s="432"/>
      <c r="J680" s="432"/>
      <c r="K680" s="432"/>
      <c r="L680" s="432"/>
      <c r="M680" s="432"/>
      <c r="N680" s="540"/>
      <c r="O680" s="485">
        <f t="shared" si="12"/>
        <v>0</v>
      </c>
      <c r="P680" s="387"/>
      <c r="Q680" s="389"/>
      <c r="R680" s="389"/>
      <c r="S680" s="389"/>
      <c r="T680" s="389"/>
      <c r="U680" s="389"/>
    </row>
    <row r="681" spans="1:21" ht="35.1" customHeight="1" x14ac:dyDescent="0.25">
      <c r="A681" s="535">
        <v>680</v>
      </c>
      <c r="B681" s="95">
        <v>45431</v>
      </c>
      <c r="C681" s="432"/>
      <c r="D681" s="485"/>
      <c r="E681" s="433"/>
      <c r="F681" s="432"/>
      <c r="G681" s="432"/>
      <c r="H681" s="432"/>
      <c r="I681" s="432"/>
      <c r="J681" s="432"/>
      <c r="K681" s="432"/>
      <c r="L681" s="432"/>
      <c r="M681" s="432"/>
      <c r="N681" s="540"/>
      <c r="O681" s="485">
        <f t="shared" si="12"/>
        <v>0</v>
      </c>
      <c r="P681" s="387"/>
      <c r="Q681" s="389"/>
      <c r="R681" s="389"/>
      <c r="S681" s="389"/>
      <c r="T681" s="389"/>
      <c r="U681" s="389"/>
    </row>
    <row r="682" spans="1:21" ht="35.1" customHeight="1" x14ac:dyDescent="0.25">
      <c r="A682" s="535">
        <v>681</v>
      </c>
      <c r="B682" s="95">
        <v>45432</v>
      </c>
      <c r="C682" s="432"/>
      <c r="D682" s="485"/>
      <c r="E682" s="433"/>
      <c r="F682" s="432"/>
      <c r="G682" s="432"/>
      <c r="H682" s="432"/>
      <c r="I682" s="432"/>
      <c r="J682" s="432"/>
      <c r="K682" s="432"/>
      <c r="L682" s="432"/>
      <c r="M682" s="432"/>
      <c r="N682" s="540"/>
      <c r="O682" s="485">
        <f t="shared" si="12"/>
        <v>0</v>
      </c>
      <c r="P682" s="387"/>
      <c r="Q682" s="389"/>
      <c r="R682" s="389"/>
      <c r="S682" s="389"/>
      <c r="T682" s="389"/>
      <c r="U682" s="389"/>
    </row>
    <row r="683" spans="1:21" ht="35.1" customHeight="1" x14ac:dyDescent="0.25">
      <c r="A683" s="535">
        <v>682</v>
      </c>
      <c r="B683" s="95">
        <v>45433</v>
      </c>
      <c r="C683" s="432"/>
      <c r="D683" s="485"/>
      <c r="E683" s="433"/>
      <c r="F683" s="432"/>
      <c r="G683" s="432"/>
      <c r="H683" s="432"/>
      <c r="I683" s="432"/>
      <c r="J683" s="432"/>
      <c r="K683" s="432"/>
      <c r="L683" s="432"/>
      <c r="M683" s="432"/>
      <c r="N683" s="540"/>
      <c r="O683" s="485">
        <f t="shared" si="12"/>
        <v>0</v>
      </c>
      <c r="P683" s="387"/>
      <c r="Q683" s="389"/>
      <c r="R683" s="389"/>
      <c r="S683" s="389"/>
      <c r="T683" s="389"/>
      <c r="U683" s="389"/>
    </row>
    <row r="684" spans="1:21" ht="35.1" customHeight="1" x14ac:dyDescent="0.25">
      <c r="A684" s="535">
        <v>683</v>
      </c>
      <c r="B684" s="95">
        <v>45434</v>
      </c>
      <c r="C684" s="432"/>
      <c r="D684" s="485"/>
      <c r="E684" s="433"/>
      <c r="F684" s="432"/>
      <c r="G684" s="432"/>
      <c r="H684" s="432"/>
      <c r="I684" s="432"/>
      <c r="J684" s="432"/>
      <c r="K684" s="432"/>
      <c r="L684" s="432"/>
      <c r="M684" s="432"/>
      <c r="N684" s="540"/>
      <c r="O684" s="485">
        <f t="shared" si="12"/>
        <v>0</v>
      </c>
      <c r="P684" s="387"/>
      <c r="Q684" s="389"/>
      <c r="R684" s="389"/>
      <c r="S684" s="389"/>
      <c r="T684" s="389"/>
      <c r="U684" s="389"/>
    </row>
    <row r="685" spans="1:21" ht="35.1" customHeight="1" x14ac:dyDescent="0.25">
      <c r="A685" s="535">
        <v>684</v>
      </c>
      <c r="B685" s="95">
        <v>45435</v>
      </c>
      <c r="C685" s="432"/>
      <c r="D685" s="485"/>
      <c r="E685" s="433"/>
      <c r="F685" s="432"/>
      <c r="G685" s="432"/>
      <c r="H685" s="432"/>
      <c r="I685" s="432"/>
      <c r="J685" s="432"/>
      <c r="K685" s="432"/>
      <c r="L685" s="432"/>
      <c r="M685" s="432"/>
      <c r="N685" s="540"/>
      <c r="O685" s="485">
        <f t="shared" si="12"/>
        <v>0</v>
      </c>
      <c r="P685" s="387"/>
      <c r="Q685" s="389"/>
      <c r="R685" s="389"/>
      <c r="S685" s="389"/>
      <c r="T685" s="389"/>
      <c r="U685" s="389"/>
    </row>
    <row r="686" spans="1:21" ht="35.1" customHeight="1" x14ac:dyDescent="0.25">
      <c r="A686" s="535">
        <v>685</v>
      </c>
      <c r="B686" s="95">
        <v>45436</v>
      </c>
      <c r="C686" s="432"/>
      <c r="D686" s="485"/>
      <c r="E686" s="433"/>
      <c r="F686" s="432"/>
      <c r="G686" s="432"/>
      <c r="H686" s="432"/>
      <c r="I686" s="432"/>
      <c r="J686" s="432"/>
      <c r="K686" s="432"/>
      <c r="L686" s="432"/>
      <c r="M686" s="432"/>
      <c r="N686" s="540"/>
      <c r="O686" s="485">
        <f t="shared" si="12"/>
        <v>0</v>
      </c>
      <c r="P686" s="387"/>
      <c r="Q686" s="389"/>
      <c r="R686" s="389"/>
      <c r="S686" s="389"/>
      <c r="T686" s="389"/>
      <c r="U686" s="389"/>
    </row>
    <row r="687" spans="1:21" ht="35.1" customHeight="1" x14ac:dyDescent="0.25">
      <c r="A687" s="535">
        <v>686</v>
      </c>
      <c r="B687" s="95">
        <v>45437</v>
      </c>
      <c r="C687" s="432"/>
      <c r="D687" s="485"/>
      <c r="E687" s="433"/>
      <c r="F687" s="432"/>
      <c r="G687" s="432"/>
      <c r="H687" s="432"/>
      <c r="I687" s="432"/>
      <c r="J687" s="432"/>
      <c r="K687" s="432"/>
      <c r="L687" s="432"/>
      <c r="M687" s="432"/>
      <c r="N687" s="540"/>
      <c r="O687" s="485">
        <f t="shared" si="12"/>
        <v>0</v>
      </c>
      <c r="P687" s="387"/>
      <c r="Q687" s="389"/>
      <c r="R687" s="389"/>
      <c r="S687" s="389"/>
      <c r="T687" s="389"/>
      <c r="U687" s="389"/>
    </row>
    <row r="688" spans="1:21" ht="35.1" customHeight="1" x14ac:dyDescent="0.25">
      <c r="A688" s="535">
        <v>687</v>
      </c>
      <c r="B688" s="95">
        <v>45438</v>
      </c>
      <c r="C688" s="432"/>
      <c r="D688" s="485"/>
      <c r="E688" s="433"/>
      <c r="F688" s="432"/>
      <c r="G688" s="432"/>
      <c r="H688" s="432"/>
      <c r="I688" s="432"/>
      <c r="J688" s="432"/>
      <c r="K688" s="432"/>
      <c r="L688" s="432"/>
      <c r="M688" s="432"/>
      <c r="N688" s="540"/>
      <c r="O688" s="485">
        <f t="shared" si="12"/>
        <v>0</v>
      </c>
      <c r="P688" s="387"/>
      <c r="Q688" s="389"/>
      <c r="R688" s="389"/>
      <c r="S688" s="389"/>
      <c r="T688" s="389"/>
      <c r="U688" s="389"/>
    </row>
    <row r="689" spans="1:21" ht="35.1" customHeight="1" x14ac:dyDescent="0.25">
      <c r="A689" s="535">
        <v>688</v>
      </c>
      <c r="B689" s="95">
        <v>45439</v>
      </c>
      <c r="C689" s="432"/>
      <c r="D689" s="485"/>
      <c r="E689" s="433"/>
      <c r="F689" s="432"/>
      <c r="G689" s="432"/>
      <c r="H689" s="432"/>
      <c r="I689" s="432"/>
      <c r="J689" s="432"/>
      <c r="K689" s="432"/>
      <c r="L689" s="432"/>
      <c r="M689" s="432"/>
      <c r="N689" s="540"/>
      <c r="O689" s="485">
        <f t="shared" si="12"/>
        <v>0</v>
      </c>
      <c r="P689" s="387"/>
      <c r="Q689" s="389"/>
      <c r="R689" s="389"/>
      <c r="S689" s="389"/>
      <c r="T689" s="389"/>
      <c r="U689" s="389"/>
    </row>
    <row r="690" spans="1:21" ht="35.1" customHeight="1" x14ac:dyDescent="0.25">
      <c r="A690" s="535">
        <v>689</v>
      </c>
      <c r="B690" s="95">
        <v>45440</v>
      </c>
      <c r="C690" s="432"/>
      <c r="D690" s="485"/>
      <c r="E690" s="433"/>
      <c r="F690" s="432"/>
      <c r="G690" s="432"/>
      <c r="H690" s="432"/>
      <c r="I690" s="432"/>
      <c r="J690" s="432"/>
      <c r="K690" s="432"/>
      <c r="L690" s="432"/>
      <c r="M690" s="432"/>
      <c r="N690" s="540"/>
      <c r="O690" s="485">
        <f t="shared" si="12"/>
        <v>0</v>
      </c>
      <c r="P690" s="387"/>
      <c r="Q690" s="389"/>
      <c r="R690" s="389"/>
      <c r="S690" s="389"/>
      <c r="T690" s="389"/>
      <c r="U690" s="389"/>
    </row>
    <row r="691" spans="1:21" ht="35.1" customHeight="1" x14ac:dyDescent="0.25">
      <c r="A691" s="535">
        <v>690</v>
      </c>
      <c r="B691" s="95">
        <v>45441</v>
      </c>
      <c r="C691" s="432"/>
      <c r="D691" s="485"/>
      <c r="E691" s="433"/>
      <c r="F691" s="432"/>
      <c r="G691" s="432"/>
      <c r="H691" s="432"/>
      <c r="I691" s="432"/>
      <c r="J691" s="432"/>
      <c r="K691" s="432"/>
      <c r="L691" s="432"/>
      <c r="M691" s="432"/>
      <c r="N691" s="540"/>
      <c r="O691" s="485">
        <f t="shared" si="12"/>
        <v>0</v>
      </c>
      <c r="P691" s="387"/>
      <c r="Q691" s="389"/>
      <c r="R691" s="389"/>
      <c r="S691" s="389"/>
      <c r="T691" s="389"/>
      <c r="U691" s="389"/>
    </row>
    <row r="692" spans="1:21" ht="35.1" customHeight="1" x14ac:dyDescent="0.25">
      <c r="A692" s="535">
        <v>691</v>
      </c>
      <c r="B692" s="95">
        <v>45442</v>
      </c>
      <c r="C692" s="432"/>
      <c r="D692" s="485"/>
      <c r="E692" s="433"/>
      <c r="F692" s="432"/>
      <c r="G692" s="432"/>
      <c r="H692" s="432"/>
      <c r="I692" s="432"/>
      <c r="J692" s="432"/>
      <c r="K692" s="432"/>
      <c r="L692" s="432"/>
      <c r="M692" s="432"/>
      <c r="N692" s="540"/>
      <c r="O692" s="485">
        <f t="shared" si="12"/>
        <v>0</v>
      </c>
      <c r="P692" s="387"/>
      <c r="Q692" s="389"/>
      <c r="R692" s="389"/>
      <c r="S692" s="389"/>
      <c r="T692" s="389"/>
      <c r="U692" s="389"/>
    </row>
    <row r="693" spans="1:21" ht="35.1" customHeight="1" x14ac:dyDescent="0.25">
      <c r="A693" s="535">
        <v>692</v>
      </c>
      <c r="B693" s="95">
        <v>45443</v>
      </c>
      <c r="C693" s="432"/>
      <c r="D693" s="485"/>
      <c r="E693" s="433"/>
      <c r="F693" s="432"/>
      <c r="G693" s="432"/>
      <c r="H693" s="432"/>
      <c r="I693" s="432"/>
      <c r="J693" s="432"/>
      <c r="K693" s="432"/>
      <c r="L693" s="432"/>
      <c r="M693" s="432"/>
      <c r="N693" s="540"/>
      <c r="O693" s="485">
        <f t="shared" si="12"/>
        <v>0</v>
      </c>
      <c r="P693" s="387"/>
      <c r="Q693" s="389"/>
      <c r="R693" s="389"/>
      <c r="S693" s="389"/>
      <c r="T693" s="389"/>
      <c r="U693" s="389"/>
    </row>
    <row r="694" spans="1:21" ht="35.1" customHeight="1" x14ac:dyDescent="0.25">
      <c r="A694" s="535">
        <v>693</v>
      </c>
      <c r="B694" s="95">
        <v>45444</v>
      </c>
      <c r="C694" s="432"/>
      <c r="D694" s="485"/>
      <c r="E694" s="433"/>
      <c r="F694" s="432"/>
      <c r="G694" s="432"/>
      <c r="H694" s="432"/>
      <c r="I694" s="432"/>
      <c r="J694" s="432"/>
      <c r="K694" s="432"/>
      <c r="L694" s="432"/>
      <c r="M694" s="432"/>
      <c r="N694" s="540"/>
      <c r="O694" s="485">
        <f t="shared" si="12"/>
        <v>0</v>
      </c>
      <c r="P694" s="387"/>
      <c r="Q694" s="389"/>
      <c r="R694" s="389"/>
      <c r="S694" s="389"/>
      <c r="T694" s="389"/>
      <c r="U694" s="389"/>
    </row>
    <row r="695" spans="1:21" ht="35.1" customHeight="1" x14ac:dyDescent="0.25">
      <c r="A695" s="535">
        <v>694</v>
      </c>
      <c r="B695" s="95">
        <v>45445</v>
      </c>
      <c r="C695" s="432"/>
      <c r="D695" s="485"/>
      <c r="E695" s="433"/>
      <c r="F695" s="432"/>
      <c r="G695" s="432"/>
      <c r="H695" s="432"/>
      <c r="I695" s="432"/>
      <c r="J695" s="432"/>
      <c r="K695" s="432"/>
      <c r="L695" s="432"/>
      <c r="M695" s="432"/>
      <c r="N695" s="540"/>
      <c r="O695" s="485">
        <f t="shared" si="12"/>
        <v>0</v>
      </c>
      <c r="P695" s="387"/>
      <c r="Q695" s="389"/>
      <c r="R695" s="389"/>
      <c r="S695" s="389"/>
      <c r="T695" s="389"/>
      <c r="U695" s="389"/>
    </row>
    <row r="696" spans="1:21" ht="35.1" customHeight="1" x14ac:dyDescent="0.25">
      <c r="A696" s="535">
        <v>695</v>
      </c>
      <c r="B696" s="95">
        <v>45446</v>
      </c>
      <c r="C696" s="432"/>
      <c r="D696" s="485"/>
      <c r="E696" s="433"/>
      <c r="F696" s="432"/>
      <c r="G696" s="432"/>
      <c r="H696" s="432"/>
      <c r="I696" s="432"/>
      <c r="J696" s="432"/>
      <c r="K696" s="432"/>
      <c r="L696" s="432"/>
      <c r="M696" s="432"/>
      <c r="N696" s="540"/>
      <c r="O696" s="485">
        <f t="shared" si="12"/>
        <v>0</v>
      </c>
      <c r="P696" s="387"/>
      <c r="Q696" s="389"/>
      <c r="R696" s="389"/>
      <c r="S696" s="389"/>
      <c r="T696" s="389"/>
      <c r="U696" s="389"/>
    </row>
    <row r="697" spans="1:21" ht="35.1" customHeight="1" x14ac:dyDescent="0.25">
      <c r="A697" s="535">
        <v>696</v>
      </c>
      <c r="B697" s="95">
        <v>45447</v>
      </c>
      <c r="C697" s="432"/>
      <c r="D697" s="485"/>
      <c r="E697" s="433"/>
      <c r="F697" s="432"/>
      <c r="G697" s="432"/>
      <c r="H697" s="432"/>
      <c r="I697" s="432"/>
      <c r="J697" s="432"/>
      <c r="K697" s="432"/>
      <c r="L697" s="432"/>
      <c r="M697" s="432"/>
      <c r="N697" s="540"/>
      <c r="O697" s="485">
        <f t="shared" ref="O697:O760" si="13">SUM(G697:N697)+F697+D697</f>
        <v>0</v>
      </c>
      <c r="P697" s="387"/>
      <c r="Q697" s="389"/>
      <c r="R697" s="389"/>
      <c r="S697" s="389"/>
      <c r="T697" s="389"/>
      <c r="U697" s="389"/>
    </row>
    <row r="698" spans="1:21" ht="35.1" customHeight="1" x14ac:dyDescent="0.25">
      <c r="A698" s="535">
        <v>697</v>
      </c>
      <c r="B698" s="95">
        <v>45448</v>
      </c>
      <c r="C698" s="432"/>
      <c r="D698" s="485"/>
      <c r="E698" s="433"/>
      <c r="F698" s="432"/>
      <c r="G698" s="432"/>
      <c r="H698" s="432"/>
      <c r="I698" s="432"/>
      <c r="J698" s="432"/>
      <c r="K698" s="432"/>
      <c r="L698" s="432"/>
      <c r="M698" s="432"/>
      <c r="N698" s="540"/>
      <c r="O698" s="485">
        <f t="shared" si="13"/>
        <v>0</v>
      </c>
      <c r="P698" s="387"/>
      <c r="Q698" s="389"/>
      <c r="R698" s="389"/>
      <c r="S698" s="389"/>
      <c r="T698" s="389"/>
      <c r="U698" s="389"/>
    </row>
    <row r="699" spans="1:21" ht="35.1" customHeight="1" x14ac:dyDescent="0.25">
      <c r="A699" s="535">
        <v>698</v>
      </c>
      <c r="B699" s="95">
        <v>45449</v>
      </c>
      <c r="C699" s="432"/>
      <c r="D699" s="485"/>
      <c r="E699" s="433"/>
      <c r="F699" s="432"/>
      <c r="G699" s="432"/>
      <c r="H699" s="432"/>
      <c r="I699" s="432"/>
      <c r="J699" s="432"/>
      <c r="K699" s="432"/>
      <c r="L699" s="432"/>
      <c r="M699" s="432"/>
      <c r="N699" s="540"/>
      <c r="O699" s="485">
        <f t="shared" si="13"/>
        <v>0</v>
      </c>
      <c r="P699" s="387"/>
      <c r="Q699" s="389"/>
      <c r="R699" s="389"/>
      <c r="S699" s="389"/>
      <c r="T699" s="389"/>
      <c r="U699" s="389"/>
    </row>
    <row r="700" spans="1:21" ht="35.1" customHeight="1" x14ac:dyDescent="0.25">
      <c r="A700" s="535">
        <v>699</v>
      </c>
      <c r="B700" s="95">
        <v>45450</v>
      </c>
      <c r="C700" s="432"/>
      <c r="D700" s="485"/>
      <c r="E700" s="433"/>
      <c r="F700" s="432"/>
      <c r="G700" s="432"/>
      <c r="H700" s="432"/>
      <c r="I700" s="432"/>
      <c r="J700" s="432"/>
      <c r="K700" s="432"/>
      <c r="L700" s="432"/>
      <c r="M700" s="432"/>
      <c r="N700" s="540"/>
      <c r="O700" s="485">
        <f t="shared" si="13"/>
        <v>0</v>
      </c>
      <c r="P700" s="387"/>
      <c r="Q700" s="389"/>
      <c r="R700" s="389"/>
      <c r="S700" s="389"/>
      <c r="T700" s="389"/>
      <c r="U700" s="389"/>
    </row>
    <row r="701" spans="1:21" ht="35.1" customHeight="1" x14ac:dyDescent="0.25">
      <c r="A701" s="535">
        <v>700</v>
      </c>
      <c r="B701" s="95">
        <v>45451</v>
      </c>
      <c r="C701" s="432"/>
      <c r="D701" s="485"/>
      <c r="E701" s="433"/>
      <c r="F701" s="432"/>
      <c r="G701" s="432"/>
      <c r="H701" s="432"/>
      <c r="I701" s="432"/>
      <c r="J701" s="432"/>
      <c r="K701" s="432"/>
      <c r="L701" s="432"/>
      <c r="M701" s="432"/>
      <c r="N701" s="540"/>
      <c r="O701" s="485">
        <f t="shared" si="13"/>
        <v>0</v>
      </c>
      <c r="P701" s="387"/>
      <c r="Q701" s="389"/>
      <c r="R701" s="389"/>
      <c r="S701" s="389"/>
      <c r="T701" s="389"/>
      <c r="U701" s="389"/>
    </row>
    <row r="702" spans="1:21" ht="35.1" customHeight="1" x14ac:dyDescent="0.25">
      <c r="A702" s="535">
        <v>701</v>
      </c>
      <c r="B702" s="95">
        <v>45452</v>
      </c>
      <c r="C702" s="432"/>
      <c r="D702" s="485"/>
      <c r="E702" s="433"/>
      <c r="F702" s="432"/>
      <c r="G702" s="432"/>
      <c r="H702" s="432"/>
      <c r="I702" s="432"/>
      <c r="J702" s="432"/>
      <c r="K702" s="432"/>
      <c r="L702" s="432"/>
      <c r="M702" s="432"/>
      <c r="N702" s="540"/>
      <c r="O702" s="485">
        <f t="shared" si="13"/>
        <v>0</v>
      </c>
      <c r="P702" s="387"/>
      <c r="Q702" s="389"/>
      <c r="R702" s="389"/>
      <c r="S702" s="389"/>
      <c r="T702" s="389"/>
      <c r="U702" s="389"/>
    </row>
    <row r="703" spans="1:21" ht="35.1" customHeight="1" x14ac:dyDescent="0.25">
      <c r="A703" s="535">
        <v>702</v>
      </c>
      <c r="B703" s="95">
        <v>45453</v>
      </c>
      <c r="C703" s="432"/>
      <c r="D703" s="485"/>
      <c r="E703" s="433"/>
      <c r="F703" s="432"/>
      <c r="G703" s="432"/>
      <c r="H703" s="432"/>
      <c r="I703" s="432"/>
      <c r="J703" s="432"/>
      <c r="K703" s="432"/>
      <c r="L703" s="432"/>
      <c r="M703" s="432"/>
      <c r="N703" s="540"/>
      <c r="O703" s="485">
        <f t="shared" si="13"/>
        <v>0</v>
      </c>
      <c r="P703" s="387"/>
      <c r="Q703" s="389"/>
      <c r="R703" s="389"/>
      <c r="S703" s="389"/>
      <c r="T703" s="389"/>
      <c r="U703" s="389"/>
    </row>
    <row r="704" spans="1:21" ht="35.1" customHeight="1" x14ac:dyDescent="0.25">
      <c r="A704" s="535">
        <v>703</v>
      </c>
      <c r="B704" s="95">
        <v>45454</v>
      </c>
      <c r="C704" s="432"/>
      <c r="D704" s="485"/>
      <c r="E704" s="433"/>
      <c r="F704" s="432"/>
      <c r="G704" s="432"/>
      <c r="H704" s="432"/>
      <c r="I704" s="432"/>
      <c r="J704" s="432"/>
      <c r="K704" s="432"/>
      <c r="L704" s="432"/>
      <c r="M704" s="432"/>
      <c r="N704" s="540"/>
      <c r="O704" s="485">
        <f t="shared" si="13"/>
        <v>0</v>
      </c>
      <c r="P704" s="387"/>
      <c r="Q704" s="389"/>
      <c r="R704" s="389"/>
      <c r="S704" s="389"/>
      <c r="T704" s="389"/>
      <c r="U704" s="389"/>
    </row>
    <row r="705" spans="1:21" ht="35.1" customHeight="1" x14ac:dyDescent="0.25">
      <c r="A705" s="535">
        <v>704</v>
      </c>
      <c r="B705" s="95">
        <v>45455</v>
      </c>
      <c r="C705" s="432"/>
      <c r="D705" s="485"/>
      <c r="E705" s="433"/>
      <c r="F705" s="432"/>
      <c r="G705" s="432"/>
      <c r="H705" s="432"/>
      <c r="I705" s="432"/>
      <c r="J705" s="432"/>
      <c r="K705" s="432"/>
      <c r="L705" s="432"/>
      <c r="M705" s="432"/>
      <c r="N705" s="540"/>
      <c r="O705" s="485">
        <f t="shared" si="13"/>
        <v>0</v>
      </c>
      <c r="P705" s="387"/>
      <c r="Q705" s="389"/>
      <c r="R705" s="389"/>
      <c r="S705" s="389"/>
      <c r="T705" s="389"/>
      <c r="U705" s="389"/>
    </row>
    <row r="706" spans="1:21" ht="35.1" customHeight="1" x14ac:dyDescent="0.25">
      <c r="A706" s="535">
        <v>705</v>
      </c>
      <c r="B706" s="95">
        <v>45456</v>
      </c>
      <c r="C706" s="432"/>
      <c r="D706" s="485"/>
      <c r="E706" s="433"/>
      <c r="F706" s="432"/>
      <c r="G706" s="432"/>
      <c r="H706" s="432"/>
      <c r="I706" s="432"/>
      <c r="J706" s="432"/>
      <c r="K706" s="432"/>
      <c r="L706" s="432"/>
      <c r="M706" s="432"/>
      <c r="N706" s="540"/>
      <c r="O706" s="485">
        <f t="shared" si="13"/>
        <v>0</v>
      </c>
      <c r="P706" s="387"/>
      <c r="Q706" s="389"/>
      <c r="R706" s="389"/>
      <c r="S706" s="389"/>
      <c r="T706" s="389"/>
      <c r="U706" s="389"/>
    </row>
    <row r="707" spans="1:21" ht="35.1" customHeight="1" x14ac:dyDescent="0.25">
      <c r="A707" s="535">
        <v>706</v>
      </c>
      <c r="B707" s="95">
        <v>45457</v>
      </c>
      <c r="C707" s="432"/>
      <c r="D707" s="485"/>
      <c r="E707" s="433"/>
      <c r="F707" s="432"/>
      <c r="G707" s="432"/>
      <c r="H707" s="432"/>
      <c r="I707" s="432"/>
      <c r="J707" s="432"/>
      <c r="K707" s="432"/>
      <c r="L707" s="432"/>
      <c r="M707" s="432"/>
      <c r="N707" s="540"/>
      <c r="O707" s="485">
        <f t="shared" si="13"/>
        <v>0</v>
      </c>
      <c r="P707" s="387"/>
      <c r="Q707" s="389"/>
      <c r="R707" s="389"/>
      <c r="S707" s="389"/>
      <c r="T707" s="389"/>
      <c r="U707" s="389"/>
    </row>
    <row r="708" spans="1:21" ht="35.1" customHeight="1" x14ac:dyDescent="0.25">
      <c r="A708" s="535">
        <v>707</v>
      </c>
      <c r="B708" s="95">
        <v>45458</v>
      </c>
      <c r="C708" s="432"/>
      <c r="D708" s="485"/>
      <c r="E708" s="433"/>
      <c r="F708" s="432"/>
      <c r="G708" s="432"/>
      <c r="H708" s="432"/>
      <c r="I708" s="432"/>
      <c r="J708" s="432"/>
      <c r="K708" s="432"/>
      <c r="L708" s="432"/>
      <c r="M708" s="432"/>
      <c r="N708" s="540"/>
      <c r="O708" s="485">
        <f t="shared" si="13"/>
        <v>0</v>
      </c>
      <c r="P708" s="387"/>
      <c r="Q708" s="389"/>
      <c r="R708" s="389"/>
      <c r="S708" s="389"/>
      <c r="T708" s="389"/>
      <c r="U708" s="389"/>
    </row>
    <row r="709" spans="1:21" ht="35.1" customHeight="1" x14ac:dyDescent="0.25">
      <c r="A709" s="535">
        <v>708</v>
      </c>
      <c r="B709" s="95">
        <v>45459</v>
      </c>
      <c r="C709" s="432"/>
      <c r="D709" s="485"/>
      <c r="E709" s="433"/>
      <c r="F709" s="432"/>
      <c r="G709" s="432"/>
      <c r="H709" s="432"/>
      <c r="I709" s="432"/>
      <c r="J709" s="432"/>
      <c r="K709" s="432"/>
      <c r="L709" s="432"/>
      <c r="M709" s="432"/>
      <c r="N709" s="540"/>
      <c r="O709" s="485">
        <f t="shared" si="13"/>
        <v>0</v>
      </c>
      <c r="P709" s="387"/>
      <c r="Q709" s="389"/>
      <c r="R709" s="389"/>
      <c r="S709" s="389"/>
      <c r="T709" s="389"/>
      <c r="U709" s="389"/>
    </row>
    <row r="710" spans="1:21" ht="35.1" customHeight="1" x14ac:dyDescent="0.25">
      <c r="A710" s="535">
        <v>709</v>
      </c>
      <c r="B710" s="95">
        <v>45460</v>
      </c>
      <c r="C710" s="432"/>
      <c r="D710" s="485"/>
      <c r="E710" s="433"/>
      <c r="F710" s="432"/>
      <c r="G710" s="432"/>
      <c r="H710" s="432"/>
      <c r="I710" s="432"/>
      <c r="J710" s="432"/>
      <c r="K710" s="432"/>
      <c r="L710" s="432"/>
      <c r="M710" s="432"/>
      <c r="N710" s="540"/>
      <c r="O710" s="485">
        <f t="shared" si="13"/>
        <v>0</v>
      </c>
      <c r="P710" s="387"/>
      <c r="Q710" s="389"/>
      <c r="R710" s="389"/>
      <c r="S710" s="389"/>
      <c r="T710" s="389"/>
      <c r="U710" s="389"/>
    </row>
    <row r="711" spans="1:21" ht="35.1" customHeight="1" x14ac:dyDescent="0.25">
      <c r="A711" s="535">
        <v>710</v>
      </c>
      <c r="B711" s="95">
        <v>45461</v>
      </c>
      <c r="C711" s="432"/>
      <c r="D711" s="485"/>
      <c r="E711" s="433"/>
      <c r="F711" s="432"/>
      <c r="G711" s="432"/>
      <c r="H711" s="432"/>
      <c r="I711" s="432"/>
      <c r="J711" s="432"/>
      <c r="K711" s="432"/>
      <c r="L711" s="432"/>
      <c r="M711" s="432"/>
      <c r="N711" s="540"/>
      <c r="O711" s="485">
        <f t="shared" si="13"/>
        <v>0</v>
      </c>
      <c r="P711" s="387"/>
      <c r="Q711" s="389"/>
      <c r="R711" s="389"/>
      <c r="S711" s="389"/>
      <c r="T711" s="389"/>
      <c r="U711" s="389"/>
    </row>
    <row r="712" spans="1:21" ht="35.1" customHeight="1" x14ac:dyDescent="0.25">
      <c r="A712" s="535">
        <v>711</v>
      </c>
      <c r="B712" s="95">
        <v>45462</v>
      </c>
      <c r="C712" s="432"/>
      <c r="D712" s="485"/>
      <c r="E712" s="433"/>
      <c r="F712" s="432"/>
      <c r="G712" s="432"/>
      <c r="H712" s="432"/>
      <c r="I712" s="432"/>
      <c r="J712" s="432"/>
      <c r="K712" s="432"/>
      <c r="L712" s="432"/>
      <c r="M712" s="432"/>
      <c r="N712" s="540"/>
      <c r="O712" s="485">
        <f t="shared" si="13"/>
        <v>0</v>
      </c>
      <c r="P712" s="387"/>
      <c r="Q712" s="389"/>
      <c r="R712" s="389"/>
      <c r="S712" s="389"/>
      <c r="T712" s="389"/>
      <c r="U712" s="389"/>
    </row>
    <row r="713" spans="1:21" ht="35.1" customHeight="1" x14ac:dyDescent="0.25">
      <c r="A713" s="535">
        <v>712</v>
      </c>
      <c r="B713" s="95">
        <v>45463</v>
      </c>
      <c r="C713" s="432"/>
      <c r="D713" s="485"/>
      <c r="E713" s="433"/>
      <c r="F713" s="432"/>
      <c r="G713" s="432"/>
      <c r="H713" s="432"/>
      <c r="I713" s="432"/>
      <c r="J713" s="432"/>
      <c r="K713" s="432"/>
      <c r="L713" s="432"/>
      <c r="M713" s="432"/>
      <c r="N713" s="540"/>
      <c r="O713" s="485">
        <f t="shared" si="13"/>
        <v>0</v>
      </c>
      <c r="P713" s="387"/>
      <c r="Q713" s="389"/>
      <c r="R713" s="389"/>
      <c r="S713" s="389"/>
      <c r="T713" s="389"/>
      <c r="U713" s="389"/>
    </row>
    <row r="714" spans="1:21" ht="35.1" customHeight="1" x14ac:dyDescent="0.25">
      <c r="A714" s="535">
        <v>713</v>
      </c>
      <c r="B714" s="95">
        <v>45464</v>
      </c>
      <c r="C714" s="432"/>
      <c r="D714" s="485"/>
      <c r="E714" s="433"/>
      <c r="F714" s="432"/>
      <c r="G714" s="432"/>
      <c r="H714" s="432"/>
      <c r="I714" s="432"/>
      <c r="J714" s="432"/>
      <c r="K714" s="432"/>
      <c r="L714" s="432"/>
      <c r="M714" s="432"/>
      <c r="N714" s="540"/>
      <c r="O714" s="485">
        <f t="shared" si="13"/>
        <v>0</v>
      </c>
      <c r="P714" s="387"/>
      <c r="Q714" s="389"/>
      <c r="R714" s="389"/>
      <c r="S714" s="389"/>
      <c r="T714" s="389"/>
      <c r="U714" s="389"/>
    </row>
    <row r="715" spans="1:21" ht="35.1" customHeight="1" x14ac:dyDescent="0.25">
      <c r="A715" s="535">
        <v>714</v>
      </c>
      <c r="B715" s="95">
        <v>45465</v>
      </c>
      <c r="C715" s="432"/>
      <c r="D715" s="485"/>
      <c r="E715" s="433"/>
      <c r="F715" s="432"/>
      <c r="G715" s="432"/>
      <c r="H715" s="432"/>
      <c r="I715" s="432"/>
      <c r="J715" s="432"/>
      <c r="K715" s="432"/>
      <c r="L715" s="432"/>
      <c r="M715" s="432"/>
      <c r="N715" s="540"/>
      <c r="O715" s="485">
        <f t="shared" si="13"/>
        <v>0</v>
      </c>
      <c r="P715" s="387"/>
      <c r="Q715" s="389"/>
      <c r="R715" s="389"/>
      <c r="S715" s="389"/>
      <c r="T715" s="389"/>
      <c r="U715" s="389"/>
    </row>
    <row r="716" spans="1:21" ht="35.1" customHeight="1" x14ac:dyDescent="0.25">
      <c r="A716" s="535">
        <v>715</v>
      </c>
      <c r="B716" s="95">
        <v>45466</v>
      </c>
      <c r="C716" s="432"/>
      <c r="D716" s="485"/>
      <c r="E716" s="433"/>
      <c r="F716" s="432"/>
      <c r="G716" s="432"/>
      <c r="H716" s="432"/>
      <c r="I716" s="432"/>
      <c r="J716" s="432"/>
      <c r="K716" s="432"/>
      <c r="L716" s="432"/>
      <c r="M716" s="432"/>
      <c r="N716" s="540"/>
      <c r="O716" s="485">
        <f t="shared" si="13"/>
        <v>0</v>
      </c>
      <c r="P716" s="387"/>
      <c r="Q716" s="389"/>
      <c r="R716" s="389"/>
      <c r="S716" s="389"/>
      <c r="T716" s="389"/>
      <c r="U716" s="389"/>
    </row>
    <row r="717" spans="1:21" ht="35.1" customHeight="1" x14ac:dyDescent="0.25">
      <c r="A717" s="535">
        <v>716</v>
      </c>
      <c r="B717" s="95">
        <v>45467</v>
      </c>
      <c r="C717" s="432"/>
      <c r="D717" s="485"/>
      <c r="E717" s="433"/>
      <c r="F717" s="432"/>
      <c r="G717" s="432"/>
      <c r="H717" s="432"/>
      <c r="I717" s="432"/>
      <c r="J717" s="432"/>
      <c r="K717" s="432"/>
      <c r="L717" s="432"/>
      <c r="M717" s="432"/>
      <c r="N717" s="540"/>
      <c r="O717" s="485">
        <f t="shared" si="13"/>
        <v>0</v>
      </c>
      <c r="P717" s="387"/>
      <c r="Q717" s="389"/>
      <c r="R717" s="389"/>
      <c r="S717" s="389"/>
      <c r="T717" s="389"/>
      <c r="U717" s="389"/>
    </row>
    <row r="718" spans="1:21" ht="35.1" customHeight="1" x14ac:dyDescent="0.25">
      <c r="A718" s="535">
        <v>717</v>
      </c>
      <c r="B718" s="95">
        <v>45468</v>
      </c>
      <c r="C718" s="432"/>
      <c r="D718" s="485"/>
      <c r="E718" s="433"/>
      <c r="F718" s="432"/>
      <c r="G718" s="432"/>
      <c r="H718" s="432"/>
      <c r="I718" s="432"/>
      <c r="J718" s="432"/>
      <c r="K718" s="432"/>
      <c r="L718" s="432"/>
      <c r="M718" s="432"/>
      <c r="N718" s="540"/>
      <c r="O718" s="485">
        <f t="shared" si="13"/>
        <v>0</v>
      </c>
      <c r="P718" s="387"/>
      <c r="Q718" s="389"/>
      <c r="R718" s="389"/>
      <c r="S718" s="389"/>
      <c r="T718" s="389"/>
      <c r="U718" s="389"/>
    </row>
    <row r="719" spans="1:21" ht="35.1" customHeight="1" x14ac:dyDescent="0.25">
      <c r="A719" s="535">
        <v>718</v>
      </c>
      <c r="B719" s="95">
        <v>45469</v>
      </c>
      <c r="C719" s="432"/>
      <c r="D719" s="485"/>
      <c r="E719" s="433"/>
      <c r="F719" s="432"/>
      <c r="G719" s="432"/>
      <c r="H719" s="432"/>
      <c r="I719" s="432"/>
      <c r="J719" s="432"/>
      <c r="K719" s="432"/>
      <c r="L719" s="432"/>
      <c r="M719" s="432"/>
      <c r="N719" s="540"/>
      <c r="O719" s="485">
        <f t="shared" si="13"/>
        <v>0</v>
      </c>
      <c r="P719" s="387"/>
      <c r="Q719" s="389"/>
      <c r="R719" s="389"/>
      <c r="S719" s="389"/>
      <c r="T719" s="389"/>
      <c r="U719" s="389"/>
    </row>
    <row r="720" spans="1:21" ht="35.1" customHeight="1" x14ac:dyDescent="0.25">
      <c r="A720" s="535">
        <v>719</v>
      </c>
      <c r="B720" s="95">
        <v>45470</v>
      </c>
      <c r="C720" s="432"/>
      <c r="D720" s="485"/>
      <c r="E720" s="433"/>
      <c r="F720" s="432"/>
      <c r="G720" s="432"/>
      <c r="H720" s="432"/>
      <c r="I720" s="432"/>
      <c r="J720" s="432"/>
      <c r="K720" s="432"/>
      <c r="L720" s="432"/>
      <c r="M720" s="432"/>
      <c r="N720" s="540"/>
      <c r="O720" s="485">
        <f t="shared" si="13"/>
        <v>0</v>
      </c>
      <c r="P720" s="387"/>
      <c r="Q720" s="389"/>
      <c r="R720" s="389"/>
      <c r="S720" s="389"/>
      <c r="T720" s="389"/>
      <c r="U720" s="389"/>
    </row>
    <row r="721" spans="1:21" ht="35.1" customHeight="1" x14ac:dyDescent="0.25">
      <c r="A721" s="535">
        <v>720</v>
      </c>
      <c r="B721" s="95">
        <v>45471</v>
      </c>
      <c r="C721" s="432"/>
      <c r="D721" s="485"/>
      <c r="E721" s="433"/>
      <c r="F721" s="432"/>
      <c r="G721" s="432"/>
      <c r="H721" s="432"/>
      <c r="I721" s="432"/>
      <c r="J721" s="432"/>
      <c r="K721" s="432"/>
      <c r="L721" s="432"/>
      <c r="M721" s="432"/>
      <c r="N721" s="540"/>
      <c r="O721" s="485">
        <f t="shared" si="13"/>
        <v>0</v>
      </c>
      <c r="P721" s="387"/>
      <c r="Q721" s="389"/>
      <c r="R721" s="389"/>
      <c r="S721" s="389"/>
      <c r="T721" s="389"/>
      <c r="U721" s="389"/>
    </row>
    <row r="722" spans="1:21" ht="35.1" customHeight="1" x14ac:dyDescent="0.25">
      <c r="A722" s="535">
        <v>721</v>
      </c>
      <c r="B722" s="95">
        <v>45472</v>
      </c>
      <c r="C722" s="432"/>
      <c r="D722" s="485"/>
      <c r="E722" s="433"/>
      <c r="F722" s="432"/>
      <c r="G722" s="432"/>
      <c r="H722" s="432"/>
      <c r="I722" s="432"/>
      <c r="J722" s="432"/>
      <c r="K722" s="432"/>
      <c r="L722" s="432"/>
      <c r="M722" s="432"/>
      <c r="N722" s="540"/>
      <c r="O722" s="485">
        <f t="shared" si="13"/>
        <v>0</v>
      </c>
      <c r="P722" s="387"/>
      <c r="Q722" s="389"/>
      <c r="R722" s="389"/>
      <c r="S722" s="389"/>
      <c r="T722" s="389"/>
      <c r="U722" s="389"/>
    </row>
    <row r="723" spans="1:21" ht="35.1" customHeight="1" x14ac:dyDescent="0.25">
      <c r="A723" s="535">
        <v>722</v>
      </c>
      <c r="B723" s="95">
        <v>45473</v>
      </c>
      <c r="C723" s="432"/>
      <c r="D723" s="485"/>
      <c r="E723" s="433"/>
      <c r="F723" s="432"/>
      <c r="G723" s="432"/>
      <c r="H723" s="432"/>
      <c r="I723" s="432"/>
      <c r="J723" s="432"/>
      <c r="K723" s="432"/>
      <c r="L723" s="432"/>
      <c r="M723" s="432"/>
      <c r="N723" s="540"/>
      <c r="O723" s="485">
        <f t="shared" si="13"/>
        <v>0</v>
      </c>
      <c r="P723" s="387"/>
      <c r="Q723" s="389"/>
      <c r="R723" s="389"/>
      <c r="S723" s="389"/>
      <c r="T723" s="389"/>
      <c r="U723" s="389"/>
    </row>
    <row r="724" spans="1:21" ht="35.1" customHeight="1" x14ac:dyDescent="0.25">
      <c r="A724" s="535">
        <v>723</v>
      </c>
      <c r="B724" s="95">
        <v>45474</v>
      </c>
      <c r="C724" s="432"/>
      <c r="D724" s="485"/>
      <c r="E724" s="433"/>
      <c r="F724" s="432"/>
      <c r="G724" s="432"/>
      <c r="H724" s="432"/>
      <c r="I724" s="432"/>
      <c r="J724" s="432"/>
      <c r="K724" s="432"/>
      <c r="L724" s="432"/>
      <c r="M724" s="432"/>
      <c r="N724" s="540"/>
      <c r="O724" s="485">
        <f t="shared" si="13"/>
        <v>0</v>
      </c>
      <c r="P724" s="387"/>
      <c r="Q724" s="389"/>
      <c r="R724" s="389"/>
      <c r="S724" s="389"/>
      <c r="T724" s="389"/>
      <c r="U724" s="389"/>
    </row>
    <row r="725" spans="1:21" ht="35.1" customHeight="1" x14ac:dyDescent="0.25">
      <c r="A725" s="535">
        <v>724</v>
      </c>
      <c r="B725" s="95">
        <v>45475</v>
      </c>
      <c r="C725" s="432"/>
      <c r="D725" s="485"/>
      <c r="E725" s="433"/>
      <c r="F725" s="432"/>
      <c r="G725" s="432"/>
      <c r="H725" s="432"/>
      <c r="I725" s="432"/>
      <c r="J725" s="432"/>
      <c r="K725" s="432"/>
      <c r="L725" s="432"/>
      <c r="M725" s="432"/>
      <c r="N725" s="540"/>
      <c r="O725" s="485">
        <f t="shared" si="13"/>
        <v>0</v>
      </c>
      <c r="P725" s="387"/>
      <c r="Q725" s="389"/>
      <c r="R725" s="389"/>
      <c r="S725" s="389"/>
      <c r="T725" s="389"/>
      <c r="U725" s="389"/>
    </row>
    <row r="726" spans="1:21" ht="35.1" customHeight="1" x14ac:dyDescent="0.25">
      <c r="A726" s="535">
        <v>725</v>
      </c>
      <c r="B726" s="95">
        <v>45476</v>
      </c>
      <c r="C726" s="432"/>
      <c r="D726" s="485"/>
      <c r="E726" s="433"/>
      <c r="F726" s="432"/>
      <c r="G726" s="432"/>
      <c r="H726" s="432"/>
      <c r="I726" s="432"/>
      <c r="J726" s="432"/>
      <c r="K726" s="432"/>
      <c r="L726" s="432"/>
      <c r="M726" s="432"/>
      <c r="N726" s="540"/>
      <c r="O726" s="485">
        <f t="shared" si="13"/>
        <v>0</v>
      </c>
      <c r="P726" s="387"/>
      <c r="Q726" s="389"/>
      <c r="R726" s="389"/>
      <c r="S726" s="389"/>
      <c r="T726" s="389"/>
      <c r="U726" s="389"/>
    </row>
    <row r="727" spans="1:21" ht="35.1" customHeight="1" x14ac:dyDescent="0.25">
      <c r="A727" s="535">
        <v>726</v>
      </c>
      <c r="B727" s="95">
        <v>45477</v>
      </c>
      <c r="C727" s="432"/>
      <c r="D727" s="485"/>
      <c r="E727" s="433"/>
      <c r="F727" s="432"/>
      <c r="G727" s="432"/>
      <c r="H727" s="432"/>
      <c r="I727" s="432"/>
      <c r="J727" s="432"/>
      <c r="K727" s="432"/>
      <c r="L727" s="432"/>
      <c r="M727" s="432"/>
      <c r="N727" s="540"/>
      <c r="O727" s="485">
        <f t="shared" si="13"/>
        <v>0</v>
      </c>
      <c r="P727" s="387"/>
      <c r="Q727" s="389"/>
      <c r="R727" s="389"/>
      <c r="S727" s="389"/>
      <c r="T727" s="389"/>
      <c r="U727" s="389"/>
    </row>
    <row r="728" spans="1:21" ht="35.1" customHeight="1" x14ac:dyDescent="0.25">
      <c r="A728" s="535">
        <v>727</v>
      </c>
      <c r="B728" s="95">
        <v>45478</v>
      </c>
      <c r="C728" s="432"/>
      <c r="D728" s="485"/>
      <c r="E728" s="433"/>
      <c r="F728" s="432"/>
      <c r="G728" s="432"/>
      <c r="H728" s="432"/>
      <c r="I728" s="432"/>
      <c r="J728" s="432"/>
      <c r="K728" s="432"/>
      <c r="L728" s="432"/>
      <c r="M728" s="432"/>
      <c r="N728" s="540"/>
      <c r="O728" s="485">
        <f t="shared" si="13"/>
        <v>0</v>
      </c>
      <c r="P728" s="387"/>
      <c r="Q728" s="389"/>
      <c r="R728" s="389"/>
      <c r="S728" s="389"/>
      <c r="T728" s="389"/>
      <c r="U728" s="389"/>
    </row>
    <row r="729" spans="1:21" ht="35.1" customHeight="1" x14ac:dyDescent="0.25">
      <c r="A729" s="535">
        <v>728</v>
      </c>
      <c r="B729" s="95">
        <v>45479</v>
      </c>
      <c r="C729" s="432"/>
      <c r="D729" s="485"/>
      <c r="E729" s="433"/>
      <c r="F729" s="432"/>
      <c r="G729" s="432"/>
      <c r="H729" s="432"/>
      <c r="I729" s="432"/>
      <c r="J729" s="432"/>
      <c r="K729" s="432"/>
      <c r="L729" s="432"/>
      <c r="M729" s="432"/>
      <c r="N729" s="540"/>
      <c r="O729" s="485">
        <f t="shared" si="13"/>
        <v>0</v>
      </c>
      <c r="P729" s="387"/>
      <c r="Q729" s="389"/>
      <c r="R729" s="389"/>
      <c r="S729" s="389"/>
      <c r="T729" s="389"/>
      <c r="U729" s="389"/>
    </row>
    <row r="730" spans="1:21" ht="35.1" customHeight="1" x14ac:dyDescent="0.25">
      <c r="A730" s="535">
        <v>729</v>
      </c>
      <c r="B730" s="95">
        <v>45480</v>
      </c>
      <c r="C730" s="432"/>
      <c r="D730" s="485"/>
      <c r="E730" s="433"/>
      <c r="F730" s="432"/>
      <c r="G730" s="432"/>
      <c r="H730" s="432"/>
      <c r="I730" s="432"/>
      <c r="J730" s="432"/>
      <c r="K730" s="432"/>
      <c r="L730" s="432"/>
      <c r="M730" s="432"/>
      <c r="N730" s="540"/>
      <c r="O730" s="485">
        <f t="shared" si="13"/>
        <v>0</v>
      </c>
      <c r="P730" s="387"/>
      <c r="Q730" s="389"/>
      <c r="R730" s="389"/>
      <c r="S730" s="389"/>
      <c r="T730" s="389"/>
      <c r="U730" s="389"/>
    </row>
    <row r="731" spans="1:21" ht="35.1" customHeight="1" x14ac:dyDescent="0.25">
      <c r="A731" s="535">
        <v>730</v>
      </c>
      <c r="B731" s="95">
        <v>45481</v>
      </c>
      <c r="C731" s="432"/>
      <c r="D731" s="485"/>
      <c r="E731" s="433"/>
      <c r="F731" s="432"/>
      <c r="G731" s="432"/>
      <c r="H731" s="432"/>
      <c r="I731" s="432"/>
      <c r="J731" s="432"/>
      <c r="K731" s="432"/>
      <c r="L731" s="432"/>
      <c r="M731" s="432"/>
      <c r="N731" s="540"/>
      <c r="O731" s="485">
        <f t="shared" si="13"/>
        <v>0</v>
      </c>
      <c r="P731" s="387"/>
      <c r="Q731" s="389"/>
      <c r="R731" s="389"/>
      <c r="S731" s="389"/>
      <c r="T731" s="389"/>
      <c r="U731" s="389"/>
    </row>
    <row r="732" spans="1:21" ht="35.1" customHeight="1" x14ac:dyDescent="0.25">
      <c r="A732" s="535">
        <v>731</v>
      </c>
      <c r="B732" s="95">
        <v>45482</v>
      </c>
      <c r="C732" s="432"/>
      <c r="D732" s="485"/>
      <c r="E732" s="433"/>
      <c r="F732" s="432"/>
      <c r="G732" s="432"/>
      <c r="H732" s="432"/>
      <c r="I732" s="432"/>
      <c r="J732" s="432"/>
      <c r="K732" s="432"/>
      <c r="L732" s="432"/>
      <c r="M732" s="432"/>
      <c r="N732" s="540"/>
      <c r="O732" s="485">
        <f t="shared" si="13"/>
        <v>0</v>
      </c>
      <c r="P732" s="387"/>
      <c r="Q732" s="389"/>
      <c r="R732" s="389"/>
      <c r="S732" s="389"/>
      <c r="T732" s="389"/>
      <c r="U732" s="389"/>
    </row>
    <row r="733" spans="1:21" ht="35.1" customHeight="1" x14ac:dyDescent="0.25">
      <c r="A733" s="535">
        <v>732</v>
      </c>
      <c r="B733" s="95">
        <v>45483</v>
      </c>
      <c r="C733" s="432"/>
      <c r="D733" s="485"/>
      <c r="E733" s="433"/>
      <c r="F733" s="432"/>
      <c r="G733" s="432"/>
      <c r="H733" s="432"/>
      <c r="I733" s="432"/>
      <c r="J733" s="432"/>
      <c r="K733" s="432"/>
      <c r="L733" s="432"/>
      <c r="M733" s="432"/>
      <c r="N733" s="540"/>
      <c r="O733" s="485">
        <f t="shared" si="13"/>
        <v>0</v>
      </c>
      <c r="P733" s="387"/>
      <c r="Q733" s="389"/>
      <c r="R733" s="389"/>
      <c r="S733" s="389"/>
      <c r="T733" s="389"/>
      <c r="U733" s="389"/>
    </row>
    <row r="734" spans="1:21" ht="35.1" customHeight="1" x14ac:dyDescent="0.25">
      <c r="A734" s="535">
        <v>733</v>
      </c>
      <c r="B734" s="95">
        <v>45484</v>
      </c>
      <c r="C734" s="432"/>
      <c r="D734" s="485"/>
      <c r="E734" s="433"/>
      <c r="F734" s="432"/>
      <c r="G734" s="432"/>
      <c r="H734" s="432"/>
      <c r="I734" s="432"/>
      <c r="J734" s="432"/>
      <c r="K734" s="432"/>
      <c r="L734" s="432"/>
      <c r="M734" s="432"/>
      <c r="N734" s="540"/>
      <c r="O734" s="485">
        <f t="shared" si="13"/>
        <v>0</v>
      </c>
      <c r="P734" s="387"/>
      <c r="Q734" s="389"/>
      <c r="R734" s="389"/>
      <c r="S734" s="389"/>
      <c r="T734" s="389"/>
      <c r="U734" s="389"/>
    </row>
    <row r="735" spans="1:21" ht="35.1" customHeight="1" x14ac:dyDescent="0.25">
      <c r="A735" s="535">
        <v>734</v>
      </c>
      <c r="B735" s="95">
        <v>45485</v>
      </c>
      <c r="C735" s="432"/>
      <c r="D735" s="485"/>
      <c r="E735" s="433"/>
      <c r="F735" s="432"/>
      <c r="G735" s="432"/>
      <c r="H735" s="432"/>
      <c r="I735" s="432"/>
      <c r="J735" s="432"/>
      <c r="K735" s="432"/>
      <c r="L735" s="432"/>
      <c r="M735" s="432"/>
      <c r="N735" s="540"/>
      <c r="O735" s="485">
        <f t="shared" si="13"/>
        <v>0</v>
      </c>
      <c r="P735" s="387"/>
      <c r="Q735" s="389"/>
      <c r="R735" s="389"/>
      <c r="S735" s="389"/>
      <c r="T735" s="389"/>
      <c r="U735" s="389"/>
    </row>
    <row r="736" spans="1:21" ht="35.1" customHeight="1" x14ac:dyDescent="0.25">
      <c r="A736" s="535">
        <v>735</v>
      </c>
      <c r="B736" s="95">
        <v>45486</v>
      </c>
      <c r="C736" s="432"/>
      <c r="D736" s="485"/>
      <c r="E736" s="433"/>
      <c r="F736" s="432"/>
      <c r="G736" s="432"/>
      <c r="H736" s="432"/>
      <c r="I736" s="432"/>
      <c r="J736" s="432"/>
      <c r="K736" s="432"/>
      <c r="L736" s="432"/>
      <c r="M736" s="432"/>
      <c r="N736" s="540"/>
      <c r="O736" s="485">
        <f t="shared" si="13"/>
        <v>0</v>
      </c>
      <c r="P736" s="387"/>
      <c r="Q736" s="389"/>
      <c r="R736" s="389"/>
      <c r="S736" s="389"/>
      <c r="T736" s="389"/>
      <c r="U736" s="389"/>
    </row>
    <row r="737" spans="1:21" ht="35.1" customHeight="1" x14ac:dyDescent="0.25">
      <c r="A737" s="535">
        <v>736</v>
      </c>
      <c r="B737" s="95">
        <v>45487</v>
      </c>
      <c r="C737" s="432"/>
      <c r="D737" s="485"/>
      <c r="E737" s="433"/>
      <c r="F737" s="432"/>
      <c r="G737" s="432"/>
      <c r="H737" s="432"/>
      <c r="I737" s="432"/>
      <c r="J737" s="432"/>
      <c r="K737" s="432"/>
      <c r="L737" s="432"/>
      <c r="M737" s="432"/>
      <c r="N737" s="540"/>
      <c r="O737" s="485">
        <f t="shared" si="13"/>
        <v>0</v>
      </c>
      <c r="P737" s="387"/>
      <c r="Q737" s="389"/>
      <c r="R737" s="389"/>
      <c r="S737" s="389"/>
      <c r="T737" s="389"/>
      <c r="U737" s="389"/>
    </row>
    <row r="738" spans="1:21" ht="35.1" customHeight="1" x14ac:dyDescent="0.25">
      <c r="A738" s="535">
        <v>737</v>
      </c>
      <c r="B738" s="95">
        <v>45488</v>
      </c>
      <c r="C738" s="432"/>
      <c r="D738" s="485"/>
      <c r="E738" s="433"/>
      <c r="F738" s="432"/>
      <c r="G738" s="432"/>
      <c r="H738" s="432"/>
      <c r="I738" s="432"/>
      <c r="J738" s="432"/>
      <c r="K738" s="432"/>
      <c r="L738" s="432"/>
      <c r="M738" s="432"/>
      <c r="N738" s="540"/>
      <c r="O738" s="485">
        <f t="shared" si="13"/>
        <v>0</v>
      </c>
      <c r="P738" s="387"/>
      <c r="Q738" s="389"/>
      <c r="R738" s="389"/>
      <c r="S738" s="389"/>
      <c r="T738" s="389"/>
      <c r="U738" s="389"/>
    </row>
    <row r="739" spans="1:21" ht="35.1" customHeight="1" x14ac:dyDescent="0.25">
      <c r="A739" s="535">
        <v>738</v>
      </c>
      <c r="B739" s="95">
        <v>45489</v>
      </c>
      <c r="C739" s="432"/>
      <c r="D739" s="485"/>
      <c r="E739" s="433"/>
      <c r="F739" s="432"/>
      <c r="G739" s="432"/>
      <c r="H739" s="432"/>
      <c r="I739" s="432"/>
      <c r="J739" s="432"/>
      <c r="K739" s="432"/>
      <c r="L739" s="432"/>
      <c r="M739" s="432"/>
      <c r="N739" s="540"/>
      <c r="O739" s="485">
        <f t="shared" si="13"/>
        <v>0</v>
      </c>
      <c r="P739" s="387"/>
      <c r="Q739" s="389"/>
      <c r="R739" s="389"/>
      <c r="S739" s="389"/>
      <c r="T739" s="389"/>
      <c r="U739" s="389"/>
    </row>
    <row r="740" spans="1:21" ht="35.1" customHeight="1" x14ac:dyDescent="0.25">
      <c r="A740" s="535">
        <v>739</v>
      </c>
      <c r="B740" s="95">
        <v>45490</v>
      </c>
      <c r="C740" s="432"/>
      <c r="D740" s="485"/>
      <c r="E740" s="433"/>
      <c r="F740" s="432"/>
      <c r="G740" s="432"/>
      <c r="H740" s="432"/>
      <c r="I740" s="432"/>
      <c r="J740" s="432"/>
      <c r="K740" s="432"/>
      <c r="L740" s="432"/>
      <c r="M740" s="432"/>
      <c r="N740" s="540"/>
      <c r="O740" s="485">
        <f t="shared" si="13"/>
        <v>0</v>
      </c>
      <c r="P740" s="387"/>
      <c r="Q740" s="389"/>
      <c r="R740" s="389"/>
      <c r="S740" s="389"/>
      <c r="T740" s="389"/>
      <c r="U740" s="389"/>
    </row>
    <row r="741" spans="1:21" ht="35.1" customHeight="1" x14ac:dyDescent="0.25">
      <c r="A741" s="535">
        <v>740</v>
      </c>
      <c r="B741" s="95">
        <v>45491</v>
      </c>
      <c r="C741" s="432"/>
      <c r="D741" s="485"/>
      <c r="E741" s="433"/>
      <c r="F741" s="432"/>
      <c r="G741" s="432"/>
      <c r="H741" s="432"/>
      <c r="I741" s="432"/>
      <c r="J741" s="432"/>
      <c r="K741" s="432"/>
      <c r="L741" s="432"/>
      <c r="M741" s="432"/>
      <c r="N741" s="540"/>
      <c r="O741" s="485">
        <f t="shared" si="13"/>
        <v>0</v>
      </c>
      <c r="P741" s="387"/>
      <c r="Q741" s="389"/>
      <c r="R741" s="389"/>
      <c r="S741" s="389"/>
      <c r="T741" s="389"/>
      <c r="U741" s="389"/>
    </row>
    <row r="742" spans="1:21" ht="35.1" customHeight="1" x14ac:dyDescent="0.25">
      <c r="A742" s="535">
        <v>741</v>
      </c>
      <c r="B742" s="95">
        <v>45492</v>
      </c>
      <c r="C742" s="432"/>
      <c r="D742" s="485"/>
      <c r="E742" s="433"/>
      <c r="F742" s="432"/>
      <c r="G742" s="432"/>
      <c r="H742" s="432"/>
      <c r="I742" s="432"/>
      <c r="J742" s="432"/>
      <c r="K742" s="432"/>
      <c r="L742" s="432"/>
      <c r="M742" s="432"/>
      <c r="N742" s="540"/>
      <c r="O742" s="485">
        <f t="shared" si="13"/>
        <v>0</v>
      </c>
      <c r="P742" s="387"/>
      <c r="Q742" s="389"/>
      <c r="R742" s="389"/>
      <c r="S742" s="389"/>
      <c r="T742" s="389"/>
      <c r="U742" s="389"/>
    </row>
    <row r="743" spans="1:21" ht="35.1" customHeight="1" x14ac:dyDescent="0.25">
      <c r="A743" s="535">
        <v>742</v>
      </c>
      <c r="B743" s="95">
        <v>45493</v>
      </c>
      <c r="C743" s="432"/>
      <c r="D743" s="485"/>
      <c r="E743" s="433"/>
      <c r="F743" s="432"/>
      <c r="G743" s="432"/>
      <c r="H743" s="432"/>
      <c r="I743" s="432"/>
      <c r="J743" s="432"/>
      <c r="K743" s="432"/>
      <c r="L743" s="432"/>
      <c r="M743" s="432"/>
      <c r="N743" s="540"/>
      <c r="O743" s="485">
        <f t="shared" si="13"/>
        <v>0</v>
      </c>
      <c r="P743" s="387"/>
      <c r="Q743" s="389"/>
      <c r="R743" s="389"/>
      <c r="S743" s="389"/>
      <c r="T743" s="389"/>
      <c r="U743" s="389"/>
    </row>
    <row r="744" spans="1:21" ht="35.1" customHeight="1" x14ac:dyDescent="0.25">
      <c r="A744" s="535">
        <v>743</v>
      </c>
      <c r="B744" s="95">
        <v>45494</v>
      </c>
      <c r="C744" s="432"/>
      <c r="D744" s="485"/>
      <c r="E744" s="433"/>
      <c r="F744" s="432"/>
      <c r="G744" s="432"/>
      <c r="H744" s="432"/>
      <c r="I744" s="432"/>
      <c r="J744" s="432"/>
      <c r="K744" s="432"/>
      <c r="L744" s="432"/>
      <c r="M744" s="432"/>
      <c r="N744" s="540"/>
      <c r="O744" s="485">
        <f t="shared" si="13"/>
        <v>0</v>
      </c>
      <c r="P744" s="387"/>
      <c r="Q744" s="389"/>
      <c r="R744" s="389"/>
      <c r="S744" s="389"/>
      <c r="T744" s="389"/>
      <c r="U744" s="389"/>
    </row>
    <row r="745" spans="1:21" ht="35.1" customHeight="1" x14ac:dyDescent="0.25">
      <c r="A745" s="535">
        <v>744</v>
      </c>
      <c r="B745" s="95">
        <v>45495</v>
      </c>
      <c r="C745" s="432"/>
      <c r="D745" s="485"/>
      <c r="E745" s="433"/>
      <c r="F745" s="432"/>
      <c r="G745" s="432"/>
      <c r="H745" s="432"/>
      <c r="I745" s="432"/>
      <c r="J745" s="432"/>
      <c r="K745" s="432"/>
      <c r="L745" s="432"/>
      <c r="M745" s="432"/>
      <c r="N745" s="540"/>
      <c r="O745" s="485">
        <f t="shared" si="13"/>
        <v>0</v>
      </c>
      <c r="P745" s="387"/>
      <c r="Q745" s="389"/>
      <c r="R745" s="389"/>
      <c r="S745" s="389"/>
      <c r="T745" s="389"/>
      <c r="U745" s="389"/>
    </row>
    <row r="746" spans="1:21" ht="35.1" customHeight="1" x14ac:dyDescent="0.25">
      <c r="A746" s="535">
        <v>745</v>
      </c>
      <c r="B746" s="95">
        <v>45496</v>
      </c>
      <c r="C746" s="432"/>
      <c r="D746" s="485"/>
      <c r="E746" s="433"/>
      <c r="F746" s="432"/>
      <c r="G746" s="432"/>
      <c r="H746" s="432"/>
      <c r="I746" s="432"/>
      <c r="J746" s="432"/>
      <c r="K746" s="432"/>
      <c r="L746" s="432"/>
      <c r="M746" s="432"/>
      <c r="N746" s="540"/>
      <c r="O746" s="485">
        <f t="shared" si="13"/>
        <v>0</v>
      </c>
      <c r="P746" s="387"/>
      <c r="Q746" s="389"/>
      <c r="R746" s="389"/>
      <c r="S746" s="389"/>
      <c r="T746" s="389"/>
      <c r="U746" s="389"/>
    </row>
    <row r="747" spans="1:21" ht="35.1" customHeight="1" x14ac:dyDescent="0.25">
      <c r="A747" s="535">
        <v>746</v>
      </c>
      <c r="B747" s="95">
        <v>45497</v>
      </c>
      <c r="C747" s="432"/>
      <c r="D747" s="485"/>
      <c r="E747" s="433"/>
      <c r="F747" s="432"/>
      <c r="G747" s="432"/>
      <c r="H747" s="432"/>
      <c r="I747" s="432"/>
      <c r="J747" s="432"/>
      <c r="K747" s="432"/>
      <c r="L747" s="432"/>
      <c r="M747" s="432"/>
      <c r="N747" s="540"/>
      <c r="O747" s="485">
        <f t="shared" si="13"/>
        <v>0</v>
      </c>
      <c r="P747" s="387"/>
      <c r="Q747" s="389"/>
      <c r="R747" s="389"/>
      <c r="S747" s="389"/>
      <c r="T747" s="389"/>
      <c r="U747" s="389"/>
    </row>
    <row r="748" spans="1:21" ht="35.1" customHeight="1" x14ac:dyDescent="0.25">
      <c r="A748" s="535">
        <v>747</v>
      </c>
      <c r="B748" s="95">
        <v>45498</v>
      </c>
      <c r="C748" s="432"/>
      <c r="D748" s="485"/>
      <c r="E748" s="433"/>
      <c r="F748" s="432"/>
      <c r="G748" s="432"/>
      <c r="H748" s="432"/>
      <c r="I748" s="432"/>
      <c r="J748" s="432"/>
      <c r="K748" s="432"/>
      <c r="L748" s="432"/>
      <c r="M748" s="432"/>
      <c r="N748" s="540"/>
      <c r="O748" s="485">
        <f t="shared" si="13"/>
        <v>0</v>
      </c>
      <c r="P748" s="387"/>
      <c r="Q748" s="389"/>
      <c r="R748" s="389"/>
      <c r="S748" s="389"/>
      <c r="T748" s="389"/>
      <c r="U748" s="389"/>
    </row>
    <row r="749" spans="1:21" ht="35.1" customHeight="1" x14ac:dyDescent="0.25">
      <c r="A749" s="535">
        <v>748</v>
      </c>
      <c r="B749" s="95">
        <v>45499</v>
      </c>
      <c r="C749" s="432"/>
      <c r="D749" s="485"/>
      <c r="E749" s="433"/>
      <c r="F749" s="432"/>
      <c r="G749" s="432"/>
      <c r="H749" s="432"/>
      <c r="I749" s="432"/>
      <c r="J749" s="432"/>
      <c r="K749" s="432"/>
      <c r="L749" s="432"/>
      <c r="M749" s="432"/>
      <c r="N749" s="540"/>
      <c r="O749" s="485">
        <f t="shared" si="13"/>
        <v>0</v>
      </c>
      <c r="P749" s="387"/>
      <c r="Q749" s="389"/>
      <c r="R749" s="389"/>
      <c r="S749" s="389"/>
      <c r="T749" s="389"/>
      <c r="U749" s="389"/>
    </row>
    <row r="750" spans="1:21" ht="35.1" customHeight="1" x14ac:dyDescent="0.25">
      <c r="A750" s="535">
        <v>749</v>
      </c>
      <c r="B750" s="95">
        <v>45500</v>
      </c>
      <c r="C750" s="432"/>
      <c r="D750" s="485"/>
      <c r="E750" s="433"/>
      <c r="F750" s="432"/>
      <c r="G750" s="432"/>
      <c r="H750" s="432"/>
      <c r="I750" s="432"/>
      <c r="J750" s="432"/>
      <c r="K750" s="432"/>
      <c r="L750" s="432"/>
      <c r="M750" s="432"/>
      <c r="N750" s="540"/>
      <c r="O750" s="485">
        <f t="shared" si="13"/>
        <v>0</v>
      </c>
      <c r="P750" s="387"/>
      <c r="Q750" s="389"/>
      <c r="R750" s="389"/>
      <c r="S750" s="389"/>
      <c r="T750" s="389"/>
      <c r="U750" s="389"/>
    </row>
    <row r="751" spans="1:21" ht="35.1" customHeight="1" x14ac:dyDescent="0.25">
      <c r="A751" s="535">
        <v>750</v>
      </c>
      <c r="B751" s="95">
        <v>45501</v>
      </c>
      <c r="C751" s="432"/>
      <c r="D751" s="485"/>
      <c r="E751" s="433"/>
      <c r="F751" s="432"/>
      <c r="G751" s="432"/>
      <c r="H751" s="432"/>
      <c r="I751" s="432"/>
      <c r="J751" s="432"/>
      <c r="K751" s="432"/>
      <c r="L751" s="432"/>
      <c r="M751" s="432"/>
      <c r="N751" s="540"/>
      <c r="O751" s="485">
        <f t="shared" si="13"/>
        <v>0</v>
      </c>
      <c r="P751" s="387"/>
      <c r="Q751" s="389"/>
      <c r="R751" s="389"/>
      <c r="S751" s="389"/>
      <c r="T751" s="389"/>
      <c r="U751" s="389"/>
    </row>
    <row r="752" spans="1:21" ht="35.1" customHeight="1" x14ac:dyDescent="0.25">
      <c r="A752" s="535">
        <v>751</v>
      </c>
      <c r="B752" s="95">
        <v>45502</v>
      </c>
      <c r="C752" s="432"/>
      <c r="D752" s="485"/>
      <c r="E752" s="433"/>
      <c r="F752" s="432"/>
      <c r="G752" s="432"/>
      <c r="H752" s="432"/>
      <c r="I752" s="432"/>
      <c r="J752" s="432"/>
      <c r="K752" s="432"/>
      <c r="L752" s="432"/>
      <c r="M752" s="432"/>
      <c r="N752" s="540"/>
      <c r="O752" s="485">
        <f t="shared" si="13"/>
        <v>0</v>
      </c>
      <c r="P752" s="387"/>
      <c r="Q752" s="389"/>
      <c r="R752" s="389"/>
      <c r="S752" s="389"/>
      <c r="T752" s="389"/>
      <c r="U752" s="389"/>
    </row>
    <row r="753" spans="1:21" ht="35.1" customHeight="1" x14ac:dyDescent="0.25">
      <c r="A753" s="535">
        <v>752</v>
      </c>
      <c r="B753" s="95">
        <v>45503</v>
      </c>
      <c r="C753" s="432"/>
      <c r="D753" s="485"/>
      <c r="E753" s="433"/>
      <c r="F753" s="432"/>
      <c r="G753" s="432"/>
      <c r="H753" s="432"/>
      <c r="I753" s="432"/>
      <c r="J753" s="432"/>
      <c r="K753" s="432"/>
      <c r="L753" s="432"/>
      <c r="M753" s="432"/>
      <c r="N753" s="540"/>
      <c r="O753" s="485">
        <f t="shared" si="13"/>
        <v>0</v>
      </c>
      <c r="P753" s="387"/>
      <c r="Q753" s="389"/>
      <c r="R753" s="389"/>
      <c r="S753" s="389"/>
      <c r="T753" s="389"/>
      <c r="U753" s="389"/>
    </row>
    <row r="754" spans="1:21" ht="35.1" customHeight="1" x14ac:dyDescent="0.25">
      <c r="A754" s="535">
        <v>753</v>
      </c>
      <c r="B754" s="95">
        <v>45504</v>
      </c>
      <c r="C754" s="432"/>
      <c r="D754" s="485"/>
      <c r="E754" s="433"/>
      <c r="F754" s="432"/>
      <c r="G754" s="432"/>
      <c r="H754" s="432"/>
      <c r="I754" s="432"/>
      <c r="J754" s="432"/>
      <c r="K754" s="432"/>
      <c r="L754" s="432"/>
      <c r="M754" s="432"/>
      <c r="N754" s="540"/>
      <c r="O754" s="485">
        <f t="shared" si="13"/>
        <v>0</v>
      </c>
      <c r="P754" s="387"/>
      <c r="Q754" s="389"/>
      <c r="R754" s="389"/>
      <c r="S754" s="389"/>
      <c r="T754" s="389"/>
      <c r="U754" s="389"/>
    </row>
    <row r="755" spans="1:21" ht="35.1" customHeight="1" x14ac:dyDescent="0.25">
      <c r="A755" s="535">
        <v>754</v>
      </c>
      <c r="B755" s="95">
        <v>45505</v>
      </c>
      <c r="C755" s="432"/>
      <c r="D755" s="485"/>
      <c r="E755" s="433"/>
      <c r="F755" s="432"/>
      <c r="G755" s="432"/>
      <c r="H755" s="432"/>
      <c r="I755" s="432"/>
      <c r="J755" s="432"/>
      <c r="K755" s="432"/>
      <c r="L755" s="432"/>
      <c r="M755" s="432"/>
      <c r="N755" s="540"/>
      <c r="O755" s="485">
        <f t="shared" si="13"/>
        <v>0</v>
      </c>
      <c r="P755" s="387"/>
      <c r="Q755" s="389"/>
      <c r="R755" s="389"/>
      <c r="S755" s="389"/>
      <c r="T755" s="389"/>
      <c r="U755" s="389"/>
    </row>
    <row r="756" spans="1:21" ht="35.1" customHeight="1" x14ac:dyDescent="0.25">
      <c r="A756" s="535">
        <v>755</v>
      </c>
      <c r="B756" s="95">
        <v>45506</v>
      </c>
      <c r="C756" s="432"/>
      <c r="D756" s="485"/>
      <c r="E756" s="433"/>
      <c r="F756" s="432"/>
      <c r="G756" s="432"/>
      <c r="H756" s="432"/>
      <c r="I756" s="432"/>
      <c r="J756" s="432"/>
      <c r="K756" s="432"/>
      <c r="L756" s="432"/>
      <c r="M756" s="432"/>
      <c r="N756" s="540"/>
      <c r="O756" s="485">
        <f t="shared" si="13"/>
        <v>0</v>
      </c>
      <c r="P756" s="387"/>
      <c r="Q756" s="389"/>
      <c r="R756" s="389"/>
      <c r="S756" s="389"/>
      <c r="T756" s="389"/>
      <c r="U756" s="389"/>
    </row>
    <row r="757" spans="1:21" ht="35.1" customHeight="1" x14ac:dyDescent="0.25">
      <c r="A757" s="535">
        <v>756</v>
      </c>
      <c r="B757" s="95">
        <v>45507</v>
      </c>
      <c r="C757" s="432"/>
      <c r="D757" s="485"/>
      <c r="E757" s="433"/>
      <c r="F757" s="432"/>
      <c r="G757" s="432"/>
      <c r="H757" s="432"/>
      <c r="I757" s="432"/>
      <c r="J757" s="432"/>
      <c r="K757" s="432"/>
      <c r="L757" s="432"/>
      <c r="M757" s="432"/>
      <c r="N757" s="540"/>
      <c r="O757" s="485">
        <f t="shared" si="13"/>
        <v>0</v>
      </c>
      <c r="P757" s="387"/>
      <c r="Q757" s="389"/>
      <c r="R757" s="389"/>
      <c r="S757" s="389"/>
      <c r="T757" s="389"/>
      <c r="U757" s="389"/>
    </row>
    <row r="758" spans="1:21" ht="35.1" customHeight="1" x14ac:dyDescent="0.25">
      <c r="A758" s="535">
        <v>757</v>
      </c>
      <c r="B758" s="95">
        <v>45508</v>
      </c>
      <c r="C758" s="432"/>
      <c r="D758" s="485"/>
      <c r="E758" s="433"/>
      <c r="F758" s="432"/>
      <c r="G758" s="432"/>
      <c r="H758" s="432"/>
      <c r="I758" s="432"/>
      <c r="J758" s="432"/>
      <c r="K758" s="432"/>
      <c r="L758" s="432"/>
      <c r="M758" s="432"/>
      <c r="N758" s="540"/>
      <c r="O758" s="485">
        <f t="shared" si="13"/>
        <v>0</v>
      </c>
      <c r="P758" s="387"/>
      <c r="Q758" s="389"/>
      <c r="R758" s="389"/>
      <c r="S758" s="389"/>
      <c r="T758" s="389"/>
      <c r="U758" s="389"/>
    </row>
    <row r="759" spans="1:21" ht="35.1" customHeight="1" x14ac:dyDescent="0.25">
      <c r="A759" s="535">
        <v>758</v>
      </c>
      <c r="B759" s="95">
        <v>45509</v>
      </c>
      <c r="C759" s="432"/>
      <c r="D759" s="485"/>
      <c r="E759" s="433"/>
      <c r="F759" s="432"/>
      <c r="G759" s="432"/>
      <c r="H759" s="432"/>
      <c r="I759" s="432"/>
      <c r="J759" s="432"/>
      <c r="K759" s="432"/>
      <c r="L759" s="432"/>
      <c r="M759" s="432"/>
      <c r="N759" s="540"/>
      <c r="O759" s="485">
        <f t="shared" si="13"/>
        <v>0</v>
      </c>
      <c r="P759" s="387"/>
      <c r="Q759" s="389"/>
      <c r="R759" s="389"/>
      <c r="S759" s="389"/>
      <c r="T759" s="389"/>
      <c r="U759" s="389"/>
    </row>
    <row r="760" spans="1:21" ht="35.1" customHeight="1" x14ac:dyDescent="0.25">
      <c r="A760" s="535">
        <v>759</v>
      </c>
      <c r="B760" s="95">
        <v>45510</v>
      </c>
      <c r="C760" s="432"/>
      <c r="D760" s="485"/>
      <c r="E760" s="433"/>
      <c r="F760" s="432"/>
      <c r="G760" s="432"/>
      <c r="H760" s="432"/>
      <c r="I760" s="432"/>
      <c r="J760" s="432"/>
      <c r="K760" s="432"/>
      <c r="L760" s="432"/>
      <c r="M760" s="432"/>
      <c r="N760" s="540"/>
      <c r="O760" s="485">
        <f t="shared" si="13"/>
        <v>0</v>
      </c>
      <c r="P760" s="387"/>
      <c r="Q760" s="389"/>
      <c r="R760" s="389"/>
      <c r="S760" s="389"/>
      <c r="T760" s="389"/>
      <c r="U760" s="389"/>
    </row>
    <row r="761" spans="1:21" ht="35.1" customHeight="1" x14ac:dyDescent="0.25">
      <c r="A761" s="535">
        <v>760</v>
      </c>
      <c r="B761" s="95">
        <v>45511</v>
      </c>
      <c r="C761" s="432"/>
      <c r="D761" s="485"/>
      <c r="E761" s="433"/>
      <c r="F761" s="432"/>
      <c r="G761" s="432"/>
      <c r="H761" s="432"/>
      <c r="I761" s="432"/>
      <c r="J761" s="432"/>
      <c r="K761" s="432"/>
      <c r="L761" s="432"/>
      <c r="M761" s="432"/>
      <c r="N761" s="540"/>
      <c r="O761" s="485">
        <f t="shared" ref="O761:O824" si="14">SUM(G761:N761)+F761+D761</f>
        <v>0</v>
      </c>
      <c r="P761" s="387"/>
      <c r="Q761" s="389"/>
      <c r="R761" s="389"/>
      <c r="S761" s="389"/>
      <c r="T761" s="389"/>
      <c r="U761" s="389"/>
    </row>
    <row r="762" spans="1:21" ht="35.1" customHeight="1" x14ac:dyDescent="0.25">
      <c r="A762" s="535">
        <v>761</v>
      </c>
      <c r="B762" s="95">
        <v>45512</v>
      </c>
      <c r="C762" s="432"/>
      <c r="D762" s="485"/>
      <c r="E762" s="433"/>
      <c r="F762" s="432"/>
      <c r="G762" s="432"/>
      <c r="H762" s="432"/>
      <c r="I762" s="432"/>
      <c r="J762" s="432"/>
      <c r="K762" s="432"/>
      <c r="L762" s="432"/>
      <c r="M762" s="432"/>
      <c r="N762" s="540"/>
      <c r="O762" s="485">
        <f t="shared" si="14"/>
        <v>0</v>
      </c>
      <c r="P762" s="387"/>
      <c r="Q762" s="389"/>
      <c r="R762" s="389"/>
      <c r="S762" s="389"/>
      <c r="T762" s="389"/>
      <c r="U762" s="389"/>
    </row>
    <row r="763" spans="1:21" ht="35.1" customHeight="1" x14ac:dyDescent="0.25">
      <c r="A763" s="535">
        <v>762</v>
      </c>
      <c r="B763" s="95">
        <v>45513</v>
      </c>
      <c r="C763" s="432"/>
      <c r="D763" s="485"/>
      <c r="E763" s="433"/>
      <c r="F763" s="432"/>
      <c r="G763" s="432"/>
      <c r="H763" s="432"/>
      <c r="I763" s="432"/>
      <c r="J763" s="432"/>
      <c r="K763" s="432"/>
      <c r="L763" s="432"/>
      <c r="M763" s="432"/>
      <c r="N763" s="540"/>
      <c r="O763" s="485">
        <f t="shared" si="14"/>
        <v>0</v>
      </c>
      <c r="P763" s="387"/>
      <c r="Q763" s="389"/>
      <c r="R763" s="389"/>
      <c r="S763" s="389"/>
      <c r="T763" s="389"/>
      <c r="U763" s="389"/>
    </row>
    <row r="764" spans="1:21" ht="35.1" customHeight="1" x14ac:dyDescent="0.25">
      <c r="A764" s="535">
        <v>763</v>
      </c>
      <c r="B764" s="95">
        <v>45514</v>
      </c>
      <c r="C764" s="432"/>
      <c r="D764" s="485"/>
      <c r="E764" s="433"/>
      <c r="F764" s="432"/>
      <c r="G764" s="432"/>
      <c r="H764" s="432"/>
      <c r="I764" s="432"/>
      <c r="J764" s="432"/>
      <c r="K764" s="432"/>
      <c r="L764" s="432"/>
      <c r="M764" s="432"/>
      <c r="N764" s="540"/>
      <c r="O764" s="485">
        <f t="shared" si="14"/>
        <v>0</v>
      </c>
      <c r="P764" s="387"/>
      <c r="Q764" s="389"/>
      <c r="R764" s="389"/>
      <c r="S764" s="389"/>
      <c r="T764" s="389"/>
      <c r="U764" s="389"/>
    </row>
    <row r="765" spans="1:21" ht="35.1" customHeight="1" x14ac:dyDescent="0.25">
      <c r="A765" s="535">
        <v>764</v>
      </c>
      <c r="B765" s="95">
        <v>45515</v>
      </c>
      <c r="C765" s="432"/>
      <c r="D765" s="485"/>
      <c r="E765" s="433"/>
      <c r="F765" s="432"/>
      <c r="G765" s="432"/>
      <c r="H765" s="432"/>
      <c r="I765" s="432"/>
      <c r="J765" s="432"/>
      <c r="K765" s="432"/>
      <c r="L765" s="432"/>
      <c r="M765" s="432"/>
      <c r="N765" s="540"/>
      <c r="O765" s="485">
        <f t="shared" si="14"/>
        <v>0</v>
      </c>
      <c r="P765" s="387"/>
      <c r="Q765" s="389"/>
      <c r="R765" s="389"/>
      <c r="S765" s="389"/>
      <c r="T765" s="389"/>
      <c r="U765" s="389"/>
    </row>
    <row r="766" spans="1:21" ht="35.1" customHeight="1" x14ac:dyDescent="0.25">
      <c r="A766" s="535">
        <v>765</v>
      </c>
      <c r="B766" s="95">
        <v>45516</v>
      </c>
      <c r="C766" s="432"/>
      <c r="D766" s="485"/>
      <c r="E766" s="433"/>
      <c r="F766" s="432"/>
      <c r="G766" s="432"/>
      <c r="H766" s="432"/>
      <c r="I766" s="432"/>
      <c r="J766" s="432"/>
      <c r="K766" s="432"/>
      <c r="L766" s="432"/>
      <c r="M766" s="432"/>
      <c r="N766" s="540"/>
      <c r="O766" s="485">
        <f t="shared" si="14"/>
        <v>0</v>
      </c>
      <c r="P766" s="387"/>
      <c r="Q766" s="389"/>
      <c r="R766" s="389"/>
      <c r="S766" s="389"/>
      <c r="T766" s="389"/>
      <c r="U766" s="389"/>
    </row>
    <row r="767" spans="1:21" ht="35.1" customHeight="1" x14ac:dyDescent="0.25">
      <c r="A767" s="535">
        <v>766</v>
      </c>
      <c r="B767" s="95">
        <v>45517</v>
      </c>
      <c r="C767" s="432"/>
      <c r="D767" s="485"/>
      <c r="E767" s="433"/>
      <c r="F767" s="432"/>
      <c r="G767" s="432"/>
      <c r="H767" s="432"/>
      <c r="I767" s="432"/>
      <c r="J767" s="432"/>
      <c r="K767" s="432"/>
      <c r="L767" s="432"/>
      <c r="M767" s="432"/>
      <c r="N767" s="540"/>
      <c r="O767" s="485">
        <f t="shared" si="14"/>
        <v>0</v>
      </c>
      <c r="P767" s="387"/>
      <c r="Q767" s="389"/>
      <c r="R767" s="389"/>
      <c r="S767" s="389"/>
      <c r="T767" s="389"/>
      <c r="U767" s="389"/>
    </row>
    <row r="768" spans="1:21" ht="35.1" customHeight="1" x14ac:dyDescent="0.25">
      <c r="A768" s="535">
        <v>767</v>
      </c>
      <c r="B768" s="95">
        <v>45518</v>
      </c>
      <c r="C768" s="432"/>
      <c r="D768" s="485"/>
      <c r="E768" s="433"/>
      <c r="F768" s="432"/>
      <c r="G768" s="432"/>
      <c r="H768" s="432"/>
      <c r="I768" s="432"/>
      <c r="J768" s="432"/>
      <c r="K768" s="432"/>
      <c r="L768" s="432"/>
      <c r="M768" s="432"/>
      <c r="N768" s="540"/>
      <c r="O768" s="485">
        <f t="shared" si="14"/>
        <v>0</v>
      </c>
      <c r="P768" s="387"/>
      <c r="Q768" s="389"/>
      <c r="R768" s="389"/>
      <c r="S768" s="389"/>
      <c r="T768" s="389"/>
      <c r="U768" s="389"/>
    </row>
    <row r="769" spans="1:21" ht="35.1" customHeight="1" x14ac:dyDescent="0.25">
      <c r="A769" s="535">
        <v>768</v>
      </c>
      <c r="B769" s="95">
        <v>45519</v>
      </c>
      <c r="C769" s="432"/>
      <c r="D769" s="485"/>
      <c r="E769" s="433"/>
      <c r="F769" s="432"/>
      <c r="G769" s="432"/>
      <c r="H769" s="432"/>
      <c r="I769" s="432"/>
      <c r="J769" s="432"/>
      <c r="K769" s="432"/>
      <c r="L769" s="432"/>
      <c r="M769" s="432"/>
      <c r="N769" s="540"/>
      <c r="O769" s="485">
        <f t="shared" si="14"/>
        <v>0</v>
      </c>
      <c r="P769" s="387"/>
      <c r="Q769" s="389"/>
      <c r="R769" s="389"/>
      <c r="S769" s="389"/>
      <c r="T769" s="389"/>
      <c r="U769" s="389"/>
    </row>
    <row r="770" spans="1:21" ht="35.1" customHeight="1" x14ac:dyDescent="0.25">
      <c r="A770" s="535">
        <v>769</v>
      </c>
      <c r="B770" s="95">
        <v>45520</v>
      </c>
      <c r="C770" s="432"/>
      <c r="D770" s="485"/>
      <c r="E770" s="433"/>
      <c r="F770" s="432"/>
      <c r="G770" s="432"/>
      <c r="H770" s="432"/>
      <c r="I770" s="432"/>
      <c r="J770" s="432"/>
      <c r="K770" s="432"/>
      <c r="L770" s="432"/>
      <c r="M770" s="432"/>
      <c r="N770" s="540"/>
      <c r="O770" s="485">
        <f t="shared" si="14"/>
        <v>0</v>
      </c>
      <c r="P770" s="387"/>
      <c r="Q770" s="389"/>
      <c r="R770" s="389"/>
      <c r="S770" s="389"/>
      <c r="T770" s="389"/>
      <c r="U770" s="389"/>
    </row>
    <row r="771" spans="1:21" ht="35.1" customHeight="1" x14ac:dyDescent="0.25">
      <c r="A771" s="535">
        <v>770</v>
      </c>
      <c r="B771" s="95">
        <v>45521</v>
      </c>
      <c r="C771" s="432"/>
      <c r="D771" s="485"/>
      <c r="E771" s="433"/>
      <c r="F771" s="432"/>
      <c r="G771" s="432"/>
      <c r="H771" s="432"/>
      <c r="I771" s="432"/>
      <c r="J771" s="432"/>
      <c r="K771" s="432"/>
      <c r="L771" s="432"/>
      <c r="M771" s="432"/>
      <c r="N771" s="540"/>
      <c r="O771" s="485">
        <f t="shared" si="14"/>
        <v>0</v>
      </c>
      <c r="P771" s="387"/>
      <c r="Q771" s="389"/>
      <c r="R771" s="389"/>
      <c r="S771" s="389"/>
      <c r="T771" s="389"/>
      <c r="U771" s="389"/>
    </row>
    <row r="772" spans="1:21" ht="35.1" customHeight="1" x14ac:dyDescent="0.25">
      <c r="A772" s="535">
        <v>771</v>
      </c>
      <c r="B772" s="95">
        <v>45522</v>
      </c>
      <c r="C772" s="432"/>
      <c r="D772" s="485"/>
      <c r="E772" s="433"/>
      <c r="F772" s="432"/>
      <c r="G772" s="432"/>
      <c r="H772" s="432"/>
      <c r="I772" s="432"/>
      <c r="J772" s="432"/>
      <c r="K772" s="432"/>
      <c r="L772" s="432"/>
      <c r="M772" s="432"/>
      <c r="N772" s="540"/>
      <c r="O772" s="485">
        <f t="shared" si="14"/>
        <v>0</v>
      </c>
      <c r="P772" s="387"/>
      <c r="Q772" s="389"/>
      <c r="R772" s="389"/>
      <c r="S772" s="389"/>
      <c r="T772" s="389"/>
      <c r="U772" s="389"/>
    </row>
    <row r="773" spans="1:21" ht="35.1" customHeight="1" x14ac:dyDescent="0.25">
      <c r="A773" s="535">
        <v>772</v>
      </c>
      <c r="B773" s="95">
        <v>45523</v>
      </c>
      <c r="C773" s="432"/>
      <c r="D773" s="485"/>
      <c r="E773" s="433"/>
      <c r="F773" s="432"/>
      <c r="G773" s="432"/>
      <c r="H773" s="432"/>
      <c r="I773" s="432"/>
      <c r="J773" s="432"/>
      <c r="K773" s="432"/>
      <c r="L773" s="432"/>
      <c r="M773" s="432"/>
      <c r="N773" s="540"/>
      <c r="O773" s="485">
        <f t="shared" si="14"/>
        <v>0</v>
      </c>
      <c r="P773" s="387"/>
      <c r="Q773" s="389"/>
      <c r="R773" s="389"/>
      <c r="S773" s="389"/>
      <c r="T773" s="389"/>
      <c r="U773" s="389"/>
    </row>
    <row r="774" spans="1:21" ht="35.1" customHeight="1" x14ac:dyDescent="0.25">
      <c r="A774" s="535">
        <v>773</v>
      </c>
      <c r="B774" s="95">
        <v>45524</v>
      </c>
      <c r="C774" s="432"/>
      <c r="D774" s="485"/>
      <c r="E774" s="433"/>
      <c r="F774" s="432"/>
      <c r="G774" s="432"/>
      <c r="H774" s="432"/>
      <c r="I774" s="432"/>
      <c r="J774" s="432"/>
      <c r="K774" s="432"/>
      <c r="L774" s="432"/>
      <c r="M774" s="432"/>
      <c r="N774" s="540"/>
      <c r="O774" s="485">
        <f t="shared" si="14"/>
        <v>0</v>
      </c>
      <c r="P774" s="387"/>
      <c r="Q774" s="389"/>
      <c r="R774" s="389"/>
      <c r="S774" s="389"/>
      <c r="T774" s="389"/>
      <c r="U774" s="389"/>
    </row>
    <row r="775" spans="1:21" ht="35.1" customHeight="1" x14ac:dyDescent="0.25">
      <c r="A775" s="535">
        <v>774</v>
      </c>
      <c r="B775" s="95">
        <v>45525</v>
      </c>
      <c r="C775" s="432"/>
      <c r="D775" s="485"/>
      <c r="E775" s="433"/>
      <c r="F775" s="432"/>
      <c r="G775" s="432"/>
      <c r="H775" s="432"/>
      <c r="I775" s="432"/>
      <c r="J775" s="432"/>
      <c r="K775" s="432"/>
      <c r="L775" s="432"/>
      <c r="M775" s="432"/>
      <c r="N775" s="540"/>
      <c r="O775" s="485">
        <f t="shared" si="14"/>
        <v>0</v>
      </c>
      <c r="P775" s="387"/>
      <c r="Q775" s="389"/>
      <c r="R775" s="389"/>
      <c r="S775" s="389"/>
      <c r="T775" s="389"/>
      <c r="U775" s="389"/>
    </row>
    <row r="776" spans="1:21" ht="35.1" customHeight="1" x14ac:dyDescent="0.25">
      <c r="A776" s="535">
        <v>775</v>
      </c>
      <c r="B776" s="95">
        <v>45526</v>
      </c>
      <c r="C776" s="432"/>
      <c r="D776" s="485"/>
      <c r="E776" s="433"/>
      <c r="F776" s="432"/>
      <c r="G776" s="432"/>
      <c r="H776" s="432"/>
      <c r="I776" s="432"/>
      <c r="J776" s="432"/>
      <c r="K776" s="432"/>
      <c r="L776" s="432"/>
      <c r="M776" s="432"/>
      <c r="N776" s="540"/>
      <c r="O776" s="485">
        <f t="shared" si="14"/>
        <v>0</v>
      </c>
      <c r="P776" s="387"/>
      <c r="Q776" s="389"/>
      <c r="R776" s="389"/>
      <c r="S776" s="389"/>
      <c r="T776" s="389"/>
      <c r="U776" s="389"/>
    </row>
    <row r="777" spans="1:21" ht="35.1" customHeight="1" x14ac:dyDescent="0.25">
      <c r="A777" s="535">
        <v>776</v>
      </c>
      <c r="B777" s="95">
        <v>45527</v>
      </c>
      <c r="C777" s="432"/>
      <c r="D777" s="485"/>
      <c r="E777" s="433"/>
      <c r="F777" s="432"/>
      <c r="G777" s="432"/>
      <c r="H777" s="432"/>
      <c r="I777" s="432"/>
      <c r="J777" s="432"/>
      <c r="K777" s="432"/>
      <c r="L777" s="432"/>
      <c r="M777" s="432"/>
      <c r="N777" s="540"/>
      <c r="O777" s="485">
        <f t="shared" si="14"/>
        <v>0</v>
      </c>
      <c r="P777" s="387"/>
      <c r="Q777" s="389"/>
      <c r="R777" s="389"/>
      <c r="S777" s="389"/>
      <c r="T777" s="389"/>
      <c r="U777" s="389"/>
    </row>
    <row r="778" spans="1:21" ht="35.1" customHeight="1" x14ac:dyDescent="0.25">
      <c r="A778" s="535">
        <v>777</v>
      </c>
      <c r="B778" s="95">
        <v>45528</v>
      </c>
      <c r="C778" s="432"/>
      <c r="D778" s="485"/>
      <c r="E778" s="433"/>
      <c r="F778" s="432"/>
      <c r="G778" s="432"/>
      <c r="H778" s="432"/>
      <c r="I778" s="432"/>
      <c r="J778" s="432"/>
      <c r="K778" s="432"/>
      <c r="L778" s="432"/>
      <c r="M778" s="432"/>
      <c r="N778" s="540"/>
      <c r="O778" s="485">
        <f t="shared" si="14"/>
        <v>0</v>
      </c>
      <c r="P778" s="387"/>
      <c r="Q778" s="389"/>
      <c r="R778" s="389"/>
      <c r="S778" s="389"/>
      <c r="T778" s="389"/>
      <c r="U778" s="389"/>
    </row>
    <row r="779" spans="1:21" ht="35.1" customHeight="1" x14ac:dyDescent="0.25">
      <c r="A779" s="535">
        <v>778</v>
      </c>
      <c r="B779" s="95">
        <v>45529</v>
      </c>
      <c r="C779" s="432"/>
      <c r="D779" s="485"/>
      <c r="E779" s="433"/>
      <c r="F779" s="432"/>
      <c r="G779" s="432"/>
      <c r="H779" s="432"/>
      <c r="I779" s="432"/>
      <c r="J779" s="432"/>
      <c r="K779" s="432"/>
      <c r="L779" s="432"/>
      <c r="M779" s="432"/>
      <c r="N779" s="540"/>
      <c r="O779" s="485">
        <f t="shared" si="14"/>
        <v>0</v>
      </c>
      <c r="P779" s="387"/>
      <c r="Q779" s="389"/>
      <c r="R779" s="389"/>
      <c r="S779" s="389"/>
      <c r="T779" s="389"/>
      <c r="U779" s="389"/>
    </row>
    <row r="780" spans="1:21" ht="35.1" customHeight="1" x14ac:dyDescent="0.25">
      <c r="A780" s="535">
        <v>779</v>
      </c>
      <c r="B780" s="95">
        <v>45530</v>
      </c>
      <c r="C780" s="432"/>
      <c r="D780" s="485"/>
      <c r="E780" s="433"/>
      <c r="F780" s="432"/>
      <c r="G780" s="432"/>
      <c r="H780" s="432"/>
      <c r="I780" s="432"/>
      <c r="J780" s="432"/>
      <c r="K780" s="432"/>
      <c r="L780" s="432"/>
      <c r="M780" s="432"/>
      <c r="N780" s="540"/>
      <c r="O780" s="485">
        <f t="shared" si="14"/>
        <v>0</v>
      </c>
      <c r="P780" s="387"/>
      <c r="Q780" s="389"/>
      <c r="R780" s="389"/>
      <c r="S780" s="389"/>
      <c r="T780" s="389"/>
      <c r="U780" s="389"/>
    </row>
    <row r="781" spans="1:21" ht="35.1" customHeight="1" x14ac:dyDescent="0.25">
      <c r="A781" s="535">
        <v>780</v>
      </c>
      <c r="B781" s="95">
        <v>45531</v>
      </c>
      <c r="C781" s="432"/>
      <c r="D781" s="485"/>
      <c r="E781" s="433"/>
      <c r="F781" s="432"/>
      <c r="G781" s="432"/>
      <c r="H781" s="432"/>
      <c r="I781" s="432"/>
      <c r="J781" s="432"/>
      <c r="K781" s="432"/>
      <c r="L781" s="432"/>
      <c r="M781" s="432"/>
      <c r="N781" s="540"/>
      <c r="O781" s="485">
        <f t="shared" si="14"/>
        <v>0</v>
      </c>
      <c r="P781" s="387"/>
      <c r="Q781" s="389"/>
      <c r="R781" s="389"/>
      <c r="S781" s="389"/>
      <c r="T781" s="389"/>
      <c r="U781" s="389"/>
    </row>
    <row r="782" spans="1:21" ht="35.1" customHeight="1" x14ac:dyDescent="0.25">
      <c r="A782" s="535">
        <v>781</v>
      </c>
      <c r="B782" s="95">
        <v>45532</v>
      </c>
      <c r="C782" s="432"/>
      <c r="D782" s="485"/>
      <c r="E782" s="433"/>
      <c r="F782" s="432"/>
      <c r="G782" s="432"/>
      <c r="H782" s="432"/>
      <c r="I782" s="432"/>
      <c r="J782" s="432"/>
      <c r="K782" s="432"/>
      <c r="L782" s="432"/>
      <c r="M782" s="432"/>
      <c r="N782" s="540"/>
      <c r="O782" s="485">
        <f t="shared" si="14"/>
        <v>0</v>
      </c>
      <c r="P782" s="387"/>
      <c r="Q782" s="389"/>
      <c r="R782" s="389"/>
      <c r="S782" s="389"/>
      <c r="T782" s="389"/>
      <c r="U782" s="389"/>
    </row>
    <row r="783" spans="1:21" ht="35.1" customHeight="1" x14ac:dyDescent="0.25">
      <c r="A783" s="535">
        <v>782</v>
      </c>
      <c r="B783" s="95">
        <v>45533</v>
      </c>
      <c r="C783" s="432"/>
      <c r="D783" s="485"/>
      <c r="E783" s="433"/>
      <c r="F783" s="432"/>
      <c r="G783" s="432"/>
      <c r="H783" s="432"/>
      <c r="I783" s="432"/>
      <c r="J783" s="432"/>
      <c r="K783" s="432"/>
      <c r="L783" s="432"/>
      <c r="M783" s="432"/>
      <c r="N783" s="540"/>
      <c r="O783" s="485">
        <f t="shared" si="14"/>
        <v>0</v>
      </c>
      <c r="P783" s="387"/>
      <c r="Q783" s="389"/>
      <c r="R783" s="389"/>
      <c r="S783" s="389"/>
      <c r="T783" s="389"/>
      <c r="U783" s="389"/>
    </row>
    <row r="784" spans="1:21" ht="35.1" customHeight="1" x14ac:dyDescent="0.25">
      <c r="A784" s="535">
        <v>783</v>
      </c>
      <c r="B784" s="95">
        <v>45534</v>
      </c>
      <c r="C784" s="432"/>
      <c r="D784" s="485"/>
      <c r="E784" s="433"/>
      <c r="F784" s="432"/>
      <c r="G784" s="432"/>
      <c r="H784" s="432"/>
      <c r="I784" s="432"/>
      <c r="J784" s="432"/>
      <c r="K784" s="432"/>
      <c r="L784" s="432"/>
      <c r="M784" s="432"/>
      <c r="N784" s="540"/>
      <c r="O784" s="485">
        <f t="shared" si="14"/>
        <v>0</v>
      </c>
      <c r="P784" s="387"/>
      <c r="Q784" s="389"/>
      <c r="R784" s="389"/>
      <c r="S784" s="389"/>
      <c r="T784" s="389"/>
      <c r="U784" s="389"/>
    </row>
    <row r="785" spans="1:21" ht="35.1" customHeight="1" x14ac:dyDescent="0.25">
      <c r="A785" s="535">
        <v>784</v>
      </c>
      <c r="B785" s="95">
        <v>45535</v>
      </c>
      <c r="C785" s="432"/>
      <c r="D785" s="485"/>
      <c r="E785" s="433"/>
      <c r="F785" s="432"/>
      <c r="G785" s="432"/>
      <c r="H785" s="432"/>
      <c r="I785" s="432"/>
      <c r="J785" s="432"/>
      <c r="K785" s="432"/>
      <c r="L785" s="432"/>
      <c r="M785" s="432"/>
      <c r="N785" s="540"/>
      <c r="O785" s="485">
        <f t="shared" si="14"/>
        <v>0</v>
      </c>
      <c r="P785" s="387"/>
      <c r="Q785" s="389"/>
      <c r="R785" s="389"/>
      <c r="S785" s="389"/>
      <c r="T785" s="389"/>
      <c r="U785" s="389"/>
    </row>
    <row r="786" spans="1:21" ht="35.1" customHeight="1" x14ac:dyDescent="0.25">
      <c r="A786" s="535">
        <v>785</v>
      </c>
      <c r="B786" s="95">
        <v>45536</v>
      </c>
      <c r="C786" s="432"/>
      <c r="D786" s="485"/>
      <c r="E786" s="433"/>
      <c r="F786" s="432"/>
      <c r="G786" s="432"/>
      <c r="H786" s="432"/>
      <c r="I786" s="432"/>
      <c r="J786" s="432"/>
      <c r="K786" s="432"/>
      <c r="L786" s="432"/>
      <c r="M786" s="432"/>
      <c r="N786" s="540"/>
      <c r="O786" s="485">
        <f t="shared" si="14"/>
        <v>0</v>
      </c>
      <c r="P786" s="387"/>
      <c r="Q786" s="389"/>
      <c r="R786" s="389"/>
      <c r="S786" s="389"/>
      <c r="T786" s="389"/>
      <c r="U786" s="389"/>
    </row>
    <row r="787" spans="1:21" ht="35.1" customHeight="1" x14ac:dyDescent="0.25">
      <c r="A787" s="535">
        <v>786</v>
      </c>
      <c r="B787" s="95">
        <v>45537</v>
      </c>
      <c r="C787" s="432"/>
      <c r="D787" s="485"/>
      <c r="E787" s="433"/>
      <c r="F787" s="432"/>
      <c r="G787" s="432"/>
      <c r="H787" s="432"/>
      <c r="I787" s="432"/>
      <c r="J787" s="432"/>
      <c r="K787" s="432"/>
      <c r="L787" s="432"/>
      <c r="M787" s="432"/>
      <c r="N787" s="540"/>
      <c r="O787" s="485">
        <f t="shared" si="14"/>
        <v>0</v>
      </c>
      <c r="P787" s="387"/>
      <c r="Q787" s="389"/>
      <c r="R787" s="389"/>
      <c r="S787" s="389"/>
      <c r="T787" s="389"/>
      <c r="U787" s="389"/>
    </row>
    <row r="788" spans="1:21" ht="35.1" customHeight="1" x14ac:dyDescent="0.25">
      <c r="A788" s="535">
        <v>787</v>
      </c>
      <c r="B788" s="95">
        <v>45538</v>
      </c>
      <c r="C788" s="432"/>
      <c r="D788" s="485"/>
      <c r="E788" s="433"/>
      <c r="F788" s="432"/>
      <c r="G788" s="432"/>
      <c r="H788" s="432"/>
      <c r="I788" s="432"/>
      <c r="J788" s="432"/>
      <c r="K788" s="432"/>
      <c r="L788" s="432"/>
      <c r="M788" s="432"/>
      <c r="N788" s="540"/>
      <c r="O788" s="485">
        <f t="shared" si="14"/>
        <v>0</v>
      </c>
      <c r="P788" s="387"/>
      <c r="Q788" s="389"/>
      <c r="R788" s="389"/>
      <c r="S788" s="389"/>
      <c r="T788" s="389"/>
      <c r="U788" s="389"/>
    </row>
    <row r="789" spans="1:21" ht="35.1" customHeight="1" x14ac:dyDescent="0.25">
      <c r="A789" s="535">
        <v>788</v>
      </c>
      <c r="B789" s="95">
        <v>45539</v>
      </c>
      <c r="C789" s="432"/>
      <c r="D789" s="485"/>
      <c r="E789" s="433"/>
      <c r="F789" s="432"/>
      <c r="G789" s="432"/>
      <c r="H789" s="432"/>
      <c r="I789" s="432"/>
      <c r="J789" s="432"/>
      <c r="K789" s="432"/>
      <c r="L789" s="432"/>
      <c r="M789" s="432"/>
      <c r="N789" s="540"/>
      <c r="O789" s="485">
        <f t="shared" si="14"/>
        <v>0</v>
      </c>
      <c r="P789" s="387"/>
      <c r="Q789" s="389"/>
      <c r="R789" s="389"/>
      <c r="S789" s="389"/>
      <c r="T789" s="389"/>
      <c r="U789" s="389"/>
    </row>
    <row r="790" spans="1:21" ht="35.1" customHeight="1" x14ac:dyDescent="0.25">
      <c r="A790" s="535">
        <v>789</v>
      </c>
      <c r="B790" s="95">
        <v>45540</v>
      </c>
      <c r="C790" s="432"/>
      <c r="D790" s="485"/>
      <c r="E790" s="433"/>
      <c r="F790" s="432"/>
      <c r="G790" s="432"/>
      <c r="H790" s="432"/>
      <c r="I790" s="432"/>
      <c r="J790" s="432"/>
      <c r="K790" s="432"/>
      <c r="L790" s="432"/>
      <c r="M790" s="432"/>
      <c r="N790" s="540"/>
      <c r="O790" s="485">
        <f t="shared" si="14"/>
        <v>0</v>
      </c>
      <c r="P790" s="387"/>
      <c r="Q790" s="389"/>
      <c r="R790" s="389"/>
      <c r="S790" s="389"/>
      <c r="T790" s="389"/>
      <c r="U790" s="389"/>
    </row>
    <row r="791" spans="1:21" ht="35.1" customHeight="1" x14ac:dyDescent="0.25">
      <c r="A791" s="535">
        <v>790</v>
      </c>
      <c r="B791" s="95">
        <v>45541</v>
      </c>
      <c r="C791" s="432"/>
      <c r="D791" s="485"/>
      <c r="E791" s="433"/>
      <c r="F791" s="432"/>
      <c r="G791" s="432"/>
      <c r="H791" s="432"/>
      <c r="I791" s="432"/>
      <c r="J791" s="432"/>
      <c r="K791" s="432"/>
      <c r="L791" s="432"/>
      <c r="M791" s="432"/>
      <c r="N791" s="540"/>
      <c r="O791" s="485">
        <f t="shared" si="14"/>
        <v>0</v>
      </c>
      <c r="P791" s="387"/>
      <c r="Q791" s="389"/>
      <c r="R791" s="389"/>
      <c r="S791" s="389"/>
      <c r="T791" s="389"/>
      <c r="U791" s="389"/>
    </row>
    <row r="792" spans="1:21" ht="35.1" customHeight="1" x14ac:dyDescent="0.25">
      <c r="A792" s="535">
        <v>791</v>
      </c>
      <c r="B792" s="95">
        <v>45542</v>
      </c>
      <c r="C792" s="432"/>
      <c r="D792" s="485"/>
      <c r="E792" s="433"/>
      <c r="F792" s="432"/>
      <c r="G792" s="432"/>
      <c r="H792" s="432"/>
      <c r="I792" s="432"/>
      <c r="J792" s="432"/>
      <c r="K792" s="432"/>
      <c r="L792" s="432"/>
      <c r="M792" s="432"/>
      <c r="N792" s="540"/>
      <c r="O792" s="485">
        <f t="shared" si="14"/>
        <v>0</v>
      </c>
      <c r="P792" s="387"/>
      <c r="Q792" s="389"/>
      <c r="R792" s="389"/>
      <c r="S792" s="389"/>
      <c r="T792" s="389"/>
      <c r="U792" s="389"/>
    </row>
    <row r="793" spans="1:21" ht="35.1" customHeight="1" x14ac:dyDescent="0.25">
      <c r="A793" s="535">
        <v>792</v>
      </c>
      <c r="B793" s="95">
        <v>45543</v>
      </c>
      <c r="C793" s="432"/>
      <c r="D793" s="485"/>
      <c r="E793" s="433"/>
      <c r="F793" s="432"/>
      <c r="G793" s="432"/>
      <c r="H793" s="432"/>
      <c r="I793" s="432"/>
      <c r="J793" s="432"/>
      <c r="K793" s="432"/>
      <c r="L793" s="432"/>
      <c r="M793" s="432"/>
      <c r="N793" s="540"/>
      <c r="O793" s="485">
        <f t="shared" si="14"/>
        <v>0</v>
      </c>
      <c r="P793" s="387"/>
      <c r="Q793" s="389"/>
      <c r="R793" s="389"/>
      <c r="S793" s="389"/>
      <c r="T793" s="389"/>
      <c r="U793" s="389"/>
    </row>
    <row r="794" spans="1:21" ht="35.1" customHeight="1" x14ac:dyDescent="0.25">
      <c r="A794" s="535">
        <v>793</v>
      </c>
      <c r="B794" s="95">
        <v>45544</v>
      </c>
      <c r="C794" s="432"/>
      <c r="D794" s="485"/>
      <c r="E794" s="433"/>
      <c r="F794" s="432"/>
      <c r="G794" s="432"/>
      <c r="H794" s="432"/>
      <c r="I794" s="432"/>
      <c r="J794" s="432"/>
      <c r="K794" s="432"/>
      <c r="L794" s="432"/>
      <c r="M794" s="432"/>
      <c r="N794" s="540"/>
      <c r="O794" s="485">
        <f t="shared" si="14"/>
        <v>0</v>
      </c>
      <c r="P794" s="387"/>
      <c r="Q794" s="389"/>
      <c r="R794" s="389"/>
      <c r="S794" s="389"/>
      <c r="T794" s="389"/>
      <c r="U794" s="389"/>
    </row>
    <row r="795" spans="1:21" ht="35.1" customHeight="1" x14ac:dyDescent="0.25">
      <c r="A795" s="535">
        <v>794</v>
      </c>
      <c r="B795" s="95">
        <v>45545</v>
      </c>
      <c r="C795" s="432"/>
      <c r="D795" s="485"/>
      <c r="E795" s="433"/>
      <c r="F795" s="432"/>
      <c r="G795" s="432"/>
      <c r="H795" s="432"/>
      <c r="I795" s="432"/>
      <c r="J795" s="432"/>
      <c r="K795" s="432"/>
      <c r="L795" s="432"/>
      <c r="M795" s="432"/>
      <c r="N795" s="540"/>
      <c r="O795" s="485">
        <f t="shared" si="14"/>
        <v>0</v>
      </c>
      <c r="P795" s="387"/>
      <c r="Q795" s="389"/>
      <c r="R795" s="389"/>
      <c r="S795" s="389"/>
      <c r="T795" s="389"/>
      <c r="U795" s="389"/>
    </row>
    <row r="796" spans="1:21" ht="35.1" customHeight="1" x14ac:dyDescent="0.25">
      <c r="A796" s="535">
        <v>795</v>
      </c>
      <c r="B796" s="95">
        <v>45546</v>
      </c>
      <c r="C796" s="432"/>
      <c r="D796" s="485"/>
      <c r="E796" s="433"/>
      <c r="F796" s="432"/>
      <c r="G796" s="432"/>
      <c r="H796" s="432"/>
      <c r="I796" s="432"/>
      <c r="J796" s="432"/>
      <c r="K796" s="432"/>
      <c r="L796" s="432"/>
      <c r="M796" s="432"/>
      <c r="N796" s="540"/>
      <c r="O796" s="485">
        <f t="shared" si="14"/>
        <v>0</v>
      </c>
      <c r="P796" s="387"/>
      <c r="Q796" s="389"/>
      <c r="R796" s="389"/>
      <c r="S796" s="389"/>
      <c r="T796" s="389"/>
      <c r="U796" s="389"/>
    </row>
    <row r="797" spans="1:21" ht="35.1" customHeight="1" x14ac:dyDescent="0.25">
      <c r="A797" s="535">
        <v>796</v>
      </c>
      <c r="B797" s="95">
        <v>45547</v>
      </c>
      <c r="C797" s="432"/>
      <c r="D797" s="485"/>
      <c r="E797" s="433"/>
      <c r="F797" s="432"/>
      <c r="G797" s="432"/>
      <c r="H797" s="432"/>
      <c r="I797" s="432"/>
      <c r="J797" s="432"/>
      <c r="K797" s="432"/>
      <c r="L797" s="432"/>
      <c r="M797" s="432"/>
      <c r="N797" s="540"/>
      <c r="O797" s="485">
        <f t="shared" si="14"/>
        <v>0</v>
      </c>
      <c r="P797" s="387"/>
      <c r="Q797" s="389"/>
      <c r="R797" s="389"/>
      <c r="S797" s="389"/>
      <c r="T797" s="389"/>
      <c r="U797" s="389"/>
    </row>
    <row r="798" spans="1:21" ht="35.1" customHeight="1" x14ac:dyDescent="0.25">
      <c r="A798" s="535">
        <v>797</v>
      </c>
      <c r="B798" s="95">
        <v>45548</v>
      </c>
      <c r="C798" s="432"/>
      <c r="D798" s="485"/>
      <c r="E798" s="433"/>
      <c r="F798" s="432"/>
      <c r="G798" s="432"/>
      <c r="H798" s="432"/>
      <c r="I798" s="432"/>
      <c r="J798" s="432"/>
      <c r="K798" s="432"/>
      <c r="L798" s="432"/>
      <c r="M798" s="432"/>
      <c r="N798" s="540"/>
      <c r="O798" s="485">
        <f t="shared" si="14"/>
        <v>0</v>
      </c>
      <c r="P798" s="387"/>
      <c r="Q798" s="389"/>
      <c r="R798" s="389"/>
      <c r="S798" s="389"/>
      <c r="T798" s="389"/>
      <c r="U798" s="389"/>
    </row>
    <row r="799" spans="1:21" ht="35.1" customHeight="1" x14ac:dyDescent="0.25">
      <c r="A799" s="535">
        <v>798</v>
      </c>
      <c r="B799" s="95">
        <v>45549</v>
      </c>
      <c r="C799" s="432"/>
      <c r="D799" s="485"/>
      <c r="E799" s="433"/>
      <c r="F799" s="432"/>
      <c r="G799" s="432"/>
      <c r="H799" s="432"/>
      <c r="I799" s="432"/>
      <c r="J799" s="432"/>
      <c r="K799" s="432"/>
      <c r="L799" s="432"/>
      <c r="M799" s="432"/>
      <c r="N799" s="540"/>
      <c r="O799" s="485">
        <f t="shared" si="14"/>
        <v>0</v>
      </c>
      <c r="P799" s="387"/>
      <c r="Q799" s="389"/>
      <c r="R799" s="389"/>
      <c r="S799" s="389"/>
      <c r="T799" s="389"/>
      <c r="U799" s="389"/>
    </row>
    <row r="800" spans="1:21" ht="35.1" customHeight="1" x14ac:dyDescent="0.25">
      <c r="A800" s="535">
        <v>799</v>
      </c>
      <c r="B800" s="95">
        <v>45550</v>
      </c>
      <c r="C800" s="432"/>
      <c r="D800" s="485"/>
      <c r="E800" s="433"/>
      <c r="F800" s="432"/>
      <c r="G800" s="432"/>
      <c r="H800" s="432"/>
      <c r="I800" s="432"/>
      <c r="J800" s="432"/>
      <c r="K800" s="432"/>
      <c r="L800" s="432"/>
      <c r="M800" s="432"/>
      <c r="N800" s="540"/>
      <c r="O800" s="485">
        <f t="shared" si="14"/>
        <v>0</v>
      </c>
      <c r="P800" s="387"/>
      <c r="Q800" s="389"/>
      <c r="R800" s="389"/>
      <c r="S800" s="389"/>
      <c r="T800" s="389"/>
      <c r="U800" s="389"/>
    </row>
    <row r="801" spans="1:21" ht="35.1" customHeight="1" x14ac:dyDescent="0.25">
      <c r="A801" s="535">
        <v>800</v>
      </c>
      <c r="B801" s="95">
        <v>45551</v>
      </c>
      <c r="C801" s="432"/>
      <c r="D801" s="485"/>
      <c r="E801" s="433"/>
      <c r="F801" s="432"/>
      <c r="G801" s="432"/>
      <c r="H801" s="432"/>
      <c r="I801" s="432"/>
      <c r="J801" s="432"/>
      <c r="K801" s="432"/>
      <c r="L801" s="432"/>
      <c r="M801" s="432"/>
      <c r="N801" s="540"/>
      <c r="O801" s="485">
        <f t="shared" si="14"/>
        <v>0</v>
      </c>
      <c r="P801" s="387"/>
      <c r="Q801" s="389"/>
      <c r="R801" s="389"/>
      <c r="S801" s="389"/>
      <c r="T801" s="389"/>
      <c r="U801" s="389"/>
    </row>
    <row r="802" spans="1:21" ht="35.1" customHeight="1" x14ac:dyDescent="0.25">
      <c r="A802" s="535">
        <v>801</v>
      </c>
      <c r="B802" s="95">
        <v>45552</v>
      </c>
      <c r="C802" s="432"/>
      <c r="D802" s="485"/>
      <c r="E802" s="433"/>
      <c r="F802" s="432"/>
      <c r="G802" s="432"/>
      <c r="H802" s="432"/>
      <c r="I802" s="432"/>
      <c r="J802" s="432"/>
      <c r="K802" s="432"/>
      <c r="L802" s="432"/>
      <c r="M802" s="432"/>
      <c r="N802" s="540"/>
      <c r="O802" s="485">
        <f t="shared" si="14"/>
        <v>0</v>
      </c>
      <c r="P802" s="387"/>
      <c r="Q802" s="389"/>
      <c r="R802" s="389"/>
      <c r="S802" s="389"/>
      <c r="T802" s="389"/>
      <c r="U802" s="389"/>
    </row>
    <row r="803" spans="1:21" ht="35.1" customHeight="1" x14ac:dyDescent="0.25">
      <c r="A803" s="535">
        <v>802</v>
      </c>
      <c r="B803" s="95">
        <v>45553</v>
      </c>
      <c r="C803" s="432"/>
      <c r="D803" s="485"/>
      <c r="E803" s="433"/>
      <c r="F803" s="432"/>
      <c r="G803" s="432"/>
      <c r="H803" s="432"/>
      <c r="I803" s="432"/>
      <c r="J803" s="432"/>
      <c r="K803" s="432"/>
      <c r="L803" s="432"/>
      <c r="M803" s="432"/>
      <c r="N803" s="540"/>
      <c r="O803" s="485">
        <f t="shared" si="14"/>
        <v>0</v>
      </c>
      <c r="P803" s="387"/>
      <c r="Q803" s="389"/>
      <c r="R803" s="389"/>
      <c r="S803" s="389"/>
      <c r="T803" s="389"/>
      <c r="U803" s="389"/>
    </row>
    <row r="804" spans="1:21" ht="35.1" customHeight="1" x14ac:dyDescent="0.25">
      <c r="A804" s="535">
        <v>803</v>
      </c>
      <c r="B804" s="95">
        <v>45554</v>
      </c>
      <c r="C804" s="432"/>
      <c r="D804" s="485"/>
      <c r="E804" s="433"/>
      <c r="F804" s="432"/>
      <c r="G804" s="432"/>
      <c r="H804" s="432"/>
      <c r="I804" s="432"/>
      <c r="J804" s="432"/>
      <c r="K804" s="432"/>
      <c r="L804" s="432"/>
      <c r="M804" s="432"/>
      <c r="N804" s="540"/>
      <c r="O804" s="485">
        <f t="shared" si="14"/>
        <v>0</v>
      </c>
      <c r="P804" s="387"/>
      <c r="Q804" s="389"/>
      <c r="R804" s="389"/>
      <c r="S804" s="389"/>
      <c r="T804" s="389"/>
      <c r="U804" s="389"/>
    </row>
    <row r="805" spans="1:21" ht="35.1" customHeight="1" x14ac:dyDescent="0.25">
      <c r="A805" s="535">
        <v>804</v>
      </c>
      <c r="B805" s="95">
        <v>45555</v>
      </c>
      <c r="C805" s="432"/>
      <c r="D805" s="485"/>
      <c r="E805" s="433"/>
      <c r="F805" s="432"/>
      <c r="G805" s="432"/>
      <c r="H805" s="432"/>
      <c r="I805" s="432"/>
      <c r="J805" s="432"/>
      <c r="K805" s="432"/>
      <c r="L805" s="432"/>
      <c r="M805" s="432"/>
      <c r="N805" s="540"/>
      <c r="O805" s="485">
        <f t="shared" si="14"/>
        <v>0</v>
      </c>
      <c r="P805" s="387"/>
      <c r="Q805" s="389"/>
      <c r="R805" s="389"/>
      <c r="S805" s="389"/>
      <c r="T805" s="389"/>
      <c r="U805" s="389"/>
    </row>
    <row r="806" spans="1:21" ht="35.1" customHeight="1" x14ac:dyDescent="0.25">
      <c r="A806" s="535">
        <v>805</v>
      </c>
      <c r="B806" s="95">
        <v>45556</v>
      </c>
      <c r="C806" s="432"/>
      <c r="D806" s="485"/>
      <c r="E806" s="433"/>
      <c r="F806" s="432"/>
      <c r="G806" s="432"/>
      <c r="H806" s="432"/>
      <c r="I806" s="432"/>
      <c r="J806" s="432"/>
      <c r="K806" s="432"/>
      <c r="L806" s="432"/>
      <c r="M806" s="432"/>
      <c r="N806" s="540"/>
      <c r="O806" s="485">
        <f t="shared" si="14"/>
        <v>0</v>
      </c>
      <c r="P806" s="387"/>
      <c r="Q806" s="389"/>
      <c r="R806" s="389"/>
      <c r="S806" s="389"/>
      <c r="T806" s="389"/>
      <c r="U806" s="389"/>
    </row>
    <row r="807" spans="1:21" ht="35.1" customHeight="1" x14ac:dyDescent="0.25">
      <c r="A807" s="535">
        <v>806</v>
      </c>
      <c r="B807" s="95">
        <v>45557</v>
      </c>
      <c r="C807" s="432"/>
      <c r="D807" s="485"/>
      <c r="E807" s="433"/>
      <c r="F807" s="432"/>
      <c r="G807" s="432"/>
      <c r="H807" s="432"/>
      <c r="I807" s="432"/>
      <c r="J807" s="432"/>
      <c r="K807" s="432"/>
      <c r="L807" s="432"/>
      <c r="M807" s="432"/>
      <c r="N807" s="540"/>
      <c r="O807" s="485">
        <f t="shared" si="14"/>
        <v>0</v>
      </c>
      <c r="P807" s="387"/>
      <c r="Q807" s="389"/>
      <c r="R807" s="389"/>
      <c r="S807" s="389"/>
      <c r="T807" s="389"/>
      <c r="U807" s="389"/>
    </row>
    <row r="808" spans="1:21" ht="35.1" customHeight="1" x14ac:dyDescent="0.25">
      <c r="A808" s="535">
        <v>807</v>
      </c>
      <c r="B808" s="95">
        <v>45558</v>
      </c>
      <c r="C808" s="432"/>
      <c r="D808" s="485"/>
      <c r="E808" s="433"/>
      <c r="F808" s="432"/>
      <c r="G808" s="432"/>
      <c r="H808" s="432"/>
      <c r="I808" s="432"/>
      <c r="J808" s="432"/>
      <c r="K808" s="432"/>
      <c r="L808" s="432"/>
      <c r="M808" s="432"/>
      <c r="N808" s="540"/>
      <c r="O808" s="485">
        <f t="shared" si="14"/>
        <v>0</v>
      </c>
      <c r="P808" s="387"/>
      <c r="Q808" s="389"/>
      <c r="R808" s="389"/>
      <c r="S808" s="389"/>
      <c r="T808" s="389"/>
      <c r="U808" s="389"/>
    </row>
    <row r="809" spans="1:21" ht="35.1" customHeight="1" x14ac:dyDescent="0.25">
      <c r="A809" s="535">
        <v>808</v>
      </c>
      <c r="B809" s="95">
        <v>45559</v>
      </c>
      <c r="C809" s="432"/>
      <c r="D809" s="485"/>
      <c r="E809" s="433"/>
      <c r="F809" s="432"/>
      <c r="G809" s="432"/>
      <c r="H809" s="432"/>
      <c r="I809" s="432"/>
      <c r="J809" s="432"/>
      <c r="K809" s="432"/>
      <c r="L809" s="432"/>
      <c r="M809" s="432"/>
      <c r="N809" s="540"/>
      <c r="O809" s="485">
        <f t="shared" si="14"/>
        <v>0</v>
      </c>
      <c r="P809" s="387"/>
      <c r="Q809" s="389"/>
      <c r="R809" s="389"/>
      <c r="S809" s="389"/>
      <c r="T809" s="389"/>
      <c r="U809" s="389"/>
    </row>
    <row r="810" spans="1:21" ht="35.1" customHeight="1" x14ac:dyDescent="0.25">
      <c r="A810" s="535">
        <v>809</v>
      </c>
      <c r="B810" s="95">
        <v>45560</v>
      </c>
      <c r="C810" s="432"/>
      <c r="D810" s="485"/>
      <c r="E810" s="433"/>
      <c r="F810" s="432"/>
      <c r="G810" s="432"/>
      <c r="H810" s="432"/>
      <c r="I810" s="432"/>
      <c r="J810" s="432"/>
      <c r="K810" s="432"/>
      <c r="L810" s="432"/>
      <c r="M810" s="432"/>
      <c r="N810" s="540"/>
      <c r="O810" s="485">
        <f t="shared" si="14"/>
        <v>0</v>
      </c>
      <c r="P810" s="387"/>
      <c r="Q810" s="389"/>
      <c r="R810" s="389"/>
      <c r="S810" s="389"/>
      <c r="T810" s="389"/>
      <c r="U810" s="389"/>
    </row>
    <row r="811" spans="1:21" ht="35.1" customHeight="1" x14ac:dyDescent="0.25">
      <c r="A811" s="535">
        <v>810</v>
      </c>
      <c r="B811" s="95">
        <v>45561</v>
      </c>
      <c r="C811" s="432"/>
      <c r="D811" s="485"/>
      <c r="E811" s="433"/>
      <c r="F811" s="432"/>
      <c r="G811" s="432"/>
      <c r="H811" s="432"/>
      <c r="I811" s="432"/>
      <c r="J811" s="432"/>
      <c r="K811" s="432"/>
      <c r="L811" s="432"/>
      <c r="M811" s="432"/>
      <c r="N811" s="540"/>
      <c r="O811" s="485">
        <f t="shared" si="14"/>
        <v>0</v>
      </c>
      <c r="P811" s="387"/>
      <c r="Q811" s="389"/>
      <c r="R811" s="389"/>
      <c r="S811" s="389"/>
      <c r="T811" s="389"/>
      <c r="U811" s="389"/>
    </row>
    <row r="812" spans="1:21" ht="35.1" customHeight="1" x14ac:dyDescent="0.25">
      <c r="A812" s="535">
        <v>811</v>
      </c>
      <c r="B812" s="95">
        <v>45562</v>
      </c>
      <c r="C812" s="432"/>
      <c r="D812" s="485"/>
      <c r="E812" s="433"/>
      <c r="F812" s="432"/>
      <c r="G812" s="432"/>
      <c r="H812" s="432"/>
      <c r="I812" s="432"/>
      <c r="J812" s="432"/>
      <c r="K812" s="432"/>
      <c r="L812" s="432"/>
      <c r="M812" s="432"/>
      <c r="N812" s="540"/>
      <c r="O812" s="485">
        <f t="shared" si="14"/>
        <v>0</v>
      </c>
      <c r="P812" s="387"/>
      <c r="Q812" s="389"/>
      <c r="R812" s="389"/>
      <c r="S812" s="389"/>
      <c r="T812" s="389"/>
      <c r="U812" s="389"/>
    </row>
    <row r="813" spans="1:21" ht="35.1" customHeight="1" x14ac:dyDescent="0.25">
      <c r="A813" s="535">
        <v>812</v>
      </c>
      <c r="B813" s="95">
        <v>45563</v>
      </c>
      <c r="C813" s="432"/>
      <c r="D813" s="485"/>
      <c r="E813" s="433"/>
      <c r="F813" s="432"/>
      <c r="G813" s="432"/>
      <c r="H813" s="432"/>
      <c r="I813" s="432"/>
      <c r="J813" s="432"/>
      <c r="K813" s="432"/>
      <c r="L813" s="432"/>
      <c r="M813" s="432"/>
      <c r="N813" s="540"/>
      <c r="O813" s="485">
        <f t="shared" si="14"/>
        <v>0</v>
      </c>
      <c r="P813" s="387"/>
      <c r="Q813" s="389"/>
      <c r="R813" s="389"/>
      <c r="S813" s="389"/>
      <c r="T813" s="389"/>
      <c r="U813" s="389"/>
    </row>
    <row r="814" spans="1:21" ht="35.1" customHeight="1" x14ac:dyDescent="0.25">
      <c r="A814" s="535">
        <v>813</v>
      </c>
      <c r="B814" s="95">
        <v>45564</v>
      </c>
      <c r="C814" s="432"/>
      <c r="D814" s="485"/>
      <c r="E814" s="433"/>
      <c r="F814" s="432"/>
      <c r="G814" s="432"/>
      <c r="H814" s="432"/>
      <c r="I814" s="432"/>
      <c r="J814" s="432"/>
      <c r="K814" s="432"/>
      <c r="L814" s="432"/>
      <c r="M814" s="432"/>
      <c r="N814" s="540"/>
      <c r="O814" s="485">
        <f t="shared" si="14"/>
        <v>0</v>
      </c>
      <c r="P814" s="387"/>
      <c r="Q814" s="389"/>
      <c r="R814" s="389"/>
      <c r="S814" s="389"/>
      <c r="T814" s="389"/>
      <c r="U814" s="389"/>
    </row>
    <row r="815" spans="1:21" ht="35.1" customHeight="1" x14ac:dyDescent="0.25">
      <c r="A815" s="535">
        <v>814</v>
      </c>
      <c r="B815" s="95">
        <v>45565</v>
      </c>
      <c r="C815" s="432"/>
      <c r="D815" s="485"/>
      <c r="E815" s="433"/>
      <c r="F815" s="432"/>
      <c r="G815" s="432"/>
      <c r="H815" s="432"/>
      <c r="I815" s="432"/>
      <c r="J815" s="432"/>
      <c r="K815" s="432"/>
      <c r="L815" s="432"/>
      <c r="M815" s="432"/>
      <c r="N815" s="540"/>
      <c r="O815" s="485">
        <f t="shared" si="14"/>
        <v>0</v>
      </c>
      <c r="P815" s="387"/>
      <c r="Q815" s="389"/>
      <c r="R815" s="389"/>
      <c r="S815" s="389"/>
      <c r="T815" s="389"/>
      <c r="U815" s="389"/>
    </row>
    <row r="816" spans="1:21" ht="35.1" customHeight="1" x14ac:dyDescent="0.25">
      <c r="A816" s="535">
        <v>815</v>
      </c>
      <c r="B816" s="95">
        <v>45566</v>
      </c>
      <c r="C816" s="432"/>
      <c r="D816" s="485"/>
      <c r="E816" s="433"/>
      <c r="F816" s="432"/>
      <c r="G816" s="432"/>
      <c r="H816" s="432"/>
      <c r="I816" s="432"/>
      <c r="J816" s="432"/>
      <c r="K816" s="432"/>
      <c r="L816" s="432"/>
      <c r="M816" s="432"/>
      <c r="N816" s="540"/>
      <c r="O816" s="485">
        <f t="shared" si="14"/>
        <v>0</v>
      </c>
      <c r="P816" s="387"/>
      <c r="Q816" s="389"/>
      <c r="R816" s="389"/>
      <c r="S816" s="389"/>
      <c r="T816" s="389"/>
      <c r="U816" s="389"/>
    </row>
    <row r="817" spans="1:21" ht="35.1" customHeight="1" x14ac:dyDescent="0.25">
      <c r="A817" s="535">
        <v>816</v>
      </c>
      <c r="B817" s="95">
        <v>45567</v>
      </c>
      <c r="C817" s="432"/>
      <c r="D817" s="485"/>
      <c r="E817" s="433"/>
      <c r="F817" s="432"/>
      <c r="G817" s="432"/>
      <c r="H817" s="432"/>
      <c r="I817" s="432"/>
      <c r="J817" s="432"/>
      <c r="K817" s="432"/>
      <c r="L817" s="432"/>
      <c r="M817" s="432"/>
      <c r="N817" s="540"/>
      <c r="O817" s="485">
        <f t="shared" si="14"/>
        <v>0</v>
      </c>
      <c r="P817" s="387"/>
      <c r="Q817" s="389"/>
      <c r="R817" s="389"/>
      <c r="S817" s="389"/>
      <c r="T817" s="389"/>
      <c r="U817" s="389"/>
    </row>
    <row r="818" spans="1:21" ht="35.1" customHeight="1" x14ac:dyDescent="0.25">
      <c r="A818" s="535">
        <v>817</v>
      </c>
      <c r="B818" s="95">
        <v>45568</v>
      </c>
      <c r="C818" s="432"/>
      <c r="D818" s="485"/>
      <c r="E818" s="433"/>
      <c r="F818" s="432"/>
      <c r="G818" s="432"/>
      <c r="H818" s="432"/>
      <c r="I818" s="432"/>
      <c r="J818" s="432"/>
      <c r="K818" s="432"/>
      <c r="L818" s="432"/>
      <c r="M818" s="432"/>
      <c r="N818" s="540"/>
      <c r="O818" s="485">
        <f t="shared" si="14"/>
        <v>0</v>
      </c>
      <c r="P818" s="387"/>
      <c r="Q818" s="389"/>
      <c r="R818" s="389"/>
      <c r="S818" s="389"/>
      <c r="T818" s="389"/>
      <c r="U818" s="389"/>
    </row>
    <row r="819" spans="1:21" ht="35.1" customHeight="1" x14ac:dyDescent="0.25">
      <c r="A819" s="535">
        <v>818</v>
      </c>
      <c r="B819" s="95">
        <v>45569</v>
      </c>
      <c r="C819" s="432"/>
      <c r="D819" s="485"/>
      <c r="E819" s="433"/>
      <c r="F819" s="432"/>
      <c r="G819" s="432"/>
      <c r="H819" s="432"/>
      <c r="I819" s="432"/>
      <c r="J819" s="432"/>
      <c r="K819" s="432"/>
      <c r="L819" s="432"/>
      <c r="M819" s="432"/>
      <c r="N819" s="540"/>
      <c r="O819" s="485">
        <f t="shared" si="14"/>
        <v>0</v>
      </c>
      <c r="P819" s="387"/>
      <c r="Q819" s="389"/>
      <c r="R819" s="389"/>
      <c r="S819" s="389"/>
      <c r="T819" s="389"/>
      <c r="U819" s="389"/>
    </row>
    <row r="820" spans="1:21" ht="35.1" customHeight="1" x14ac:dyDescent="0.25">
      <c r="A820" s="535">
        <v>819</v>
      </c>
      <c r="B820" s="95">
        <v>45570</v>
      </c>
      <c r="C820" s="432"/>
      <c r="D820" s="485"/>
      <c r="E820" s="433"/>
      <c r="F820" s="432"/>
      <c r="G820" s="432"/>
      <c r="H820" s="432"/>
      <c r="I820" s="432"/>
      <c r="J820" s="432"/>
      <c r="K820" s="432"/>
      <c r="L820" s="432"/>
      <c r="M820" s="432"/>
      <c r="N820" s="540"/>
      <c r="O820" s="485">
        <f t="shared" si="14"/>
        <v>0</v>
      </c>
      <c r="P820" s="387"/>
      <c r="Q820" s="389"/>
      <c r="R820" s="389"/>
      <c r="S820" s="389"/>
      <c r="T820" s="389"/>
      <c r="U820" s="389"/>
    </row>
    <row r="821" spans="1:21" ht="35.1" customHeight="1" x14ac:dyDescent="0.25">
      <c r="A821" s="535">
        <v>820</v>
      </c>
      <c r="B821" s="95">
        <v>45571</v>
      </c>
      <c r="C821" s="432"/>
      <c r="D821" s="485"/>
      <c r="E821" s="433"/>
      <c r="F821" s="432"/>
      <c r="G821" s="432"/>
      <c r="H821" s="432"/>
      <c r="I821" s="432"/>
      <c r="J821" s="432"/>
      <c r="K821" s="432"/>
      <c r="L821" s="432"/>
      <c r="M821" s="432"/>
      <c r="N821" s="540"/>
      <c r="O821" s="485">
        <f t="shared" si="14"/>
        <v>0</v>
      </c>
      <c r="P821" s="387"/>
      <c r="Q821" s="389"/>
      <c r="R821" s="389"/>
      <c r="S821" s="389"/>
      <c r="T821" s="389"/>
      <c r="U821" s="389"/>
    </row>
    <row r="822" spans="1:21" ht="35.1" customHeight="1" x14ac:dyDescent="0.25">
      <c r="A822" s="535">
        <v>821</v>
      </c>
      <c r="B822" s="95">
        <v>45572</v>
      </c>
      <c r="C822" s="432"/>
      <c r="D822" s="485"/>
      <c r="E822" s="433"/>
      <c r="F822" s="432"/>
      <c r="G822" s="432"/>
      <c r="H822" s="432"/>
      <c r="I822" s="432"/>
      <c r="J822" s="432"/>
      <c r="K822" s="432"/>
      <c r="L822" s="432"/>
      <c r="M822" s="432"/>
      <c r="N822" s="540"/>
      <c r="O822" s="485">
        <f t="shared" si="14"/>
        <v>0</v>
      </c>
      <c r="P822" s="387"/>
      <c r="Q822" s="389"/>
      <c r="R822" s="389"/>
      <c r="S822" s="389"/>
      <c r="T822" s="389"/>
      <c r="U822" s="389"/>
    </row>
    <row r="823" spans="1:21" ht="35.1" customHeight="1" x14ac:dyDescent="0.25">
      <c r="A823" s="535">
        <v>822</v>
      </c>
      <c r="B823" s="95">
        <v>45573</v>
      </c>
      <c r="C823" s="432"/>
      <c r="D823" s="485"/>
      <c r="E823" s="433"/>
      <c r="F823" s="432"/>
      <c r="G823" s="432"/>
      <c r="H823" s="432"/>
      <c r="I823" s="432"/>
      <c r="J823" s="432"/>
      <c r="K823" s="432"/>
      <c r="L823" s="432"/>
      <c r="M823" s="432"/>
      <c r="N823" s="540"/>
      <c r="O823" s="485">
        <f t="shared" si="14"/>
        <v>0</v>
      </c>
      <c r="P823" s="387"/>
      <c r="Q823" s="389"/>
      <c r="R823" s="389"/>
      <c r="S823" s="389"/>
      <c r="T823" s="389"/>
      <c r="U823" s="389"/>
    </row>
    <row r="824" spans="1:21" ht="35.1" customHeight="1" x14ac:dyDescent="0.25">
      <c r="A824" s="535">
        <v>823</v>
      </c>
      <c r="B824" s="95">
        <v>45574</v>
      </c>
      <c r="C824" s="432"/>
      <c r="D824" s="485"/>
      <c r="E824" s="433"/>
      <c r="F824" s="432"/>
      <c r="G824" s="432"/>
      <c r="H824" s="432"/>
      <c r="I824" s="432"/>
      <c r="J824" s="432"/>
      <c r="K824" s="432"/>
      <c r="L824" s="432"/>
      <c r="M824" s="432"/>
      <c r="N824" s="540"/>
      <c r="O824" s="485">
        <f t="shared" si="14"/>
        <v>0</v>
      </c>
      <c r="P824" s="387"/>
      <c r="Q824" s="389"/>
      <c r="R824" s="389"/>
      <c r="S824" s="389"/>
      <c r="T824" s="389"/>
      <c r="U824" s="389"/>
    </row>
    <row r="825" spans="1:21" ht="35.1" customHeight="1" x14ac:dyDescent="0.25">
      <c r="A825" s="535">
        <v>824</v>
      </c>
      <c r="B825" s="95">
        <v>45575</v>
      </c>
      <c r="C825" s="432"/>
      <c r="D825" s="485"/>
      <c r="E825" s="433"/>
      <c r="F825" s="432"/>
      <c r="G825" s="432"/>
      <c r="H825" s="432"/>
      <c r="I825" s="432"/>
      <c r="J825" s="432"/>
      <c r="K825" s="432"/>
      <c r="L825" s="432"/>
      <c r="M825" s="432"/>
      <c r="N825" s="540"/>
      <c r="O825" s="485">
        <f t="shared" ref="O825:O888" si="15">SUM(G825:N825)+F825+D825</f>
        <v>0</v>
      </c>
      <c r="P825" s="387"/>
      <c r="Q825" s="389"/>
      <c r="R825" s="389"/>
      <c r="S825" s="389"/>
      <c r="T825" s="389"/>
      <c r="U825" s="389"/>
    </row>
    <row r="826" spans="1:21" ht="35.1" customHeight="1" x14ac:dyDescent="0.25">
      <c r="A826" s="535">
        <v>825</v>
      </c>
      <c r="B826" s="95">
        <v>45576</v>
      </c>
      <c r="C826" s="432"/>
      <c r="D826" s="485"/>
      <c r="E826" s="433"/>
      <c r="F826" s="432"/>
      <c r="G826" s="432"/>
      <c r="H826" s="432"/>
      <c r="I826" s="432"/>
      <c r="J826" s="432"/>
      <c r="K826" s="432"/>
      <c r="L826" s="432"/>
      <c r="M826" s="432"/>
      <c r="N826" s="540"/>
      <c r="O826" s="485">
        <f t="shared" si="15"/>
        <v>0</v>
      </c>
      <c r="P826" s="387"/>
      <c r="Q826" s="389"/>
      <c r="R826" s="389"/>
      <c r="S826" s="389"/>
      <c r="T826" s="389"/>
      <c r="U826" s="389"/>
    </row>
    <row r="827" spans="1:21" ht="35.1" customHeight="1" x14ac:dyDescent="0.25">
      <c r="A827" s="535">
        <v>826</v>
      </c>
      <c r="B827" s="95">
        <v>45577</v>
      </c>
      <c r="C827" s="432"/>
      <c r="D827" s="485"/>
      <c r="E827" s="433"/>
      <c r="F827" s="432"/>
      <c r="G827" s="432"/>
      <c r="H827" s="432"/>
      <c r="I827" s="432"/>
      <c r="J827" s="432"/>
      <c r="K827" s="432"/>
      <c r="L827" s="432"/>
      <c r="M827" s="432"/>
      <c r="N827" s="540"/>
      <c r="O827" s="485">
        <f t="shared" si="15"/>
        <v>0</v>
      </c>
      <c r="P827" s="387"/>
      <c r="Q827" s="389"/>
      <c r="R827" s="389"/>
      <c r="S827" s="389"/>
      <c r="T827" s="389"/>
      <c r="U827" s="389"/>
    </row>
    <row r="828" spans="1:21" ht="35.1" customHeight="1" x14ac:dyDescent="0.25">
      <c r="A828" s="535">
        <v>827</v>
      </c>
      <c r="B828" s="95">
        <v>45578</v>
      </c>
      <c r="C828" s="432"/>
      <c r="D828" s="485"/>
      <c r="E828" s="433"/>
      <c r="F828" s="432"/>
      <c r="G828" s="432"/>
      <c r="H828" s="432"/>
      <c r="I828" s="432"/>
      <c r="J828" s="432"/>
      <c r="K828" s="432"/>
      <c r="L828" s="432"/>
      <c r="M828" s="432"/>
      <c r="N828" s="540"/>
      <c r="O828" s="485">
        <f t="shared" si="15"/>
        <v>0</v>
      </c>
      <c r="P828" s="387"/>
      <c r="Q828" s="389"/>
      <c r="R828" s="389"/>
      <c r="S828" s="389"/>
      <c r="T828" s="389"/>
      <c r="U828" s="389"/>
    </row>
    <row r="829" spans="1:21" ht="35.1" customHeight="1" x14ac:dyDescent="0.25">
      <c r="A829" s="535">
        <v>828</v>
      </c>
      <c r="B829" s="95">
        <v>45579</v>
      </c>
      <c r="C829" s="432"/>
      <c r="D829" s="485"/>
      <c r="E829" s="433"/>
      <c r="F829" s="432"/>
      <c r="G829" s="432"/>
      <c r="H829" s="432"/>
      <c r="I829" s="432"/>
      <c r="J829" s="432"/>
      <c r="K829" s="432"/>
      <c r="L829" s="432"/>
      <c r="M829" s="432"/>
      <c r="N829" s="540"/>
      <c r="O829" s="485">
        <f t="shared" si="15"/>
        <v>0</v>
      </c>
      <c r="P829" s="387"/>
      <c r="Q829" s="389"/>
      <c r="R829" s="389"/>
      <c r="S829" s="389"/>
      <c r="T829" s="389"/>
      <c r="U829" s="389"/>
    </row>
    <row r="830" spans="1:21" ht="35.1" customHeight="1" x14ac:dyDescent="0.25">
      <c r="A830" s="535">
        <v>829</v>
      </c>
      <c r="B830" s="95">
        <v>45580</v>
      </c>
      <c r="C830" s="432"/>
      <c r="D830" s="485"/>
      <c r="E830" s="433"/>
      <c r="F830" s="432"/>
      <c r="G830" s="432"/>
      <c r="H830" s="432"/>
      <c r="I830" s="432"/>
      <c r="J830" s="432"/>
      <c r="K830" s="432"/>
      <c r="L830" s="432"/>
      <c r="M830" s="432"/>
      <c r="N830" s="540"/>
      <c r="O830" s="485">
        <f t="shared" si="15"/>
        <v>0</v>
      </c>
      <c r="P830" s="387"/>
      <c r="Q830" s="389"/>
      <c r="R830" s="389"/>
      <c r="S830" s="389"/>
      <c r="T830" s="389"/>
      <c r="U830" s="389"/>
    </row>
    <row r="831" spans="1:21" ht="35.1" customHeight="1" x14ac:dyDescent="0.25">
      <c r="A831" s="535">
        <v>830</v>
      </c>
      <c r="B831" s="95">
        <v>45581</v>
      </c>
      <c r="C831" s="432"/>
      <c r="D831" s="485"/>
      <c r="E831" s="433"/>
      <c r="F831" s="432"/>
      <c r="G831" s="432"/>
      <c r="H831" s="432"/>
      <c r="I831" s="432"/>
      <c r="J831" s="432"/>
      <c r="K831" s="432"/>
      <c r="L831" s="432"/>
      <c r="M831" s="432"/>
      <c r="N831" s="540"/>
      <c r="O831" s="485">
        <f t="shared" si="15"/>
        <v>0</v>
      </c>
      <c r="P831" s="387"/>
      <c r="Q831" s="389"/>
      <c r="R831" s="389"/>
      <c r="S831" s="389"/>
      <c r="T831" s="389"/>
      <c r="U831" s="389"/>
    </row>
    <row r="832" spans="1:21" ht="35.1" customHeight="1" x14ac:dyDescent="0.25">
      <c r="A832" s="535">
        <v>831</v>
      </c>
      <c r="B832" s="95">
        <v>45582</v>
      </c>
      <c r="C832" s="432"/>
      <c r="D832" s="485"/>
      <c r="E832" s="433"/>
      <c r="F832" s="432"/>
      <c r="G832" s="432"/>
      <c r="H832" s="432"/>
      <c r="I832" s="432"/>
      <c r="J832" s="432"/>
      <c r="K832" s="432"/>
      <c r="L832" s="432"/>
      <c r="M832" s="432"/>
      <c r="N832" s="540"/>
      <c r="O832" s="485">
        <f t="shared" si="15"/>
        <v>0</v>
      </c>
      <c r="P832" s="387"/>
      <c r="Q832" s="389"/>
      <c r="R832" s="389"/>
      <c r="S832" s="389"/>
      <c r="T832" s="389"/>
      <c r="U832" s="389"/>
    </row>
    <row r="833" spans="1:21" ht="35.1" customHeight="1" x14ac:dyDescent="0.25">
      <c r="A833" s="535">
        <v>832</v>
      </c>
      <c r="B833" s="95">
        <v>45583</v>
      </c>
      <c r="C833" s="432"/>
      <c r="D833" s="485"/>
      <c r="E833" s="433"/>
      <c r="F833" s="432"/>
      <c r="G833" s="432"/>
      <c r="H833" s="432"/>
      <c r="I833" s="432"/>
      <c r="J833" s="432"/>
      <c r="K833" s="432"/>
      <c r="L833" s="432"/>
      <c r="M833" s="432"/>
      <c r="N833" s="540"/>
      <c r="O833" s="485">
        <f t="shared" si="15"/>
        <v>0</v>
      </c>
      <c r="P833" s="387"/>
      <c r="Q833" s="389"/>
      <c r="R833" s="389"/>
      <c r="S833" s="389"/>
      <c r="T833" s="389"/>
      <c r="U833" s="389"/>
    </row>
    <row r="834" spans="1:21" ht="35.1" customHeight="1" x14ac:dyDescent="0.25">
      <c r="A834" s="535">
        <v>833</v>
      </c>
      <c r="B834" s="95">
        <v>45584</v>
      </c>
      <c r="C834" s="432"/>
      <c r="D834" s="485"/>
      <c r="E834" s="433"/>
      <c r="F834" s="432"/>
      <c r="G834" s="432"/>
      <c r="H834" s="432"/>
      <c r="I834" s="432"/>
      <c r="J834" s="432"/>
      <c r="K834" s="432"/>
      <c r="L834" s="432"/>
      <c r="M834" s="432"/>
      <c r="N834" s="540"/>
      <c r="O834" s="485">
        <f t="shared" si="15"/>
        <v>0</v>
      </c>
      <c r="P834" s="387"/>
      <c r="Q834" s="389"/>
      <c r="R834" s="389"/>
      <c r="S834" s="389"/>
      <c r="T834" s="389"/>
      <c r="U834" s="389"/>
    </row>
    <row r="835" spans="1:21" ht="35.1" customHeight="1" x14ac:dyDescent="0.25">
      <c r="A835" s="535">
        <v>834</v>
      </c>
      <c r="B835" s="95">
        <v>45585</v>
      </c>
      <c r="C835" s="432"/>
      <c r="D835" s="485"/>
      <c r="E835" s="433"/>
      <c r="F835" s="432"/>
      <c r="G835" s="432"/>
      <c r="H835" s="432"/>
      <c r="I835" s="432"/>
      <c r="J835" s="432"/>
      <c r="K835" s="432"/>
      <c r="L835" s="432"/>
      <c r="M835" s="432"/>
      <c r="N835" s="540"/>
      <c r="O835" s="485">
        <f t="shared" si="15"/>
        <v>0</v>
      </c>
      <c r="P835" s="387"/>
      <c r="Q835" s="389"/>
      <c r="R835" s="389"/>
      <c r="S835" s="389"/>
      <c r="T835" s="389"/>
      <c r="U835" s="389"/>
    </row>
    <row r="836" spans="1:21" ht="35.1" customHeight="1" x14ac:dyDescent="0.25">
      <c r="A836" s="535">
        <v>835</v>
      </c>
      <c r="B836" s="95">
        <v>45586</v>
      </c>
      <c r="C836" s="432"/>
      <c r="D836" s="485"/>
      <c r="E836" s="433"/>
      <c r="F836" s="432"/>
      <c r="G836" s="432"/>
      <c r="H836" s="432"/>
      <c r="I836" s="432"/>
      <c r="J836" s="432"/>
      <c r="K836" s="432"/>
      <c r="L836" s="432"/>
      <c r="M836" s="432"/>
      <c r="N836" s="540"/>
      <c r="O836" s="485">
        <f t="shared" si="15"/>
        <v>0</v>
      </c>
      <c r="P836" s="387"/>
      <c r="Q836" s="389"/>
      <c r="R836" s="389"/>
      <c r="S836" s="389"/>
      <c r="T836" s="389"/>
      <c r="U836" s="389"/>
    </row>
    <row r="837" spans="1:21" ht="35.1" customHeight="1" x14ac:dyDescent="0.25">
      <c r="A837" s="535">
        <v>836</v>
      </c>
      <c r="B837" s="95">
        <v>45587</v>
      </c>
      <c r="C837" s="432"/>
      <c r="D837" s="485"/>
      <c r="E837" s="433"/>
      <c r="F837" s="432"/>
      <c r="G837" s="432"/>
      <c r="H837" s="432"/>
      <c r="I837" s="432"/>
      <c r="J837" s="432"/>
      <c r="K837" s="432"/>
      <c r="L837" s="432"/>
      <c r="M837" s="432"/>
      <c r="N837" s="540"/>
      <c r="O837" s="485">
        <f t="shared" si="15"/>
        <v>0</v>
      </c>
      <c r="P837" s="387"/>
      <c r="Q837" s="389"/>
      <c r="R837" s="389"/>
      <c r="S837" s="389"/>
      <c r="T837" s="389"/>
      <c r="U837" s="389"/>
    </row>
    <row r="838" spans="1:21" ht="35.1" customHeight="1" x14ac:dyDescent="0.25">
      <c r="A838" s="535">
        <v>837</v>
      </c>
      <c r="B838" s="95">
        <v>45588</v>
      </c>
      <c r="C838" s="432"/>
      <c r="D838" s="485"/>
      <c r="E838" s="433"/>
      <c r="F838" s="432"/>
      <c r="G838" s="432"/>
      <c r="H838" s="432"/>
      <c r="I838" s="432"/>
      <c r="J838" s="432"/>
      <c r="K838" s="432"/>
      <c r="L838" s="432"/>
      <c r="M838" s="432"/>
      <c r="N838" s="540"/>
      <c r="O838" s="485">
        <f t="shared" si="15"/>
        <v>0</v>
      </c>
      <c r="P838" s="387"/>
      <c r="Q838" s="389"/>
      <c r="R838" s="389"/>
      <c r="S838" s="389"/>
      <c r="T838" s="389"/>
      <c r="U838" s="389"/>
    </row>
    <row r="839" spans="1:21" ht="35.1" customHeight="1" x14ac:dyDescent="0.25">
      <c r="A839" s="535">
        <v>838</v>
      </c>
      <c r="B839" s="95">
        <v>45589</v>
      </c>
      <c r="C839" s="432"/>
      <c r="D839" s="485"/>
      <c r="E839" s="433"/>
      <c r="F839" s="432"/>
      <c r="G839" s="432"/>
      <c r="H839" s="432"/>
      <c r="I839" s="432"/>
      <c r="J839" s="432"/>
      <c r="K839" s="432"/>
      <c r="L839" s="432"/>
      <c r="M839" s="432"/>
      <c r="N839" s="540"/>
      <c r="O839" s="485">
        <f t="shared" si="15"/>
        <v>0</v>
      </c>
      <c r="P839" s="387"/>
      <c r="Q839" s="389"/>
      <c r="R839" s="389"/>
      <c r="S839" s="389"/>
      <c r="T839" s="389"/>
      <c r="U839" s="389"/>
    </row>
    <row r="840" spans="1:21" ht="35.1" customHeight="1" x14ac:dyDescent="0.25">
      <c r="A840" s="535">
        <v>839</v>
      </c>
      <c r="B840" s="95">
        <v>45590</v>
      </c>
      <c r="C840" s="432"/>
      <c r="D840" s="485"/>
      <c r="E840" s="433"/>
      <c r="F840" s="432"/>
      <c r="G840" s="432"/>
      <c r="H840" s="432"/>
      <c r="I840" s="432"/>
      <c r="J840" s="432"/>
      <c r="K840" s="432"/>
      <c r="L840" s="432"/>
      <c r="M840" s="432"/>
      <c r="N840" s="540"/>
      <c r="O840" s="485">
        <f t="shared" si="15"/>
        <v>0</v>
      </c>
      <c r="P840" s="387"/>
      <c r="Q840" s="389"/>
      <c r="R840" s="389"/>
      <c r="S840" s="389"/>
      <c r="T840" s="389"/>
      <c r="U840" s="389"/>
    </row>
    <row r="841" spans="1:21" ht="35.1" customHeight="1" x14ac:dyDescent="0.25">
      <c r="A841" s="535">
        <v>840</v>
      </c>
      <c r="B841" s="95">
        <v>45591</v>
      </c>
      <c r="C841" s="432"/>
      <c r="D841" s="485"/>
      <c r="E841" s="433"/>
      <c r="F841" s="432"/>
      <c r="G841" s="432"/>
      <c r="H841" s="432"/>
      <c r="I841" s="432"/>
      <c r="J841" s="432"/>
      <c r="K841" s="432"/>
      <c r="L841" s="432"/>
      <c r="M841" s="432"/>
      <c r="N841" s="540"/>
      <c r="O841" s="485">
        <f t="shared" si="15"/>
        <v>0</v>
      </c>
      <c r="P841" s="387"/>
      <c r="Q841" s="389"/>
      <c r="R841" s="389"/>
      <c r="S841" s="389"/>
      <c r="T841" s="389"/>
      <c r="U841" s="389"/>
    </row>
    <row r="842" spans="1:21" ht="35.1" customHeight="1" x14ac:dyDescent="0.25">
      <c r="A842" s="535">
        <v>841</v>
      </c>
      <c r="B842" s="95">
        <v>45592</v>
      </c>
      <c r="C842" s="432"/>
      <c r="D842" s="485"/>
      <c r="E842" s="433"/>
      <c r="F842" s="432"/>
      <c r="G842" s="432"/>
      <c r="H842" s="432"/>
      <c r="I842" s="432"/>
      <c r="J842" s="432"/>
      <c r="K842" s="432"/>
      <c r="L842" s="432"/>
      <c r="M842" s="432"/>
      <c r="N842" s="540"/>
      <c r="O842" s="485">
        <f t="shared" si="15"/>
        <v>0</v>
      </c>
      <c r="P842" s="387"/>
      <c r="Q842" s="389"/>
      <c r="R842" s="389"/>
      <c r="S842" s="389"/>
      <c r="T842" s="389"/>
      <c r="U842" s="389"/>
    </row>
    <row r="843" spans="1:21" ht="35.1" customHeight="1" x14ac:dyDescent="0.25">
      <c r="A843" s="535">
        <v>842</v>
      </c>
      <c r="B843" s="95">
        <v>45593</v>
      </c>
      <c r="C843" s="432"/>
      <c r="D843" s="485"/>
      <c r="E843" s="433"/>
      <c r="F843" s="432"/>
      <c r="G843" s="432"/>
      <c r="H843" s="432"/>
      <c r="I843" s="432"/>
      <c r="J843" s="432"/>
      <c r="K843" s="432"/>
      <c r="L843" s="432"/>
      <c r="M843" s="432"/>
      <c r="N843" s="540"/>
      <c r="O843" s="485">
        <f t="shared" si="15"/>
        <v>0</v>
      </c>
      <c r="P843" s="387"/>
      <c r="Q843" s="389"/>
      <c r="R843" s="389"/>
      <c r="S843" s="389"/>
      <c r="T843" s="389"/>
      <c r="U843" s="389"/>
    </row>
    <row r="844" spans="1:21" ht="35.1" customHeight="1" x14ac:dyDescent="0.25">
      <c r="A844" s="535">
        <v>843</v>
      </c>
      <c r="B844" s="95">
        <v>45594</v>
      </c>
      <c r="C844" s="432"/>
      <c r="D844" s="485"/>
      <c r="E844" s="433"/>
      <c r="F844" s="432"/>
      <c r="G844" s="432"/>
      <c r="H844" s="432"/>
      <c r="I844" s="432"/>
      <c r="J844" s="432"/>
      <c r="K844" s="432"/>
      <c r="L844" s="432"/>
      <c r="M844" s="432"/>
      <c r="N844" s="540"/>
      <c r="O844" s="485">
        <f t="shared" si="15"/>
        <v>0</v>
      </c>
      <c r="P844" s="387"/>
      <c r="Q844" s="389"/>
      <c r="R844" s="389"/>
      <c r="S844" s="389"/>
      <c r="T844" s="389"/>
      <c r="U844" s="389"/>
    </row>
    <row r="845" spans="1:21" ht="35.1" customHeight="1" x14ac:dyDescent="0.25">
      <c r="A845" s="535">
        <v>844</v>
      </c>
      <c r="B845" s="95">
        <v>45595</v>
      </c>
      <c r="C845" s="432"/>
      <c r="D845" s="485"/>
      <c r="E845" s="433"/>
      <c r="F845" s="432"/>
      <c r="G845" s="432"/>
      <c r="H845" s="432"/>
      <c r="I845" s="432"/>
      <c r="J845" s="432"/>
      <c r="K845" s="432"/>
      <c r="L845" s="432"/>
      <c r="M845" s="432"/>
      <c r="N845" s="540"/>
      <c r="O845" s="485">
        <f t="shared" si="15"/>
        <v>0</v>
      </c>
      <c r="P845" s="387"/>
      <c r="Q845" s="389"/>
      <c r="R845" s="389"/>
      <c r="S845" s="389"/>
      <c r="T845" s="389"/>
      <c r="U845" s="389"/>
    </row>
    <row r="846" spans="1:21" ht="35.1" customHeight="1" x14ac:dyDescent="0.25">
      <c r="A846" s="535">
        <v>845</v>
      </c>
      <c r="B846" s="95">
        <v>45596</v>
      </c>
      <c r="C846" s="432"/>
      <c r="D846" s="485"/>
      <c r="E846" s="433"/>
      <c r="F846" s="432"/>
      <c r="G846" s="432"/>
      <c r="H846" s="432"/>
      <c r="I846" s="432"/>
      <c r="J846" s="432"/>
      <c r="K846" s="432"/>
      <c r="L846" s="432"/>
      <c r="M846" s="432"/>
      <c r="N846" s="540"/>
      <c r="O846" s="485">
        <f t="shared" si="15"/>
        <v>0</v>
      </c>
      <c r="P846" s="387"/>
      <c r="Q846" s="389"/>
      <c r="R846" s="389"/>
      <c r="S846" s="389"/>
      <c r="T846" s="389"/>
      <c r="U846" s="389"/>
    </row>
    <row r="847" spans="1:21" ht="35.1" customHeight="1" x14ac:dyDescent="0.25">
      <c r="A847" s="535">
        <v>846</v>
      </c>
      <c r="B847" s="95">
        <v>45597</v>
      </c>
      <c r="C847" s="432"/>
      <c r="D847" s="485"/>
      <c r="E847" s="433"/>
      <c r="F847" s="432"/>
      <c r="G847" s="432"/>
      <c r="H847" s="432"/>
      <c r="I847" s="432"/>
      <c r="J847" s="432"/>
      <c r="K847" s="432"/>
      <c r="L847" s="432"/>
      <c r="M847" s="432"/>
      <c r="N847" s="540"/>
      <c r="O847" s="485">
        <f t="shared" si="15"/>
        <v>0</v>
      </c>
      <c r="P847" s="387"/>
      <c r="Q847" s="389"/>
      <c r="R847" s="389"/>
      <c r="S847" s="389"/>
      <c r="T847" s="389"/>
      <c r="U847" s="389"/>
    </row>
    <row r="848" spans="1:21" ht="35.1" customHeight="1" x14ac:dyDescent="0.25">
      <c r="A848" s="535">
        <v>847</v>
      </c>
      <c r="B848" s="95">
        <v>45598</v>
      </c>
      <c r="C848" s="432"/>
      <c r="D848" s="485"/>
      <c r="E848" s="433"/>
      <c r="F848" s="432"/>
      <c r="G848" s="432"/>
      <c r="H848" s="432"/>
      <c r="I848" s="432"/>
      <c r="J848" s="432"/>
      <c r="K848" s="432"/>
      <c r="L848" s="432"/>
      <c r="M848" s="432"/>
      <c r="N848" s="540"/>
      <c r="O848" s="485">
        <f t="shared" si="15"/>
        <v>0</v>
      </c>
      <c r="P848" s="387"/>
      <c r="Q848" s="389"/>
      <c r="R848" s="389"/>
      <c r="S848" s="389"/>
      <c r="T848" s="389"/>
      <c r="U848" s="389"/>
    </row>
    <row r="849" spans="1:21" ht="35.1" customHeight="1" x14ac:dyDescent="0.25">
      <c r="A849" s="535">
        <v>848</v>
      </c>
      <c r="B849" s="95">
        <v>45599</v>
      </c>
      <c r="C849" s="432"/>
      <c r="D849" s="485"/>
      <c r="E849" s="433"/>
      <c r="F849" s="432"/>
      <c r="G849" s="432"/>
      <c r="H849" s="432"/>
      <c r="I849" s="432"/>
      <c r="J849" s="432"/>
      <c r="K849" s="432"/>
      <c r="L849" s="432"/>
      <c r="M849" s="432"/>
      <c r="N849" s="540"/>
      <c r="O849" s="485">
        <f t="shared" si="15"/>
        <v>0</v>
      </c>
      <c r="P849" s="387"/>
      <c r="Q849" s="389"/>
      <c r="R849" s="389"/>
      <c r="S849" s="389"/>
      <c r="T849" s="389"/>
      <c r="U849" s="389"/>
    </row>
    <row r="850" spans="1:21" ht="35.1" customHeight="1" x14ac:dyDescent="0.25">
      <c r="A850" s="535">
        <v>849</v>
      </c>
      <c r="B850" s="95">
        <v>45600</v>
      </c>
      <c r="C850" s="432"/>
      <c r="D850" s="485"/>
      <c r="E850" s="433"/>
      <c r="F850" s="432"/>
      <c r="G850" s="432"/>
      <c r="H850" s="432"/>
      <c r="I850" s="432"/>
      <c r="J850" s="432"/>
      <c r="K850" s="432"/>
      <c r="L850" s="432"/>
      <c r="M850" s="432"/>
      <c r="N850" s="540"/>
      <c r="O850" s="485">
        <f t="shared" si="15"/>
        <v>0</v>
      </c>
      <c r="P850" s="387"/>
      <c r="Q850" s="389"/>
      <c r="R850" s="389"/>
      <c r="S850" s="389"/>
      <c r="T850" s="389"/>
      <c r="U850" s="389"/>
    </row>
    <row r="851" spans="1:21" ht="35.1" customHeight="1" x14ac:dyDescent="0.25">
      <c r="A851" s="535">
        <v>850</v>
      </c>
      <c r="B851" s="95">
        <v>45601</v>
      </c>
      <c r="C851" s="432"/>
      <c r="D851" s="485"/>
      <c r="E851" s="433"/>
      <c r="F851" s="432"/>
      <c r="G851" s="432"/>
      <c r="H851" s="432"/>
      <c r="I851" s="432"/>
      <c r="J851" s="432"/>
      <c r="K851" s="432"/>
      <c r="L851" s="432"/>
      <c r="M851" s="432"/>
      <c r="N851" s="540"/>
      <c r="O851" s="485">
        <f t="shared" si="15"/>
        <v>0</v>
      </c>
      <c r="P851" s="387"/>
      <c r="Q851" s="389"/>
      <c r="R851" s="389"/>
      <c r="S851" s="389"/>
      <c r="T851" s="389"/>
      <c r="U851" s="389"/>
    </row>
    <row r="852" spans="1:21" ht="35.1" customHeight="1" x14ac:dyDescent="0.25">
      <c r="A852" s="535">
        <v>851</v>
      </c>
      <c r="B852" s="95">
        <v>45602</v>
      </c>
      <c r="C852" s="432"/>
      <c r="D852" s="485"/>
      <c r="E852" s="433"/>
      <c r="F852" s="432"/>
      <c r="G852" s="432"/>
      <c r="H852" s="432"/>
      <c r="I852" s="432"/>
      <c r="J852" s="432"/>
      <c r="K852" s="432"/>
      <c r="L852" s="432"/>
      <c r="M852" s="432"/>
      <c r="N852" s="540"/>
      <c r="O852" s="485">
        <f t="shared" si="15"/>
        <v>0</v>
      </c>
      <c r="P852" s="387"/>
      <c r="Q852" s="389"/>
      <c r="R852" s="389"/>
      <c r="S852" s="389"/>
      <c r="T852" s="389"/>
      <c r="U852" s="389"/>
    </row>
    <row r="853" spans="1:21" ht="35.1" customHeight="1" x14ac:dyDescent="0.25">
      <c r="A853" s="535">
        <v>852</v>
      </c>
      <c r="B853" s="95">
        <v>45603</v>
      </c>
      <c r="C853" s="432"/>
      <c r="D853" s="485"/>
      <c r="E853" s="433"/>
      <c r="F853" s="432"/>
      <c r="G853" s="432"/>
      <c r="H853" s="432"/>
      <c r="I853" s="432"/>
      <c r="J853" s="432"/>
      <c r="K853" s="432"/>
      <c r="L853" s="432"/>
      <c r="M853" s="432"/>
      <c r="N853" s="540"/>
      <c r="O853" s="485">
        <f t="shared" si="15"/>
        <v>0</v>
      </c>
      <c r="P853" s="387"/>
      <c r="Q853" s="389"/>
      <c r="R853" s="389"/>
      <c r="S853" s="389"/>
      <c r="T853" s="389"/>
      <c r="U853" s="389"/>
    </row>
    <row r="854" spans="1:21" ht="35.1" customHeight="1" x14ac:dyDescent="0.25">
      <c r="A854" s="535">
        <v>853</v>
      </c>
      <c r="B854" s="95">
        <v>45604</v>
      </c>
      <c r="C854" s="432"/>
      <c r="D854" s="485"/>
      <c r="E854" s="433"/>
      <c r="F854" s="432"/>
      <c r="G854" s="432"/>
      <c r="H854" s="432"/>
      <c r="I854" s="432"/>
      <c r="J854" s="432"/>
      <c r="K854" s="432"/>
      <c r="L854" s="432"/>
      <c r="M854" s="432"/>
      <c r="N854" s="540"/>
      <c r="O854" s="485">
        <f t="shared" si="15"/>
        <v>0</v>
      </c>
      <c r="P854" s="387"/>
      <c r="Q854" s="389"/>
      <c r="R854" s="389"/>
      <c r="S854" s="389"/>
      <c r="T854" s="389"/>
      <c r="U854" s="389"/>
    </row>
    <row r="855" spans="1:21" ht="35.1" customHeight="1" x14ac:dyDescent="0.25">
      <c r="A855" s="535">
        <v>854</v>
      </c>
      <c r="B855" s="95">
        <v>45605</v>
      </c>
      <c r="C855" s="432"/>
      <c r="D855" s="485"/>
      <c r="E855" s="433"/>
      <c r="F855" s="432"/>
      <c r="G855" s="432"/>
      <c r="H855" s="432"/>
      <c r="I855" s="432"/>
      <c r="J855" s="432"/>
      <c r="K855" s="432"/>
      <c r="L855" s="432"/>
      <c r="M855" s="432"/>
      <c r="N855" s="540"/>
      <c r="O855" s="485">
        <f t="shared" si="15"/>
        <v>0</v>
      </c>
      <c r="P855" s="387"/>
      <c r="Q855" s="389"/>
      <c r="R855" s="389"/>
      <c r="S855" s="389"/>
      <c r="T855" s="389"/>
      <c r="U855" s="389"/>
    </row>
    <row r="856" spans="1:21" ht="35.1" customHeight="1" x14ac:dyDescent="0.25">
      <c r="A856" s="535">
        <v>855</v>
      </c>
      <c r="B856" s="95">
        <v>45606</v>
      </c>
      <c r="C856" s="432"/>
      <c r="D856" s="485"/>
      <c r="E856" s="433"/>
      <c r="F856" s="432"/>
      <c r="G856" s="432"/>
      <c r="H856" s="432"/>
      <c r="I856" s="432"/>
      <c r="J856" s="432"/>
      <c r="K856" s="432"/>
      <c r="L856" s="432"/>
      <c r="M856" s="432"/>
      <c r="N856" s="540"/>
      <c r="O856" s="485">
        <f t="shared" si="15"/>
        <v>0</v>
      </c>
      <c r="P856" s="387"/>
      <c r="Q856" s="389"/>
      <c r="R856" s="389"/>
      <c r="S856" s="389"/>
      <c r="T856" s="389"/>
      <c r="U856" s="389"/>
    </row>
    <row r="857" spans="1:21" ht="35.1" customHeight="1" x14ac:dyDescent="0.25">
      <c r="A857" s="535">
        <v>856</v>
      </c>
      <c r="B857" s="95">
        <v>45607</v>
      </c>
      <c r="C857" s="432"/>
      <c r="D857" s="485"/>
      <c r="E857" s="433"/>
      <c r="F857" s="432"/>
      <c r="G857" s="432"/>
      <c r="H857" s="432"/>
      <c r="I857" s="432"/>
      <c r="J857" s="432"/>
      <c r="K857" s="432"/>
      <c r="L857" s="432"/>
      <c r="M857" s="432"/>
      <c r="N857" s="540"/>
      <c r="O857" s="485">
        <f t="shared" si="15"/>
        <v>0</v>
      </c>
      <c r="P857" s="387"/>
      <c r="Q857" s="389"/>
      <c r="R857" s="389"/>
      <c r="S857" s="389"/>
      <c r="T857" s="389"/>
      <c r="U857" s="389"/>
    </row>
    <row r="858" spans="1:21" ht="35.1" customHeight="1" x14ac:dyDescent="0.25">
      <c r="A858" s="535">
        <v>857</v>
      </c>
      <c r="B858" s="95">
        <v>45608</v>
      </c>
      <c r="C858" s="432"/>
      <c r="D858" s="485"/>
      <c r="E858" s="433"/>
      <c r="F858" s="432"/>
      <c r="G858" s="432"/>
      <c r="H858" s="432"/>
      <c r="I858" s="432"/>
      <c r="J858" s="432"/>
      <c r="K858" s="432"/>
      <c r="L858" s="432"/>
      <c r="M858" s="432"/>
      <c r="N858" s="540"/>
      <c r="O858" s="485">
        <f t="shared" si="15"/>
        <v>0</v>
      </c>
      <c r="P858" s="387"/>
      <c r="Q858" s="389"/>
      <c r="R858" s="389"/>
      <c r="S858" s="389"/>
      <c r="T858" s="389"/>
      <c r="U858" s="389"/>
    </row>
    <row r="859" spans="1:21" ht="35.1" customHeight="1" x14ac:dyDescent="0.25">
      <c r="A859" s="535">
        <v>858</v>
      </c>
      <c r="B859" s="95">
        <v>45609</v>
      </c>
      <c r="C859" s="432"/>
      <c r="D859" s="485"/>
      <c r="E859" s="433"/>
      <c r="F859" s="432"/>
      <c r="G859" s="432"/>
      <c r="H859" s="432"/>
      <c r="I859" s="432"/>
      <c r="J859" s="432"/>
      <c r="K859" s="432"/>
      <c r="L859" s="432"/>
      <c r="M859" s="432"/>
      <c r="N859" s="540"/>
      <c r="O859" s="485">
        <f t="shared" si="15"/>
        <v>0</v>
      </c>
      <c r="P859" s="387"/>
      <c r="Q859" s="389"/>
      <c r="R859" s="389"/>
      <c r="S859" s="389"/>
      <c r="T859" s="389"/>
      <c r="U859" s="389"/>
    </row>
    <row r="860" spans="1:21" ht="35.1" customHeight="1" x14ac:dyDescent="0.25">
      <c r="A860" s="535">
        <v>859</v>
      </c>
      <c r="B860" s="95">
        <v>45610</v>
      </c>
      <c r="C860" s="432"/>
      <c r="D860" s="485"/>
      <c r="E860" s="433"/>
      <c r="F860" s="432"/>
      <c r="G860" s="432"/>
      <c r="H860" s="432"/>
      <c r="I860" s="432"/>
      <c r="J860" s="432"/>
      <c r="K860" s="432"/>
      <c r="L860" s="432"/>
      <c r="M860" s="432"/>
      <c r="N860" s="540"/>
      <c r="O860" s="485">
        <f t="shared" si="15"/>
        <v>0</v>
      </c>
      <c r="P860" s="387"/>
      <c r="Q860" s="389"/>
      <c r="R860" s="389"/>
      <c r="S860" s="389"/>
      <c r="T860" s="389"/>
      <c r="U860" s="389"/>
    </row>
    <row r="861" spans="1:21" ht="35.1" customHeight="1" x14ac:dyDescent="0.25">
      <c r="A861" s="535">
        <v>860</v>
      </c>
      <c r="B861" s="95">
        <v>45611</v>
      </c>
      <c r="C861" s="432"/>
      <c r="D861" s="485"/>
      <c r="E861" s="433"/>
      <c r="F861" s="432"/>
      <c r="G861" s="432"/>
      <c r="H861" s="432"/>
      <c r="I861" s="432"/>
      <c r="J861" s="432"/>
      <c r="K861" s="432"/>
      <c r="L861" s="432"/>
      <c r="M861" s="432"/>
      <c r="N861" s="540"/>
      <c r="O861" s="485">
        <f t="shared" si="15"/>
        <v>0</v>
      </c>
      <c r="P861" s="387"/>
      <c r="Q861" s="389"/>
      <c r="R861" s="389"/>
      <c r="S861" s="389"/>
      <c r="T861" s="389"/>
      <c r="U861" s="389"/>
    </row>
    <row r="862" spans="1:21" ht="35.1" customHeight="1" x14ac:dyDescent="0.25">
      <c r="A862" s="535">
        <v>861</v>
      </c>
      <c r="B862" s="95">
        <v>45612</v>
      </c>
      <c r="C862" s="432"/>
      <c r="D862" s="485"/>
      <c r="E862" s="433"/>
      <c r="F862" s="432"/>
      <c r="G862" s="432"/>
      <c r="H862" s="432"/>
      <c r="I862" s="432"/>
      <c r="J862" s="432"/>
      <c r="K862" s="432"/>
      <c r="L862" s="432"/>
      <c r="M862" s="432"/>
      <c r="N862" s="540"/>
      <c r="O862" s="485">
        <f t="shared" si="15"/>
        <v>0</v>
      </c>
      <c r="P862" s="387"/>
      <c r="Q862" s="389"/>
      <c r="R862" s="389"/>
      <c r="S862" s="389"/>
      <c r="T862" s="389"/>
      <c r="U862" s="389"/>
    </row>
    <row r="863" spans="1:21" ht="35.1" customHeight="1" x14ac:dyDescent="0.25">
      <c r="A863" s="535">
        <v>862</v>
      </c>
      <c r="B863" s="95">
        <v>45613</v>
      </c>
      <c r="C863" s="432"/>
      <c r="D863" s="485"/>
      <c r="E863" s="433"/>
      <c r="F863" s="432"/>
      <c r="G863" s="432"/>
      <c r="H863" s="432"/>
      <c r="I863" s="432"/>
      <c r="J863" s="432"/>
      <c r="K863" s="432"/>
      <c r="L863" s="432"/>
      <c r="M863" s="432"/>
      <c r="N863" s="540"/>
      <c r="O863" s="485">
        <f t="shared" si="15"/>
        <v>0</v>
      </c>
      <c r="P863" s="387"/>
      <c r="Q863" s="389"/>
      <c r="R863" s="389"/>
      <c r="S863" s="389"/>
      <c r="T863" s="389"/>
      <c r="U863" s="389"/>
    </row>
    <row r="864" spans="1:21" ht="35.1" customHeight="1" x14ac:dyDescent="0.25">
      <c r="A864" s="535">
        <v>863</v>
      </c>
      <c r="B864" s="95">
        <v>45614</v>
      </c>
      <c r="C864" s="432"/>
      <c r="D864" s="485"/>
      <c r="E864" s="433"/>
      <c r="F864" s="432"/>
      <c r="G864" s="432"/>
      <c r="H864" s="432"/>
      <c r="I864" s="432"/>
      <c r="J864" s="432"/>
      <c r="K864" s="432"/>
      <c r="L864" s="432"/>
      <c r="M864" s="432"/>
      <c r="N864" s="540"/>
      <c r="O864" s="485">
        <f t="shared" si="15"/>
        <v>0</v>
      </c>
      <c r="P864" s="387"/>
      <c r="Q864" s="389"/>
      <c r="R864" s="389"/>
      <c r="S864" s="389"/>
      <c r="T864" s="389"/>
      <c r="U864" s="389"/>
    </row>
    <row r="865" spans="1:21" ht="35.1" customHeight="1" x14ac:dyDescent="0.25">
      <c r="A865" s="535">
        <v>864</v>
      </c>
      <c r="B865" s="95">
        <v>45615</v>
      </c>
      <c r="C865" s="432"/>
      <c r="D865" s="485"/>
      <c r="E865" s="433"/>
      <c r="F865" s="432"/>
      <c r="G865" s="432"/>
      <c r="H865" s="432"/>
      <c r="I865" s="432"/>
      <c r="J865" s="432"/>
      <c r="K865" s="432"/>
      <c r="L865" s="432"/>
      <c r="M865" s="432"/>
      <c r="N865" s="540"/>
      <c r="O865" s="485">
        <f t="shared" si="15"/>
        <v>0</v>
      </c>
      <c r="P865" s="387"/>
      <c r="Q865" s="389"/>
      <c r="R865" s="389"/>
      <c r="S865" s="389"/>
      <c r="T865" s="389"/>
      <c r="U865" s="389"/>
    </row>
    <row r="866" spans="1:21" ht="35.1" customHeight="1" x14ac:dyDescent="0.25">
      <c r="A866" s="535">
        <v>865</v>
      </c>
      <c r="B866" s="95">
        <v>45616</v>
      </c>
      <c r="C866" s="432"/>
      <c r="D866" s="485"/>
      <c r="E866" s="433"/>
      <c r="F866" s="432"/>
      <c r="G866" s="432"/>
      <c r="H866" s="432"/>
      <c r="I866" s="432"/>
      <c r="J866" s="432"/>
      <c r="K866" s="432"/>
      <c r="L866" s="432"/>
      <c r="M866" s="432"/>
      <c r="N866" s="540"/>
      <c r="O866" s="485">
        <f t="shared" si="15"/>
        <v>0</v>
      </c>
      <c r="P866" s="387"/>
      <c r="Q866" s="389"/>
      <c r="R866" s="389"/>
      <c r="S866" s="389"/>
      <c r="T866" s="389"/>
      <c r="U866" s="389"/>
    </row>
    <row r="867" spans="1:21" ht="35.1" customHeight="1" x14ac:dyDescent="0.25">
      <c r="A867" s="535">
        <v>866</v>
      </c>
      <c r="B867" s="95">
        <v>45617</v>
      </c>
      <c r="C867" s="432"/>
      <c r="D867" s="485"/>
      <c r="E867" s="433"/>
      <c r="F867" s="432"/>
      <c r="G867" s="432"/>
      <c r="H867" s="432"/>
      <c r="I867" s="432"/>
      <c r="J867" s="432"/>
      <c r="K867" s="432"/>
      <c r="L867" s="432"/>
      <c r="M867" s="432"/>
      <c r="N867" s="540"/>
      <c r="O867" s="485">
        <f t="shared" si="15"/>
        <v>0</v>
      </c>
      <c r="P867" s="387"/>
      <c r="Q867" s="389"/>
      <c r="R867" s="389"/>
      <c r="S867" s="389"/>
      <c r="T867" s="389"/>
      <c r="U867" s="389"/>
    </row>
    <row r="868" spans="1:21" ht="35.1" customHeight="1" x14ac:dyDescent="0.25">
      <c r="A868" s="535">
        <v>867</v>
      </c>
      <c r="B868" s="95">
        <v>45618</v>
      </c>
      <c r="C868" s="432"/>
      <c r="D868" s="485"/>
      <c r="E868" s="433"/>
      <c r="F868" s="432"/>
      <c r="G868" s="432"/>
      <c r="H868" s="432"/>
      <c r="I868" s="432"/>
      <c r="J868" s="432"/>
      <c r="K868" s="432"/>
      <c r="L868" s="432"/>
      <c r="M868" s="432"/>
      <c r="N868" s="540"/>
      <c r="O868" s="485">
        <f t="shared" si="15"/>
        <v>0</v>
      </c>
      <c r="P868" s="387"/>
      <c r="Q868" s="389"/>
      <c r="R868" s="389"/>
      <c r="S868" s="389"/>
      <c r="T868" s="389"/>
      <c r="U868" s="389"/>
    </row>
    <row r="869" spans="1:21" ht="35.1" customHeight="1" x14ac:dyDescent="0.25">
      <c r="A869" s="535">
        <v>868</v>
      </c>
      <c r="B869" s="95">
        <v>45619</v>
      </c>
      <c r="C869" s="432"/>
      <c r="D869" s="485"/>
      <c r="E869" s="433"/>
      <c r="F869" s="432"/>
      <c r="G869" s="432"/>
      <c r="H869" s="432"/>
      <c r="I869" s="432"/>
      <c r="J869" s="432"/>
      <c r="K869" s="432"/>
      <c r="L869" s="432"/>
      <c r="M869" s="432"/>
      <c r="N869" s="540"/>
      <c r="O869" s="485">
        <f t="shared" si="15"/>
        <v>0</v>
      </c>
      <c r="P869" s="387"/>
      <c r="Q869" s="389"/>
      <c r="R869" s="389"/>
      <c r="S869" s="389"/>
      <c r="T869" s="389"/>
      <c r="U869" s="389"/>
    </row>
    <row r="870" spans="1:21" ht="35.1" customHeight="1" x14ac:dyDescent="0.25">
      <c r="A870" s="535">
        <v>869</v>
      </c>
      <c r="B870" s="95">
        <v>45620</v>
      </c>
      <c r="C870" s="432"/>
      <c r="D870" s="485"/>
      <c r="E870" s="433"/>
      <c r="F870" s="432"/>
      <c r="G870" s="432"/>
      <c r="H870" s="432"/>
      <c r="I870" s="432"/>
      <c r="J870" s="432"/>
      <c r="K870" s="432"/>
      <c r="L870" s="432"/>
      <c r="M870" s="432"/>
      <c r="N870" s="540"/>
      <c r="O870" s="485">
        <f t="shared" si="15"/>
        <v>0</v>
      </c>
      <c r="P870" s="387"/>
      <c r="Q870" s="389"/>
      <c r="R870" s="389"/>
      <c r="S870" s="389"/>
      <c r="T870" s="389"/>
      <c r="U870" s="389"/>
    </row>
    <row r="871" spans="1:21" ht="35.1" customHeight="1" x14ac:dyDescent="0.25">
      <c r="A871" s="535">
        <v>870</v>
      </c>
      <c r="B871" s="95">
        <v>45621</v>
      </c>
      <c r="C871" s="432"/>
      <c r="D871" s="485"/>
      <c r="E871" s="433"/>
      <c r="F871" s="432"/>
      <c r="G871" s="432"/>
      <c r="H871" s="432"/>
      <c r="I871" s="432"/>
      <c r="J871" s="432"/>
      <c r="K871" s="432"/>
      <c r="L871" s="432"/>
      <c r="M871" s="432"/>
      <c r="N871" s="540"/>
      <c r="O871" s="485">
        <f t="shared" si="15"/>
        <v>0</v>
      </c>
      <c r="P871" s="387"/>
      <c r="Q871" s="389"/>
      <c r="R871" s="389"/>
      <c r="S871" s="389"/>
      <c r="T871" s="389"/>
      <c r="U871" s="389"/>
    </row>
    <row r="872" spans="1:21" ht="35.1" customHeight="1" x14ac:dyDescent="0.25">
      <c r="A872" s="535">
        <v>871</v>
      </c>
      <c r="B872" s="95">
        <v>45622</v>
      </c>
      <c r="C872" s="432"/>
      <c r="D872" s="485"/>
      <c r="E872" s="433"/>
      <c r="F872" s="432"/>
      <c r="G872" s="432"/>
      <c r="H872" s="432"/>
      <c r="I872" s="432"/>
      <c r="J872" s="432"/>
      <c r="K872" s="432"/>
      <c r="L872" s="432"/>
      <c r="M872" s="432"/>
      <c r="N872" s="540"/>
      <c r="O872" s="485">
        <f t="shared" si="15"/>
        <v>0</v>
      </c>
      <c r="P872" s="387"/>
      <c r="Q872" s="389"/>
      <c r="R872" s="389"/>
      <c r="S872" s="389"/>
      <c r="T872" s="389"/>
      <c r="U872" s="389"/>
    </row>
    <row r="873" spans="1:21" ht="35.1" customHeight="1" x14ac:dyDescent="0.25">
      <c r="A873" s="535">
        <v>872</v>
      </c>
      <c r="B873" s="95">
        <v>45623</v>
      </c>
      <c r="C873" s="432"/>
      <c r="D873" s="485"/>
      <c r="E873" s="433"/>
      <c r="F873" s="432"/>
      <c r="G873" s="432"/>
      <c r="H873" s="432"/>
      <c r="I873" s="432"/>
      <c r="J873" s="432"/>
      <c r="K873" s="432"/>
      <c r="L873" s="432"/>
      <c r="M873" s="432"/>
      <c r="N873" s="540"/>
      <c r="O873" s="485">
        <f t="shared" si="15"/>
        <v>0</v>
      </c>
      <c r="P873" s="387"/>
      <c r="Q873" s="389"/>
      <c r="R873" s="389"/>
      <c r="S873" s="389"/>
      <c r="T873" s="389"/>
      <c r="U873" s="389"/>
    </row>
    <row r="874" spans="1:21" ht="35.1" customHeight="1" x14ac:dyDescent="0.25">
      <c r="A874" s="535">
        <v>873</v>
      </c>
      <c r="B874" s="95">
        <v>45624</v>
      </c>
      <c r="C874" s="432"/>
      <c r="D874" s="485"/>
      <c r="E874" s="433"/>
      <c r="F874" s="432"/>
      <c r="G874" s="432"/>
      <c r="H874" s="432"/>
      <c r="I874" s="432"/>
      <c r="J874" s="432"/>
      <c r="K874" s="432"/>
      <c r="L874" s="432"/>
      <c r="M874" s="432"/>
      <c r="N874" s="540"/>
      <c r="O874" s="485">
        <f t="shared" si="15"/>
        <v>0</v>
      </c>
      <c r="P874" s="387"/>
      <c r="Q874" s="389"/>
      <c r="R874" s="389"/>
      <c r="S874" s="389"/>
      <c r="T874" s="389"/>
      <c r="U874" s="389"/>
    </row>
    <row r="875" spans="1:21" ht="35.1" customHeight="1" x14ac:dyDescent="0.25">
      <c r="A875" s="535">
        <v>874</v>
      </c>
      <c r="B875" s="95">
        <v>45625</v>
      </c>
      <c r="C875" s="432"/>
      <c r="D875" s="485"/>
      <c r="E875" s="433"/>
      <c r="F875" s="432"/>
      <c r="G875" s="432"/>
      <c r="H875" s="432"/>
      <c r="I875" s="432"/>
      <c r="J875" s="432"/>
      <c r="K875" s="432"/>
      <c r="L875" s="432"/>
      <c r="M875" s="432"/>
      <c r="N875" s="540"/>
      <c r="O875" s="485">
        <f t="shared" si="15"/>
        <v>0</v>
      </c>
      <c r="P875" s="387"/>
      <c r="Q875" s="389"/>
      <c r="R875" s="389"/>
      <c r="S875" s="389"/>
      <c r="T875" s="389"/>
      <c r="U875" s="389"/>
    </row>
    <row r="876" spans="1:21" ht="35.1" customHeight="1" x14ac:dyDescent="0.25">
      <c r="A876" s="535">
        <v>875</v>
      </c>
      <c r="B876" s="95">
        <v>45626</v>
      </c>
      <c r="C876" s="432"/>
      <c r="D876" s="485"/>
      <c r="E876" s="433"/>
      <c r="F876" s="432"/>
      <c r="G876" s="432"/>
      <c r="H876" s="432"/>
      <c r="I876" s="432"/>
      <c r="J876" s="432"/>
      <c r="K876" s="432"/>
      <c r="L876" s="432"/>
      <c r="M876" s="432"/>
      <c r="N876" s="540"/>
      <c r="O876" s="485">
        <f t="shared" si="15"/>
        <v>0</v>
      </c>
      <c r="P876" s="387"/>
      <c r="Q876" s="389"/>
      <c r="R876" s="389"/>
      <c r="S876" s="389"/>
      <c r="T876" s="389"/>
      <c r="U876" s="389"/>
    </row>
    <row r="877" spans="1:21" ht="35.1" customHeight="1" x14ac:dyDescent="0.25">
      <c r="A877" s="535">
        <v>876</v>
      </c>
      <c r="B877" s="95">
        <v>45627</v>
      </c>
      <c r="C877" s="432"/>
      <c r="D877" s="485"/>
      <c r="E877" s="433"/>
      <c r="F877" s="432"/>
      <c r="G877" s="432"/>
      <c r="H877" s="432"/>
      <c r="I877" s="432"/>
      <c r="J877" s="432"/>
      <c r="K877" s="432"/>
      <c r="L877" s="432"/>
      <c r="M877" s="432"/>
      <c r="N877" s="540"/>
      <c r="O877" s="485">
        <f t="shared" si="15"/>
        <v>0</v>
      </c>
      <c r="P877" s="387"/>
      <c r="Q877" s="389"/>
      <c r="R877" s="389"/>
      <c r="S877" s="389"/>
      <c r="T877" s="389"/>
      <c r="U877" s="389"/>
    </row>
    <row r="878" spans="1:21" ht="35.1" customHeight="1" x14ac:dyDescent="0.25">
      <c r="A878" s="535">
        <v>877</v>
      </c>
      <c r="B878" s="95">
        <v>45628</v>
      </c>
      <c r="C878" s="432"/>
      <c r="D878" s="485"/>
      <c r="E878" s="433"/>
      <c r="F878" s="432"/>
      <c r="G878" s="432"/>
      <c r="H878" s="432"/>
      <c r="I878" s="432"/>
      <c r="J878" s="432"/>
      <c r="K878" s="432"/>
      <c r="L878" s="432"/>
      <c r="M878" s="432"/>
      <c r="N878" s="540"/>
      <c r="O878" s="485">
        <f t="shared" si="15"/>
        <v>0</v>
      </c>
      <c r="P878" s="387"/>
      <c r="Q878" s="389"/>
      <c r="R878" s="389"/>
      <c r="S878" s="389"/>
      <c r="T878" s="389"/>
      <c r="U878" s="389"/>
    </row>
    <row r="879" spans="1:21" ht="35.1" customHeight="1" x14ac:dyDescent="0.25">
      <c r="A879" s="535">
        <v>878</v>
      </c>
      <c r="B879" s="95">
        <v>45629</v>
      </c>
      <c r="C879" s="432"/>
      <c r="D879" s="485"/>
      <c r="E879" s="433"/>
      <c r="F879" s="432"/>
      <c r="G879" s="432"/>
      <c r="H879" s="432"/>
      <c r="I879" s="432"/>
      <c r="J879" s="432"/>
      <c r="K879" s="432"/>
      <c r="L879" s="432"/>
      <c r="M879" s="432"/>
      <c r="N879" s="540"/>
      <c r="O879" s="485">
        <f t="shared" si="15"/>
        <v>0</v>
      </c>
      <c r="P879" s="387"/>
      <c r="Q879" s="389"/>
      <c r="R879" s="389"/>
      <c r="S879" s="389"/>
      <c r="T879" s="389"/>
      <c r="U879" s="389"/>
    </row>
    <row r="880" spans="1:21" ht="35.1" customHeight="1" x14ac:dyDescent="0.25">
      <c r="A880" s="535">
        <v>879</v>
      </c>
      <c r="B880" s="95">
        <v>45630</v>
      </c>
      <c r="C880" s="432"/>
      <c r="D880" s="485"/>
      <c r="E880" s="433"/>
      <c r="F880" s="432"/>
      <c r="G880" s="432"/>
      <c r="H880" s="432"/>
      <c r="I880" s="432"/>
      <c r="J880" s="432"/>
      <c r="K880" s="432"/>
      <c r="L880" s="432"/>
      <c r="M880" s="432"/>
      <c r="N880" s="540"/>
      <c r="O880" s="485">
        <f t="shared" si="15"/>
        <v>0</v>
      </c>
      <c r="P880" s="387"/>
      <c r="Q880" s="389"/>
      <c r="R880" s="389"/>
      <c r="S880" s="389"/>
      <c r="T880" s="389"/>
      <c r="U880" s="389"/>
    </row>
    <row r="881" spans="1:21" ht="35.1" customHeight="1" x14ac:dyDescent="0.25">
      <c r="A881" s="535">
        <v>880</v>
      </c>
      <c r="B881" s="95">
        <v>45631</v>
      </c>
      <c r="C881" s="432"/>
      <c r="D881" s="485"/>
      <c r="E881" s="433"/>
      <c r="F881" s="432"/>
      <c r="G881" s="432"/>
      <c r="H881" s="432"/>
      <c r="I881" s="432"/>
      <c r="J881" s="432"/>
      <c r="K881" s="432"/>
      <c r="L881" s="432"/>
      <c r="M881" s="432"/>
      <c r="N881" s="540"/>
      <c r="O881" s="485">
        <f t="shared" si="15"/>
        <v>0</v>
      </c>
      <c r="P881" s="387"/>
      <c r="Q881" s="389"/>
      <c r="R881" s="389"/>
      <c r="S881" s="389"/>
      <c r="T881" s="389"/>
      <c r="U881" s="389"/>
    </row>
    <row r="882" spans="1:21" ht="35.1" customHeight="1" x14ac:dyDescent="0.25">
      <c r="A882" s="535">
        <v>881</v>
      </c>
      <c r="B882" s="95">
        <v>45632</v>
      </c>
      <c r="C882" s="432"/>
      <c r="D882" s="485"/>
      <c r="E882" s="433"/>
      <c r="F882" s="432"/>
      <c r="G882" s="432"/>
      <c r="H882" s="432"/>
      <c r="I882" s="432"/>
      <c r="J882" s="432"/>
      <c r="K882" s="432"/>
      <c r="L882" s="432"/>
      <c r="M882" s="432"/>
      <c r="N882" s="540"/>
      <c r="O882" s="485">
        <f t="shared" si="15"/>
        <v>0</v>
      </c>
      <c r="P882" s="387"/>
      <c r="Q882" s="389"/>
      <c r="R882" s="389"/>
      <c r="S882" s="389"/>
      <c r="T882" s="389"/>
      <c r="U882" s="389"/>
    </row>
    <row r="883" spans="1:21" ht="35.1" customHeight="1" x14ac:dyDescent="0.25">
      <c r="A883" s="535">
        <v>882</v>
      </c>
      <c r="B883" s="95">
        <v>45633</v>
      </c>
      <c r="C883" s="432"/>
      <c r="D883" s="485"/>
      <c r="E883" s="433"/>
      <c r="F883" s="432"/>
      <c r="G883" s="432"/>
      <c r="H883" s="432"/>
      <c r="I883" s="432"/>
      <c r="J883" s="432"/>
      <c r="K883" s="432"/>
      <c r="L883" s="432"/>
      <c r="M883" s="432"/>
      <c r="N883" s="540"/>
      <c r="O883" s="485">
        <f t="shared" si="15"/>
        <v>0</v>
      </c>
      <c r="P883" s="387"/>
      <c r="Q883" s="389"/>
      <c r="R883" s="389"/>
      <c r="S883" s="389"/>
      <c r="T883" s="389"/>
      <c r="U883" s="389"/>
    </row>
    <row r="884" spans="1:21" ht="35.1" customHeight="1" x14ac:dyDescent="0.25">
      <c r="A884" s="535">
        <v>883</v>
      </c>
      <c r="B884" s="95">
        <v>45634</v>
      </c>
      <c r="C884" s="432"/>
      <c r="D884" s="485"/>
      <c r="E884" s="433"/>
      <c r="F884" s="432"/>
      <c r="G884" s="432"/>
      <c r="H884" s="432"/>
      <c r="I884" s="432"/>
      <c r="J884" s="432"/>
      <c r="K884" s="432"/>
      <c r="L884" s="432"/>
      <c r="M884" s="432"/>
      <c r="N884" s="540"/>
      <c r="O884" s="485">
        <f t="shared" si="15"/>
        <v>0</v>
      </c>
      <c r="P884" s="387"/>
      <c r="Q884" s="389"/>
      <c r="R884" s="389"/>
      <c r="S884" s="389"/>
      <c r="T884" s="389"/>
      <c r="U884" s="389"/>
    </row>
    <row r="885" spans="1:21" ht="35.1" customHeight="1" x14ac:dyDescent="0.25">
      <c r="A885" s="535">
        <v>884</v>
      </c>
      <c r="B885" s="95">
        <v>45635</v>
      </c>
      <c r="C885" s="432"/>
      <c r="D885" s="485"/>
      <c r="E885" s="433"/>
      <c r="F885" s="432"/>
      <c r="G885" s="432"/>
      <c r="H885" s="432"/>
      <c r="I885" s="432"/>
      <c r="J885" s="432"/>
      <c r="K885" s="432"/>
      <c r="L885" s="432"/>
      <c r="M885" s="432"/>
      <c r="N885" s="540"/>
      <c r="O885" s="485">
        <f t="shared" si="15"/>
        <v>0</v>
      </c>
      <c r="P885" s="387"/>
      <c r="Q885" s="389"/>
      <c r="R885" s="389"/>
      <c r="S885" s="389"/>
      <c r="T885" s="389"/>
      <c r="U885" s="389"/>
    </row>
    <row r="886" spans="1:21" ht="35.1" customHeight="1" x14ac:dyDescent="0.25">
      <c r="A886" s="535">
        <v>885</v>
      </c>
      <c r="B886" s="95">
        <v>45636</v>
      </c>
      <c r="C886" s="432"/>
      <c r="D886" s="485"/>
      <c r="E886" s="433"/>
      <c r="F886" s="432"/>
      <c r="G886" s="432"/>
      <c r="H886" s="432"/>
      <c r="I886" s="432"/>
      <c r="J886" s="432"/>
      <c r="K886" s="432"/>
      <c r="L886" s="432"/>
      <c r="M886" s="432"/>
      <c r="N886" s="540"/>
      <c r="O886" s="485">
        <f t="shared" si="15"/>
        <v>0</v>
      </c>
      <c r="P886" s="387"/>
      <c r="Q886" s="389"/>
      <c r="R886" s="389"/>
      <c r="S886" s="389"/>
      <c r="T886" s="389"/>
      <c r="U886" s="389"/>
    </row>
    <row r="887" spans="1:21" ht="35.1" customHeight="1" x14ac:dyDescent="0.25">
      <c r="A887" s="535">
        <v>886</v>
      </c>
      <c r="B887" s="95">
        <v>45637</v>
      </c>
      <c r="C887" s="432"/>
      <c r="D887" s="485"/>
      <c r="E887" s="433"/>
      <c r="F887" s="432"/>
      <c r="G887" s="432"/>
      <c r="H887" s="432"/>
      <c r="I887" s="432"/>
      <c r="J887" s="432"/>
      <c r="K887" s="432"/>
      <c r="L887" s="432"/>
      <c r="M887" s="432"/>
      <c r="N887" s="540"/>
      <c r="O887" s="485">
        <f t="shared" si="15"/>
        <v>0</v>
      </c>
      <c r="P887" s="387"/>
      <c r="Q887" s="389"/>
      <c r="R887" s="389"/>
      <c r="S887" s="389"/>
      <c r="T887" s="389"/>
      <c r="U887" s="389"/>
    </row>
    <row r="888" spans="1:21" ht="35.1" customHeight="1" x14ac:dyDescent="0.25">
      <c r="A888" s="535">
        <v>887</v>
      </c>
      <c r="B888" s="95">
        <v>45638</v>
      </c>
      <c r="C888" s="432"/>
      <c r="D888" s="485"/>
      <c r="E888" s="433"/>
      <c r="F888" s="432"/>
      <c r="G888" s="432"/>
      <c r="H888" s="432"/>
      <c r="I888" s="432"/>
      <c r="J888" s="432"/>
      <c r="K888" s="432"/>
      <c r="L888" s="432"/>
      <c r="M888" s="432"/>
      <c r="N888" s="540"/>
      <c r="O888" s="485">
        <f t="shared" si="15"/>
        <v>0</v>
      </c>
      <c r="P888" s="387"/>
      <c r="Q888" s="389"/>
      <c r="R888" s="389"/>
      <c r="S888" s="389"/>
      <c r="T888" s="389"/>
      <c r="U888" s="389"/>
    </row>
    <row r="889" spans="1:21" ht="35.1" customHeight="1" x14ac:dyDescent="0.25">
      <c r="A889" s="535">
        <v>888</v>
      </c>
      <c r="B889" s="95">
        <v>45639</v>
      </c>
      <c r="C889" s="432"/>
      <c r="D889" s="485"/>
      <c r="E889" s="433"/>
      <c r="F889" s="432"/>
      <c r="G889" s="432"/>
      <c r="H889" s="432"/>
      <c r="I889" s="432"/>
      <c r="J889" s="432"/>
      <c r="K889" s="432"/>
      <c r="L889" s="432"/>
      <c r="M889" s="432"/>
      <c r="N889" s="540"/>
      <c r="O889" s="485">
        <f t="shared" ref="O889:O911" si="16">SUM(G889:N889)+F889+D889</f>
        <v>0</v>
      </c>
      <c r="P889" s="387"/>
      <c r="Q889" s="389"/>
      <c r="R889" s="389"/>
      <c r="S889" s="389"/>
      <c r="T889" s="389"/>
      <c r="U889" s="389"/>
    </row>
    <row r="890" spans="1:21" ht="35.1" customHeight="1" x14ac:dyDescent="0.25">
      <c r="A890" s="535">
        <v>889</v>
      </c>
      <c r="B890" s="95">
        <v>45640</v>
      </c>
      <c r="C890" s="432"/>
      <c r="D890" s="485"/>
      <c r="E890" s="433"/>
      <c r="F890" s="432"/>
      <c r="G890" s="432"/>
      <c r="H890" s="432"/>
      <c r="I890" s="432"/>
      <c r="J890" s="432"/>
      <c r="K890" s="432"/>
      <c r="L890" s="432"/>
      <c r="M890" s="432"/>
      <c r="N890" s="540"/>
      <c r="O890" s="485">
        <f t="shared" si="16"/>
        <v>0</v>
      </c>
      <c r="P890" s="387"/>
      <c r="Q890" s="389"/>
      <c r="R890" s="389"/>
      <c r="S890" s="389"/>
      <c r="T890" s="389"/>
      <c r="U890" s="389"/>
    </row>
    <row r="891" spans="1:21" ht="35.1" customHeight="1" x14ac:dyDescent="0.25">
      <c r="A891" s="535">
        <v>890</v>
      </c>
      <c r="B891" s="95">
        <v>45641</v>
      </c>
      <c r="C891" s="432"/>
      <c r="D891" s="485"/>
      <c r="E891" s="433"/>
      <c r="F891" s="432"/>
      <c r="G891" s="432"/>
      <c r="H891" s="432"/>
      <c r="I891" s="432"/>
      <c r="J891" s="432"/>
      <c r="K891" s="432"/>
      <c r="L891" s="432"/>
      <c r="M891" s="432"/>
      <c r="N891" s="540"/>
      <c r="O891" s="485">
        <f t="shared" si="16"/>
        <v>0</v>
      </c>
      <c r="P891" s="387"/>
      <c r="Q891" s="389"/>
      <c r="R891" s="389"/>
      <c r="S891" s="389"/>
      <c r="T891" s="389"/>
      <c r="U891" s="389"/>
    </row>
    <row r="892" spans="1:21" ht="35.1" customHeight="1" x14ac:dyDescent="0.25">
      <c r="A892" s="535">
        <v>891</v>
      </c>
      <c r="B892" s="95">
        <v>45642</v>
      </c>
      <c r="C892" s="432"/>
      <c r="D892" s="485"/>
      <c r="E892" s="433"/>
      <c r="F892" s="432"/>
      <c r="G892" s="432"/>
      <c r="H892" s="432"/>
      <c r="I892" s="432"/>
      <c r="J892" s="432"/>
      <c r="K892" s="432"/>
      <c r="L892" s="432"/>
      <c r="M892" s="432"/>
      <c r="N892" s="540"/>
      <c r="O892" s="485">
        <f t="shared" si="16"/>
        <v>0</v>
      </c>
      <c r="P892" s="387"/>
      <c r="Q892" s="389"/>
      <c r="R892" s="389"/>
      <c r="S892" s="389"/>
      <c r="T892" s="389"/>
      <c r="U892" s="389"/>
    </row>
    <row r="893" spans="1:21" ht="35.1" customHeight="1" x14ac:dyDescent="0.25">
      <c r="A893" s="535">
        <v>892</v>
      </c>
      <c r="B893" s="95">
        <v>45643</v>
      </c>
      <c r="C893" s="432"/>
      <c r="D893" s="485"/>
      <c r="E893" s="433"/>
      <c r="F893" s="432"/>
      <c r="G893" s="432"/>
      <c r="H893" s="432"/>
      <c r="I893" s="432"/>
      <c r="J893" s="432"/>
      <c r="K893" s="432"/>
      <c r="L893" s="432"/>
      <c r="M893" s="432"/>
      <c r="N893" s="540"/>
      <c r="O893" s="485">
        <f t="shared" si="16"/>
        <v>0</v>
      </c>
      <c r="P893" s="387"/>
      <c r="Q893" s="389"/>
      <c r="R893" s="389"/>
      <c r="S893" s="389"/>
      <c r="T893" s="389"/>
      <c r="U893" s="389"/>
    </row>
    <row r="894" spans="1:21" ht="35.1" customHeight="1" x14ac:dyDescent="0.25">
      <c r="A894" s="535">
        <v>893</v>
      </c>
      <c r="B894" s="95">
        <v>45644</v>
      </c>
      <c r="C894" s="432"/>
      <c r="D894" s="485"/>
      <c r="E894" s="433"/>
      <c r="F894" s="432"/>
      <c r="G894" s="432"/>
      <c r="H894" s="432"/>
      <c r="I894" s="432"/>
      <c r="J894" s="432"/>
      <c r="K894" s="432"/>
      <c r="L894" s="432"/>
      <c r="M894" s="432"/>
      <c r="N894" s="540"/>
      <c r="O894" s="485">
        <f t="shared" si="16"/>
        <v>0</v>
      </c>
      <c r="P894" s="387"/>
      <c r="Q894" s="389"/>
      <c r="R894" s="389"/>
      <c r="S894" s="389"/>
      <c r="T894" s="389"/>
      <c r="U894" s="389"/>
    </row>
    <row r="895" spans="1:21" ht="35.1" customHeight="1" x14ac:dyDescent="0.25">
      <c r="A895" s="535">
        <v>894</v>
      </c>
      <c r="B895" s="95">
        <v>45645</v>
      </c>
      <c r="C895" s="432"/>
      <c r="D895" s="485"/>
      <c r="E895" s="433"/>
      <c r="F895" s="432"/>
      <c r="G895" s="432"/>
      <c r="H895" s="432"/>
      <c r="I895" s="432"/>
      <c r="J895" s="432"/>
      <c r="K895" s="432"/>
      <c r="L895" s="432"/>
      <c r="M895" s="432"/>
      <c r="N895" s="540"/>
      <c r="O895" s="485">
        <f t="shared" si="16"/>
        <v>0</v>
      </c>
      <c r="P895" s="387"/>
      <c r="Q895" s="389"/>
      <c r="R895" s="389"/>
      <c r="S895" s="389"/>
      <c r="T895" s="389"/>
      <c r="U895" s="389"/>
    </row>
    <row r="896" spans="1:21" ht="35.1" customHeight="1" x14ac:dyDescent="0.25">
      <c r="A896" s="535">
        <v>895</v>
      </c>
      <c r="B896" s="95">
        <v>45646</v>
      </c>
      <c r="C896" s="432"/>
      <c r="D896" s="485"/>
      <c r="E896" s="433"/>
      <c r="F896" s="432"/>
      <c r="G896" s="432"/>
      <c r="H896" s="432"/>
      <c r="I896" s="432"/>
      <c r="J896" s="432"/>
      <c r="K896" s="432"/>
      <c r="L896" s="432"/>
      <c r="M896" s="432"/>
      <c r="N896" s="540"/>
      <c r="O896" s="485">
        <f t="shared" si="16"/>
        <v>0</v>
      </c>
      <c r="P896" s="387"/>
      <c r="Q896" s="389"/>
      <c r="R896" s="389"/>
      <c r="S896" s="389"/>
      <c r="T896" s="389"/>
      <c r="U896" s="389"/>
    </row>
    <row r="897" spans="1:21" ht="35.1" customHeight="1" x14ac:dyDescent="0.25">
      <c r="A897" s="535">
        <v>896</v>
      </c>
      <c r="B897" s="95">
        <v>45647</v>
      </c>
      <c r="C897" s="432"/>
      <c r="D897" s="485"/>
      <c r="E897" s="433"/>
      <c r="F897" s="432"/>
      <c r="G897" s="432"/>
      <c r="H897" s="432"/>
      <c r="I897" s="432"/>
      <c r="J897" s="432"/>
      <c r="K897" s="432"/>
      <c r="L897" s="432"/>
      <c r="M897" s="432"/>
      <c r="N897" s="540"/>
      <c r="O897" s="485">
        <f t="shared" si="16"/>
        <v>0</v>
      </c>
      <c r="P897" s="387"/>
      <c r="Q897" s="389"/>
      <c r="R897" s="389"/>
      <c r="S897" s="389"/>
      <c r="T897" s="389"/>
      <c r="U897" s="389"/>
    </row>
    <row r="898" spans="1:21" ht="35.1" customHeight="1" x14ac:dyDescent="0.25">
      <c r="A898" s="535">
        <v>897</v>
      </c>
      <c r="B898" s="95">
        <v>45648</v>
      </c>
      <c r="C898" s="432"/>
      <c r="D898" s="485"/>
      <c r="E898" s="433"/>
      <c r="F898" s="432"/>
      <c r="G898" s="432"/>
      <c r="H898" s="432"/>
      <c r="I898" s="432"/>
      <c r="J898" s="432"/>
      <c r="K898" s="432"/>
      <c r="L898" s="432"/>
      <c r="M898" s="432"/>
      <c r="N898" s="540"/>
      <c r="O898" s="485">
        <f t="shared" si="16"/>
        <v>0</v>
      </c>
      <c r="P898" s="387"/>
      <c r="Q898" s="389"/>
      <c r="R898" s="389"/>
      <c r="S898" s="389"/>
      <c r="T898" s="389"/>
      <c r="U898" s="389"/>
    </row>
    <row r="899" spans="1:21" ht="35.1" customHeight="1" x14ac:dyDescent="0.25">
      <c r="A899" s="535">
        <v>898</v>
      </c>
      <c r="B899" s="95">
        <v>45649</v>
      </c>
      <c r="C899" s="432"/>
      <c r="D899" s="485"/>
      <c r="E899" s="433"/>
      <c r="F899" s="432"/>
      <c r="G899" s="432"/>
      <c r="H899" s="432"/>
      <c r="I899" s="432"/>
      <c r="J899" s="432"/>
      <c r="K899" s="432"/>
      <c r="L899" s="432"/>
      <c r="M899" s="432"/>
      <c r="N899" s="540"/>
      <c r="O899" s="485">
        <f t="shared" si="16"/>
        <v>0</v>
      </c>
      <c r="P899" s="387"/>
      <c r="Q899" s="389"/>
      <c r="R899" s="389"/>
      <c r="S899" s="389"/>
      <c r="T899" s="389"/>
      <c r="U899" s="389"/>
    </row>
    <row r="900" spans="1:21" ht="35.1" customHeight="1" x14ac:dyDescent="0.25">
      <c r="A900" s="535">
        <v>899</v>
      </c>
      <c r="B900" s="95">
        <v>45650</v>
      </c>
      <c r="C900" s="432"/>
      <c r="D900" s="485"/>
      <c r="E900" s="433"/>
      <c r="F900" s="432"/>
      <c r="G900" s="432"/>
      <c r="H900" s="432"/>
      <c r="I900" s="432"/>
      <c r="J900" s="432"/>
      <c r="K900" s="432"/>
      <c r="L900" s="432"/>
      <c r="M900" s="432"/>
      <c r="N900" s="540"/>
      <c r="O900" s="485">
        <f t="shared" si="16"/>
        <v>0</v>
      </c>
      <c r="P900" s="387"/>
      <c r="Q900" s="389"/>
      <c r="R900" s="389"/>
      <c r="S900" s="389"/>
      <c r="T900" s="389"/>
      <c r="U900" s="389"/>
    </row>
    <row r="901" spans="1:21" ht="35.1" customHeight="1" x14ac:dyDescent="0.25">
      <c r="A901" s="535">
        <v>900</v>
      </c>
      <c r="B901" s="95">
        <v>45651</v>
      </c>
      <c r="C901" s="432"/>
      <c r="D901" s="485"/>
      <c r="E901" s="433"/>
      <c r="F901" s="432"/>
      <c r="G901" s="432"/>
      <c r="H901" s="432"/>
      <c r="I901" s="432"/>
      <c r="J901" s="432"/>
      <c r="K901" s="432"/>
      <c r="L901" s="432"/>
      <c r="M901" s="432"/>
      <c r="N901" s="540"/>
      <c r="O901" s="485">
        <f t="shared" si="16"/>
        <v>0</v>
      </c>
      <c r="P901" s="387"/>
      <c r="Q901" s="389"/>
      <c r="R901" s="389"/>
      <c r="S901" s="389"/>
      <c r="T901" s="389"/>
      <c r="U901" s="389"/>
    </row>
    <row r="902" spans="1:21" ht="35.1" customHeight="1" x14ac:dyDescent="0.25">
      <c r="A902" s="535">
        <v>901</v>
      </c>
      <c r="B902" s="95">
        <v>45652</v>
      </c>
      <c r="C902" s="432"/>
      <c r="D902" s="485"/>
      <c r="E902" s="433"/>
      <c r="F902" s="432"/>
      <c r="G902" s="432"/>
      <c r="H902" s="432"/>
      <c r="I902" s="432"/>
      <c r="J902" s="432"/>
      <c r="K902" s="432"/>
      <c r="L902" s="432"/>
      <c r="M902" s="432"/>
      <c r="N902" s="540"/>
      <c r="O902" s="485">
        <f t="shared" si="16"/>
        <v>0</v>
      </c>
      <c r="P902" s="387"/>
      <c r="Q902" s="389"/>
      <c r="R902" s="389"/>
      <c r="S902" s="389"/>
      <c r="T902" s="389"/>
      <c r="U902" s="389"/>
    </row>
    <row r="903" spans="1:21" ht="35.1" customHeight="1" x14ac:dyDescent="0.25">
      <c r="A903" s="535">
        <v>902</v>
      </c>
      <c r="B903" s="95">
        <v>45653</v>
      </c>
      <c r="C903" s="432"/>
      <c r="D903" s="485"/>
      <c r="E903" s="433"/>
      <c r="F903" s="432"/>
      <c r="G903" s="432"/>
      <c r="H903" s="432"/>
      <c r="I903" s="432"/>
      <c r="J903" s="432"/>
      <c r="K903" s="432"/>
      <c r="L903" s="432"/>
      <c r="M903" s="432"/>
      <c r="N903" s="540"/>
      <c r="O903" s="485">
        <f t="shared" si="16"/>
        <v>0</v>
      </c>
      <c r="P903" s="387"/>
      <c r="Q903" s="389"/>
      <c r="R903" s="389"/>
      <c r="S903" s="389"/>
      <c r="T903" s="389"/>
      <c r="U903" s="389"/>
    </row>
    <row r="904" spans="1:21" ht="35.1" customHeight="1" x14ac:dyDescent="0.25">
      <c r="A904" s="535">
        <v>903</v>
      </c>
      <c r="B904" s="95">
        <v>45654</v>
      </c>
      <c r="C904" s="432"/>
      <c r="D904" s="485"/>
      <c r="E904" s="433"/>
      <c r="F904" s="432"/>
      <c r="G904" s="432"/>
      <c r="H904" s="432"/>
      <c r="I904" s="432"/>
      <c r="J904" s="432"/>
      <c r="K904" s="432"/>
      <c r="L904" s="432"/>
      <c r="M904" s="432"/>
      <c r="N904" s="540"/>
      <c r="O904" s="485">
        <f t="shared" si="16"/>
        <v>0</v>
      </c>
      <c r="P904" s="387"/>
      <c r="Q904" s="389"/>
      <c r="R904" s="389"/>
      <c r="S904" s="389"/>
      <c r="T904" s="389"/>
      <c r="U904" s="389"/>
    </row>
    <row r="905" spans="1:21" ht="35.1" customHeight="1" x14ac:dyDescent="0.25">
      <c r="A905" s="535">
        <v>904</v>
      </c>
      <c r="B905" s="95">
        <v>45655</v>
      </c>
      <c r="C905" s="432"/>
      <c r="D905" s="485"/>
      <c r="E905" s="433"/>
      <c r="F905" s="432"/>
      <c r="G905" s="432"/>
      <c r="H905" s="432"/>
      <c r="I905" s="432"/>
      <c r="J905" s="432"/>
      <c r="K905" s="432"/>
      <c r="L905" s="432"/>
      <c r="M905" s="432"/>
      <c r="N905" s="540"/>
      <c r="O905" s="485">
        <f t="shared" si="16"/>
        <v>0</v>
      </c>
      <c r="P905" s="387"/>
      <c r="Q905" s="389"/>
      <c r="R905" s="389"/>
      <c r="S905" s="389"/>
      <c r="T905" s="389"/>
      <c r="U905" s="389"/>
    </row>
    <row r="906" spans="1:21" ht="35.1" customHeight="1" x14ac:dyDescent="0.25">
      <c r="A906" s="535">
        <v>905</v>
      </c>
      <c r="B906" s="95">
        <v>45656</v>
      </c>
      <c r="C906" s="432"/>
      <c r="D906" s="485"/>
      <c r="E906" s="433"/>
      <c r="F906" s="432"/>
      <c r="G906" s="432"/>
      <c r="H906" s="432"/>
      <c r="I906" s="432"/>
      <c r="J906" s="432"/>
      <c r="K906" s="432"/>
      <c r="L906" s="432"/>
      <c r="M906" s="432"/>
      <c r="N906" s="540"/>
      <c r="O906" s="485">
        <f t="shared" si="16"/>
        <v>0</v>
      </c>
      <c r="P906" s="387"/>
      <c r="Q906" s="389"/>
      <c r="R906" s="389"/>
      <c r="S906" s="389"/>
      <c r="T906" s="389"/>
      <c r="U906" s="389"/>
    </row>
    <row r="907" spans="1:21" ht="35.1" customHeight="1" x14ac:dyDescent="0.25">
      <c r="A907" s="535">
        <v>906</v>
      </c>
      <c r="B907" s="95">
        <v>45657</v>
      </c>
      <c r="C907" s="432"/>
      <c r="D907" s="485"/>
      <c r="E907" s="433"/>
      <c r="F907" s="432"/>
      <c r="G907" s="432"/>
      <c r="H907" s="432"/>
      <c r="I907" s="432"/>
      <c r="J907" s="432"/>
      <c r="K907" s="432"/>
      <c r="L907" s="432"/>
      <c r="M907" s="432"/>
      <c r="N907" s="540"/>
      <c r="O907" s="485">
        <f t="shared" si="16"/>
        <v>0</v>
      </c>
      <c r="P907" s="387"/>
      <c r="Q907" s="389"/>
      <c r="R907" s="389"/>
      <c r="S907" s="389"/>
      <c r="T907" s="389"/>
      <c r="U907" s="389"/>
    </row>
    <row r="908" spans="1:21" ht="35.1" customHeight="1" x14ac:dyDescent="0.25">
      <c r="A908" s="535">
        <v>907</v>
      </c>
      <c r="B908" s="95">
        <v>45658</v>
      </c>
      <c r="C908" s="432"/>
      <c r="D908" s="485"/>
      <c r="E908" s="433"/>
      <c r="F908" s="432"/>
      <c r="G908" s="432"/>
      <c r="H908" s="432"/>
      <c r="I908" s="432"/>
      <c r="J908" s="432"/>
      <c r="K908" s="432"/>
      <c r="L908" s="432"/>
      <c r="M908" s="432"/>
      <c r="N908" s="540"/>
      <c r="O908" s="485">
        <f t="shared" si="16"/>
        <v>0</v>
      </c>
      <c r="P908" s="387"/>
      <c r="Q908" s="389"/>
      <c r="R908" s="389"/>
      <c r="S908" s="389"/>
      <c r="T908" s="389"/>
      <c r="U908" s="389"/>
    </row>
    <row r="909" spans="1:21" ht="35.1" customHeight="1" x14ac:dyDescent="0.25">
      <c r="A909" s="535">
        <v>908</v>
      </c>
      <c r="B909" s="95">
        <v>45659</v>
      </c>
      <c r="C909" s="432"/>
      <c r="D909" s="485"/>
      <c r="E909" s="433"/>
      <c r="F909" s="432"/>
      <c r="G909" s="432"/>
      <c r="H909" s="432"/>
      <c r="I909" s="432"/>
      <c r="J909" s="432"/>
      <c r="K909" s="432"/>
      <c r="L909" s="432"/>
      <c r="M909" s="432"/>
      <c r="N909" s="540"/>
      <c r="O909" s="485">
        <f t="shared" si="16"/>
        <v>0</v>
      </c>
      <c r="P909" s="387"/>
      <c r="Q909" s="389"/>
      <c r="R909" s="389"/>
      <c r="S909" s="389"/>
      <c r="T909" s="389"/>
      <c r="U909" s="389"/>
    </row>
    <row r="910" spans="1:21" ht="35.1" customHeight="1" x14ac:dyDescent="0.25">
      <c r="A910" s="535">
        <v>909</v>
      </c>
      <c r="B910" s="95">
        <v>45660</v>
      </c>
      <c r="C910" s="432"/>
      <c r="D910" s="485"/>
      <c r="E910" s="433"/>
      <c r="F910" s="432"/>
      <c r="G910" s="432"/>
      <c r="H910" s="432"/>
      <c r="I910" s="432"/>
      <c r="J910" s="432"/>
      <c r="K910" s="432"/>
      <c r="L910" s="432"/>
      <c r="M910" s="432"/>
      <c r="N910" s="540"/>
      <c r="O910" s="485">
        <f t="shared" si="16"/>
        <v>0</v>
      </c>
      <c r="P910" s="387"/>
      <c r="Q910" s="389"/>
      <c r="R910" s="389"/>
      <c r="S910" s="389"/>
      <c r="T910" s="389"/>
      <c r="U910" s="389"/>
    </row>
    <row r="911" spans="1:21" x14ac:dyDescent="0.25">
      <c r="A911" s="535">
        <v>910</v>
      </c>
      <c r="B911" s="95">
        <v>45661</v>
      </c>
      <c r="C911" s="432"/>
      <c r="D911" s="485"/>
      <c r="E911" s="433"/>
      <c r="F911" s="432"/>
      <c r="G911" s="432"/>
      <c r="H911" s="432"/>
      <c r="I911" s="432"/>
      <c r="J911" s="432"/>
      <c r="K911" s="432"/>
      <c r="L911" s="432"/>
      <c r="M911" s="432"/>
      <c r="N911" s="540"/>
      <c r="O911" s="485">
        <f t="shared" si="16"/>
        <v>0</v>
      </c>
    </row>
  </sheetData>
  <mergeCells count="23">
    <mergeCell ref="P475:P481"/>
    <mergeCell ref="Q475:Q481"/>
    <mergeCell ref="V475:V481"/>
    <mergeCell ref="U475:U481"/>
    <mergeCell ref="T475:T481"/>
    <mergeCell ref="S475:S481"/>
    <mergeCell ref="R475:R481"/>
    <mergeCell ref="P470:P474"/>
    <mergeCell ref="E1:F1"/>
    <mergeCell ref="P39:V39"/>
    <mergeCell ref="P441:P445"/>
    <mergeCell ref="Q441:Q445"/>
    <mergeCell ref="R441:R445"/>
    <mergeCell ref="S441:S445"/>
    <mergeCell ref="T441:T445"/>
    <mergeCell ref="U441:U445"/>
    <mergeCell ref="V441:V445"/>
    <mergeCell ref="Q470:Q474"/>
    <mergeCell ref="V470:V474"/>
    <mergeCell ref="U470:U474"/>
    <mergeCell ref="T470:T474"/>
    <mergeCell ref="R470:R474"/>
    <mergeCell ref="S470:S474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Q1048567"/>
  <sheetViews>
    <sheetView workbookViewId="0">
      <pane ySplit="1" topLeftCell="A377" activePane="bottomLeft" state="frozen"/>
      <selection pane="bottomLeft" activeCell="H392" sqref="H392"/>
    </sheetView>
  </sheetViews>
  <sheetFormatPr baseColWidth="10" defaultRowHeight="24.95" customHeight="1" x14ac:dyDescent="0.25"/>
  <cols>
    <col min="1" max="1" width="3.42578125" customWidth="1"/>
    <col min="2" max="2" width="45.140625" style="466" customWidth="1"/>
    <col min="3" max="3" width="25.42578125" style="466" customWidth="1"/>
    <col min="4" max="4" width="12.5703125" style="568" customWidth="1"/>
    <col min="5" max="5" width="17" style="475" customWidth="1"/>
    <col min="6" max="6" width="11.42578125" style="474"/>
    <col min="7" max="7" width="16.7109375" style="532" customWidth="1"/>
    <col min="8" max="8" width="28.5703125" customWidth="1"/>
  </cols>
  <sheetData>
    <row r="1" spans="1:17" ht="43.5" customHeight="1" x14ac:dyDescent="0.25">
      <c r="A1" s="8"/>
      <c r="B1" s="560" t="s">
        <v>191</v>
      </c>
      <c r="C1" s="561" t="s">
        <v>360</v>
      </c>
      <c r="D1" s="566" t="s">
        <v>774</v>
      </c>
      <c r="E1" s="562" t="s">
        <v>297</v>
      </c>
      <c r="F1" s="563" t="s">
        <v>192</v>
      </c>
      <c r="G1" s="559" t="s">
        <v>359</v>
      </c>
      <c r="H1" s="559" t="s">
        <v>772</v>
      </c>
    </row>
    <row r="2" spans="1:17" ht="24.95" customHeight="1" x14ac:dyDescent="0.25">
      <c r="A2" s="8"/>
      <c r="B2" s="557" t="s">
        <v>747</v>
      </c>
      <c r="C2" s="472" t="s">
        <v>303</v>
      </c>
      <c r="D2" s="557"/>
      <c r="E2" s="132">
        <v>44965</v>
      </c>
      <c r="F2" s="472">
        <v>46</v>
      </c>
      <c r="G2" s="309" t="s">
        <v>102</v>
      </c>
      <c r="H2" s="309"/>
      <c r="Q2" t="s">
        <v>362</v>
      </c>
    </row>
    <row r="3" spans="1:17" ht="24.95" customHeight="1" x14ac:dyDescent="0.25">
      <c r="A3" s="8"/>
      <c r="B3" s="472" t="s">
        <v>300</v>
      </c>
      <c r="C3" s="557" t="s">
        <v>303</v>
      </c>
      <c r="D3" s="557"/>
      <c r="E3" s="132">
        <v>44965</v>
      </c>
      <c r="F3" s="472">
        <v>151</v>
      </c>
      <c r="G3" s="309" t="s">
        <v>363</v>
      </c>
      <c r="H3" s="309"/>
      <c r="Q3" t="s">
        <v>303</v>
      </c>
    </row>
    <row r="4" spans="1:17" ht="24.95" customHeight="1" x14ac:dyDescent="0.25">
      <c r="A4" s="8"/>
      <c r="B4" s="472" t="s">
        <v>300</v>
      </c>
      <c r="C4" s="557" t="s">
        <v>362</v>
      </c>
      <c r="D4" s="557"/>
      <c r="E4" s="132">
        <v>44965</v>
      </c>
      <c r="F4" s="472" t="s">
        <v>336</v>
      </c>
      <c r="G4" s="309" t="s">
        <v>336</v>
      </c>
      <c r="H4" s="309"/>
      <c r="Q4" t="s">
        <v>593</v>
      </c>
    </row>
    <row r="5" spans="1:17" ht="24.95" customHeight="1" x14ac:dyDescent="0.25">
      <c r="A5" s="8"/>
      <c r="B5" s="472" t="s">
        <v>325</v>
      </c>
      <c r="C5" s="557" t="s">
        <v>303</v>
      </c>
      <c r="D5" s="557"/>
      <c r="E5" s="132">
        <v>44965</v>
      </c>
      <c r="F5" s="472">
        <v>476</v>
      </c>
      <c r="G5" s="309" t="s">
        <v>363</v>
      </c>
      <c r="H5" s="309"/>
      <c r="I5" s="309"/>
      <c r="Q5" t="s">
        <v>361</v>
      </c>
    </row>
    <row r="6" spans="1:17" ht="24.95" customHeight="1" x14ac:dyDescent="0.25">
      <c r="A6" s="8"/>
      <c r="B6" s="472" t="s">
        <v>325</v>
      </c>
      <c r="C6" s="557" t="s">
        <v>362</v>
      </c>
      <c r="D6" s="557"/>
      <c r="E6" s="132">
        <v>44965</v>
      </c>
      <c r="F6" s="472" t="s">
        <v>336</v>
      </c>
      <c r="G6" s="309" t="s">
        <v>336</v>
      </c>
      <c r="H6" s="309"/>
    </row>
    <row r="7" spans="1:17" ht="24.95" customHeight="1" x14ac:dyDescent="0.25">
      <c r="A7" s="8"/>
      <c r="B7" s="472" t="s">
        <v>351</v>
      </c>
      <c r="C7" s="557" t="s">
        <v>303</v>
      </c>
      <c r="D7" s="557"/>
      <c r="E7" s="132">
        <v>44965</v>
      </c>
      <c r="F7" s="472">
        <v>130</v>
      </c>
      <c r="G7" s="309" t="s">
        <v>363</v>
      </c>
      <c r="H7" s="309"/>
    </row>
    <row r="8" spans="1:17" ht="24.95" customHeight="1" x14ac:dyDescent="0.25">
      <c r="A8" s="8"/>
      <c r="B8" s="472" t="s">
        <v>351</v>
      </c>
      <c r="C8" s="557" t="s">
        <v>362</v>
      </c>
      <c r="D8" s="557"/>
      <c r="E8" s="132">
        <v>44965</v>
      </c>
      <c r="F8" s="472" t="s">
        <v>336</v>
      </c>
      <c r="G8" s="309" t="s">
        <v>336</v>
      </c>
      <c r="H8" s="309"/>
    </row>
    <row r="9" spans="1:17" ht="24.95" customHeight="1" x14ac:dyDescent="0.25">
      <c r="A9" s="8"/>
      <c r="B9" s="472" t="s">
        <v>310</v>
      </c>
      <c r="C9" s="557" t="s">
        <v>303</v>
      </c>
      <c r="D9" s="557"/>
      <c r="E9" s="132">
        <v>44965</v>
      </c>
      <c r="F9" s="472">
        <v>30</v>
      </c>
      <c r="G9" s="309" t="s">
        <v>363</v>
      </c>
      <c r="H9" s="309"/>
    </row>
    <row r="10" spans="1:17" ht="24.95" customHeight="1" x14ac:dyDescent="0.25">
      <c r="A10" s="8"/>
      <c r="B10" s="472" t="s">
        <v>310</v>
      </c>
      <c r="C10" s="557" t="s">
        <v>362</v>
      </c>
      <c r="D10" s="557"/>
      <c r="E10" s="132">
        <v>44965</v>
      </c>
      <c r="F10" s="472" t="s">
        <v>336</v>
      </c>
      <c r="G10" s="309" t="s">
        <v>336</v>
      </c>
      <c r="H10" s="309"/>
    </row>
    <row r="11" spans="1:17" ht="24.95" customHeight="1" x14ac:dyDescent="0.25">
      <c r="A11" s="8"/>
      <c r="B11" s="472" t="s">
        <v>332</v>
      </c>
      <c r="C11" s="557" t="s">
        <v>303</v>
      </c>
      <c r="D11" s="557"/>
      <c r="E11" s="132">
        <v>44965</v>
      </c>
      <c r="F11" s="472">
        <v>18</v>
      </c>
      <c r="G11" s="309" t="s">
        <v>363</v>
      </c>
      <c r="H11" s="309"/>
    </row>
    <row r="12" spans="1:17" ht="24.95" customHeight="1" x14ac:dyDescent="0.25">
      <c r="A12" s="8"/>
      <c r="B12" s="472" t="s">
        <v>332</v>
      </c>
      <c r="C12" s="557" t="s">
        <v>303</v>
      </c>
      <c r="D12" s="557"/>
      <c r="E12" s="132">
        <v>44972</v>
      </c>
      <c r="F12" s="472">
        <v>10</v>
      </c>
      <c r="G12" s="309" t="s">
        <v>363</v>
      </c>
      <c r="H12" s="309"/>
    </row>
    <row r="13" spans="1:17" ht="24.95" customHeight="1" x14ac:dyDescent="0.25">
      <c r="A13" s="8"/>
      <c r="B13" s="472" t="s">
        <v>458</v>
      </c>
      <c r="C13" s="557" t="s">
        <v>361</v>
      </c>
      <c r="D13" s="557"/>
      <c r="E13" s="132">
        <v>44984</v>
      </c>
      <c r="F13" s="472">
        <v>34</v>
      </c>
      <c r="G13" s="309" t="s">
        <v>336</v>
      </c>
      <c r="H13" s="309"/>
    </row>
    <row r="14" spans="1:17" ht="24.95" customHeight="1" x14ac:dyDescent="0.25">
      <c r="B14" s="472" t="s">
        <v>472</v>
      </c>
      <c r="C14" s="557" t="s">
        <v>361</v>
      </c>
      <c r="D14" s="557"/>
      <c r="E14" s="132">
        <v>44984</v>
      </c>
      <c r="F14" s="472">
        <v>380</v>
      </c>
      <c r="G14" s="309" t="s">
        <v>336</v>
      </c>
      <c r="H14" s="309"/>
    </row>
    <row r="15" spans="1:17" ht="24.95" customHeight="1" x14ac:dyDescent="0.25">
      <c r="B15" s="472" t="s">
        <v>351</v>
      </c>
      <c r="C15" s="557" t="s">
        <v>361</v>
      </c>
      <c r="D15" s="557"/>
      <c r="E15" s="132">
        <v>44987</v>
      </c>
      <c r="F15" s="472">
        <v>130</v>
      </c>
      <c r="G15" s="309" t="s">
        <v>336</v>
      </c>
      <c r="H15" s="309"/>
    </row>
    <row r="16" spans="1:17" ht="24.95" customHeight="1" x14ac:dyDescent="0.25">
      <c r="B16" s="472" t="s">
        <v>332</v>
      </c>
      <c r="C16" s="557" t="s">
        <v>303</v>
      </c>
      <c r="D16" s="557"/>
      <c r="E16" s="132">
        <v>44987</v>
      </c>
      <c r="F16" s="472">
        <v>10</v>
      </c>
      <c r="G16" s="309" t="s">
        <v>363</v>
      </c>
      <c r="H16" s="309"/>
    </row>
    <row r="17" spans="2:8" ht="24.95" customHeight="1" x14ac:dyDescent="0.25">
      <c r="B17" s="472" t="s">
        <v>472</v>
      </c>
      <c r="C17" s="557" t="s">
        <v>361</v>
      </c>
      <c r="D17" s="557"/>
      <c r="E17" s="132">
        <v>44992</v>
      </c>
      <c r="F17" s="472">
        <v>57</v>
      </c>
      <c r="G17" s="309" t="s">
        <v>336</v>
      </c>
      <c r="H17" s="309"/>
    </row>
    <row r="18" spans="2:8" ht="24.95" customHeight="1" x14ac:dyDescent="0.25">
      <c r="B18" s="472" t="s">
        <v>351</v>
      </c>
      <c r="C18" s="557" t="s">
        <v>303</v>
      </c>
      <c r="D18" s="557"/>
      <c r="E18" s="132">
        <v>44993</v>
      </c>
      <c r="F18" s="472">
        <v>130</v>
      </c>
      <c r="G18" s="309" t="s">
        <v>102</v>
      </c>
      <c r="H18" s="309"/>
    </row>
    <row r="19" spans="2:8" ht="24.95" customHeight="1" x14ac:dyDescent="0.25">
      <c r="B19" s="472" t="s">
        <v>351</v>
      </c>
      <c r="C19" s="557" t="s">
        <v>362</v>
      </c>
      <c r="D19" s="557"/>
      <c r="E19" s="132">
        <v>44993</v>
      </c>
      <c r="F19" s="472" t="s">
        <v>336</v>
      </c>
      <c r="G19" s="309" t="s">
        <v>336</v>
      </c>
      <c r="H19" s="309"/>
    </row>
    <row r="20" spans="2:8" ht="24.95" customHeight="1" x14ac:dyDescent="0.25">
      <c r="B20" s="472" t="s">
        <v>461</v>
      </c>
      <c r="C20" s="557" t="s">
        <v>361</v>
      </c>
      <c r="D20" s="557"/>
      <c r="E20" s="132">
        <v>44994</v>
      </c>
      <c r="F20" s="472">
        <v>100</v>
      </c>
      <c r="G20" s="309" t="s">
        <v>336</v>
      </c>
      <c r="H20" s="309"/>
    </row>
    <row r="21" spans="2:8" ht="24.95" customHeight="1" x14ac:dyDescent="0.25">
      <c r="B21" s="472" t="s">
        <v>317</v>
      </c>
      <c r="C21" s="557" t="s">
        <v>303</v>
      </c>
      <c r="D21" s="557"/>
      <c r="E21" s="132">
        <v>44994</v>
      </c>
      <c r="F21" s="472">
        <v>36</v>
      </c>
      <c r="G21" s="309" t="s">
        <v>363</v>
      </c>
      <c r="H21" s="309"/>
    </row>
    <row r="22" spans="2:8" ht="24.95" customHeight="1" x14ac:dyDescent="0.25">
      <c r="B22" s="472" t="s">
        <v>317</v>
      </c>
      <c r="C22" s="557" t="s">
        <v>362</v>
      </c>
      <c r="D22" s="557"/>
      <c r="E22" s="132">
        <v>44994</v>
      </c>
      <c r="F22" s="472" t="s">
        <v>336</v>
      </c>
      <c r="G22" s="309" t="s">
        <v>336</v>
      </c>
      <c r="H22" s="309"/>
    </row>
    <row r="23" spans="2:8" ht="24.95" customHeight="1" x14ac:dyDescent="0.25">
      <c r="B23" s="472" t="s">
        <v>458</v>
      </c>
      <c r="C23" s="557" t="s">
        <v>303</v>
      </c>
      <c r="D23" s="557"/>
      <c r="E23" s="132">
        <v>44996</v>
      </c>
      <c r="F23" s="472">
        <v>34</v>
      </c>
      <c r="G23" s="309" t="s">
        <v>363</v>
      </c>
      <c r="H23" s="309"/>
    </row>
    <row r="24" spans="2:8" ht="24.95" customHeight="1" x14ac:dyDescent="0.25">
      <c r="B24" s="472" t="s">
        <v>458</v>
      </c>
      <c r="C24" s="557" t="s">
        <v>362</v>
      </c>
      <c r="D24" s="557"/>
      <c r="E24" s="132">
        <v>44996</v>
      </c>
      <c r="F24" s="472" t="s">
        <v>336</v>
      </c>
      <c r="G24" s="309" t="s">
        <v>336</v>
      </c>
      <c r="H24" s="309"/>
    </row>
    <row r="25" spans="2:8" ht="24.95" customHeight="1" x14ac:dyDescent="0.25">
      <c r="B25" s="472" t="s">
        <v>278</v>
      </c>
      <c r="C25" s="557" t="s">
        <v>361</v>
      </c>
      <c r="D25" s="557">
        <v>1589</v>
      </c>
      <c r="E25" s="132">
        <v>44998</v>
      </c>
      <c r="F25" s="472">
        <v>29</v>
      </c>
      <c r="G25" s="309" t="s">
        <v>336</v>
      </c>
      <c r="H25" s="309"/>
    </row>
    <row r="26" spans="2:8" ht="24.95" customHeight="1" x14ac:dyDescent="0.25">
      <c r="B26" s="472" t="s">
        <v>472</v>
      </c>
      <c r="C26" s="557" t="s">
        <v>303</v>
      </c>
      <c r="D26" s="557"/>
      <c r="E26" s="132">
        <v>45001</v>
      </c>
      <c r="F26" s="472">
        <v>380</v>
      </c>
      <c r="G26" s="309" t="s">
        <v>363</v>
      </c>
      <c r="H26" s="309"/>
    </row>
    <row r="27" spans="2:8" ht="24.95" customHeight="1" x14ac:dyDescent="0.25">
      <c r="B27" s="472" t="s">
        <v>332</v>
      </c>
      <c r="C27" s="557" t="s">
        <v>303</v>
      </c>
      <c r="D27" s="557"/>
      <c r="E27" s="132">
        <v>45001</v>
      </c>
      <c r="F27" s="472">
        <v>10</v>
      </c>
      <c r="G27" s="309" t="s">
        <v>363</v>
      </c>
      <c r="H27" s="309"/>
    </row>
    <row r="28" spans="2:8" ht="24.95" customHeight="1" x14ac:dyDescent="0.25">
      <c r="B28" s="472" t="s">
        <v>472</v>
      </c>
      <c r="C28" s="557" t="s">
        <v>303</v>
      </c>
      <c r="D28" s="557"/>
      <c r="E28" s="132">
        <v>45001</v>
      </c>
      <c r="F28" s="472">
        <v>57</v>
      </c>
      <c r="G28" s="309" t="s">
        <v>363</v>
      </c>
      <c r="H28" s="309"/>
    </row>
    <row r="29" spans="2:8" ht="24.95" customHeight="1" x14ac:dyDescent="0.25">
      <c r="B29" s="472" t="s">
        <v>472</v>
      </c>
      <c r="C29" s="557" t="s">
        <v>361</v>
      </c>
      <c r="D29" s="557"/>
      <c r="E29" s="132">
        <v>45005</v>
      </c>
      <c r="F29" s="472">
        <v>114</v>
      </c>
      <c r="G29" s="309" t="s">
        <v>336</v>
      </c>
      <c r="H29" s="309"/>
    </row>
    <row r="30" spans="2:8" ht="24.95" customHeight="1" x14ac:dyDescent="0.25">
      <c r="B30" s="472" t="s">
        <v>475</v>
      </c>
      <c r="C30" s="557" t="s">
        <v>361</v>
      </c>
      <c r="D30" s="557"/>
      <c r="E30" s="132">
        <v>45005</v>
      </c>
      <c r="F30" s="472">
        <v>145</v>
      </c>
      <c r="G30" s="309" t="s">
        <v>336</v>
      </c>
      <c r="H30" s="309"/>
    </row>
    <row r="31" spans="2:8" ht="24.95" customHeight="1" x14ac:dyDescent="0.25">
      <c r="B31" s="472" t="s">
        <v>278</v>
      </c>
      <c r="C31" s="557" t="s">
        <v>593</v>
      </c>
      <c r="D31" s="557">
        <v>1811</v>
      </c>
      <c r="E31" s="132">
        <v>45012</v>
      </c>
      <c r="F31" s="472">
        <v>125</v>
      </c>
      <c r="G31" s="309" t="s">
        <v>336</v>
      </c>
      <c r="H31" s="309"/>
    </row>
    <row r="32" spans="2:8" ht="24.95" customHeight="1" x14ac:dyDescent="0.25">
      <c r="B32" s="472" t="s">
        <v>351</v>
      </c>
      <c r="C32" s="557" t="s">
        <v>361</v>
      </c>
      <c r="D32" s="557"/>
      <c r="E32" s="132">
        <v>45012</v>
      </c>
      <c r="F32" s="472">
        <v>8</v>
      </c>
      <c r="G32" s="309" t="s">
        <v>336</v>
      </c>
      <c r="H32" s="309"/>
    </row>
    <row r="33" spans="2:8" ht="24.95" customHeight="1" x14ac:dyDescent="0.25">
      <c r="B33" s="472" t="s">
        <v>351</v>
      </c>
      <c r="C33" s="557" t="s">
        <v>303</v>
      </c>
      <c r="D33" s="557"/>
      <c r="E33" s="132">
        <v>45016</v>
      </c>
      <c r="F33" s="472">
        <v>8</v>
      </c>
      <c r="G33" s="309" t="s">
        <v>363</v>
      </c>
      <c r="H33" s="309"/>
    </row>
    <row r="34" spans="2:8" ht="24.95" customHeight="1" x14ac:dyDescent="0.25">
      <c r="B34" s="472" t="s">
        <v>351</v>
      </c>
      <c r="C34" s="557" t="s">
        <v>362</v>
      </c>
      <c r="D34" s="557"/>
      <c r="E34" s="132">
        <v>45016</v>
      </c>
      <c r="F34" s="472" t="s">
        <v>336</v>
      </c>
      <c r="G34" s="309" t="s">
        <v>336</v>
      </c>
      <c r="H34" s="309"/>
    </row>
    <row r="35" spans="2:8" ht="24.95" customHeight="1" x14ac:dyDescent="0.25">
      <c r="B35" s="472" t="s">
        <v>472</v>
      </c>
      <c r="C35" s="557" t="s">
        <v>303</v>
      </c>
      <c r="D35" s="557"/>
      <c r="E35" s="132">
        <v>45026</v>
      </c>
      <c r="F35" s="472">
        <v>114</v>
      </c>
      <c r="G35" s="309" t="s">
        <v>363</v>
      </c>
      <c r="H35" s="309"/>
    </row>
    <row r="36" spans="2:8" ht="24.95" customHeight="1" x14ac:dyDescent="0.25">
      <c r="B36" s="472" t="s">
        <v>472</v>
      </c>
      <c r="C36" s="557" t="s">
        <v>362</v>
      </c>
      <c r="D36" s="557"/>
      <c r="E36" s="132">
        <v>45026</v>
      </c>
      <c r="F36" s="472" t="s">
        <v>336</v>
      </c>
      <c r="G36" s="309" t="s">
        <v>336</v>
      </c>
      <c r="H36" s="309"/>
    </row>
    <row r="37" spans="2:8" ht="24.95" customHeight="1" x14ac:dyDescent="0.25">
      <c r="B37" s="472" t="s">
        <v>475</v>
      </c>
      <c r="C37" s="557" t="s">
        <v>303</v>
      </c>
      <c r="D37" s="557"/>
      <c r="E37" s="132">
        <v>45026</v>
      </c>
      <c r="F37" s="472">
        <v>36</v>
      </c>
      <c r="G37" s="309" t="s">
        <v>363</v>
      </c>
      <c r="H37" s="309"/>
    </row>
    <row r="38" spans="2:8" ht="24.95" customHeight="1" x14ac:dyDescent="0.25">
      <c r="B38" s="472" t="s">
        <v>332</v>
      </c>
      <c r="C38" s="557" t="s">
        <v>303</v>
      </c>
      <c r="D38" s="557"/>
      <c r="E38" s="132">
        <v>45026</v>
      </c>
      <c r="F38" s="472">
        <v>10</v>
      </c>
      <c r="G38" s="309" t="s">
        <v>363</v>
      </c>
      <c r="H38" s="309"/>
    </row>
    <row r="39" spans="2:8" ht="24.95" customHeight="1" x14ac:dyDescent="0.25">
      <c r="B39" s="472" t="s">
        <v>300</v>
      </c>
      <c r="C39" s="557" t="s">
        <v>361</v>
      </c>
      <c r="D39" s="557"/>
      <c r="E39" s="132">
        <v>45034</v>
      </c>
      <c r="F39" s="472">
        <v>489</v>
      </c>
      <c r="G39" s="309" t="s">
        <v>336</v>
      </c>
      <c r="H39" s="309"/>
    </row>
    <row r="40" spans="2:8" ht="24.95" customHeight="1" x14ac:dyDescent="0.25">
      <c r="B40" s="472" t="s">
        <v>472</v>
      </c>
      <c r="C40" s="557" t="s">
        <v>361</v>
      </c>
      <c r="D40" s="557"/>
      <c r="E40" s="132">
        <v>45034</v>
      </c>
      <c r="F40" s="472">
        <v>209.95</v>
      </c>
      <c r="G40" s="309" t="s">
        <v>336</v>
      </c>
      <c r="H40" s="309"/>
    </row>
    <row r="41" spans="2:8" ht="24.95" customHeight="1" x14ac:dyDescent="0.25">
      <c r="B41" s="472" t="s">
        <v>497</v>
      </c>
      <c r="C41" s="557" t="s">
        <v>361</v>
      </c>
      <c r="D41" s="557"/>
      <c r="E41" s="132">
        <v>45034</v>
      </c>
      <c r="F41" s="472">
        <v>33</v>
      </c>
      <c r="G41" s="309" t="s">
        <v>336</v>
      </c>
      <c r="H41" s="309"/>
    </row>
    <row r="42" spans="2:8" ht="24.95" customHeight="1" x14ac:dyDescent="0.25">
      <c r="B42" s="472" t="s">
        <v>300</v>
      </c>
      <c r="C42" s="557" t="s">
        <v>303</v>
      </c>
      <c r="D42" s="557"/>
      <c r="E42" s="132">
        <v>45035</v>
      </c>
      <c r="F42" s="472">
        <v>160</v>
      </c>
      <c r="G42" s="309" t="s">
        <v>363</v>
      </c>
      <c r="H42" s="309"/>
    </row>
    <row r="43" spans="2:8" ht="24.95" customHeight="1" x14ac:dyDescent="0.25">
      <c r="B43" s="472" t="s">
        <v>472</v>
      </c>
      <c r="C43" s="557" t="s">
        <v>361</v>
      </c>
      <c r="D43" s="557"/>
      <c r="E43" s="132">
        <v>45036</v>
      </c>
      <c r="F43" s="472">
        <v>142.5</v>
      </c>
      <c r="G43" s="309" t="s">
        <v>336</v>
      </c>
      <c r="H43" s="309"/>
    </row>
    <row r="44" spans="2:8" ht="24.95" customHeight="1" x14ac:dyDescent="0.25">
      <c r="B44" s="472" t="s">
        <v>475</v>
      </c>
      <c r="C44" s="557" t="s">
        <v>303</v>
      </c>
      <c r="D44" s="557"/>
      <c r="E44" s="132">
        <v>45036</v>
      </c>
      <c r="F44" s="472">
        <v>36</v>
      </c>
      <c r="G44" s="309" t="s">
        <v>363</v>
      </c>
      <c r="H44" s="309"/>
    </row>
    <row r="45" spans="2:8" ht="24.95" customHeight="1" x14ac:dyDescent="0.25">
      <c r="B45" s="472" t="s">
        <v>300</v>
      </c>
      <c r="C45" s="557" t="s">
        <v>361</v>
      </c>
      <c r="D45" s="557"/>
      <c r="E45" s="132">
        <v>45040</v>
      </c>
      <c r="F45" s="472">
        <v>112</v>
      </c>
      <c r="G45" s="309" t="s">
        <v>336</v>
      </c>
      <c r="H45" s="309"/>
    </row>
    <row r="46" spans="2:8" ht="24.95" customHeight="1" x14ac:dyDescent="0.25">
      <c r="B46" s="472" t="s">
        <v>300</v>
      </c>
      <c r="C46" s="557" t="s">
        <v>303</v>
      </c>
      <c r="D46" s="557"/>
      <c r="E46" s="132">
        <v>45045</v>
      </c>
      <c r="F46" s="472">
        <v>150</v>
      </c>
      <c r="G46" s="309" t="s">
        <v>363</v>
      </c>
      <c r="H46" s="309"/>
    </row>
    <row r="47" spans="2:8" ht="24.95" customHeight="1" x14ac:dyDescent="0.25">
      <c r="B47" s="557" t="s">
        <v>497</v>
      </c>
      <c r="C47" s="557" t="s">
        <v>303</v>
      </c>
      <c r="D47" s="557"/>
      <c r="E47" s="132">
        <v>45045</v>
      </c>
      <c r="F47" s="472">
        <v>33</v>
      </c>
      <c r="G47" s="309" t="s">
        <v>363</v>
      </c>
      <c r="H47" s="309"/>
    </row>
    <row r="48" spans="2:8" ht="24.95" customHeight="1" x14ac:dyDescent="0.25">
      <c r="B48" s="557" t="s">
        <v>497</v>
      </c>
      <c r="C48" s="557" t="s">
        <v>362</v>
      </c>
      <c r="D48" s="557"/>
      <c r="E48" s="132">
        <v>45045</v>
      </c>
      <c r="F48" s="472" t="s">
        <v>336</v>
      </c>
      <c r="G48" s="309" t="s">
        <v>336</v>
      </c>
      <c r="H48" s="309"/>
    </row>
    <row r="49" spans="2:8" ht="24.95" customHeight="1" x14ac:dyDescent="0.25">
      <c r="B49" s="472" t="s">
        <v>501</v>
      </c>
      <c r="C49" s="557" t="s">
        <v>361</v>
      </c>
      <c r="D49" s="557"/>
      <c r="E49" s="132">
        <v>45055</v>
      </c>
      <c r="F49" s="472">
        <v>98</v>
      </c>
      <c r="G49" s="309" t="s">
        <v>336</v>
      </c>
      <c r="H49" s="309"/>
    </row>
    <row r="50" spans="2:8" ht="24.95" customHeight="1" x14ac:dyDescent="0.25">
      <c r="B50" s="472" t="s">
        <v>475</v>
      </c>
      <c r="C50" s="557" t="s">
        <v>303</v>
      </c>
      <c r="D50" s="557"/>
      <c r="E50" s="132">
        <v>45056</v>
      </c>
      <c r="F50" s="472">
        <v>36</v>
      </c>
      <c r="G50" s="309" t="s">
        <v>363</v>
      </c>
      <c r="H50" s="309"/>
    </row>
    <row r="51" spans="2:8" ht="24.95" customHeight="1" x14ac:dyDescent="0.25">
      <c r="B51" s="472" t="s">
        <v>332</v>
      </c>
      <c r="C51" s="557" t="s">
        <v>303</v>
      </c>
      <c r="D51" s="557"/>
      <c r="E51" s="132">
        <v>45056</v>
      </c>
      <c r="F51" s="472">
        <v>20</v>
      </c>
      <c r="G51" s="309" t="s">
        <v>363</v>
      </c>
      <c r="H51" s="309"/>
    </row>
    <row r="52" spans="2:8" ht="24.95" customHeight="1" x14ac:dyDescent="0.25">
      <c r="B52" s="472" t="s">
        <v>502</v>
      </c>
      <c r="C52" s="557" t="s">
        <v>303</v>
      </c>
      <c r="D52" s="557"/>
      <c r="E52" s="132">
        <v>45056</v>
      </c>
      <c r="F52" s="472">
        <v>114</v>
      </c>
      <c r="G52" s="309" t="s">
        <v>363</v>
      </c>
      <c r="H52" s="309"/>
    </row>
    <row r="53" spans="2:8" ht="24.95" customHeight="1" x14ac:dyDescent="0.25">
      <c r="B53" s="472" t="s">
        <v>332</v>
      </c>
      <c r="C53" s="557" t="s">
        <v>362</v>
      </c>
      <c r="D53" s="557"/>
      <c r="E53" s="132">
        <v>45056</v>
      </c>
      <c r="F53" s="472" t="s">
        <v>336</v>
      </c>
      <c r="G53" s="309" t="s">
        <v>336</v>
      </c>
      <c r="H53" s="309"/>
    </row>
    <row r="54" spans="2:8" ht="24.95" customHeight="1" x14ac:dyDescent="0.25">
      <c r="B54" s="472" t="s">
        <v>475</v>
      </c>
      <c r="C54" s="557" t="s">
        <v>303</v>
      </c>
      <c r="D54" s="557"/>
      <c r="E54" s="132">
        <v>45058</v>
      </c>
      <c r="F54" s="472">
        <v>37</v>
      </c>
      <c r="G54" s="309" t="s">
        <v>363</v>
      </c>
      <c r="H54" s="309"/>
    </row>
    <row r="55" spans="2:8" ht="24.95" customHeight="1" x14ac:dyDescent="0.25">
      <c r="B55" s="472" t="s">
        <v>475</v>
      </c>
      <c r="C55" s="557" t="s">
        <v>362</v>
      </c>
      <c r="D55" s="557"/>
      <c r="E55" s="132">
        <v>45058</v>
      </c>
      <c r="F55" s="472" t="s">
        <v>336</v>
      </c>
      <c r="G55" s="309" t="s">
        <v>336</v>
      </c>
      <c r="H55" s="309"/>
    </row>
    <row r="56" spans="2:8" ht="24.95" customHeight="1" x14ac:dyDescent="0.25">
      <c r="B56" s="472" t="s">
        <v>472</v>
      </c>
      <c r="C56" s="557" t="s">
        <v>303</v>
      </c>
      <c r="D56" s="557"/>
      <c r="E56" s="132">
        <v>45061</v>
      </c>
      <c r="F56" s="472">
        <v>352</v>
      </c>
      <c r="G56" s="309" t="s">
        <v>363</v>
      </c>
      <c r="H56" s="309"/>
    </row>
    <row r="57" spans="2:8" ht="24.95" customHeight="1" x14ac:dyDescent="0.25">
      <c r="B57" s="472" t="s">
        <v>472</v>
      </c>
      <c r="C57" s="557" t="s">
        <v>362</v>
      </c>
      <c r="D57" s="557"/>
      <c r="E57" s="132">
        <v>45061</v>
      </c>
      <c r="F57" s="472" t="s">
        <v>336</v>
      </c>
      <c r="G57" s="309" t="s">
        <v>336</v>
      </c>
      <c r="H57" s="309"/>
    </row>
    <row r="58" spans="2:8" ht="24.95" customHeight="1" x14ac:dyDescent="0.25">
      <c r="B58" s="472" t="s">
        <v>472</v>
      </c>
      <c r="C58" s="557" t="s">
        <v>361</v>
      </c>
      <c r="D58" s="557"/>
      <c r="E58" s="132">
        <v>45061</v>
      </c>
      <c r="F58" s="472">
        <v>766</v>
      </c>
      <c r="G58" s="309" t="s">
        <v>336</v>
      </c>
      <c r="H58" s="309"/>
    </row>
    <row r="59" spans="2:8" ht="24.95" customHeight="1" x14ac:dyDescent="0.25">
      <c r="B59" s="472" t="s">
        <v>300</v>
      </c>
      <c r="C59" s="557" t="s">
        <v>303</v>
      </c>
      <c r="D59" s="557"/>
      <c r="E59" s="132">
        <v>45062</v>
      </c>
      <c r="F59" s="472">
        <v>60</v>
      </c>
      <c r="G59" s="309" t="s">
        <v>363</v>
      </c>
      <c r="H59" s="309"/>
    </row>
    <row r="60" spans="2:8" ht="24.95" customHeight="1" x14ac:dyDescent="0.25">
      <c r="B60" s="472" t="s">
        <v>300</v>
      </c>
      <c r="C60" s="557" t="s">
        <v>303</v>
      </c>
      <c r="D60" s="557"/>
      <c r="E60" s="132">
        <v>45062</v>
      </c>
      <c r="F60" s="472">
        <v>141</v>
      </c>
      <c r="G60" s="309" t="s">
        <v>363</v>
      </c>
      <c r="H60" s="309"/>
    </row>
    <row r="61" spans="2:8" ht="24.95" customHeight="1" x14ac:dyDescent="0.25">
      <c r="B61" s="472" t="s">
        <v>461</v>
      </c>
      <c r="C61" s="557" t="s">
        <v>303</v>
      </c>
      <c r="D61" s="557"/>
      <c r="E61" s="132">
        <v>45065</v>
      </c>
      <c r="F61" s="472">
        <v>100</v>
      </c>
      <c r="G61" s="309" t="s">
        <v>102</v>
      </c>
      <c r="H61" s="309"/>
    </row>
    <row r="62" spans="2:8" ht="24.95" customHeight="1" x14ac:dyDescent="0.25">
      <c r="B62" s="472" t="s">
        <v>461</v>
      </c>
      <c r="C62" s="557" t="s">
        <v>362</v>
      </c>
      <c r="D62" s="557"/>
      <c r="E62" s="132">
        <v>45065</v>
      </c>
      <c r="F62" s="472" t="s">
        <v>336</v>
      </c>
      <c r="G62" s="309" t="s">
        <v>336</v>
      </c>
      <c r="H62" s="309"/>
    </row>
    <row r="63" spans="2:8" ht="24.95" customHeight="1" x14ac:dyDescent="0.25">
      <c r="B63" s="472" t="s">
        <v>507</v>
      </c>
      <c r="C63" s="557" t="s">
        <v>361</v>
      </c>
      <c r="D63" s="557"/>
      <c r="E63" s="132">
        <v>45066</v>
      </c>
      <c r="F63" s="472">
        <v>15</v>
      </c>
      <c r="G63" s="309" t="s">
        <v>336</v>
      </c>
      <c r="H63" s="309"/>
    </row>
    <row r="64" spans="2:8" ht="24.95" customHeight="1" x14ac:dyDescent="0.25">
      <c r="B64" s="472" t="s">
        <v>508</v>
      </c>
      <c r="C64" s="557" t="s">
        <v>361</v>
      </c>
      <c r="D64" s="557"/>
      <c r="E64" s="132">
        <v>45066</v>
      </c>
      <c r="F64" s="472">
        <v>48</v>
      </c>
      <c r="G64" s="309" t="s">
        <v>336</v>
      </c>
      <c r="H64" s="309"/>
    </row>
    <row r="65" spans="2:8" ht="24.95" customHeight="1" x14ac:dyDescent="0.25">
      <c r="B65" s="472" t="s">
        <v>510</v>
      </c>
      <c r="C65" s="557" t="s">
        <v>361</v>
      </c>
      <c r="D65" s="557"/>
      <c r="E65" s="132">
        <v>45066</v>
      </c>
      <c r="F65" s="472">
        <v>199</v>
      </c>
      <c r="G65" s="309" t="s">
        <v>336</v>
      </c>
      <c r="H65" s="309"/>
    </row>
    <row r="66" spans="2:8" ht="24.95" customHeight="1" x14ac:dyDescent="0.25">
      <c r="B66" s="472" t="s">
        <v>514</v>
      </c>
      <c r="C66" s="557" t="s">
        <v>361</v>
      </c>
      <c r="D66" s="557"/>
      <c r="E66" s="132">
        <v>45066</v>
      </c>
      <c r="F66" s="472">
        <v>266</v>
      </c>
      <c r="G66" s="309" t="s">
        <v>336</v>
      </c>
      <c r="H66" s="309"/>
    </row>
    <row r="67" spans="2:8" ht="24.95" customHeight="1" x14ac:dyDescent="0.25">
      <c r="B67" s="472" t="s">
        <v>501</v>
      </c>
      <c r="C67" s="557" t="s">
        <v>303</v>
      </c>
      <c r="D67" s="557"/>
      <c r="E67" s="132">
        <v>45068</v>
      </c>
      <c r="F67" s="472">
        <v>98</v>
      </c>
      <c r="G67" s="309" t="s">
        <v>363</v>
      </c>
      <c r="H67" s="309"/>
    </row>
    <row r="68" spans="2:8" ht="24.95" customHeight="1" x14ac:dyDescent="0.25">
      <c r="B68" s="472" t="s">
        <v>501</v>
      </c>
      <c r="C68" s="557" t="s">
        <v>362</v>
      </c>
      <c r="D68" s="557"/>
      <c r="E68" s="132">
        <v>45068</v>
      </c>
      <c r="F68" s="472" t="s">
        <v>336</v>
      </c>
      <c r="G68" s="309" t="s">
        <v>336</v>
      </c>
      <c r="H68" s="309"/>
    </row>
    <row r="69" spans="2:8" ht="24.95" customHeight="1" x14ac:dyDescent="0.25">
      <c r="B69" s="472" t="s">
        <v>278</v>
      </c>
      <c r="C69" s="557" t="s">
        <v>593</v>
      </c>
      <c r="D69" s="557">
        <v>2867</v>
      </c>
      <c r="E69" s="132">
        <v>45069</v>
      </c>
      <c r="F69" s="472">
        <v>150</v>
      </c>
      <c r="G69" s="309" t="s">
        <v>336</v>
      </c>
      <c r="H69" s="309"/>
    </row>
    <row r="70" spans="2:8" ht="24.95" customHeight="1" x14ac:dyDescent="0.25">
      <c r="B70" s="472" t="s">
        <v>513</v>
      </c>
      <c r="C70" s="557" t="s">
        <v>361</v>
      </c>
      <c r="D70" s="557"/>
      <c r="E70" s="132">
        <v>45070</v>
      </c>
      <c r="F70" s="472">
        <v>385</v>
      </c>
      <c r="G70" s="309" t="s">
        <v>336</v>
      </c>
      <c r="H70" s="309"/>
    </row>
    <row r="71" spans="2:8" ht="24.95" customHeight="1" x14ac:dyDescent="0.25">
      <c r="B71" s="472" t="s">
        <v>514</v>
      </c>
      <c r="C71" s="557" t="s">
        <v>303</v>
      </c>
      <c r="D71" s="557"/>
      <c r="E71" s="132">
        <v>45070</v>
      </c>
      <c r="F71" s="472">
        <v>65</v>
      </c>
      <c r="G71" s="309" t="s">
        <v>363</v>
      </c>
      <c r="H71" s="309"/>
    </row>
    <row r="72" spans="2:8" ht="24.95" customHeight="1" x14ac:dyDescent="0.25">
      <c r="B72" s="472" t="s">
        <v>514</v>
      </c>
      <c r="C72" s="557" t="s">
        <v>362</v>
      </c>
      <c r="D72" s="557"/>
      <c r="E72" s="132">
        <v>45070</v>
      </c>
      <c r="F72" s="472" t="s">
        <v>336</v>
      </c>
      <c r="G72" s="309" t="s">
        <v>336</v>
      </c>
      <c r="H72" s="309"/>
    </row>
    <row r="73" spans="2:8" ht="24.95" customHeight="1" x14ac:dyDescent="0.25">
      <c r="B73" s="472" t="s">
        <v>510</v>
      </c>
      <c r="C73" s="557" t="s">
        <v>303</v>
      </c>
      <c r="D73" s="557"/>
      <c r="E73" s="132">
        <v>45070</v>
      </c>
      <c r="F73" s="472">
        <v>199</v>
      </c>
      <c r="G73" s="309" t="s">
        <v>516</v>
      </c>
      <c r="H73" s="309"/>
    </row>
    <row r="74" spans="2:8" ht="24.95" customHeight="1" x14ac:dyDescent="0.25">
      <c r="B74" s="472" t="s">
        <v>510</v>
      </c>
      <c r="C74" s="557" t="s">
        <v>362</v>
      </c>
      <c r="D74" s="557"/>
      <c r="E74" s="132">
        <v>45070</v>
      </c>
      <c r="F74" s="472" t="s">
        <v>336</v>
      </c>
      <c r="G74" s="309" t="s">
        <v>336</v>
      </c>
      <c r="H74" s="309"/>
    </row>
    <row r="75" spans="2:8" ht="24.95" customHeight="1" x14ac:dyDescent="0.25">
      <c r="B75" s="557" t="s">
        <v>598</v>
      </c>
      <c r="C75" s="557" t="s">
        <v>361</v>
      </c>
      <c r="D75" s="557"/>
      <c r="E75" s="132">
        <v>45071</v>
      </c>
      <c r="F75" s="472">
        <v>388.3</v>
      </c>
      <c r="G75" s="309" t="s">
        <v>336</v>
      </c>
      <c r="H75" s="309"/>
    </row>
    <row r="76" spans="2:8" ht="24.95" customHeight="1" x14ac:dyDescent="0.25">
      <c r="B76" s="557" t="s">
        <v>598</v>
      </c>
      <c r="C76" s="557" t="s">
        <v>303</v>
      </c>
      <c r="D76" s="557"/>
      <c r="E76" s="132">
        <v>45072</v>
      </c>
      <c r="F76" s="472">
        <v>388.3</v>
      </c>
      <c r="G76" s="309" t="s">
        <v>102</v>
      </c>
      <c r="H76" s="309"/>
    </row>
    <row r="77" spans="2:8" ht="24.95" customHeight="1" x14ac:dyDescent="0.25">
      <c r="B77" s="557" t="s">
        <v>598</v>
      </c>
      <c r="C77" s="557" t="s">
        <v>362</v>
      </c>
      <c r="D77" s="557"/>
      <c r="E77" s="132">
        <v>45072</v>
      </c>
      <c r="F77" s="472" t="s">
        <v>336</v>
      </c>
      <c r="G77" s="309" t="s">
        <v>336</v>
      </c>
      <c r="H77" s="309"/>
    </row>
    <row r="78" spans="2:8" ht="24.95" customHeight="1" x14ac:dyDescent="0.25">
      <c r="B78" s="472" t="s">
        <v>518</v>
      </c>
      <c r="C78" s="557" t="s">
        <v>361</v>
      </c>
      <c r="D78" s="557"/>
      <c r="E78" s="132">
        <v>45072</v>
      </c>
      <c r="F78" s="472">
        <v>565</v>
      </c>
      <c r="G78" s="309" t="s">
        <v>336</v>
      </c>
      <c r="H78" s="309"/>
    </row>
    <row r="79" spans="2:8" ht="24.95" customHeight="1" x14ac:dyDescent="0.25">
      <c r="B79" s="472" t="s">
        <v>518</v>
      </c>
      <c r="C79" s="557" t="s">
        <v>303</v>
      </c>
      <c r="D79" s="557"/>
      <c r="E79" s="132">
        <v>45073</v>
      </c>
      <c r="F79" s="472">
        <v>282.5</v>
      </c>
      <c r="G79" s="309" t="s">
        <v>102</v>
      </c>
      <c r="H79" s="309"/>
    </row>
    <row r="80" spans="2:8" ht="24.95" customHeight="1" x14ac:dyDescent="0.25">
      <c r="B80" s="472" t="s">
        <v>300</v>
      </c>
      <c r="C80" s="557" t="s">
        <v>303</v>
      </c>
      <c r="D80" s="557"/>
      <c r="E80" s="132">
        <v>45075</v>
      </c>
      <c r="F80" s="472">
        <v>90</v>
      </c>
      <c r="G80" s="309" t="s">
        <v>363</v>
      </c>
      <c r="H80" s="309"/>
    </row>
    <row r="81" spans="2:8" ht="24.95" customHeight="1" x14ac:dyDescent="0.25">
      <c r="B81" s="472" t="s">
        <v>300</v>
      </c>
      <c r="C81" s="557" t="s">
        <v>362</v>
      </c>
      <c r="D81" s="557"/>
      <c r="E81" s="132">
        <v>45075</v>
      </c>
      <c r="F81" s="472" t="s">
        <v>336</v>
      </c>
      <c r="G81" s="309" t="s">
        <v>336</v>
      </c>
      <c r="H81" s="309"/>
    </row>
    <row r="82" spans="2:8" ht="24.95" customHeight="1" x14ac:dyDescent="0.25">
      <c r="B82" s="557" t="s">
        <v>598</v>
      </c>
      <c r="C82" s="557" t="s">
        <v>361</v>
      </c>
      <c r="D82" s="557"/>
      <c r="E82" s="132">
        <v>45075</v>
      </c>
      <c r="F82" s="472">
        <v>135</v>
      </c>
      <c r="G82" s="309" t="s">
        <v>336</v>
      </c>
      <c r="H82" s="309"/>
    </row>
    <row r="83" spans="2:8" ht="24.95" customHeight="1" x14ac:dyDescent="0.25">
      <c r="B83" s="557" t="s">
        <v>598</v>
      </c>
      <c r="C83" s="557" t="s">
        <v>303</v>
      </c>
      <c r="D83" s="557"/>
      <c r="E83" s="132">
        <v>45075</v>
      </c>
      <c r="F83" s="472">
        <v>135</v>
      </c>
      <c r="G83" s="309" t="s">
        <v>363</v>
      </c>
      <c r="H83" s="309"/>
    </row>
    <row r="84" spans="2:8" ht="24.95" customHeight="1" x14ac:dyDescent="0.25">
      <c r="B84" s="557" t="s">
        <v>598</v>
      </c>
      <c r="C84" s="557" t="s">
        <v>362</v>
      </c>
      <c r="D84" s="557"/>
      <c r="E84" s="132">
        <v>45075</v>
      </c>
      <c r="F84" s="472" t="s">
        <v>336</v>
      </c>
      <c r="G84" s="309" t="s">
        <v>336</v>
      </c>
      <c r="H84" s="309"/>
    </row>
    <row r="85" spans="2:8" ht="24.95" customHeight="1" x14ac:dyDescent="0.25">
      <c r="B85" s="472" t="s">
        <v>507</v>
      </c>
      <c r="C85" s="557" t="s">
        <v>303</v>
      </c>
      <c r="D85" s="557"/>
      <c r="E85" s="132">
        <v>45076</v>
      </c>
      <c r="F85" s="472">
        <v>15</v>
      </c>
      <c r="G85" s="309" t="s">
        <v>363</v>
      </c>
      <c r="H85" s="309"/>
    </row>
    <row r="86" spans="2:8" ht="24.95" customHeight="1" x14ac:dyDescent="0.25">
      <c r="B86" s="472" t="s">
        <v>507</v>
      </c>
      <c r="C86" s="557" t="s">
        <v>362</v>
      </c>
      <c r="D86" s="557"/>
      <c r="E86" s="132">
        <v>45076</v>
      </c>
      <c r="F86" s="472" t="s">
        <v>336</v>
      </c>
      <c r="G86" s="309" t="s">
        <v>336</v>
      </c>
      <c r="H86" s="309"/>
    </row>
    <row r="87" spans="2:8" ht="24.95" customHeight="1" x14ac:dyDescent="0.25">
      <c r="B87" s="472" t="s">
        <v>521</v>
      </c>
      <c r="C87" s="557" t="s">
        <v>361</v>
      </c>
      <c r="D87" s="557"/>
      <c r="E87" s="132">
        <v>45076</v>
      </c>
      <c r="F87" s="472">
        <v>15</v>
      </c>
      <c r="G87" s="309" t="s">
        <v>336</v>
      </c>
      <c r="H87" s="309"/>
    </row>
    <row r="88" spans="2:8" ht="24.95" customHeight="1" x14ac:dyDescent="0.25">
      <c r="B88" s="472" t="s">
        <v>521</v>
      </c>
      <c r="C88" s="557" t="s">
        <v>303</v>
      </c>
      <c r="D88" s="557"/>
      <c r="E88" s="132">
        <v>45076</v>
      </c>
      <c r="F88" s="472">
        <v>15</v>
      </c>
      <c r="G88" s="309" t="s">
        <v>522</v>
      </c>
      <c r="H88" s="309"/>
    </row>
    <row r="89" spans="2:8" ht="24.95" customHeight="1" x14ac:dyDescent="0.25">
      <c r="B89" s="472" t="s">
        <v>521</v>
      </c>
      <c r="C89" s="557" t="s">
        <v>362</v>
      </c>
      <c r="D89" s="557"/>
      <c r="E89" s="132">
        <v>45076</v>
      </c>
      <c r="F89" s="472" t="s">
        <v>336</v>
      </c>
      <c r="G89" s="309" t="s">
        <v>336</v>
      </c>
      <c r="H89" s="309"/>
    </row>
    <row r="90" spans="2:8" ht="24.95" customHeight="1" x14ac:dyDescent="0.25">
      <c r="B90" s="472" t="s">
        <v>472</v>
      </c>
      <c r="C90" s="557" t="s">
        <v>303</v>
      </c>
      <c r="D90" s="557"/>
      <c r="E90" s="132">
        <v>45078</v>
      </c>
      <c r="F90" s="472">
        <v>766</v>
      </c>
      <c r="G90" s="309" t="s">
        <v>102</v>
      </c>
      <c r="H90" s="309"/>
    </row>
    <row r="91" spans="2:8" ht="24.95" customHeight="1" x14ac:dyDescent="0.25">
      <c r="B91" s="472" t="s">
        <v>472</v>
      </c>
      <c r="C91" s="557" t="s">
        <v>362</v>
      </c>
      <c r="D91" s="557"/>
      <c r="E91" s="132">
        <v>45078</v>
      </c>
      <c r="F91" s="472" t="s">
        <v>336</v>
      </c>
      <c r="G91" s="309" t="s">
        <v>336</v>
      </c>
      <c r="H91" s="309"/>
    </row>
    <row r="92" spans="2:8" ht="24.95" customHeight="1" x14ac:dyDescent="0.25">
      <c r="B92" s="472" t="s">
        <v>518</v>
      </c>
      <c r="C92" s="557" t="s">
        <v>303</v>
      </c>
      <c r="D92" s="557"/>
      <c r="E92" s="132">
        <v>45078</v>
      </c>
      <c r="F92" s="472">
        <v>85.5</v>
      </c>
      <c r="G92" s="309" t="s">
        <v>102</v>
      </c>
      <c r="H92" s="309"/>
    </row>
    <row r="93" spans="2:8" ht="24.95" customHeight="1" x14ac:dyDescent="0.25">
      <c r="B93" s="472" t="s">
        <v>472</v>
      </c>
      <c r="C93" s="557" t="s">
        <v>361</v>
      </c>
      <c r="D93" s="557"/>
      <c r="E93" s="132">
        <v>45078</v>
      </c>
      <c r="F93" s="472">
        <v>2458</v>
      </c>
      <c r="G93" s="309" t="s">
        <v>336</v>
      </c>
      <c r="H93" s="309"/>
    </row>
    <row r="94" spans="2:8" ht="24.95" customHeight="1" x14ac:dyDescent="0.25">
      <c r="B94" s="472" t="s">
        <v>458</v>
      </c>
      <c r="C94" s="557" t="s">
        <v>361</v>
      </c>
      <c r="D94" s="557"/>
      <c r="E94" s="132">
        <v>45079</v>
      </c>
      <c r="F94" s="472">
        <v>220</v>
      </c>
      <c r="G94" s="309" t="s">
        <v>336</v>
      </c>
      <c r="H94" s="309"/>
    </row>
    <row r="95" spans="2:8" ht="24.95" customHeight="1" x14ac:dyDescent="0.25">
      <c r="B95" s="472" t="s">
        <v>568</v>
      </c>
      <c r="C95" s="557" t="s">
        <v>361</v>
      </c>
      <c r="D95" s="557">
        <v>2078</v>
      </c>
      <c r="E95" s="132">
        <v>45085</v>
      </c>
      <c r="F95" s="472">
        <v>104</v>
      </c>
      <c r="G95" s="309" t="s">
        <v>336</v>
      </c>
      <c r="H95" s="309"/>
    </row>
    <row r="96" spans="2:8" ht="24.95" customHeight="1" x14ac:dyDescent="0.25">
      <c r="B96" s="472" t="s">
        <v>604</v>
      </c>
      <c r="C96" s="557" t="s">
        <v>361</v>
      </c>
      <c r="D96" s="557"/>
      <c r="E96" s="132">
        <v>45086</v>
      </c>
      <c r="F96" s="472">
        <v>265</v>
      </c>
      <c r="G96" s="309" t="s">
        <v>336</v>
      </c>
      <c r="H96" s="309"/>
    </row>
    <row r="97" spans="2:8" ht="24.95" customHeight="1" x14ac:dyDescent="0.25">
      <c r="B97" s="472" t="s">
        <v>521</v>
      </c>
      <c r="C97" s="557" t="s">
        <v>361</v>
      </c>
      <c r="D97" s="557"/>
      <c r="E97" s="132">
        <v>45089</v>
      </c>
      <c r="F97" s="472">
        <v>10</v>
      </c>
      <c r="G97" s="309" t="s">
        <v>336</v>
      </c>
      <c r="H97" s="309"/>
    </row>
    <row r="98" spans="2:8" ht="24.95" customHeight="1" x14ac:dyDescent="0.25">
      <c r="B98" s="472" t="s">
        <v>570</v>
      </c>
      <c r="C98" s="557" t="s">
        <v>361</v>
      </c>
      <c r="D98" s="557"/>
      <c r="E98" s="132">
        <v>45090</v>
      </c>
      <c r="F98" s="472">
        <v>220</v>
      </c>
      <c r="G98" s="309" t="s">
        <v>336</v>
      </c>
      <c r="H98" s="309"/>
    </row>
    <row r="99" spans="2:8" ht="24.95" customHeight="1" x14ac:dyDescent="0.25">
      <c r="B99" s="472" t="s">
        <v>570</v>
      </c>
      <c r="C99" s="557" t="s">
        <v>303</v>
      </c>
      <c r="D99" s="557"/>
      <c r="E99" s="132">
        <v>45092</v>
      </c>
      <c r="F99" s="472">
        <v>120</v>
      </c>
      <c r="G99" s="309" t="s">
        <v>363</v>
      </c>
      <c r="H99" s="309"/>
    </row>
    <row r="100" spans="2:8" ht="24.95" customHeight="1" x14ac:dyDescent="0.25">
      <c r="B100" s="472" t="s">
        <v>570</v>
      </c>
      <c r="C100" s="557" t="s">
        <v>362</v>
      </c>
      <c r="D100" s="557"/>
      <c r="E100" s="132">
        <v>45092</v>
      </c>
      <c r="F100" s="472" t="s">
        <v>336</v>
      </c>
      <c r="G100" s="309" t="s">
        <v>336</v>
      </c>
      <c r="H100" s="309"/>
    </row>
    <row r="101" spans="2:8" ht="24.95" customHeight="1" x14ac:dyDescent="0.25">
      <c r="B101" s="472" t="s">
        <v>458</v>
      </c>
      <c r="C101" s="557" t="s">
        <v>303</v>
      </c>
      <c r="D101" s="557"/>
      <c r="E101" s="132">
        <v>45092</v>
      </c>
      <c r="F101" s="472">
        <v>70</v>
      </c>
      <c r="G101" s="309" t="s">
        <v>363</v>
      </c>
      <c r="H101" s="309"/>
    </row>
    <row r="102" spans="2:8" ht="24.95" customHeight="1" x14ac:dyDescent="0.25">
      <c r="B102" s="472" t="s">
        <v>604</v>
      </c>
      <c r="C102" s="557" t="s">
        <v>303</v>
      </c>
      <c r="D102" s="557"/>
      <c r="E102" s="132">
        <v>45094</v>
      </c>
      <c r="F102" s="472">
        <v>150</v>
      </c>
      <c r="G102" s="309" t="s">
        <v>363</v>
      </c>
      <c r="H102" s="309"/>
    </row>
    <row r="103" spans="2:8" ht="24.95" customHeight="1" x14ac:dyDescent="0.25">
      <c r="B103" s="472" t="s">
        <v>472</v>
      </c>
      <c r="C103" s="557" t="s">
        <v>303</v>
      </c>
      <c r="D103" s="557"/>
      <c r="E103" s="132">
        <v>45096</v>
      </c>
      <c r="F103" s="472">
        <v>1208</v>
      </c>
      <c r="G103" s="309" t="s">
        <v>363</v>
      </c>
      <c r="H103" s="309"/>
    </row>
    <row r="104" spans="2:8" ht="24.95" customHeight="1" x14ac:dyDescent="0.25">
      <c r="B104" s="472" t="s">
        <v>507</v>
      </c>
      <c r="C104" s="557" t="s">
        <v>361</v>
      </c>
      <c r="D104" s="557"/>
      <c r="E104" s="132">
        <v>45098</v>
      </c>
      <c r="F104" s="472">
        <v>5</v>
      </c>
      <c r="G104" s="309" t="s">
        <v>336</v>
      </c>
      <c r="H104" s="309"/>
    </row>
    <row r="105" spans="2:8" ht="24.95" customHeight="1" x14ac:dyDescent="0.25">
      <c r="B105" s="472" t="s">
        <v>461</v>
      </c>
      <c r="C105" s="557" t="s">
        <v>361</v>
      </c>
      <c r="D105" s="557"/>
      <c r="E105" s="132">
        <v>45099</v>
      </c>
      <c r="F105" s="472">
        <v>30</v>
      </c>
      <c r="G105" s="309" t="s">
        <v>336</v>
      </c>
      <c r="H105" s="309"/>
    </row>
    <row r="106" spans="2:8" ht="24.95" customHeight="1" x14ac:dyDescent="0.25">
      <c r="B106" s="472" t="s">
        <v>604</v>
      </c>
      <c r="C106" s="557" t="s">
        <v>303</v>
      </c>
      <c r="D106" s="557"/>
      <c r="E106" s="132">
        <v>45101</v>
      </c>
      <c r="F106" s="472">
        <v>115</v>
      </c>
      <c r="G106" s="309" t="s">
        <v>363</v>
      </c>
      <c r="H106" s="309"/>
    </row>
    <row r="107" spans="2:8" ht="24.95" customHeight="1" x14ac:dyDescent="0.25">
      <c r="B107" s="472" t="s">
        <v>604</v>
      </c>
      <c r="C107" s="557" t="s">
        <v>362</v>
      </c>
      <c r="D107" s="557"/>
      <c r="E107" s="132">
        <v>45101</v>
      </c>
      <c r="F107" s="472" t="s">
        <v>336</v>
      </c>
      <c r="G107" s="309" t="s">
        <v>336</v>
      </c>
      <c r="H107" s="309"/>
    </row>
    <row r="108" spans="2:8" ht="24.95" customHeight="1" x14ac:dyDescent="0.25">
      <c r="B108" s="472" t="s">
        <v>574</v>
      </c>
      <c r="C108" s="557" t="s">
        <v>361</v>
      </c>
      <c r="D108" s="557"/>
      <c r="E108" s="132">
        <v>45103</v>
      </c>
      <c r="F108" s="472">
        <v>592</v>
      </c>
      <c r="G108" s="309" t="s">
        <v>336</v>
      </c>
      <c r="H108" s="309"/>
    </row>
    <row r="109" spans="2:8" ht="24.95" customHeight="1" x14ac:dyDescent="0.25">
      <c r="B109" s="472" t="s">
        <v>574</v>
      </c>
      <c r="C109" s="557" t="s">
        <v>303</v>
      </c>
      <c r="D109" s="557"/>
      <c r="E109" s="132">
        <v>45103</v>
      </c>
      <c r="F109" s="472">
        <v>200</v>
      </c>
      <c r="G109" s="309" t="s">
        <v>363</v>
      </c>
      <c r="H109" s="309"/>
    </row>
    <row r="110" spans="2:8" ht="24.95" customHeight="1" x14ac:dyDescent="0.25">
      <c r="B110" s="472" t="s">
        <v>461</v>
      </c>
      <c r="C110" s="557" t="s">
        <v>303</v>
      </c>
      <c r="D110" s="557"/>
      <c r="E110" s="132">
        <v>45103</v>
      </c>
      <c r="F110" s="472">
        <v>30</v>
      </c>
      <c r="G110" s="309" t="s">
        <v>102</v>
      </c>
      <c r="H110" s="309"/>
    </row>
    <row r="111" spans="2:8" ht="24.95" customHeight="1" x14ac:dyDescent="0.25">
      <c r="B111" s="472" t="s">
        <v>461</v>
      </c>
      <c r="C111" s="557" t="s">
        <v>362</v>
      </c>
      <c r="D111" s="557"/>
      <c r="E111" s="132">
        <v>45103</v>
      </c>
      <c r="F111" s="472" t="s">
        <v>336</v>
      </c>
      <c r="G111" s="309" t="s">
        <v>336</v>
      </c>
      <c r="H111" s="309"/>
    </row>
    <row r="112" spans="2:8" ht="24.95" customHeight="1" x14ac:dyDescent="0.25">
      <c r="B112" s="472" t="s">
        <v>458</v>
      </c>
      <c r="C112" s="557" t="s">
        <v>303</v>
      </c>
      <c r="D112" s="557"/>
      <c r="E112" s="132">
        <v>45106</v>
      </c>
      <c r="F112" s="472">
        <v>50</v>
      </c>
      <c r="G112" s="309" t="s">
        <v>516</v>
      </c>
      <c r="H112" s="309"/>
    </row>
    <row r="113" spans="2:9" ht="24.95" customHeight="1" x14ac:dyDescent="0.25">
      <c r="B113" s="472" t="s">
        <v>578</v>
      </c>
      <c r="C113" s="557" t="s">
        <v>361</v>
      </c>
      <c r="D113" s="557"/>
      <c r="E113" s="132">
        <v>45108</v>
      </c>
      <c r="F113" s="472">
        <v>30</v>
      </c>
      <c r="G113" s="309" t="s">
        <v>336</v>
      </c>
      <c r="H113" s="309"/>
    </row>
    <row r="114" spans="2:9" ht="24.95" customHeight="1" x14ac:dyDescent="0.25">
      <c r="B114" s="472" t="s">
        <v>518</v>
      </c>
      <c r="C114" s="557" t="s">
        <v>303</v>
      </c>
      <c r="D114" s="557"/>
      <c r="E114" s="132">
        <v>45113</v>
      </c>
      <c r="F114" s="472">
        <v>197</v>
      </c>
      <c r="G114" s="309" t="s">
        <v>522</v>
      </c>
      <c r="H114" s="309"/>
    </row>
    <row r="115" spans="2:9" ht="24.95" customHeight="1" x14ac:dyDescent="0.25">
      <c r="B115" s="472" t="s">
        <v>518</v>
      </c>
      <c r="C115" s="557" t="s">
        <v>362</v>
      </c>
      <c r="D115" s="557"/>
      <c r="E115" s="132">
        <v>45113</v>
      </c>
      <c r="F115" s="472" t="s">
        <v>336</v>
      </c>
      <c r="G115" s="309" t="s">
        <v>336</v>
      </c>
      <c r="H115" s="309"/>
      <c r="I115" s="364"/>
    </row>
    <row r="116" spans="2:9" ht="24.95" customHeight="1" x14ac:dyDescent="0.25">
      <c r="B116" s="472" t="s">
        <v>472</v>
      </c>
      <c r="C116" s="557" t="s">
        <v>303</v>
      </c>
      <c r="D116" s="557"/>
      <c r="E116" s="132">
        <v>45114</v>
      </c>
      <c r="F116" s="472">
        <v>818</v>
      </c>
      <c r="G116" s="309" t="s">
        <v>363</v>
      </c>
      <c r="H116" s="309"/>
    </row>
    <row r="117" spans="2:9" ht="24.95" customHeight="1" x14ac:dyDescent="0.25">
      <c r="B117" s="472" t="s">
        <v>588</v>
      </c>
      <c r="C117" s="557" t="s">
        <v>361</v>
      </c>
      <c r="D117" s="557"/>
      <c r="E117" s="132">
        <v>45117</v>
      </c>
      <c r="F117" s="472">
        <v>80</v>
      </c>
      <c r="G117" s="309" t="s">
        <v>336</v>
      </c>
      <c r="H117" s="309"/>
    </row>
    <row r="118" spans="2:9" ht="24.95" customHeight="1" x14ac:dyDescent="0.25">
      <c r="B118" s="472" t="s">
        <v>589</v>
      </c>
      <c r="C118" s="557" t="s">
        <v>361</v>
      </c>
      <c r="D118" s="557"/>
      <c r="E118" s="132">
        <v>45118</v>
      </c>
      <c r="F118" s="472">
        <v>188</v>
      </c>
      <c r="G118" s="309" t="s">
        <v>336</v>
      </c>
      <c r="H118" s="309"/>
    </row>
    <row r="119" spans="2:9" ht="24.95" customHeight="1" x14ac:dyDescent="0.25">
      <c r="B119" s="472" t="s">
        <v>357</v>
      </c>
      <c r="C119" s="557" t="s">
        <v>361</v>
      </c>
      <c r="D119" s="567">
        <v>3746</v>
      </c>
      <c r="E119" s="132">
        <v>45118</v>
      </c>
      <c r="F119" s="472">
        <v>152</v>
      </c>
      <c r="G119" s="309"/>
      <c r="H119" s="309"/>
    </row>
    <row r="120" spans="2:9" ht="24.95" customHeight="1" x14ac:dyDescent="0.25">
      <c r="B120" s="472" t="s">
        <v>357</v>
      </c>
      <c r="C120" s="557" t="s">
        <v>593</v>
      </c>
      <c r="D120" s="557">
        <v>3753</v>
      </c>
      <c r="E120" s="132">
        <v>45118</v>
      </c>
      <c r="F120" s="472">
        <v>389</v>
      </c>
      <c r="G120" s="309" t="s">
        <v>336</v>
      </c>
      <c r="H120" s="309"/>
    </row>
    <row r="121" spans="2:9" ht="24.95" customHeight="1" x14ac:dyDescent="0.25">
      <c r="B121" s="472" t="s">
        <v>357</v>
      </c>
      <c r="C121" s="557" t="s">
        <v>593</v>
      </c>
      <c r="D121" s="557">
        <v>3754</v>
      </c>
      <c r="E121" s="132">
        <v>45118</v>
      </c>
      <c r="F121" s="472">
        <v>203</v>
      </c>
      <c r="G121" s="309"/>
      <c r="H121" s="309"/>
    </row>
    <row r="122" spans="2:9" ht="24.95" customHeight="1" x14ac:dyDescent="0.25">
      <c r="B122" s="472" t="s">
        <v>357</v>
      </c>
      <c r="C122" s="557" t="s">
        <v>593</v>
      </c>
      <c r="D122" s="557">
        <v>3780</v>
      </c>
      <c r="E122" s="132">
        <v>45119</v>
      </c>
      <c r="F122" s="472">
        <v>93</v>
      </c>
      <c r="G122" s="309"/>
      <c r="H122" s="309"/>
    </row>
    <row r="123" spans="2:9" ht="24.95" customHeight="1" x14ac:dyDescent="0.25">
      <c r="B123" s="472" t="s">
        <v>357</v>
      </c>
      <c r="C123" s="557" t="s">
        <v>593</v>
      </c>
      <c r="D123" s="557">
        <v>3790</v>
      </c>
      <c r="E123" s="132">
        <v>45120</v>
      </c>
      <c r="F123" s="472">
        <v>55</v>
      </c>
      <c r="G123" s="309"/>
      <c r="H123" s="309"/>
    </row>
    <row r="124" spans="2:9" ht="24.95" customHeight="1" x14ac:dyDescent="0.25">
      <c r="B124" s="472" t="s">
        <v>357</v>
      </c>
      <c r="C124" s="557" t="s">
        <v>593</v>
      </c>
      <c r="D124" s="557">
        <v>3786</v>
      </c>
      <c r="E124" s="132">
        <v>45120</v>
      </c>
      <c r="F124" s="472">
        <v>283</v>
      </c>
      <c r="G124" s="309"/>
      <c r="H124" s="309"/>
    </row>
    <row r="125" spans="2:9" ht="24.95" customHeight="1" x14ac:dyDescent="0.25">
      <c r="B125" s="477" t="s">
        <v>588</v>
      </c>
      <c r="C125" s="557" t="s">
        <v>303</v>
      </c>
      <c r="D125" s="557"/>
      <c r="E125" s="132">
        <v>45121</v>
      </c>
      <c r="F125" s="477">
        <v>80</v>
      </c>
      <c r="G125" s="309" t="s">
        <v>591</v>
      </c>
      <c r="H125" s="309"/>
    </row>
    <row r="126" spans="2:9" ht="24.95" customHeight="1" x14ac:dyDescent="0.25">
      <c r="B126" s="472" t="s">
        <v>588</v>
      </c>
      <c r="C126" s="557" t="s">
        <v>362</v>
      </c>
      <c r="D126" s="557"/>
      <c r="E126" s="132">
        <v>45121</v>
      </c>
      <c r="F126" s="472" t="s">
        <v>336</v>
      </c>
      <c r="G126" s="309" t="s">
        <v>336</v>
      </c>
      <c r="H126" s="309"/>
    </row>
    <row r="127" spans="2:9" ht="24.95" customHeight="1" x14ac:dyDescent="0.25">
      <c r="B127" s="472" t="s">
        <v>507</v>
      </c>
      <c r="C127" s="557" t="s">
        <v>303</v>
      </c>
      <c r="D127" s="557"/>
      <c r="E127" s="132">
        <v>45121</v>
      </c>
      <c r="F127" s="472">
        <v>5</v>
      </c>
      <c r="G127" s="309" t="s">
        <v>516</v>
      </c>
      <c r="H127" s="309"/>
    </row>
    <row r="128" spans="2:9" ht="24.95" customHeight="1" x14ac:dyDescent="0.25">
      <c r="B128" s="472" t="s">
        <v>507</v>
      </c>
      <c r="C128" s="557" t="s">
        <v>362</v>
      </c>
      <c r="D128" s="557"/>
      <c r="E128" s="132">
        <v>45121</v>
      </c>
      <c r="F128" s="472" t="s">
        <v>336</v>
      </c>
      <c r="G128" s="309" t="s">
        <v>336</v>
      </c>
      <c r="H128" s="309"/>
    </row>
    <row r="129" spans="2:8" ht="24.95" customHeight="1" x14ac:dyDescent="0.25">
      <c r="B129" s="472" t="s">
        <v>357</v>
      </c>
      <c r="C129" s="557" t="s">
        <v>593</v>
      </c>
      <c r="D129" s="557">
        <v>3803</v>
      </c>
      <c r="E129" s="132">
        <v>45121</v>
      </c>
      <c r="F129" s="472">
        <v>375</v>
      </c>
      <c r="G129" s="309"/>
      <c r="H129" s="309"/>
    </row>
    <row r="130" spans="2:8" ht="24.95" customHeight="1" x14ac:dyDescent="0.25">
      <c r="B130" s="472" t="s">
        <v>278</v>
      </c>
      <c r="C130" s="557" t="s">
        <v>593</v>
      </c>
      <c r="D130" s="557">
        <v>3805</v>
      </c>
      <c r="E130" s="132">
        <v>45122</v>
      </c>
      <c r="F130" s="472">
        <v>178</v>
      </c>
      <c r="G130" s="309" t="s">
        <v>336</v>
      </c>
      <c r="H130" s="309"/>
    </row>
    <row r="131" spans="2:8" ht="24.95" customHeight="1" x14ac:dyDescent="0.25">
      <c r="B131" s="472" t="s">
        <v>501</v>
      </c>
      <c r="C131" s="557" t="s">
        <v>361</v>
      </c>
      <c r="D131" s="557"/>
      <c r="E131" s="132">
        <v>45122</v>
      </c>
      <c r="F131" s="472">
        <v>910</v>
      </c>
      <c r="G131" s="309" t="s">
        <v>336</v>
      </c>
      <c r="H131" s="309"/>
    </row>
    <row r="132" spans="2:8" ht="24.95" customHeight="1" x14ac:dyDescent="0.25">
      <c r="B132" s="472" t="s">
        <v>357</v>
      </c>
      <c r="C132" s="557" t="s">
        <v>593</v>
      </c>
      <c r="D132" s="557">
        <v>3816</v>
      </c>
      <c r="E132" s="132">
        <v>45122</v>
      </c>
      <c r="F132" s="472">
        <v>55</v>
      </c>
      <c r="G132" s="309"/>
      <c r="H132" s="309"/>
    </row>
    <row r="133" spans="2:8" ht="24.95" customHeight="1" x14ac:dyDescent="0.25">
      <c r="B133" s="479" t="s">
        <v>357</v>
      </c>
      <c r="C133" s="557" t="s">
        <v>593</v>
      </c>
      <c r="D133" s="557">
        <v>3815</v>
      </c>
      <c r="E133" s="132">
        <v>45122</v>
      </c>
      <c r="F133" s="479">
        <v>165</v>
      </c>
      <c r="G133" s="309"/>
      <c r="H133" s="309"/>
    </row>
    <row r="134" spans="2:8" ht="24.95" customHeight="1" x14ac:dyDescent="0.25">
      <c r="B134" s="557" t="s">
        <v>508</v>
      </c>
      <c r="C134" s="557" t="s">
        <v>303</v>
      </c>
      <c r="D134" s="557"/>
      <c r="E134" s="132">
        <v>45124</v>
      </c>
      <c r="F134" s="479">
        <v>48</v>
      </c>
      <c r="G134" s="309" t="s">
        <v>363</v>
      </c>
      <c r="H134" s="309"/>
    </row>
    <row r="135" spans="2:8" ht="24.95" customHeight="1" x14ac:dyDescent="0.25">
      <c r="B135" s="472" t="s">
        <v>508</v>
      </c>
      <c r="C135" s="557" t="s">
        <v>362</v>
      </c>
      <c r="D135" s="557"/>
      <c r="E135" s="132">
        <v>45124</v>
      </c>
      <c r="F135" s="472" t="s">
        <v>336</v>
      </c>
      <c r="G135" s="309" t="s">
        <v>336</v>
      </c>
      <c r="H135" s="309"/>
    </row>
    <row r="136" spans="2:8" ht="24.95" customHeight="1" x14ac:dyDescent="0.25">
      <c r="B136" s="472" t="s">
        <v>472</v>
      </c>
      <c r="C136" s="557" t="s">
        <v>303</v>
      </c>
      <c r="D136" s="557"/>
      <c r="E136" s="132">
        <v>45124</v>
      </c>
      <c r="F136" s="472">
        <v>430</v>
      </c>
      <c r="G136" s="309" t="s">
        <v>363</v>
      </c>
      <c r="H136" s="309"/>
    </row>
    <row r="137" spans="2:8" ht="24.95" customHeight="1" x14ac:dyDescent="0.25">
      <c r="B137" s="472" t="s">
        <v>472</v>
      </c>
      <c r="C137" s="557" t="s">
        <v>362</v>
      </c>
      <c r="D137" s="557"/>
      <c r="E137" s="132">
        <v>45124</v>
      </c>
      <c r="F137" s="472" t="s">
        <v>336</v>
      </c>
      <c r="G137" s="309" t="s">
        <v>336</v>
      </c>
      <c r="H137" s="309"/>
    </row>
    <row r="138" spans="2:8" ht="24.95" customHeight="1" x14ac:dyDescent="0.25">
      <c r="B138" s="472" t="s">
        <v>357</v>
      </c>
      <c r="C138" s="557" t="s">
        <v>593</v>
      </c>
      <c r="D138" s="557">
        <v>3842</v>
      </c>
      <c r="E138" s="132">
        <v>45125</v>
      </c>
      <c r="F138" s="472">
        <v>114</v>
      </c>
      <c r="G138" s="309"/>
      <c r="H138" s="309"/>
    </row>
    <row r="139" spans="2:8" ht="24.95" customHeight="1" x14ac:dyDescent="0.25">
      <c r="B139" s="472" t="s">
        <v>278</v>
      </c>
      <c r="C139" s="557" t="s">
        <v>593</v>
      </c>
      <c r="D139" s="557">
        <v>3864</v>
      </c>
      <c r="E139" s="132">
        <v>45126</v>
      </c>
      <c r="F139" s="472">
        <v>28</v>
      </c>
      <c r="G139" s="309" t="s">
        <v>336</v>
      </c>
      <c r="H139" s="309"/>
    </row>
    <row r="140" spans="2:8" ht="24.95" customHeight="1" x14ac:dyDescent="0.25">
      <c r="B140" s="472" t="s">
        <v>595</v>
      </c>
      <c r="C140" s="557" t="s">
        <v>361</v>
      </c>
      <c r="D140" s="557"/>
      <c r="E140" s="132">
        <v>45126</v>
      </c>
      <c r="F140" s="472">
        <v>86</v>
      </c>
      <c r="G140" s="309" t="s">
        <v>336</v>
      </c>
      <c r="H140" s="309"/>
    </row>
    <row r="141" spans="2:8" ht="24.95" customHeight="1" x14ac:dyDescent="0.25">
      <c r="B141" s="557" t="s">
        <v>357</v>
      </c>
      <c r="C141" s="557" t="s">
        <v>593</v>
      </c>
      <c r="D141" s="557">
        <v>3865</v>
      </c>
      <c r="E141" s="132">
        <v>45126</v>
      </c>
      <c r="F141" s="472">
        <v>375</v>
      </c>
      <c r="G141" s="309"/>
      <c r="H141" s="309"/>
    </row>
    <row r="142" spans="2:8" ht="24.95" customHeight="1" x14ac:dyDescent="0.25">
      <c r="B142" s="472" t="s">
        <v>501</v>
      </c>
      <c r="C142" s="557" t="s">
        <v>303</v>
      </c>
      <c r="D142" s="557"/>
      <c r="E142" s="132">
        <v>45127</v>
      </c>
      <c r="F142" s="472">
        <v>300</v>
      </c>
      <c r="G142" s="309" t="s">
        <v>363</v>
      </c>
      <c r="H142" s="309"/>
    </row>
    <row r="143" spans="2:8" ht="24.95" customHeight="1" x14ac:dyDescent="0.25">
      <c r="B143" s="472" t="s">
        <v>501</v>
      </c>
      <c r="C143" s="557" t="s">
        <v>303</v>
      </c>
      <c r="D143" s="557"/>
      <c r="E143" s="132">
        <v>45136</v>
      </c>
      <c r="F143" s="472">
        <v>300</v>
      </c>
      <c r="G143" s="309" t="s">
        <v>363</v>
      </c>
      <c r="H143" s="309"/>
    </row>
    <row r="144" spans="2:8" ht="24.95" customHeight="1" x14ac:dyDescent="0.25">
      <c r="B144" s="472" t="s">
        <v>638</v>
      </c>
      <c r="C144" s="557" t="s">
        <v>361</v>
      </c>
      <c r="D144" s="557"/>
      <c r="E144" s="132">
        <v>45136</v>
      </c>
      <c r="F144" s="472">
        <v>30</v>
      </c>
      <c r="G144" s="309" t="s">
        <v>336</v>
      </c>
      <c r="H144" s="309"/>
    </row>
    <row r="145" spans="2:8" ht="24.95" customHeight="1" x14ac:dyDescent="0.25">
      <c r="B145" s="472" t="s">
        <v>578</v>
      </c>
      <c r="C145" s="557" t="s">
        <v>593</v>
      </c>
      <c r="D145" s="557"/>
      <c r="E145" s="132">
        <v>45139</v>
      </c>
      <c r="F145" s="472">
        <v>15</v>
      </c>
      <c r="G145" s="309" t="s">
        <v>336</v>
      </c>
      <c r="H145" s="309"/>
    </row>
    <row r="146" spans="2:8" ht="24.95" customHeight="1" x14ac:dyDescent="0.25">
      <c r="B146" s="472" t="s">
        <v>595</v>
      </c>
      <c r="C146" s="557" t="s">
        <v>593</v>
      </c>
      <c r="D146" s="557"/>
      <c r="E146" s="132">
        <v>45140</v>
      </c>
      <c r="F146" s="472">
        <v>80</v>
      </c>
      <c r="G146" s="309" t="s">
        <v>336</v>
      </c>
      <c r="H146" s="309"/>
    </row>
    <row r="147" spans="2:8" ht="24.95" customHeight="1" x14ac:dyDescent="0.25">
      <c r="B147" s="472" t="s">
        <v>598</v>
      </c>
      <c r="C147" s="557" t="s">
        <v>361</v>
      </c>
      <c r="D147" s="557"/>
      <c r="E147" s="132">
        <v>45140</v>
      </c>
      <c r="F147" s="472">
        <v>48</v>
      </c>
      <c r="G147" s="309" t="s">
        <v>336</v>
      </c>
      <c r="H147" s="309"/>
    </row>
    <row r="148" spans="2:8" ht="24.95" customHeight="1" x14ac:dyDescent="0.25">
      <c r="B148" s="472" t="s">
        <v>599</v>
      </c>
      <c r="C148" s="557" t="s">
        <v>361</v>
      </c>
      <c r="D148" s="557"/>
      <c r="E148" s="132">
        <v>45140</v>
      </c>
      <c r="F148" s="472">
        <v>100</v>
      </c>
      <c r="G148" s="309" t="s">
        <v>336</v>
      </c>
      <c r="H148" s="309"/>
    </row>
    <row r="149" spans="2:8" ht="24.95" customHeight="1" x14ac:dyDescent="0.25">
      <c r="B149" s="472" t="s">
        <v>598</v>
      </c>
      <c r="C149" s="557" t="s">
        <v>303</v>
      </c>
      <c r="D149" s="557"/>
      <c r="E149" s="132">
        <v>45141</v>
      </c>
      <c r="F149" s="472">
        <v>48</v>
      </c>
      <c r="G149" s="309" t="s">
        <v>363</v>
      </c>
      <c r="H149" s="309"/>
    </row>
    <row r="150" spans="2:8" ht="24.95" customHeight="1" x14ac:dyDescent="0.25">
      <c r="B150" s="472" t="s">
        <v>598</v>
      </c>
      <c r="C150" s="557" t="s">
        <v>362</v>
      </c>
      <c r="D150" s="557"/>
      <c r="E150" s="132">
        <v>45141</v>
      </c>
      <c r="F150" s="472" t="s">
        <v>336</v>
      </c>
      <c r="G150" s="309" t="s">
        <v>336</v>
      </c>
      <c r="H150" s="309"/>
    </row>
    <row r="151" spans="2:8" ht="24.95" customHeight="1" x14ac:dyDescent="0.25">
      <c r="B151" s="472" t="s">
        <v>278</v>
      </c>
      <c r="C151" s="557" t="s">
        <v>593</v>
      </c>
      <c r="D151" s="557">
        <v>4104</v>
      </c>
      <c r="E151" s="132">
        <v>45141</v>
      </c>
      <c r="F151" s="472">
        <v>80</v>
      </c>
      <c r="G151" s="309" t="s">
        <v>336</v>
      </c>
      <c r="H151" s="309"/>
    </row>
    <row r="152" spans="2:8" ht="24.95" customHeight="1" x14ac:dyDescent="0.25">
      <c r="B152" s="472" t="s">
        <v>518</v>
      </c>
      <c r="C152" s="557" t="s">
        <v>361</v>
      </c>
      <c r="D152" s="557"/>
      <c r="E152" s="132">
        <v>45142</v>
      </c>
      <c r="F152" s="472">
        <v>48</v>
      </c>
      <c r="G152" s="309" t="s">
        <v>336</v>
      </c>
      <c r="H152" s="309"/>
    </row>
    <row r="153" spans="2:8" ht="24.95" customHeight="1" x14ac:dyDescent="0.25">
      <c r="B153" s="472" t="s">
        <v>604</v>
      </c>
      <c r="C153" s="557" t="s">
        <v>361</v>
      </c>
      <c r="D153" s="557"/>
      <c r="E153" s="132">
        <v>45142</v>
      </c>
      <c r="F153" s="472">
        <v>48</v>
      </c>
      <c r="G153" s="309" t="s">
        <v>336</v>
      </c>
      <c r="H153" s="309"/>
    </row>
    <row r="154" spans="2:8" ht="24.95" customHeight="1" x14ac:dyDescent="0.25">
      <c r="B154" s="472" t="s">
        <v>595</v>
      </c>
      <c r="C154" s="557" t="s">
        <v>303</v>
      </c>
      <c r="D154" s="557"/>
      <c r="E154" s="132">
        <v>45142</v>
      </c>
      <c r="F154" s="472">
        <v>86</v>
      </c>
      <c r="G154" s="309" t="s">
        <v>102</v>
      </c>
      <c r="H154" s="309"/>
    </row>
    <row r="155" spans="2:8" ht="24.95" customHeight="1" x14ac:dyDescent="0.25">
      <c r="B155" s="472" t="s">
        <v>521</v>
      </c>
      <c r="C155" s="557" t="s">
        <v>303</v>
      </c>
      <c r="D155" s="557"/>
      <c r="E155" s="132">
        <v>45142</v>
      </c>
      <c r="F155" s="472">
        <v>10</v>
      </c>
      <c r="G155" s="309" t="s">
        <v>522</v>
      </c>
      <c r="H155" s="309"/>
    </row>
    <row r="156" spans="2:8" ht="24.95" customHeight="1" x14ac:dyDescent="0.25">
      <c r="B156" s="472" t="s">
        <v>521</v>
      </c>
      <c r="C156" s="557" t="s">
        <v>362</v>
      </c>
      <c r="D156" s="557"/>
      <c r="E156" s="132">
        <v>45142</v>
      </c>
      <c r="F156" s="472" t="s">
        <v>336</v>
      </c>
      <c r="G156" s="309" t="s">
        <v>336</v>
      </c>
      <c r="H156" s="309"/>
    </row>
    <row r="157" spans="2:8" ht="24.95" customHeight="1" x14ac:dyDescent="0.25">
      <c r="B157" s="472" t="s">
        <v>599</v>
      </c>
      <c r="C157" s="557" t="s">
        <v>303</v>
      </c>
      <c r="D157" s="557"/>
      <c r="E157" s="132">
        <v>45143</v>
      </c>
      <c r="F157" s="472">
        <v>70</v>
      </c>
      <c r="G157" s="309" t="s">
        <v>102</v>
      </c>
      <c r="H157" s="309"/>
    </row>
    <row r="158" spans="2:8" ht="24.95" customHeight="1" x14ac:dyDescent="0.25">
      <c r="B158" s="498" t="s">
        <v>599</v>
      </c>
      <c r="C158" s="557" t="s">
        <v>303</v>
      </c>
      <c r="D158" s="557"/>
      <c r="E158" s="132">
        <v>45145</v>
      </c>
      <c r="F158" s="498">
        <v>10</v>
      </c>
      <c r="G158" s="309" t="s">
        <v>363</v>
      </c>
      <c r="H158" s="309"/>
    </row>
    <row r="159" spans="2:8" ht="24.95" customHeight="1" x14ac:dyDescent="0.25">
      <c r="B159" s="557" t="s">
        <v>518</v>
      </c>
      <c r="C159" s="557" t="s">
        <v>303</v>
      </c>
      <c r="D159" s="557"/>
      <c r="E159" s="132">
        <v>45145</v>
      </c>
      <c r="F159" s="472">
        <v>48</v>
      </c>
      <c r="G159" s="309" t="s">
        <v>102</v>
      </c>
      <c r="H159" s="309"/>
    </row>
    <row r="160" spans="2:8" ht="24.95" customHeight="1" x14ac:dyDescent="0.25">
      <c r="B160" s="557" t="s">
        <v>518</v>
      </c>
      <c r="C160" s="557" t="s">
        <v>362</v>
      </c>
      <c r="D160" s="557"/>
      <c r="E160" s="132">
        <v>45145</v>
      </c>
      <c r="F160" s="472" t="s">
        <v>336</v>
      </c>
      <c r="G160" s="309" t="s">
        <v>336</v>
      </c>
      <c r="H160" s="309"/>
    </row>
    <row r="161" spans="2:8" ht="24.95" customHeight="1" x14ac:dyDescent="0.25">
      <c r="B161" s="472" t="s">
        <v>604</v>
      </c>
      <c r="C161" s="557" t="s">
        <v>303</v>
      </c>
      <c r="D161" s="557"/>
      <c r="E161" s="132">
        <v>45147</v>
      </c>
      <c r="F161" s="472">
        <v>48</v>
      </c>
      <c r="G161" s="309" t="s">
        <v>363</v>
      </c>
      <c r="H161" s="309"/>
    </row>
    <row r="162" spans="2:8" ht="24.95" customHeight="1" x14ac:dyDescent="0.25">
      <c r="B162" s="472" t="s">
        <v>604</v>
      </c>
      <c r="C162" s="557" t="s">
        <v>362</v>
      </c>
      <c r="D162" s="557"/>
      <c r="E162" s="132">
        <v>45147</v>
      </c>
      <c r="F162" s="472" t="s">
        <v>336</v>
      </c>
      <c r="G162" s="309" t="s">
        <v>336</v>
      </c>
      <c r="H162" s="309"/>
    </row>
    <row r="163" spans="2:8" ht="24.95" customHeight="1" x14ac:dyDescent="0.25">
      <c r="B163" s="472" t="s">
        <v>589</v>
      </c>
      <c r="C163" s="557" t="s">
        <v>303</v>
      </c>
      <c r="D163" s="557"/>
      <c r="E163" s="132">
        <v>45148</v>
      </c>
      <c r="F163" s="472">
        <v>188</v>
      </c>
      <c r="G163" s="309" t="s">
        <v>591</v>
      </c>
      <c r="H163" s="309"/>
    </row>
    <row r="164" spans="2:8" ht="24.95" customHeight="1" x14ac:dyDescent="0.25">
      <c r="B164" s="472" t="s">
        <v>589</v>
      </c>
      <c r="C164" s="557" t="s">
        <v>362</v>
      </c>
      <c r="D164" s="557"/>
      <c r="E164" s="132">
        <v>45148</v>
      </c>
      <c r="F164" s="472" t="s">
        <v>336</v>
      </c>
      <c r="G164" s="309" t="s">
        <v>336</v>
      </c>
      <c r="H164" s="309"/>
    </row>
    <row r="165" spans="2:8" ht="24.95" customHeight="1" x14ac:dyDescent="0.25">
      <c r="B165" s="472" t="s">
        <v>501</v>
      </c>
      <c r="C165" s="557" t="s">
        <v>303</v>
      </c>
      <c r="D165" s="557"/>
      <c r="E165" s="132">
        <v>45148</v>
      </c>
      <c r="F165" s="472">
        <v>310</v>
      </c>
      <c r="G165" s="309" t="s">
        <v>363</v>
      </c>
      <c r="H165" s="309"/>
    </row>
    <row r="166" spans="2:8" ht="24.95" customHeight="1" x14ac:dyDescent="0.25">
      <c r="B166" s="472" t="s">
        <v>501</v>
      </c>
      <c r="C166" s="557" t="s">
        <v>362</v>
      </c>
      <c r="D166" s="557"/>
      <c r="E166" s="132">
        <v>45148</v>
      </c>
      <c r="F166" s="472" t="s">
        <v>336</v>
      </c>
      <c r="G166" s="309" t="s">
        <v>336</v>
      </c>
      <c r="H166" s="309"/>
    </row>
    <row r="167" spans="2:8" ht="24.95" customHeight="1" x14ac:dyDescent="0.25">
      <c r="B167" s="472" t="s">
        <v>599</v>
      </c>
      <c r="C167" s="557" t="s">
        <v>303</v>
      </c>
      <c r="D167" s="557"/>
      <c r="E167" s="132">
        <v>45153</v>
      </c>
      <c r="F167" s="472">
        <v>15</v>
      </c>
      <c r="G167" s="309" t="s">
        <v>363</v>
      </c>
      <c r="H167" s="309"/>
    </row>
    <row r="168" spans="2:8" ht="24.95" customHeight="1" x14ac:dyDescent="0.25">
      <c r="B168" s="472" t="s">
        <v>461</v>
      </c>
      <c r="C168" s="557" t="s">
        <v>361</v>
      </c>
      <c r="D168" s="557"/>
      <c r="E168" s="132">
        <v>45155</v>
      </c>
      <c r="F168" s="472">
        <v>24</v>
      </c>
      <c r="G168" s="309" t="s">
        <v>336</v>
      </c>
      <c r="H168" s="309"/>
    </row>
    <row r="169" spans="2:8" ht="24.95" customHeight="1" x14ac:dyDescent="0.25">
      <c r="B169" s="472" t="s">
        <v>638</v>
      </c>
      <c r="C169" s="557" t="s">
        <v>303</v>
      </c>
      <c r="D169" s="557"/>
      <c r="E169" s="132">
        <v>45156</v>
      </c>
      <c r="F169" s="472">
        <v>29</v>
      </c>
      <c r="G169" s="309" t="s">
        <v>516</v>
      </c>
      <c r="H169" s="309"/>
    </row>
    <row r="170" spans="2:8" ht="24.95" customHeight="1" x14ac:dyDescent="0.25">
      <c r="B170" s="472" t="s">
        <v>638</v>
      </c>
      <c r="C170" s="557" t="s">
        <v>362</v>
      </c>
      <c r="D170" s="557"/>
      <c r="E170" s="132">
        <v>45156</v>
      </c>
      <c r="F170" s="472" t="s">
        <v>336</v>
      </c>
      <c r="G170" s="309" t="s">
        <v>336</v>
      </c>
      <c r="H170" s="309"/>
    </row>
    <row r="171" spans="2:8" ht="24.95" customHeight="1" x14ac:dyDescent="0.25">
      <c r="B171" s="472" t="s">
        <v>461</v>
      </c>
      <c r="C171" s="557" t="s">
        <v>303</v>
      </c>
      <c r="D171" s="557"/>
      <c r="E171" s="132">
        <v>45156</v>
      </c>
      <c r="F171" s="472">
        <v>24</v>
      </c>
      <c r="G171" s="309" t="s">
        <v>102</v>
      </c>
      <c r="H171" s="309"/>
    </row>
    <row r="172" spans="2:8" ht="24.95" customHeight="1" x14ac:dyDescent="0.25">
      <c r="B172" s="557" t="s">
        <v>461</v>
      </c>
      <c r="C172" s="557" t="s">
        <v>362</v>
      </c>
      <c r="D172" s="557"/>
      <c r="E172" s="132">
        <v>45156</v>
      </c>
      <c r="F172" s="472" t="s">
        <v>336</v>
      </c>
      <c r="G172" s="309" t="s">
        <v>336</v>
      </c>
      <c r="H172" s="309"/>
    </row>
    <row r="173" spans="2:8" ht="24.95" customHeight="1" x14ac:dyDescent="0.25">
      <c r="B173" s="472" t="s">
        <v>578</v>
      </c>
      <c r="C173" s="557" t="s">
        <v>303</v>
      </c>
      <c r="D173" s="557"/>
      <c r="E173" s="132">
        <v>45159</v>
      </c>
      <c r="F173" s="472">
        <v>45</v>
      </c>
      <c r="G173" s="309" t="s">
        <v>363</v>
      </c>
      <c r="H173" s="309"/>
    </row>
    <row r="174" spans="2:8" ht="24.95" customHeight="1" x14ac:dyDescent="0.25">
      <c r="B174" s="472" t="s">
        <v>578</v>
      </c>
      <c r="C174" s="557" t="s">
        <v>362</v>
      </c>
      <c r="D174" s="557"/>
      <c r="E174" s="132">
        <v>45159</v>
      </c>
      <c r="F174" s="472" t="s">
        <v>336</v>
      </c>
      <c r="G174" s="309" t="s">
        <v>336</v>
      </c>
      <c r="H174" s="309"/>
    </row>
    <row r="175" spans="2:8" ht="24.95" customHeight="1" x14ac:dyDescent="0.25">
      <c r="B175" s="472" t="s">
        <v>595</v>
      </c>
      <c r="C175" s="557" t="s">
        <v>303</v>
      </c>
      <c r="D175" s="557"/>
      <c r="E175" s="132">
        <v>45159</v>
      </c>
      <c r="F175" s="472">
        <v>80</v>
      </c>
      <c r="G175" s="309" t="s">
        <v>363</v>
      </c>
      <c r="H175" s="309"/>
    </row>
    <row r="176" spans="2:8" ht="24.95" customHeight="1" x14ac:dyDescent="0.25">
      <c r="B176" s="472" t="s">
        <v>595</v>
      </c>
      <c r="C176" s="557" t="s">
        <v>362</v>
      </c>
      <c r="D176" s="557"/>
      <c r="E176" s="132">
        <v>45159</v>
      </c>
      <c r="F176" s="472" t="s">
        <v>336</v>
      </c>
      <c r="G176" s="309" t="s">
        <v>336</v>
      </c>
      <c r="H176" s="309"/>
    </row>
    <row r="177" spans="2:8" ht="24.95" customHeight="1" x14ac:dyDescent="0.25">
      <c r="B177" s="472" t="s">
        <v>513</v>
      </c>
      <c r="C177" s="557" t="s">
        <v>303</v>
      </c>
      <c r="D177" s="557"/>
      <c r="E177" s="132">
        <v>45159</v>
      </c>
      <c r="F177" s="472">
        <v>193</v>
      </c>
      <c r="G177" s="309" t="s">
        <v>363</v>
      </c>
      <c r="H177" s="309"/>
    </row>
    <row r="178" spans="2:8" ht="24.95" customHeight="1" x14ac:dyDescent="0.25">
      <c r="B178" s="472" t="s">
        <v>513</v>
      </c>
      <c r="C178" s="557" t="s">
        <v>362</v>
      </c>
      <c r="D178" s="557"/>
      <c r="E178" s="132">
        <v>45159</v>
      </c>
      <c r="F178" s="472" t="s">
        <v>336</v>
      </c>
      <c r="G178" s="309" t="s">
        <v>336</v>
      </c>
      <c r="H178" s="309"/>
    </row>
    <row r="179" spans="2:8" ht="24.95" customHeight="1" x14ac:dyDescent="0.25">
      <c r="B179" s="472" t="s">
        <v>458</v>
      </c>
      <c r="C179" s="557" t="s">
        <v>303</v>
      </c>
      <c r="D179" s="557"/>
      <c r="E179" s="132">
        <v>45162</v>
      </c>
      <c r="F179" s="472">
        <v>100</v>
      </c>
      <c r="G179" s="309" t="s">
        <v>363</v>
      </c>
      <c r="H179" s="309"/>
    </row>
    <row r="180" spans="2:8" ht="24.95" customHeight="1" x14ac:dyDescent="0.25">
      <c r="B180" s="472" t="s">
        <v>458</v>
      </c>
      <c r="C180" s="557" t="s">
        <v>362</v>
      </c>
      <c r="D180" s="557"/>
      <c r="E180" s="132">
        <v>45162</v>
      </c>
      <c r="F180" s="472" t="s">
        <v>336</v>
      </c>
      <c r="G180" s="309" t="s">
        <v>336</v>
      </c>
      <c r="H180" s="309"/>
    </row>
    <row r="181" spans="2:8" ht="24.95" customHeight="1" x14ac:dyDescent="0.25">
      <c r="B181" s="472" t="s">
        <v>574</v>
      </c>
      <c r="C181" s="557" t="s">
        <v>303</v>
      </c>
      <c r="D181" s="557"/>
      <c r="E181" s="132">
        <v>45162</v>
      </c>
      <c r="F181" s="472">
        <v>200</v>
      </c>
      <c r="G181" s="309" t="s">
        <v>102</v>
      </c>
      <c r="H181" s="309"/>
    </row>
    <row r="182" spans="2:8" ht="24.95" customHeight="1" x14ac:dyDescent="0.25">
      <c r="B182" s="519" t="s">
        <v>278</v>
      </c>
      <c r="C182" s="557" t="s">
        <v>593</v>
      </c>
      <c r="D182" s="557">
        <v>4406</v>
      </c>
      <c r="E182" s="132">
        <v>45163</v>
      </c>
      <c r="F182" s="519">
        <v>25</v>
      </c>
      <c r="G182" s="309"/>
      <c r="H182" s="309"/>
    </row>
    <row r="183" spans="2:8" ht="24.95" customHeight="1" x14ac:dyDescent="0.25">
      <c r="B183" s="472" t="s">
        <v>458</v>
      </c>
      <c r="C183" s="557" t="s">
        <v>361</v>
      </c>
      <c r="D183" s="557"/>
      <c r="E183" s="132">
        <v>45163</v>
      </c>
      <c r="F183" s="472">
        <v>25</v>
      </c>
      <c r="G183" s="309" t="s">
        <v>336</v>
      </c>
      <c r="H183" s="309"/>
    </row>
    <row r="184" spans="2:8" ht="24.95" customHeight="1" x14ac:dyDescent="0.25">
      <c r="B184" s="472" t="s">
        <v>625</v>
      </c>
      <c r="C184" s="557" t="s">
        <v>361</v>
      </c>
      <c r="D184" s="557"/>
      <c r="E184" s="132">
        <v>45164</v>
      </c>
      <c r="F184" s="472">
        <v>87</v>
      </c>
      <c r="G184" s="309"/>
      <c r="H184" s="309"/>
    </row>
    <row r="185" spans="2:8" ht="24.95" customHeight="1" x14ac:dyDescent="0.25">
      <c r="B185" s="472" t="s">
        <v>502</v>
      </c>
      <c r="C185" s="557" t="s">
        <v>303</v>
      </c>
      <c r="D185" s="557"/>
      <c r="E185" s="132">
        <v>45166</v>
      </c>
      <c r="F185" s="472">
        <v>60</v>
      </c>
      <c r="G185" s="309" t="s">
        <v>626</v>
      </c>
      <c r="H185" s="309"/>
    </row>
    <row r="186" spans="2:8" ht="24.95" customHeight="1" x14ac:dyDescent="0.25">
      <c r="B186" s="472" t="s">
        <v>578</v>
      </c>
      <c r="C186" s="557" t="s">
        <v>361</v>
      </c>
      <c r="D186" s="557"/>
      <c r="E186" s="132">
        <v>45166</v>
      </c>
      <c r="F186" s="472">
        <v>40</v>
      </c>
      <c r="G186" s="309"/>
      <c r="H186" s="309"/>
    </row>
    <row r="187" spans="2:8" ht="24.95" customHeight="1" x14ac:dyDescent="0.25">
      <c r="B187" s="472" t="s">
        <v>472</v>
      </c>
      <c r="C187" s="557" t="s">
        <v>361</v>
      </c>
      <c r="D187" s="557">
        <v>4525</v>
      </c>
      <c r="E187" s="132">
        <v>45173</v>
      </c>
      <c r="F187" s="472">
        <v>1034</v>
      </c>
      <c r="G187" s="309"/>
      <c r="H187" s="309"/>
    </row>
    <row r="188" spans="2:8" ht="24.95" customHeight="1" x14ac:dyDescent="0.25">
      <c r="B188" s="472" t="s">
        <v>472</v>
      </c>
      <c r="C188" s="557" t="s">
        <v>593</v>
      </c>
      <c r="D188" s="567">
        <v>4526</v>
      </c>
      <c r="E188" s="132">
        <v>45173</v>
      </c>
      <c r="F188" s="472">
        <v>48</v>
      </c>
      <c r="G188" s="309"/>
      <c r="H188" s="309"/>
    </row>
    <row r="189" spans="2:8" ht="24.95" customHeight="1" x14ac:dyDescent="0.25">
      <c r="B189" s="472" t="s">
        <v>637</v>
      </c>
      <c r="C189" s="557" t="s">
        <v>361</v>
      </c>
      <c r="D189" s="557"/>
      <c r="E189" s="132">
        <v>45178</v>
      </c>
      <c r="F189" s="472">
        <v>24</v>
      </c>
      <c r="G189" s="309"/>
      <c r="H189" s="309"/>
    </row>
    <row r="190" spans="2:8" ht="24.95" customHeight="1" x14ac:dyDescent="0.25">
      <c r="B190" s="472" t="s">
        <v>638</v>
      </c>
      <c r="C190" s="557" t="s">
        <v>361</v>
      </c>
      <c r="D190" s="557">
        <v>4692</v>
      </c>
      <c r="E190" s="132">
        <v>45180</v>
      </c>
      <c r="F190" s="472">
        <v>68</v>
      </c>
      <c r="G190" s="309"/>
      <c r="H190" s="309"/>
    </row>
    <row r="191" spans="2:8" ht="24.95" customHeight="1" x14ac:dyDescent="0.25">
      <c r="B191" s="472" t="s">
        <v>472</v>
      </c>
      <c r="C191" s="557" t="s">
        <v>303</v>
      </c>
      <c r="D191" s="557"/>
      <c r="E191" s="132">
        <v>45180</v>
      </c>
      <c r="F191" s="472">
        <v>800</v>
      </c>
      <c r="G191" s="309" t="s">
        <v>363</v>
      </c>
      <c r="H191" s="309"/>
    </row>
    <row r="192" spans="2:8" ht="24.95" customHeight="1" x14ac:dyDescent="0.25">
      <c r="B192" s="472" t="s">
        <v>598</v>
      </c>
      <c r="C192" s="557" t="s">
        <v>361</v>
      </c>
      <c r="D192" s="557"/>
      <c r="E192" s="132">
        <v>45182</v>
      </c>
      <c r="F192" s="472">
        <v>47</v>
      </c>
      <c r="G192" s="309" t="s">
        <v>336</v>
      </c>
      <c r="H192" s="309"/>
    </row>
    <row r="193" spans="2:8" ht="24.95" customHeight="1" x14ac:dyDescent="0.25">
      <c r="B193" s="472" t="s">
        <v>625</v>
      </c>
      <c r="C193" s="557" t="s">
        <v>361</v>
      </c>
      <c r="D193" s="557"/>
      <c r="E193" s="132">
        <v>45182</v>
      </c>
      <c r="F193" s="472">
        <v>35</v>
      </c>
      <c r="G193" s="309" t="s">
        <v>336</v>
      </c>
      <c r="H193" s="309"/>
    </row>
    <row r="194" spans="2:8" ht="24.95" customHeight="1" x14ac:dyDescent="0.25">
      <c r="B194" s="472" t="s">
        <v>598</v>
      </c>
      <c r="C194" s="557" t="s">
        <v>303</v>
      </c>
      <c r="D194" s="557"/>
      <c r="E194" s="132">
        <v>45182</v>
      </c>
      <c r="F194" s="472">
        <v>47</v>
      </c>
      <c r="G194" s="309" t="s">
        <v>102</v>
      </c>
      <c r="H194" s="309"/>
    </row>
    <row r="195" spans="2:8" ht="24.95" customHeight="1" x14ac:dyDescent="0.25">
      <c r="B195" s="472" t="s">
        <v>598</v>
      </c>
      <c r="C195" s="557" t="s">
        <v>362</v>
      </c>
      <c r="D195" s="557"/>
      <c r="E195" s="132">
        <v>45182</v>
      </c>
      <c r="F195" s="472"/>
      <c r="G195" s="309"/>
      <c r="H195" s="309"/>
    </row>
    <row r="196" spans="2:8" ht="24.95" customHeight="1" x14ac:dyDescent="0.25">
      <c r="B196" s="472" t="s">
        <v>689</v>
      </c>
      <c r="C196" s="557" t="s">
        <v>361</v>
      </c>
      <c r="D196" s="557"/>
      <c r="E196" s="132">
        <v>45184</v>
      </c>
      <c r="F196" s="472">
        <v>29</v>
      </c>
      <c r="G196" s="309"/>
      <c r="H196" s="309"/>
    </row>
    <row r="197" spans="2:8" ht="24.95" customHeight="1" x14ac:dyDescent="0.25">
      <c r="B197" s="472" t="s">
        <v>501</v>
      </c>
      <c r="C197" s="557" t="s">
        <v>361</v>
      </c>
      <c r="D197" s="557"/>
      <c r="E197" s="132">
        <v>45184</v>
      </c>
      <c r="F197" s="472">
        <v>184</v>
      </c>
      <c r="G197" s="309"/>
      <c r="H197" s="309"/>
    </row>
    <row r="198" spans="2:8" ht="24.95" customHeight="1" x14ac:dyDescent="0.25">
      <c r="B198" s="472" t="s">
        <v>461</v>
      </c>
      <c r="C198" s="557" t="s">
        <v>361</v>
      </c>
      <c r="D198" s="557">
        <v>4790</v>
      </c>
      <c r="E198" s="132">
        <v>45184</v>
      </c>
      <c r="F198" s="472">
        <v>30</v>
      </c>
      <c r="G198" s="309"/>
      <c r="H198" s="309"/>
    </row>
    <row r="199" spans="2:8" ht="24.95" customHeight="1" x14ac:dyDescent="0.25">
      <c r="B199" s="472" t="s">
        <v>574</v>
      </c>
      <c r="C199" s="557" t="s">
        <v>303</v>
      </c>
      <c r="D199" s="557"/>
      <c r="E199" s="132">
        <v>45185</v>
      </c>
      <c r="F199" s="472">
        <v>50</v>
      </c>
      <c r="G199" s="309" t="s">
        <v>363</v>
      </c>
      <c r="H199" s="309"/>
    </row>
    <row r="200" spans="2:8" ht="24.95" customHeight="1" x14ac:dyDescent="0.25">
      <c r="B200" s="472" t="s">
        <v>458</v>
      </c>
      <c r="C200" s="557" t="s">
        <v>303</v>
      </c>
      <c r="D200" s="557"/>
      <c r="E200" s="132">
        <v>45185</v>
      </c>
      <c r="F200" s="472">
        <v>25</v>
      </c>
      <c r="G200" s="309" t="s">
        <v>363</v>
      </c>
      <c r="H200" s="309"/>
    </row>
    <row r="201" spans="2:8" ht="24.95" customHeight="1" x14ac:dyDescent="0.25">
      <c r="B201" s="472" t="s">
        <v>458</v>
      </c>
      <c r="C201" s="557" t="s">
        <v>362</v>
      </c>
      <c r="D201" s="557"/>
      <c r="E201" s="132">
        <v>45185</v>
      </c>
      <c r="F201" s="472" t="s">
        <v>336</v>
      </c>
      <c r="G201" s="309"/>
      <c r="H201" s="309"/>
    </row>
    <row r="202" spans="2:8" ht="24.95" customHeight="1" x14ac:dyDescent="0.25">
      <c r="B202" s="472" t="s">
        <v>501</v>
      </c>
      <c r="C202" s="557" t="s">
        <v>593</v>
      </c>
      <c r="D202" s="557"/>
      <c r="E202" s="132">
        <v>45185</v>
      </c>
      <c r="F202" s="472">
        <v>36</v>
      </c>
      <c r="G202" s="309"/>
      <c r="H202" s="309"/>
    </row>
    <row r="203" spans="2:8" ht="24.95" customHeight="1" x14ac:dyDescent="0.25">
      <c r="B203" s="472" t="s">
        <v>625</v>
      </c>
      <c r="C203" s="557" t="s">
        <v>303</v>
      </c>
      <c r="D203" s="557"/>
      <c r="E203" s="132">
        <v>45187</v>
      </c>
      <c r="F203" s="472">
        <v>122</v>
      </c>
      <c r="G203" s="309" t="s">
        <v>692</v>
      </c>
      <c r="H203" s="309"/>
    </row>
    <row r="204" spans="2:8" ht="24.95" customHeight="1" x14ac:dyDescent="0.25">
      <c r="B204" s="472" t="s">
        <v>625</v>
      </c>
      <c r="C204" s="557" t="s">
        <v>362</v>
      </c>
      <c r="D204" s="557"/>
      <c r="E204" s="132">
        <v>45187</v>
      </c>
      <c r="F204" s="472"/>
      <c r="G204" s="309"/>
      <c r="H204" s="309"/>
    </row>
    <row r="205" spans="2:8" ht="24.95" customHeight="1" x14ac:dyDescent="0.25">
      <c r="B205" s="472" t="s">
        <v>578</v>
      </c>
      <c r="C205" s="557" t="s">
        <v>303</v>
      </c>
      <c r="D205" s="557"/>
      <c r="E205" s="132">
        <v>45187</v>
      </c>
      <c r="F205" s="472">
        <v>40</v>
      </c>
      <c r="G205" s="309" t="s">
        <v>363</v>
      </c>
      <c r="H205" s="309"/>
    </row>
    <row r="206" spans="2:8" ht="24.95" customHeight="1" x14ac:dyDescent="0.25">
      <c r="B206" s="472" t="s">
        <v>578</v>
      </c>
      <c r="C206" s="557" t="s">
        <v>362</v>
      </c>
      <c r="D206" s="557"/>
      <c r="E206" s="132">
        <v>45187</v>
      </c>
      <c r="F206" s="472"/>
      <c r="G206" s="309"/>
      <c r="H206" s="309"/>
    </row>
    <row r="207" spans="2:8" ht="24.95" customHeight="1" x14ac:dyDescent="0.25">
      <c r="B207" s="472" t="s">
        <v>694</v>
      </c>
      <c r="C207" s="557" t="s">
        <v>361</v>
      </c>
      <c r="D207" s="557"/>
      <c r="E207" s="132">
        <v>45190</v>
      </c>
      <c r="F207" s="472">
        <v>15</v>
      </c>
      <c r="G207" s="309"/>
      <c r="H207" s="309"/>
    </row>
    <row r="208" spans="2:8" ht="24.95" customHeight="1" x14ac:dyDescent="0.25">
      <c r="B208" s="472" t="s">
        <v>604</v>
      </c>
      <c r="C208" s="557" t="s">
        <v>361</v>
      </c>
      <c r="D208" s="557"/>
      <c r="E208" s="132">
        <v>45191</v>
      </c>
      <c r="F208" s="472">
        <v>15</v>
      </c>
      <c r="G208" s="309"/>
      <c r="H208" s="309"/>
    </row>
    <row r="209" spans="2:8" ht="24.95" customHeight="1" x14ac:dyDescent="0.25">
      <c r="B209" s="472" t="s">
        <v>472</v>
      </c>
      <c r="C209" s="557" t="s">
        <v>303</v>
      </c>
      <c r="D209" s="557"/>
      <c r="E209" s="132">
        <v>45192</v>
      </c>
      <c r="F209" s="472">
        <v>265</v>
      </c>
      <c r="G209" s="309" t="s">
        <v>363</v>
      </c>
      <c r="H209" s="309"/>
    </row>
    <row r="210" spans="2:8" ht="24.95" customHeight="1" x14ac:dyDescent="0.25">
      <c r="B210" s="472" t="s">
        <v>277</v>
      </c>
      <c r="C210" s="557" t="s">
        <v>361</v>
      </c>
      <c r="D210" s="567">
        <v>5061</v>
      </c>
      <c r="E210" s="132">
        <v>45194</v>
      </c>
      <c r="F210" s="472">
        <v>170.36</v>
      </c>
      <c r="G210" s="309"/>
      <c r="H210" s="309"/>
    </row>
    <row r="211" spans="2:8" ht="32.25" customHeight="1" x14ac:dyDescent="0.25">
      <c r="B211" s="472" t="s">
        <v>696</v>
      </c>
      <c r="C211" s="557" t="s">
        <v>361</v>
      </c>
      <c r="D211" s="557"/>
      <c r="E211" s="132">
        <v>45194</v>
      </c>
      <c r="F211" s="472">
        <v>25</v>
      </c>
      <c r="G211" s="309"/>
      <c r="H211" s="309"/>
    </row>
    <row r="212" spans="2:8" ht="24.95" customHeight="1" x14ac:dyDescent="0.25">
      <c r="B212" s="472" t="s">
        <v>697</v>
      </c>
      <c r="C212" s="557" t="s">
        <v>361</v>
      </c>
      <c r="D212" s="557">
        <v>5092</v>
      </c>
      <c r="E212" s="132">
        <v>45196</v>
      </c>
      <c r="F212" s="472">
        <v>109</v>
      </c>
      <c r="G212" s="309"/>
      <c r="H212" s="309"/>
    </row>
    <row r="213" spans="2:8" ht="24.95" customHeight="1" x14ac:dyDescent="0.25">
      <c r="B213" s="557" t="s">
        <v>696</v>
      </c>
      <c r="C213" s="557" t="s">
        <v>303</v>
      </c>
      <c r="D213" s="557"/>
      <c r="E213" s="132">
        <v>45198</v>
      </c>
      <c r="F213" s="472">
        <v>25</v>
      </c>
      <c r="G213" s="309" t="s">
        <v>363</v>
      </c>
      <c r="H213" s="309"/>
    </row>
    <row r="214" spans="2:8" ht="24.95" customHeight="1" x14ac:dyDescent="0.25">
      <c r="B214" s="472" t="s">
        <v>696</v>
      </c>
      <c r="C214" s="557" t="s">
        <v>362</v>
      </c>
      <c r="D214" s="557"/>
      <c r="E214" s="132">
        <v>45198</v>
      </c>
      <c r="F214" s="472"/>
      <c r="G214" s="309"/>
      <c r="H214" s="309"/>
    </row>
    <row r="215" spans="2:8" ht="24.95" customHeight="1" x14ac:dyDescent="0.25">
      <c r="B215" s="472" t="s">
        <v>694</v>
      </c>
      <c r="C215" s="557" t="s">
        <v>303</v>
      </c>
      <c r="D215" s="557"/>
      <c r="E215" s="132">
        <v>45198</v>
      </c>
      <c r="F215" s="472">
        <v>15</v>
      </c>
      <c r="G215" s="309" t="s">
        <v>591</v>
      </c>
      <c r="H215" s="309"/>
    </row>
    <row r="216" spans="2:8" ht="24.95" customHeight="1" x14ac:dyDescent="0.25">
      <c r="B216" s="472" t="s">
        <v>694</v>
      </c>
      <c r="C216" s="557" t="s">
        <v>362</v>
      </c>
      <c r="D216" s="557"/>
      <c r="E216" s="132">
        <v>45198</v>
      </c>
      <c r="F216" s="472"/>
      <c r="G216" s="309"/>
      <c r="H216" s="309"/>
    </row>
    <row r="217" spans="2:8" ht="24.95" customHeight="1" x14ac:dyDescent="0.25">
      <c r="B217" s="472" t="s">
        <v>599</v>
      </c>
      <c r="C217" s="557" t="s">
        <v>303</v>
      </c>
      <c r="D217" s="557"/>
      <c r="E217" s="132">
        <v>45198</v>
      </c>
      <c r="F217" s="472">
        <v>5</v>
      </c>
      <c r="G217" s="309" t="s">
        <v>516</v>
      </c>
      <c r="H217" s="309"/>
    </row>
    <row r="218" spans="2:8" ht="24.95" customHeight="1" x14ac:dyDescent="0.25">
      <c r="B218" s="472" t="s">
        <v>599</v>
      </c>
      <c r="C218" s="557" t="s">
        <v>362</v>
      </c>
      <c r="D218" s="557"/>
      <c r="E218" s="132">
        <v>45198</v>
      </c>
      <c r="F218" s="472"/>
      <c r="G218" s="309"/>
      <c r="H218" s="309"/>
    </row>
    <row r="219" spans="2:8" ht="24.95" customHeight="1" x14ac:dyDescent="0.25">
      <c r="B219" s="472" t="s">
        <v>574</v>
      </c>
      <c r="C219" s="557" t="s">
        <v>303</v>
      </c>
      <c r="D219" s="557"/>
      <c r="E219" s="132">
        <v>45201</v>
      </c>
      <c r="F219" s="472">
        <v>50</v>
      </c>
      <c r="G219" s="309" t="s">
        <v>363</v>
      </c>
      <c r="H219" s="309"/>
    </row>
    <row r="220" spans="2:8" ht="24.95" customHeight="1" x14ac:dyDescent="0.25">
      <c r="B220" s="472" t="s">
        <v>604</v>
      </c>
      <c r="C220" s="557" t="s">
        <v>303</v>
      </c>
      <c r="D220" s="557"/>
      <c r="E220" s="132">
        <v>45201</v>
      </c>
      <c r="F220" s="472">
        <v>15</v>
      </c>
      <c r="G220" s="309" t="s">
        <v>363</v>
      </c>
      <c r="H220" s="309"/>
    </row>
    <row r="221" spans="2:8" ht="33" customHeight="1" x14ac:dyDescent="0.25">
      <c r="B221" s="472" t="s">
        <v>604</v>
      </c>
      <c r="C221" s="557" t="s">
        <v>362</v>
      </c>
      <c r="D221" s="557"/>
      <c r="E221" s="132">
        <v>45201</v>
      </c>
      <c r="F221" s="472"/>
      <c r="G221" s="309"/>
      <c r="H221" s="309"/>
    </row>
    <row r="222" spans="2:8" ht="24.95" customHeight="1" x14ac:dyDescent="0.25">
      <c r="B222" s="472" t="s">
        <v>292</v>
      </c>
      <c r="C222" s="557" t="s">
        <v>303</v>
      </c>
      <c r="D222" s="557"/>
      <c r="E222" s="132">
        <v>45202</v>
      </c>
      <c r="F222" s="472">
        <v>110</v>
      </c>
      <c r="G222" s="309" t="s">
        <v>701</v>
      </c>
      <c r="H222" s="309"/>
    </row>
    <row r="223" spans="2:8" ht="24.95" customHeight="1" x14ac:dyDescent="0.25">
      <c r="B223" s="472" t="s">
        <v>277</v>
      </c>
      <c r="C223" s="557" t="s">
        <v>303</v>
      </c>
      <c r="D223" s="567"/>
      <c r="E223" s="132">
        <v>45204</v>
      </c>
      <c r="F223" s="472">
        <v>18</v>
      </c>
      <c r="G223" s="309" t="s">
        <v>626</v>
      </c>
      <c r="H223" s="309"/>
    </row>
    <row r="224" spans="2:8" ht="24.95" customHeight="1" x14ac:dyDescent="0.25">
      <c r="B224" s="472" t="s">
        <v>638</v>
      </c>
      <c r="C224" s="557" t="s">
        <v>303</v>
      </c>
      <c r="D224" s="557"/>
      <c r="E224" s="132">
        <v>45205</v>
      </c>
      <c r="F224" s="472">
        <v>37</v>
      </c>
      <c r="G224" s="309" t="s">
        <v>363</v>
      </c>
      <c r="H224" s="309"/>
    </row>
    <row r="225" spans="2:8" ht="24.95" customHeight="1" x14ac:dyDescent="0.25">
      <c r="B225" s="472" t="s">
        <v>508</v>
      </c>
      <c r="C225" s="557" t="s">
        <v>361</v>
      </c>
      <c r="D225" s="557">
        <v>5240</v>
      </c>
      <c r="E225" s="132">
        <v>45205</v>
      </c>
      <c r="F225" s="472">
        <v>106</v>
      </c>
      <c r="G225" s="309"/>
      <c r="H225" s="309"/>
    </row>
    <row r="226" spans="2:8" ht="24.95" customHeight="1" x14ac:dyDescent="0.25">
      <c r="B226" s="472" t="s">
        <v>689</v>
      </c>
      <c r="C226" s="557" t="s">
        <v>303</v>
      </c>
      <c r="D226" s="557"/>
      <c r="E226" s="132">
        <v>45208</v>
      </c>
      <c r="F226" s="472">
        <v>29</v>
      </c>
      <c r="G226" s="309" t="s">
        <v>363</v>
      </c>
      <c r="H226" s="309"/>
    </row>
    <row r="227" spans="2:8" ht="24.95" customHeight="1" x14ac:dyDescent="0.25">
      <c r="B227" s="472" t="s">
        <v>689</v>
      </c>
      <c r="C227" s="557" t="s">
        <v>362</v>
      </c>
      <c r="D227" s="557"/>
      <c r="E227" s="132">
        <v>45208</v>
      </c>
      <c r="F227" s="472"/>
      <c r="G227" s="309"/>
      <c r="H227" s="309"/>
    </row>
    <row r="228" spans="2:8" ht="24.95" customHeight="1" x14ac:dyDescent="0.25">
      <c r="B228" s="529" t="s">
        <v>458</v>
      </c>
      <c r="C228" s="557" t="s">
        <v>361</v>
      </c>
      <c r="D228" s="557"/>
      <c r="E228" s="132">
        <v>45211</v>
      </c>
      <c r="F228" s="529">
        <v>81</v>
      </c>
      <c r="G228" s="309"/>
      <c r="H228" s="309"/>
    </row>
    <row r="229" spans="2:8" ht="24.95" customHeight="1" x14ac:dyDescent="0.25">
      <c r="B229" s="472" t="s">
        <v>278</v>
      </c>
      <c r="C229" s="557" t="s">
        <v>593</v>
      </c>
      <c r="D229" s="557">
        <v>5346</v>
      </c>
      <c r="E229" s="132">
        <v>45211</v>
      </c>
      <c r="F229" s="472">
        <v>20</v>
      </c>
      <c r="G229" s="309"/>
      <c r="H229" s="309"/>
    </row>
    <row r="230" spans="2:8" ht="24.95" customHeight="1" x14ac:dyDescent="0.25">
      <c r="B230" s="472" t="s">
        <v>625</v>
      </c>
      <c r="C230" s="557" t="s">
        <v>361</v>
      </c>
      <c r="D230" s="557"/>
      <c r="E230" s="132">
        <v>45211</v>
      </c>
      <c r="F230" s="472">
        <v>35</v>
      </c>
      <c r="G230" s="309"/>
      <c r="H230" s="309"/>
    </row>
    <row r="231" spans="2:8" ht="24.95" customHeight="1" x14ac:dyDescent="0.25">
      <c r="B231" s="472" t="s">
        <v>458</v>
      </c>
      <c r="C231" s="557" t="s">
        <v>303</v>
      </c>
      <c r="D231" s="557"/>
      <c r="E231" s="132">
        <v>45215</v>
      </c>
      <c r="F231" s="472">
        <v>60</v>
      </c>
      <c r="G231" s="309" t="s">
        <v>363</v>
      </c>
      <c r="H231" s="309"/>
    </row>
    <row r="232" spans="2:8" ht="24.95" customHeight="1" x14ac:dyDescent="0.25">
      <c r="B232" s="472" t="s">
        <v>574</v>
      </c>
      <c r="C232" s="557" t="s">
        <v>303</v>
      </c>
      <c r="D232" s="557"/>
      <c r="E232" s="132">
        <v>45215</v>
      </c>
      <c r="F232" s="472">
        <v>50</v>
      </c>
      <c r="G232" s="309" t="s">
        <v>707</v>
      </c>
      <c r="H232" s="309"/>
    </row>
    <row r="233" spans="2:8" ht="24.95" customHeight="1" x14ac:dyDescent="0.25">
      <c r="B233" s="472" t="s">
        <v>709</v>
      </c>
      <c r="C233" s="557" t="s">
        <v>361</v>
      </c>
      <c r="D233" s="557"/>
      <c r="E233" s="132">
        <v>45215</v>
      </c>
      <c r="F233" s="472">
        <v>84</v>
      </c>
      <c r="G233" s="309"/>
      <c r="H233" s="309"/>
    </row>
    <row r="234" spans="2:8" ht="24.95" customHeight="1" x14ac:dyDescent="0.25">
      <c r="B234" s="472" t="s">
        <v>292</v>
      </c>
      <c r="C234" s="557" t="s">
        <v>593</v>
      </c>
      <c r="D234" s="557">
        <v>5494</v>
      </c>
      <c r="E234" s="132">
        <v>45218</v>
      </c>
      <c r="F234" s="472">
        <v>63</v>
      </c>
      <c r="G234" s="309"/>
      <c r="H234" s="309"/>
    </row>
    <row r="235" spans="2:8" ht="24.95" customHeight="1" x14ac:dyDescent="0.25">
      <c r="B235" s="472" t="s">
        <v>458</v>
      </c>
      <c r="C235" s="557" t="s">
        <v>303</v>
      </c>
      <c r="D235" s="557"/>
      <c r="E235" s="132">
        <v>45220</v>
      </c>
      <c r="F235" s="472">
        <v>20</v>
      </c>
      <c r="G235" s="309" t="s">
        <v>363</v>
      </c>
      <c r="H235" s="309"/>
    </row>
    <row r="236" spans="2:8" ht="24.95" customHeight="1" x14ac:dyDescent="0.25">
      <c r="B236" s="472" t="s">
        <v>277</v>
      </c>
      <c r="C236" s="557" t="s">
        <v>303</v>
      </c>
      <c r="D236" s="567"/>
      <c r="E236" s="132">
        <v>45224</v>
      </c>
      <c r="F236" s="472">
        <v>5.5</v>
      </c>
      <c r="G236" s="309" t="s">
        <v>626</v>
      </c>
      <c r="H236" s="309"/>
    </row>
    <row r="237" spans="2:8" ht="24.95" customHeight="1" x14ac:dyDescent="0.25">
      <c r="B237" s="530" t="s">
        <v>625</v>
      </c>
      <c r="C237" s="557" t="s">
        <v>593</v>
      </c>
      <c r="D237" s="557"/>
      <c r="E237" s="132">
        <v>45224</v>
      </c>
      <c r="F237" s="530">
        <v>120</v>
      </c>
      <c r="G237" s="309"/>
      <c r="H237" s="309"/>
    </row>
    <row r="238" spans="2:8" ht="24.95" customHeight="1" x14ac:dyDescent="0.25">
      <c r="B238" s="472" t="s">
        <v>277</v>
      </c>
      <c r="C238" s="557" t="s">
        <v>303</v>
      </c>
      <c r="D238" s="567"/>
      <c r="E238" s="132">
        <v>45224</v>
      </c>
      <c r="F238" s="472">
        <v>10</v>
      </c>
      <c r="G238" s="309" t="s">
        <v>363</v>
      </c>
      <c r="H238" s="309"/>
    </row>
    <row r="239" spans="2:8" ht="24.95" customHeight="1" x14ac:dyDescent="0.25">
      <c r="B239" s="472" t="s">
        <v>277</v>
      </c>
      <c r="C239" s="557" t="s">
        <v>593</v>
      </c>
      <c r="D239" s="567">
        <v>5666</v>
      </c>
      <c r="E239" s="132">
        <v>45226</v>
      </c>
      <c r="F239" s="472">
        <v>114</v>
      </c>
      <c r="G239" s="309"/>
      <c r="H239" s="309"/>
    </row>
    <row r="240" spans="2:8" ht="24.95" customHeight="1" x14ac:dyDescent="0.25">
      <c r="B240" s="472" t="s">
        <v>719</v>
      </c>
      <c r="C240" s="557" t="s">
        <v>361</v>
      </c>
      <c r="D240" s="557"/>
      <c r="E240" s="132">
        <v>45227</v>
      </c>
      <c r="F240" s="472">
        <v>15</v>
      </c>
      <c r="G240" s="309"/>
      <c r="H240" s="309"/>
    </row>
    <row r="241" spans="2:8" ht="24.95" customHeight="1" x14ac:dyDescent="0.25">
      <c r="B241" s="472" t="s">
        <v>458</v>
      </c>
      <c r="C241" s="557" t="s">
        <v>593</v>
      </c>
      <c r="D241" s="557"/>
      <c r="E241" s="132">
        <v>45229</v>
      </c>
      <c r="F241" s="472">
        <v>1</v>
      </c>
      <c r="G241" s="309"/>
      <c r="H241" s="309"/>
    </row>
    <row r="242" spans="2:8" ht="24.95" customHeight="1" x14ac:dyDescent="0.25">
      <c r="B242" s="472" t="s">
        <v>638</v>
      </c>
      <c r="C242" s="557" t="s">
        <v>303</v>
      </c>
      <c r="D242" s="557"/>
      <c r="E242" s="132">
        <v>45230</v>
      </c>
      <c r="F242" s="472">
        <v>8</v>
      </c>
      <c r="G242" s="309" t="s">
        <v>363</v>
      </c>
      <c r="H242" s="309"/>
    </row>
    <row r="243" spans="2:8" ht="24.95" customHeight="1" x14ac:dyDescent="0.25">
      <c r="B243" s="472" t="s">
        <v>638</v>
      </c>
      <c r="C243" s="557" t="s">
        <v>303</v>
      </c>
      <c r="D243" s="557"/>
      <c r="E243" s="132">
        <v>45230</v>
      </c>
      <c r="F243" s="472">
        <v>5</v>
      </c>
      <c r="G243" s="309" t="s">
        <v>516</v>
      </c>
      <c r="H243" s="309"/>
    </row>
    <row r="244" spans="2:8" ht="24.95" customHeight="1" x14ac:dyDescent="0.25">
      <c r="B244" s="472" t="s">
        <v>461</v>
      </c>
      <c r="C244" s="557" t="s">
        <v>593</v>
      </c>
      <c r="D244" s="557">
        <v>5730</v>
      </c>
      <c r="E244" s="132">
        <v>45230</v>
      </c>
      <c r="F244" s="472">
        <v>65</v>
      </c>
      <c r="G244" s="309"/>
      <c r="H244" s="309"/>
    </row>
    <row r="245" spans="2:8" ht="24.95" customHeight="1" x14ac:dyDescent="0.25">
      <c r="B245" s="472" t="s">
        <v>719</v>
      </c>
      <c r="C245" s="557" t="s">
        <v>303</v>
      </c>
      <c r="D245" s="557"/>
      <c r="E245" s="132">
        <v>45232</v>
      </c>
      <c r="F245" s="472">
        <v>15</v>
      </c>
      <c r="G245" s="309" t="s">
        <v>591</v>
      </c>
      <c r="H245" s="309"/>
    </row>
    <row r="246" spans="2:8" ht="24.95" customHeight="1" x14ac:dyDescent="0.25">
      <c r="B246" s="472" t="s">
        <v>719</v>
      </c>
      <c r="C246" s="557" t="s">
        <v>362</v>
      </c>
      <c r="D246" s="557"/>
      <c r="E246" s="132">
        <v>45232</v>
      </c>
      <c r="F246" s="472"/>
      <c r="G246" s="309"/>
      <c r="H246" s="309"/>
    </row>
    <row r="247" spans="2:8" ht="24.95" customHeight="1" x14ac:dyDescent="0.25">
      <c r="B247" s="472" t="s">
        <v>458</v>
      </c>
      <c r="C247" s="557" t="s">
        <v>593</v>
      </c>
      <c r="D247" s="557"/>
      <c r="E247" s="132">
        <v>45232</v>
      </c>
      <c r="F247" s="472">
        <v>16</v>
      </c>
      <c r="G247" s="309"/>
      <c r="H247" s="309"/>
    </row>
    <row r="248" spans="2:8" ht="24.95" customHeight="1" x14ac:dyDescent="0.25">
      <c r="B248" s="531" t="s">
        <v>724</v>
      </c>
      <c r="C248" s="557" t="s">
        <v>361</v>
      </c>
      <c r="D248" s="557"/>
      <c r="E248" s="132">
        <v>45232</v>
      </c>
      <c r="F248" s="531">
        <v>56</v>
      </c>
      <c r="G248" s="309"/>
      <c r="H248" s="309"/>
    </row>
    <row r="249" spans="2:8" ht="24.95" customHeight="1" x14ac:dyDescent="0.25">
      <c r="B249" s="472" t="s">
        <v>578</v>
      </c>
      <c r="C249" s="557" t="s">
        <v>361</v>
      </c>
      <c r="D249" s="557">
        <v>5997</v>
      </c>
      <c r="E249" s="132">
        <v>45232</v>
      </c>
      <c r="F249" s="472">
        <v>150</v>
      </c>
      <c r="G249" s="309"/>
      <c r="H249" s="309"/>
    </row>
    <row r="250" spans="2:8" ht="24.95" customHeight="1" x14ac:dyDescent="0.25">
      <c r="B250" s="472" t="s">
        <v>461</v>
      </c>
      <c r="C250" s="557" t="s">
        <v>593</v>
      </c>
      <c r="D250" s="557">
        <v>5810</v>
      </c>
      <c r="E250" s="132">
        <v>45232</v>
      </c>
      <c r="F250" s="472">
        <v>42</v>
      </c>
      <c r="G250" s="309"/>
      <c r="H250" s="309"/>
    </row>
    <row r="251" spans="2:8" ht="24.95" customHeight="1" x14ac:dyDescent="0.25">
      <c r="B251" s="472" t="s">
        <v>292</v>
      </c>
      <c r="C251" s="557" t="s">
        <v>593</v>
      </c>
      <c r="D251" s="557">
        <v>5817</v>
      </c>
      <c r="E251" s="132">
        <v>45232</v>
      </c>
      <c r="F251" s="472">
        <v>7</v>
      </c>
      <c r="G251" s="309"/>
      <c r="H251" s="309"/>
    </row>
    <row r="252" spans="2:8" ht="24.95" customHeight="1" x14ac:dyDescent="0.25">
      <c r="B252" s="472" t="s">
        <v>292</v>
      </c>
      <c r="C252" s="557" t="s">
        <v>593</v>
      </c>
      <c r="D252" s="557">
        <v>5820</v>
      </c>
      <c r="E252" s="132">
        <v>45232</v>
      </c>
      <c r="F252" s="472">
        <v>4</v>
      </c>
      <c r="G252" s="309"/>
      <c r="H252" s="309"/>
    </row>
    <row r="253" spans="2:8" ht="24.95" customHeight="1" x14ac:dyDescent="0.25">
      <c r="B253" s="472" t="s">
        <v>574</v>
      </c>
      <c r="C253" s="557" t="s">
        <v>303</v>
      </c>
      <c r="D253" s="557"/>
      <c r="E253" s="132">
        <v>45233</v>
      </c>
      <c r="F253" s="472">
        <v>42</v>
      </c>
      <c r="G253" s="309" t="s">
        <v>707</v>
      </c>
      <c r="H253" s="309"/>
    </row>
    <row r="254" spans="2:8" ht="24.95" customHeight="1" x14ac:dyDescent="0.25">
      <c r="B254" s="472" t="s">
        <v>574</v>
      </c>
      <c r="C254" s="557" t="s">
        <v>362</v>
      </c>
      <c r="D254" s="557"/>
      <c r="E254" s="132">
        <v>45233</v>
      </c>
      <c r="F254" s="472"/>
      <c r="G254" s="309"/>
      <c r="H254" s="309"/>
    </row>
    <row r="255" spans="2:8" ht="24.95" customHeight="1" x14ac:dyDescent="0.25">
      <c r="B255" s="472" t="s">
        <v>458</v>
      </c>
      <c r="C255" s="557" t="s">
        <v>303</v>
      </c>
      <c r="D255" s="557"/>
      <c r="E255" s="132">
        <v>45233</v>
      </c>
      <c r="F255" s="472">
        <v>18</v>
      </c>
      <c r="G255" s="309" t="s">
        <v>363</v>
      </c>
      <c r="H255" s="309"/>
    </row>
    <row r="256" spans="2:8" ht="24.95" customHeight="1" x14ac:dyDescent="0.25">
      <c r="B256" s="472" t="s">
        <v>458</v>
      </c>
      <c r="C256" s="557" t="s">
        <v>362</v>
      </c>
      <c r="D256" s="557"/>
      <c r="E256" s="132">
        <v>45233</v>
      </c>
      <c r="F256" s="472"/>
      <c r="G256" s="309"/>
      <c r="H256" s="309"/>
    </row>
    <row r="257" spans="2:9" ht="24.95" customHeight="1" x14ac:dyDescent="0.25">
      <c r="B257" s="533" t="s">
        <v>724</v>
      </c>
      <c r="C257" s="557" t="s">
        <v>303</v>
      </c>
      <c r="D257" s="557"/>
      <c r="E257" s="132">
        <v>45233</v>
      </c>
      <c r="F257" s="533">
        <v>56</v>
      </c>
      <c r="G257" s="309" t="s">
        <v>363</v>
      </c>
      <c r="H257" s="309"/>
    </row>
    <row r="258" spans="2:9" ht="24.95" customHeight="1" x14ac:dyDescent="0.25">
      <c r="B258" s="472" t="s">
        <v>724</v>
      </c>
      <c r="C258" s="557" t="s">
        <v>362</v>
      </c>
      <c r="D258" s="557"/>
      <c r="E258" s="132">
        <v>45233</v>
      </c>
      <c r="F258" s="472"/>
      <c r="G258" s="309"/>
      <c r="H258" s="309"/>
    </row>
    <row r="259" spans="2:9" ht="24.95" customHeight="1" x14ac:dyDescent="0.25">
      <c r="B259" s="472" t="s">
        <v>461</v>
      </c>
      <c r="C259" s="557" t="s">
        <v>593</v>
      </c>
      <c r="D259" s="557">
        <v>5941</v>
      </c>
      <c r="E259" s="132">
        <v>45233</v>
      </c>
      <c r="F259" s="472">
        <v>15</v>
      </c>
      <c r="G259" s="309"/>
      <c r="H259" s="309"/>
    </row>
    <row r="260" spans="2:9" ht="24.95" customHeight="1" x14ac:dyDescent="0.25">
      <c r="B260" s="472" t="s">
        <v>574</v>
      </c>
      <c r="C260" s="557" t="s">
        <v>361</v>
      </c>
      <c r="D260" s="557"/>
      <c r="E260" s="132">
        <v>45233</v>
      </c>
      <c r="F260" s="472">
        <v>100</v>
      </c>
      <c r="G260" s="309"/>
      <c r="H260" s="309"/>
      <c r="I260" s="364"/>
    </row>
    <row r="261" spans="2:9" ht="24.95" customHeight="1" x14ac:dyDescent="0.25">
      <c r="B261" s="536" t="s">
        <v>599</v>
      </c>
      <c r="C261" s="557" t="s">
        <v>361</v>
      </c>
      <c r="D261" s="557"/>
      <c r="E261" s="132">
        <v>45233</v>
      </c>
      <c r="F261" s="536">
        <v>12</v>
      </c>
      <c r="G261" s="309"/>
      <c r="H261" s="309"/>
      <c r="I261" s="364"/>
    </row>
    <row r="262" spans="2:9" ht="24.95" customHeight="1" x14ac:dyDescent="0.25">
      <c r="B262" s="472" t="s">
        <v>578</v>
      </c>
      <c r="C262" s="557" t="s">
        <v>593</v>
      </c>
      <c r="D262" s="557">
        <v>5862</v>
      </c>
      <c r="E262" s="132">
        <v>45234</v>
      </c>
      <c r="F262" s="472">
        <v>22</v>
      </c>
      <c r="G262" s="309"/>
      <c r="H262" s="309"/>
      <c r="I262" s="364"/>
    </row>
    <row r="263" spans="2:9" ht="24.95" customHeight="1" x14ac:dyDescent="0.25">
      <c r="B263" s="472" t="s">
        <v>726</v>
      </c>
      <c r="C263" s="557" t="s">
        <v>361</v>
      </c>
      <c r="D263" s="557"/>
      <c r="E263" s="132">
        <v>45234</v>
      </c>
      <c r="F263" s="472">
        <v>165</v>
      </c>
      <c r="G263" s="309"/>
      <c r="H263" s="309"/>
    </row>
    <row r="264" spans="2:9" ht="24.95" customHeight="1" x14ac:dyDescent="0.25">
      <c r="B264" s="536" t="s">
        <v>461</v>
      </c>
      <c r="C264" s="557" t="s">
        <v>303</v>
      </c>
      <c r="D264" s="557"/>
      <c r="E264" s="132">
        <v>45236</v>
      </c>
      <c r="F264" s="536">
        <v>30</v>
      </c>
      <c r="G264" s="309" t="s">
        <v>363</v>
      </c>
      <c r="H264" s="309"/>
      <c r="I264" s="364"/>
    </row>
    <row r="265" spans="2:9" ht="24.95" customHeight="1" x14ac:dyDescent="0.25">
      <c r="B265" s="536" t="s">
        <v>599</v>
      </c>
      <c r="C265" s="557" t="s">
        <v>303</v>
      </c>
      <c r="D265" s="557"/>
      <c r="E265" s="132">
        <v>45236</v>
      </c>
      <c r="F265" s="536">
        <v>12</v>
      </c>
      <c r="G265" s="309" t="s">
        <v>363</v>
      </c>
      <c r="H265" s="309"/>
      <c r="I265" s="364"/>
    </row>
    <row r="266" spans="2:9" ht="24.95" customHeight="1" x14ac:dyDescent="0.25">
      <c r="B266" s="472" t="s">
        <v>599</v>
      </c>
      <c r="C266" s="557" t="s">
        <v>362</v>
      </c>
      <c r="D266" s="557"/>
      <c r="E266" s="132">
        <v>45236</v>
      </c>
      <c r="F266" s="472"/>
      <c r="G266" s="309"/>
      <c r="H266" s="309"/>
      <c r="I266" s="364"/>
    </row>
    <row r="267" spans="2:9" ht="24.95" customHeight="1" x14ac:dyDescent="0.25">
      <c r="B267" s="472" t="s">
        <v>461</v>
      </c>
      <c r="C267" s="557" t="s">
        <v>303</v>
      </c>
      <c r="D267" s="557"/>
      <c r="E267" s="132">
        <v>45236</v>
      </c>
      <c r="F267" s="472">
        <v>65</v>
      </c>
      <c r="G267" s="309" t="s">
        <v>102</v>
      </c>
      <c r="H267" s="309"/>
      <c r="I267" s="364"/>
    </row>
    <row r="268" spans="2:9" ht="24.95" customHeight="1" x14ac:dyDescent="0.25">
      <c r="B268" s="472" t="s">
        <v>277</v>
      </c>
      <c r="C268" s="557" t="s">
        <v>593</v>
      </c>
      <c r="D268" s="567">
        <v>6074</v>
      </c>
      <c r="E268" s="132">
        <v>45236</v>
      </c>
      <c r="F268" s="472">
        <v>346.16</v>
      </c>
      <c r="G268" s="309"/>
      <c r="H268" s="309"/>
    </row>
    <row r="269" spans="2:9" ht="24.95" customHeight="1" x14ac:dyDescent="0.25">
      <c r="B269" s="472" t="s">
        <v>277</v>
      </c>
      <c r="C269" s="557" t="s">
        <v>303</v>
      </c>
      <c r="D269" s="567"/>
      <c r="E269" s="132">
        <v>45236</v>
      </c>
      <c r="F269" s="472">
        <v>60</v>
      </c>
      <c r="G269" s="309" t="s">
        <v>363</v>
      </c>
      <c r="H269" s="309"/>
      <c r="I269" s="364"/>
    </row>
    <row r="270" spans="2:9" ht="24.95" customHeight="1" x14ac:dyDescent="0.25">
      <c r="B270" s="472" t="s">
        <v>726</v>
      </c>
      <c r="C270" s="557" t="s">
        <v>303</v>
      </c>
      <c r="D270" s="557"/>
      <c r="E270" s="132">
        <v>45236</v>
      </c>
      <c r="F270" s="472">
        <v>165</v>
      </c>
      <c r="G270" s="309" t="s">
        <v>363</v>
      </c>
      <c r="H270" s="309"/>
      <c r="I270" s="364"/>
    </row>
    <row r="271" spans="2:9" ht="24.95" customHeight="1" x14ac:dyDescent="0.25">
      <c r="B271" s="472" t="s">
        <v>726</v>
      </c>
      <c r="C271" s="557" t="s">
        <v>362</v>
      </c>
      <c r="D271" s="557"/>
      <c r="E271" s="132">
        <v>45236</v>
      </c>
      <c r="F271" s="472"/>
      <c r="G271" s="309"/>
      <c r="H271" s="309"/>
      <c r="I271" s="364"/>
    </row>
    <row r="272" spans="2:9" ht="24.95" customHeight="1" x14ac:dyDescent="0.25">
      <c r="B272" s="538" t="s">
        <v>733</v>
      </c>
      <c r="C272" s="557" t="s">
        <v>361</v>
      </c>
      <c r="D272" s="557"/>
      <c r="E272" s="132">
        <v>45238</v>
      </c>
      <c r="F272" s="538">
        <v>32</v>
      </c>
      <c r="G272" s="309"/>
      <c r="H272" s="309"/>
    </row>
    <row r="273" spans="2:8" ht="24.95" customHeight="1" x14ac:dyDescent="0.25">
      <c r="B273" s="538" t="s">
        <v>729</v>
      </c>
      <c r="C273" s="557" t="s">
        <v>361</v>
      </c>
      <c r="D273" s="557"/>
      <c r="E273" s="132">
        <v>45238</v>
      </c>
      <c r="F273" s="538">
        <v>32</v>
      </c>
      <c r="G273" s="309"/>
      <c r="H273" s="309"/>
    </row>
    <row r="274" spans="2:8" ht="24.95" customHeight="1" x14ac:dyDescent="0.25">
      <c r="B274" s="472" t="s">
        <v>578</v>
      </c>
      <c r="C274" s="557" t="s">
        <v>303</v>
      </c>
      <c r="D274" s="557"/>
      <c r="E274" s="132">
        <v>45239</v>
      </c>
      <c r="F274" s="472">
        <v>170</v>
      </c>
      <c r="G274" s="309" t="s">
        <v>363</v>
      </c>
      <c r="H274" s="309"/>
    </row>
    <row r="275" spans="2:8" ht="24.95" customHeight="1" x14ac:dyDescent="0.25">
      <c r="B275" s="472" t="s">
        <v>734</v>
      </c>
      <c r="C275" s="557" t="s">
        <v>361</v>
      </c>
      <c r="D275" s="557"/>
      <c r="E275" s="132">
        <v>45240</v>
      </c>
      <c r="F275" s="472">
        <v>42</v>
      </c>
      <c r="G275" s="309"/>
      <c r="H275" s="309"/>
    </row>
    <row r="276" spans="2:8" ht="24.95" customHeight="1" x14ac:dyDescent="0.25">
      <c r="B276" s="472" t="s">
        <v>735</v>
      </c>
      <c r="C276" s="557" t="s">
        <v>361</v>
      </c>
      <c r="D276" s="557"/>
      <c r="E276" s="132">
        <v>45240</v>
      </c>
      <c r="F276" s="472">
        <v>200</v>
      </c>
      <c r="G276" s="309"/>
      <c r="H276" s="309"/>
    </row>
    <row r="277" spans="2:8" ht="24.95" customHeight="1" x14ac:dyDescent="0.25">
      <c r="B277" s="472" t="s">
        <v>729</v>
      </c>
      <c r="C277" s="557" t="s">
        <v>303</v>
      </c>
      <c r="D277" s="557"/>
      <c r="E277" s="132">
        <v>45240</v>
      </c>
      <c r="F277" s="472">
        <v>32</v>
      </c>
      <c r="G277" s="309" t="s">
        <v>363</v>
      </c>
      <c r="H277" s="309"/>
    </row>
    <row r="278" spans="2:8" ht="24.95" customHeight="1" x14ac:dyDescent="0.25">
      <c r="B278" s="472" t="s">
        <v>729</v>
      </c>
      <c r="C278" s="557" t="s">
        <v>362</v>
      </c>
      <c r="D278" s="557"/>
      <c r="E278" s="132">
        <v>45240</v>
      </c>
      <c r="F278" s="472"/>
      <c r="G278" s="309"/>
      <c r="H278" s="309"/>
    </row>
    <row r="279" spans="2:8" ht="24.95" customHeight="1" x14ac:dyDescent="0.25">
      <c r="B279" s="548" t="s">
        <v>574</v>
      </c>
      <c r="C279" s="557" t="s">
        <v>303</v>
      </c>
      <c r="D279" s="557"/>
      <c r="E279" s="132">
        <v>45244</v>
      </c>
      <c r="F279" s="548">
        <v>100</v>
      </c>
      <c r="G279" s="309" t="s">
        <v>516</v>
      </c>
      <c r="H279" s="309"/>
    </row>
    <row r="280" spans="2:8" ht="24.95" customHeight="1" x14ac:dyDescent="0.25">
      <c r="B280" s="472" t="s">
        <v>574</v>
      </c>
      <c r="C280" s="557" t="s">
        <v>362</v>
      </c>
      <c r="D280" s="557"/>
      <c r="E280" s="132">
        <v>45244</v>
      </c>
      <c r="F280" s="472"/>
      <c r="G280" s="309"/>
      <c r="H280" s="309"/>
    </row>
    <row r="281" spans="2:8" ht="24.95" customHeight="1" x14ac:dyDescent="0.25">
      <c r="B281" s="472" t="s">
        <v>736</v>
      </c>
      <c r="C281" s="557" t="s">
        <v>361</v>
      </c>
      <c r="D281" s="557"/>
      <c r="E281" s="132">
        <v>45245</v>
      </c>
      <c r="F281" s="472">
        <v>27</v>
      </c>
      <c r="G281" s="309"/>
      <c r="H281" s="309"/>
    </row>
    <row r="282" spans="2:8" ht="24.95" customHeight="1" x14ac:dyDescent="0.25">
      <c r="B282" s="472" t="s">
        <v>739</v>
      </c>
      <c r="C282" s="557" t="s">
        <v>361</v>
      </c>
      <c r="D282" s="557">
        <v>6396</v>
      </c>
      <c r="E282" s="132">
        <v>45246</v>
      </c>
      <c r="F282" s="472">
        <v>96</v>
      </c>
      <c r="G282" s="309"/>
      <c r="H282" s="309"/>
    </row>
    <row r="283" spans="2:8" ht="24.95" customHeight="1" x14ac:dyDescent="0.25">
      <c r="B283" s="472" t="s">
        <v>638</v>
      </c>
      <c r="C283" s="557" t="s">
        <v>303</v>
      </c>
      <c r="D283" s="557"/>
      <c r="E283" s="132">
        <v>45247</v>
      </c>
      <c r="F283" s="472">
        <v>10</v>
      </c>
      <c r="G283" s="309" t="s">
        <v>363</v>
      </c>
      <c r="H283" s="309"/>
    </row>
    <row r="284" spans="2:8" ht="24.95" customHeight="1" x14ac:dyDescent="0.25">
      <c r="B284" s="472" t="s">
        <v>638</v>
      </c>
      <c r="C284" s="557" t="s">
        <v>593</v>
      </c>
      <c r="D284" s="557">
        <v>6419</v>
      </c>
      <c r="E284" s="132">
        <v>45247</v>
      </c>
      <c r="F284" s="472">
        <v>14</v>
      </c>
      <c r="G284" s="309"/>
      <c r="H284" s="309"/>
    </row>
    <row r="285" spans="2:8" ht="24.95" customHeight="1" x14ac:dyDescent="0.25">
      <c r="B285" s="472" t="s">
        <v>475</v>
      </c>
      <c r="C285" s="557" t="s">
        <v>361</v>
      </c>
      <c r="D285" s="557">
        <v>6497</v>
      </c>
      <c r="E285" s="132">
        <v>45251</v>
      </c>
      <c r="F285" s="472">
        <v>8</v>
      </c>
      <c r="G285" s="309"/>
      <c r="H285" s="309"/>
    </row>
    <row r="286" spans="2:8" ht="24.95" customHeight="1" x14ac:dyDescent="0.25">
      <c r="B286" s="472" t="s">
        <v>733</v>
      </c>
      <c r="C286" s="557" t="s">
        <v>593</v>
      </c>
      <c r="D286" s="557"/>
      <c r="E286" s="132">
        <v>45251</v>
      </c>
      <c r="F286" s="472">
        <v>35</v>
      </c>
      <c r="G286" s="309"/>
      <c r="H286" s="309"/>
    </row>
    <row r="287" spans="2:8" ht="24.95" customHeight="1" x14ac:dyDescent="0.25">
      <c r="B287" s="472" t="s">
        <v>277</v>
      </c>
      <c r="C287" s="557" t="s">
        <v>303</v>
      </c>
      <c r="D287" s="567"/>
      <c r="E287" s="132">
        <v>45251</v>
      </c>
      <c r="F287" s="472">
        <v>60</v>
      </c>
      <c r="G287" s="309" t="s">
        <v>591</v>
      </c>
      <c r="H287" s="309"/>
    </row>
    <row r="288" spans="2:8" ht="24.95" customHeight="1" x14ac:dyDescent="0.25">
      <c r="B288" s="472" t="s">
        <v>277</v>
      </c>
      <c r="C288" s="557" t="s">
        <v>303</v>
      </c>
      <c r="D288" s="567"/>
      <c r="E288" s="132">
        <v>45251</v>
      </c>
      <c r="F288" s="472">
        <v>27</v>
      </c>
      <c r="G288" s="309" t="s">
        <v>516</v>
      </c>
      <c r="H288" s="309"/>
    </row>
    <row r="289" spans="2:8" ht="24.95" customHeight="1" x14ac:dyDescent="0.25">
      <c r="B289" s="472" t="s">
        <v>277</v>
      </c>
      <c r="C289" s="557" t="s">
        <v>593</v>
      </c>
      <c r="D289" s="567"/>
      <c r="E289" s="132">
        <v>45251</v>
      </c>
      <c r="F289" s="472">
        <v>84</v>
      </c>
      <c r="G289" s="309"/>
      <c r="H289" s="309" t="s">
        <v>744</v>
      </c>
    </row>
    <row r="290" spans="2:8" ht="24.95" customHeight="1" x14ac:dyDescent="0.25">
      <c r="B290" s="472" t="s">
        <v>277</v>
      </c>
      <c r="C290" s="557" t="s">
        <v>303</v>
      </c>
      <c r="D290" s="567"/>
      <c r="E290" s="132">
        <v>45254</v>
      </c>
      <c r="F290" s="472">
        <v>24.5</v>
      </c>
      <c r="G290" s="309" t="s">
        <v>626</v>
      </c>
      <c r="H290" s="309"/>
    </row>
    <row r="291" spans="2:8" ht="24.95" customHeight="1" x14ac:dyDescent="0.25">
      <c r="B291" s="472" t="s">
        <v>578</v>
      </c>
      <c r="C291" s="557" t="s">
        <v>593</v>
      </c>
      <c r="D291" s="557">
        <v>6703</v>
      </c>
      <c r="E291" s="132">
        <v>45257</v>
      </c>
      <c r="F291" s="472">
        <v>14</v>
      </c>
      <c r="G291" s="309"/>
      <c r="H291" s="309"/>
    </row>
    <row r="292" spans="2:8" ht="24.95" customHeight="1" x14ac:dyDescent="0.25">
      <c r="B292" s="472" t="s">
        <v>277</v>
      </c>
      <c r="C292" s="557" t="s">
        <v>303</v>
      </c>
      <c r="D292" s="567"/>
      <c r="E292" s="132">
        <v>45258</v>
      </c>
      <c r="F292" s="472">
        <v>8</v>
      </c>
      <c r="G292" s="309" t="s">
        <v>363</v>
      </c>
      <c r="H292" s="309"/>
    </row>
    <row r="293" spans="2:8" ht="24.95" customHeight="1" x14ac:dyDescent="0.25">
      <c r="B293" s="472" t="s">
        <v>745</v>
      </c>
      <c r="C293" s="557" t="s">
        <v>361</v>
      </c>
      <c r="D293" s="557">
        <v>6799</v>
      </c>
      <c r="E293" s="132">
        <v>45259</v>
      </c>
      <c r="F293" s="472">
        <v>360</v>
      </c>
      <c r="G293" s="309"/>
      <c r="H293" s="309"/>
    </row>
    <row r="294" spans="2:8" ht="24.95" customHeight="1" x14ac:dyDescent="0.25">
      <c r="B294" s="472" t="s">
        <v>507</v>
      </c>
      <c r="C294" s="557" t="s">
        <v>361</v>
      </c>
      <c r="D294" s="557">
        <v>6818</v>
      </c>
      <c r="E294" s="132">
        <v>45259</v>
      </c>
      <c r="F294" s="472">
        <v>13</v>
      </c>
      <c r="G294" s="309"/>
      <c r="H294" s="309"/>
    </row>
    <row r="295" spans="2:8" ht="24.95" customHeight="1" x14ac:dyDescent="0.25">
      <c r="B295" s="472" t="s">
        <v>746</v>
      </c>
      <c r="C295" s="557" t="s">
        <v>361</v>
      </c>
      <c r="D295" s="557"/>
      <c r="E295" s="132">
        <v>45259</v>
      </c>
      <c r="F295" s="472">
        <v>13</v>
      </c>
      <c r="G295" s="309"/>
      <c r="H295" s="309"/>
    </row>
    <row r="296" spans="2:8" ht="24.95" customHeight="1" x14ac:dyDescent="0.25">
      <c r="B296" s="472" t="s">
        <v>747</v>
      </c>
      <c r="C296" s="557" t="s">
        <v>361</v>
      </c>
      <c r="D296" s="557">
        <v>6785</v>
      </c>
      <c r="E296" s="132">
        <v>45259</v>
      </c>
      <c r="F296" s="472">
        <v>419</v>
      </c>
      <c r="G296" s="309"/>
      <c r="H296" s="309"/>
    </row>
    <row r="297" spans="2:8" ht="24.95" customHeight="1" x14ac:dyDescent="0.25">
      <c r="B297" s="472" t="s">
        <v>747</v>
      </c>
      <c r="C297" s="557" t="s">
        <v>303</v>
      </c>
      <c r="D297" s="557"/>
      <c r="E297" s="132">
        <v>45259</v>
      </c>
      <c r="F297" s="472">
        <v>150</v>
      </c>
      <c r="G297" s="309" t="s">
        <v>102</v>
      </c>
      <c r="H297" s="309"/>
    </row>
    <row r="298" spans="2:8" ht="24.95" customHeight="1" x14ac:dyDescent="0.25">
      <c r="B298" s="472" t="s">
        <v>507</v>
      </c>
      <c r="C298" s="557" t="s">
        <v>303</v>
      </c>
      <c r="D298" s="557"/>
      <c r="E298" s="132">
        <v>45260</v>
      </c>
      <c r="F298" s="472">
        <v>6</v>
      </c>
      <c r="G298" s="309" t="s">
        <v>516</v>
      </c>
      <c r="H298" s="309"/>
    </row>
    <row r="299" spans="2:8" ht="24.95" customHeight="1" x14ac:dyDescent="0.25">
      <c r="B299" s="472" t="s">
        <v>747</v>
      </c>
      <c r="C299" s="557" t="s">
        <v>303</v>
      </c>
      <c r="D299" s="557"/>
      <c r="E299" s="132">
        <v>45260</v>
      </c>
      <c r="F299" s="472">
        <v>2.81</v>
      </c>
      <c r="G299" s="309" t="s">
        <v>105</v>
      </c>
      <c r="H299" s="309"/>
    </row>
    <row r="300" spans="2:8" ht="24.95" customHeight="1" x14ac:dyDescent="0.25">
      <c r="B300" s="472" t="s">
        <v>747</v>
      </c>
      <c r="C300" s="557" t="s">
        <v>303</v>
      </c>
      <c r="D300" s="557"/>
      <c r="E300" s="132">
        <v>45260</v>
      </c>
      <c r="F300" s="472">
        <v>2.19</v>
      </c>
      <c r="G300" s="309" t="s">
        <v>516</v>
      </c>
      <c r="H300" s="309"/>
    </row>
    <row r="301" spans="2:8" ht="24.95" customHeight="1" x14ac:dyDescent="0.25">
      <c r="B301" s="472" t="s">
        <v>746</v>
      </c>
      <c r="C301" s="557" t="s">
        <v>303</v>
      </c>
      <c r="D301" s="557"/>
      <c r="E301" s="132">
        <v>45262</v>
      </c>
      <c r="F301" s="472">
        <v>13</v>
      </c>
      <c r="G301" s="309" t="s">
        <v>363</v>
      </c>
      <c r="H301" s="309"/>
    </row>
    <row r="302" spans="2:8" ht="24.95" customHeight="1" x14ac:dyDescent="0.25">
      <c r="B302" s="472" t="s">
        <v>746</v>
      </c>
      <c r="C302" s="557" t="s">
        <v>362</v>
      </c>
      <c r="D302" s="557"/>
      <c r="E302" s="132">
        <v>45262</v>
      </c>
      <c r="F302" s="472"/>
      <c r="G302" s="309"/>
      <c r="H302" s="309"/>
    </row>
    <row r="303" spans="2:8" ht="24.95" customHeight="1" x14ac:dyDescent="0.25">
      <c r="B303" s="472" t="s">
        <v>736</v>
      </c>
      <c r="C303" s="557" t="s">
        <v>303</v>
      </c>
      <c r="D303" s="557"/>
      <c r="E303" s="132">
        <v>45262</v>
      </c>
      <c r="F303" s="472">
        <v>27</v>
      </c>
      <c r="G303" s="309" t="s">
        <v>751</v>
      </c>
      <c r="H303" s="309"/>
    </row>
    <row r="304" spans="2:8" ht="24.95" customHeight="1" x14ac:dyDescent="0.25">
      <c r="B304" s="472" t="s">
        <v>736</v>
      </c>
      <c r="C304" s="557" t="s">
        <v>362</v>
      </c>
      <c r="D304" s="557"/>
      <c r="E304" s="132">
        <v>45262</v>
      </c>
      <c r="F304" s="472"/>
      <c r="G304" s="309"/>
      <c r="H304" s="309"/>
    </row>
    <row r="305" spans="2:8" ht="24.95" customHeight="1" x14ac:dyDescent="0.25">
      <c r="B305" s="472" t="s">
        <v>625</v>
      </c>
      <c r="C305" s="557" t="s">
        <v>303</v>
      </c>
      <c r="D305" s="557"/>
      <c r="E305" s="132">
        <v>45262</v>
      </c>
      <c r="F305" s="472">
        <v>155</v>
      </c>
      <c r="G305" s="309" t="s">
        <v>692</v>
      </c>
      <c r="H305" s="309"/>
    </row>
    <row r="306" spans="2:8" ht="24.95" customHeight="1" x14ac:dyDescent="0.25">
      <c r="B306" s="472" t="s">
        <v>625</v>
      </c>
      <c r="C306" s="557" t="s">
        <v>362</v>
      </c>
      <c r="D306" s="557"/>
      <c r="E306" s="132">
        <v>45262</v>
      </c>
      <c r="F306" s="472"/>
      <c r="G306" s="309"/>
      <c r="H306" s="309"/>
    </row>
    <row r="307" spans="2:8" ht="24.95" customHeight="1" x14ac:dyDescent="0.25">
      <c r="B307" s="472" t="s">
        <v>733</v>
      </c>
      <c r="C307" s="557" t="s">
        <v>303</v>
      </c>
      <c r="D307" s="557"/>
      <c r="E307" s="132">
        <v>45262</v>
      </c>
      <c r="F307" s="472">
        <v>67</v>
      </c>
      <c r="G307" s="309" t="s">
        <v>626</v>
      </c>
      <c r="H307" s="309"/>
    </row>
    <row r="308" spans="2:8" ht="24.95" customHeight="1" x14ac:dyDescent="0.25">
      <c r="B308" s="472" t="s">
        <v>733</v>
      </c>
      <c r="C308" s="557" t="s">
        <v>362</v>
      </c>
      <c r="D308" s="557"/>
      <c r="E308" s="132">
        <v>45262</v>
      </c>
      <c r="F308" s="472"/>
      <c r="G308" s="309"/>
      <c r="H308" s="309"/>
    </row>
    <row r="309" spans="2:8" ht="24.95" customHeight="1" x14ac:dyDescent="0.25">
      <c r="B309" s="472" t="s">
        <v>709</v>
      </c>
      <c r="C309" s="557" t="s">
        <v>303</v>
      </c>
      <c r="D309" s="557"/>
      <c r="E309" s="132">
        <v>45264</v>
      </c>
      <c r="F309" s="472">
        <v>84</v>
      </c>
      <c r="G309" s="309" t="s">
        <v>363</v>
      </c>
      <c r="H309" s="309"/>
    </row>
    <row r="310" spans="2:8" ht="24.95" customHeight="1" x14ac:dyDescent="0.25">
      <c r="B310" s="472" t="s">
        <v>277</v>
      </c>
      <c r="C310" s="557" t="s">
        <v>303</v>
      </c>
      <c r="D310" s="567"/>
      <c r="E310" s="132">
        <v>45264</v>
      </c>
      <c r="F310" s="472">
        <v>8</v>
      </c>
      <c r="G310" s="309" t="s">
        <v>363</v>
      </c>
      <c r="H310" s="309"/>
    </row>
    <row r="311" spans="2:8" ht="24.95" customHeight="1" x14ac:dyDescent="0.25">
      <c r="B311" s="472" t="s">
        <v>277</v>
      </c>
      <c r="C311" s="557" t="s">
        <v>303</v>
      </c>
      <c r="D311" s="567"/>
      <c r="E311" s="132">
        <v>45264</v>
      </c>
      <c r="F311" s="472">
        <v>30</v>
      </c>
      <c r="G311" s="309" t="s">
        <v>591</v>
      </c>
      <c r="H311" s="309"/>
    </row>
    <row r="312" spans="2:8" ht="24.95" customHeight="1" x14ac:dyDescent="0.25">
      <c r="B312" s="472" t="s">
        <v>501</v>
      </c>
      <c r="C312" s="557" t="s">
        <v>303</v>
      </c>
      <c r="D312" s="557"/>
      <c r="E312" s="132">
        <v>45264</v>
      </c>
      <c r="F312" s="472">
        <v>184</v>
      </c>
      <c r="G312" s="309" t="s">
        <v>591</v>
      </c>
      <c r="H312" s="309"/>
    </row>
    <row r="313" spans="2:8" ht="24.95" customHeight="1" x14ac:dyDescent="0.25">
      <c r="B313" s="472" t="s">
        <v>501</v>
      </c>
      <c r="C313" s="557" t="s">
        <v>362</v>
      </c>
      <c r="D313" s="557"/>
      <c r="E313" s="132">
        <v>45264</v>
      </c>
      <c r="F313" s="472"/>
      <c r="G313" s="309"/>
      <c r="H313" s="309"/>
    </row>
    <row r="314" spans="2:8" ht="24.95" customHeight="1" x14ac:dyDescent="0.25">
      <c r="B314" s="472" t="s">
        <v>637</v>
      </c>
      <c r="C314" s="557" t="s">
        <v>303</v>
      </c>
      <c r="D314" s="557"/>
      <c r="E314" s="132">
        <v>45264</v>
      </c>
      <c r="F314" s="472">
        <v>24</v>
      </c>
      <c r="G314" s="309" t="s">
        <v>363</v>
      </c>
      <c r="H314" s="309"/>
    </row>
    <row r="315" spans="2:8" ht="24.95" customHeight="1" x14ac:dyDescent="0.25">
      <c r="B315" s="472" t="s">
        <v>746</v>
      </c>
      <c r="C315" s="557" t="s">
        <v>361</v>
      </c>
      <c r="D315" s="557">
        <v>6887</v>
      </c>
      <c r="E315" s="132">
        <v>45264</v>
      </c>
      <c r="F315" s="472">
        <v>31</v>
      </c>
      <c r="G315" s="309"/>
      <c r="H315" s="309"/>
    </row>
    <row r="316" spans="2:8" ht="24.95" customHeight="1" x14ac:dyDescent="0.25">
      <c r="B316" s="472" t="s">
        <v>458</v>
      </c>
      <c r="C316" s="557" t="s">
        <v>361</v>
      </c>
      <c r="D316" s="557">
        <v>6886</v>
      </c>
      <c r="E316" s="132">
        <v>45264</v>
      </c>
      <c r="F316" s="472">
        <v>23</v>
      </c>
      <c r="G316" s="309"/>
      <c r="H316" s="309"/>
    </row>
    <row r="317" spans="2:8" ht="24.95" customHeight="1" x14ac:dyDescent="0.25">
      <c r="B317" s="472" t="s">
        <v>734</v>
      </c>
      <c r="C317" s="557" t="s">
        <v>303</v>
      </c>
      <c r="D317" s="557"/>
      <c r="E317" s="132">
        <v>45264</v>
      </c>
      <c r="F317" s="472">
        <v>42</v>
      </c>
      <c r="G317" s="309" t="s">
        <v>363</v>
      </c>
      <c r="H317" s="309"/>
    </row>
    <row r="318" spans="2:8" ht="24.95" customHeight="1" x14ac:dyDescent="0.25">
      <c r="B318" s="472" t="s">
        <v>734</v>
      </c>
      <c r="C318" s="557" t="s">
        <v>362</v>
      </c>
      <c r="D318" s="557"/>
      <c r="E318" s="132">
        <v>45264</v>
      </c>
      <c r="F318" s="472"/>
      <c r="G318" s="309"/>
      <c r="H318" s="309"/>
    </row>
    <row r="319" spans="2:8" ht="24.95" customHeight="1" x14ac:dyDescent="0.25">
      <c r="B319" s="472" t="s">
        <v>625</v>
      </c>
      <c r="C319" s="557" t="s">
        <v>361</v>
      </c>
      <c r="D319" s="557">
        <v>6934</v>
      </c>
      <c r="E319" s="132">
        <v>45264</v>
      </c>
      <c r="F319" s="472">
        <v>67</v>
      </c>
      <c r="G319" s="309"/>
      <c r="H319" s="309"/>
    </row>
    <row r="320" spans="2:8" ht="36.75" customHeight="1" x14ac:dyDescent="0.25">
      <c r="B320" s="472" t="s">
        <v>625</v>
      </c>
      <c r="C320" s="557" t="s">
        <v>593</v>
      </c>
      <c r="D320" s="557">
        <v>6959</v>
      </c>
      <c r="E320" s="132">
        <v>45265</v>
      </c>
      <c r="F320" s="472">
        <v>60</v>
      </c>
      <c r="G320" s="309"/>
      <c r="H320" s="309"/>
    </row>
    <row r="321" spans="2:8" ht="24.95" customHeight="1" x14ac:dyDescent="0.25">
      <c r="B321" s="472" t="s">
        <v>755</v>
      </c>
      <c r="C321" s="557" t="s">
        <v>361</v>
      </c>
      <c r="D321" s="557">
        <v>7003</v>
      </c>
      <c r="E321" s="132">
        <v>45266</v>
      </c>
      <c r="F321" s="472">
        <v>25</v>
      </c>
      <c r="G321" s="309"/>
      <c r="H321" s="309"/>
    </row>
    <row r="322" spans="2:8" ht="24.95" customHeight="1" x14ac:dyDescent="0.25">
      <c r="B322" s="472" t="s">
        <v>756</v>
      </c>
      <c r="C322" s="557" t="s">
        <v>361</v>
      </c>
      <c r="D322" s="557">
        <v>6995</v>
      </c>
      <c r="E322" s="132">
        <v>45266</v>
      </c>
      <c r="F322" s="472">
        <v>26</v>
      </c>
      <c r="G322" s="309"/>
      <c r="H322" s="309"/>
    </row>
    <row r="323" spans="2:8" ht="24.95" customHeight="1" x14ac:dyDescent="0.25">
      <c r="B323" s="472" t="s">
        <v>277</v>
      </c>
      <c r="C323" s="557" t="s">
        <v>303</v>
      </c>
      <c r="D323" s="567"/>
      <c r="E323" s="132">
        <v>45267</v>
      </c>
      <c r="F323" s="472">
        <v>7.68</v>
      </c>
      <c r="G323" s="309" t="s">
        <v>626</v>
      </c>
      <c r="H323" s="309"/>
    </row>
    <row r="324" spans="2:8" ht="24.95" customHeight="1" x14ac:dyDescent="0.25">
      <c r="B324" s="472" t="s">
        <v>277</v>
      </c>
      <c r="C324" s="557" t="s">
        <v>303</v>
      </c>
      <c r="D324" s="567"/>
      <c r="E324" s="132">
        <v>45267</v>
      </c>
      <c r="F324" s="557">
        <v>5</v>
      </c>
      <c r="G324" s="309" t="s">
        <v>363</v>
      </c>
      <c r="H324" s="309"/>
    </row>
    <row r="325" spans="2:8" ht="24.95" customHeight="1" x14ac:dyDescent="0.25">
      <c r="B325" s="557" t="s">
        <v>735</v>
      </c>
      <c r="C325" s="557" t="s">
        <v>303</v>
      </c>
      <c r="D325" s="557"/>
      <c r="E325" s="132">
        <v>45268</v>
      </c>
      <c r="F325" s="557">
        <v>200</v>
      </c>
      <c r="G325" s="309" t="s">
        <v>102</v>
      </c>
      <c r="H325" s="309"/>
    </row>
    <row r="326" spans="2:8" ht="24.95" customHeight="1" x14ac:dyDescent="0.25">
      <c r="B326" s="557" t="s">
        <v>735</v>
      </c>
      <c r="C326" s="557" t="s">
        <v>362</v>
      </c>
      <c r="D326" s="557"/>
      <c r="E326" s="132">
        <v>45268</v>
      </c>
      <c r="F326" s="557"/>
      <c r="G326" s="309"/>
      <c r="H326" s="309"/>
    </row>
    <row r="327" spans="2:8" ht="24.95" customHeight="1" x14ac:dyDescent="0.25">
      <c r="B327" s="557" t="s">
        <v>578</v>
      </c>
      <c r="C327" s="557" t="s">
        <v>303</v>
      </c>
      <c r="D327" s="557"/>
      <c r="E327" s="132">
        <v>45269</v>
      </c>
      <c r="F327" s="557">
        <v>20</v>
      </c>
      <c r="G327" s="309" t="s">
        <v>363</v>
      </c>
      <c r="H327" s="309"/>
    </row>
    <row r="328" spans="2:8" ht="24.95" customHeight="1" x14ac:dyDescent="0.25">
      <c r="B328" s="557" t="s">
        <v>578</v>
      </c>
      <c r="C328" s="557" t="s">
        <v>362</v>
      </c>
      <c r="D328" s="557"/>
      <c r="E328" s="132">
        <v>45269</v>
      </c>
      <c r="F328" s="557"/>
      <c r="G328" s="309"/>
      <c r="H328" s="309"/>
    </row>
    <row r="329" spans="2:8" ht="24.95" customHeight="1" x14ac:dyDescent="0.25">
      <c r="B329" s="557" t="s">
        <v>277</v>
      </c>
      <c r="C329" s="557" t="s">
        <v>303</v>
      </c>
      <c r="D329" s="567"/>
      <c r="E329" s="132">
        <v>45269</v>
      </c>
      <c r="F329" s="557">
        <v>7</v>
      </c>
      <c r="G329" s="309" t="s">
        <v>363</v>
      </c>
      <c r="H329" s="309"/>
    </row>
    <row r="330" spans="2:8" ht="24.95" customHeight="1" x14ac:dyDescent="0.25">
      <c r="B330" s="557" t="s">
        <v>277</v>
      </c>
      <c r="C330" s="557" t="s">
        <v>593</v>
      </c>
      <c r="D330" s="567"/>
      <c r="E330" s="132">
        <v>45269</v>
      </c>
      <c r="F330" s="557">
        <v>69.66</v>
      </c>
      <c r="G330" s="309"/>
      <c r="H330" s="309"/>
    </row>
    <row r="331" spans="2:8" ht="24.95" customHeight="1" x14ac:dyDescent="0.25">
      <c r="B331" s="557" t="s">
        <v>277</v>
      </c>
      <c r="C331" s="557" t="s">
        <v>303</v>
      </c>
      <c r="D331" s="567"/>
      <c r="E331" s="132">
        <v>45271</v>
      </c>
      <c r="F331" s="557">
        <v>28</v>
      </c>
      <c r="G331" s="309" t="s">
        <v>363</v>
      </c>
      <c r="H331" s="309" t="s">
        <v>771</v>
      </c>
    </row>
    <row r="332" spans="2:8" ht="24.95" customHeight="1" x14ac:dyDescent="0.25">
      <c r="B332" s="557" t="s">
        <v>277</v>
      </c>
      <c r="C332" s="557" t="s">
        <v>303</v>
      </c>
      <c r="D332" s="567"/>
      <c r="E332" s="132">
        <v>45272</v>
      </c>
      <c r="F332" s="557">
        <v>7</v>
      </c>
      <c r="G332" s="309" t="s">
        <v>516</v>
      </c>
      <c r="H332" s="309"/>
    </row>
    <row r="333" spans="2:8" ht="24.95" customHeight="1" x14ac:dyDescent="0.25">
      <c r="B333" s="472" t="s">
        <v>277</v>
      </c>
      <c r="C333" s="557" t="s">
        <v>303</v>
      </c>
      <c r="D333" s="567"/>
      <c r="E333" s="132">
        <v>45274</v>
      </c>
      <c r="F333" s="472">
        <v>8.8000000000000007</v>
      </c>
      <c r="G333" s="309" t="s">
        <v>516</v>
      </c>
      <c r="H333" s="309"/>
    </row>
    <row r="334" spans="2:8" ht="24.95" customHeight="1" x14ac:dyDescent="0.25">
      <c r="B334" s="472" t="s">
        <v>507</v>
      </c>
      <c r="C334" s="557" t="s">
        <v>593</v>
      </c>
      <c r="D334" s="567">
        <v>7217</v>
      </c>
      <c r="E334" s="132">
        <v>45275</v>
      </c>
      <c r="F334" s="472">
        <v>8</v>
      </c>
      <c r="G334" s="309"/>
      <c r="H334" s="309"/>
    </row>
    <row r="335" spans="2:8" ht="24.95" customHeight="1" x14ac:dyDescent="0.25">
      <c r="B335" s="472" t="s">
        <v>777</v>
      </c>
      <c r="C335" s="557" t="s">
        <v>361</v>
      </c>
      <c r="D335" s="567">
        <v>7219</v>
      </c>
      <c r="E335" s="132">
        <v>45275</v>
      </c>
      <c r="F335" s="472">
        <v>100</v>
      </c>
      <c r="G335" s="309"/>
      <c r="H335" s="309"/>
    </row>
    <row r="336" spans="2:8" ht="24.95" customHeight="1" x14ac:dyDescent="0.25">
      <c r="B336" s="472" t="s">
        <v>777</v>
      </c>
      <c r="C336" s="557" t="s">
        <v>303</v>
      </c>
      <c r="D336" s="567"/>
      <c r="E336" s="132">
        <v>45275</v>
      </c>
      <c r="F336" s="472">
        <v>30</v>
      </c>
      <c r="G336" s="309" t="s">
        <v>363</v>
      </c>
      <c r="H336" s="309"/>
    </row>
    <row r="337" spans="2:8" ht="24.95" customHeight="1" x14ac:dyDescent="0.25">
      <c r="B337" s="472" t="s">
        <v>746</v>
      </c>
      <c r="C337" s="557" t="s">
        <v>303</v>
      </c>
      <c r="D337" s="567"/>
      <c r="E337" s="132">
        <v>45276</v>
      </c>
      <c r="F337" s="472">
        <v>34</v>
      </c>
      <c r="G337" s="309" t="s">
        <v>363</v>
      </c>
      <c r="H337" s="309"/>
    </row>
    <row r="338" spans="2:8" ht="24.95" customHeight="1" x14ac:dyDescent="0.25">
      <c r="B338" s="472" t="s">
        <v>277</v>
      </c>
      <c r="C338" s="557" t="s">
        <v>303</v>
      </c>
      <c r="D338" s="567"/>
      <c r="E338" s="132">
        <v>45276</v>
      </c>
      <c r="F338" s="472">
        <v>28</v>
      </c>
      <c r="G338" s="309" t="s">
        <v>516</v>
      </c>
      <c r="H338" s="309"/>
    </row>
    <row r="339" spans="2:8" ht="24.95" customHeight="1" x14ac:dyDescent="0.25">
      <c r="B339" s="472" t="s">
        <v>277</v>
      </c>
      <c r="C339" s="557" t="s">
        <v>303</v>
      </c>
      <c r="D339" s="567"/>
      <c r="E339" s="132">
        <v>45278</v>
      </c>
      <c r="F339" s="472">
        <v>32</v>
      </c>
      <c r="G339" s="309" t="s">
        <v>363</v>
      </c>
      <c r="H339" s="309" t="s">
        <v>780</v>
      </c>
    </row>
    <row r="340" spans="2:8" ht="24.95" customHeight="1" x14ac:dyDescent="0.25">
      <c r="B340" s="472" t="s">
        <v>277</v>
      </c>
      <c r="C340" s="557" t="s">
        <v>303</v>
      </c>
      <c r="D340" s="567"/>
      <c r="E340" s="132">
        <v>45278</v>
      </c>
      <c r="F340" s="472">
        <v>21</v>
      </c>
      <c r="G340" s="309" t="s">
        <v>363</v>
      </c>
      <c r="H340" s="309"/>
    </row>
    <row r="341" spans="2:8" ht="24.95" customHeight="1" x14ac:dyDescent="0.25">
      <c r="B341" s="472" t="s">
        <v>604</v>
      </c>
      <c r="C341" s="557" t="s">
        <v>361</v>
      </c>
      <c r="D341" s="567">
        <v>7337</v>
      </c>
      <c r="E341" s="132">
        <v>45278</v>
      </c>
      <c r="F341" s="472">
        <v>96</v>
      </c>
      <c r="G341" s="309"/>
      <c r="H341" s="309"/>
    </row>
    <row r="342" spans="2:8" ht="31.5" customHeight="1" x14ac:dyDescent="0.25">
      <c r="B342" s="472" t="s">
        <v>747</v>
      </c>
      <c r="C342" s="557" t="s">
        <v>303</v>
      </c>
      <c r="D342" s="567"/>
      <c r="E342" s="132">
        <v>45280</v>
      </c>
      <c r="F342" s="472">
        <v>16</v>
      </c>
      <c r="G342" s="309" t="s">
        <v>102</v>
      </c>
      <c r="H342" s="309" t="s">
        <v>781</v>
      </c>
    </row>
    <row r="343" spans="2:8" ht="24.95" customHeight="1" x14ac:dyDescent="0.25">
      <c r="B343" s="472" t="s">
        <v>747</v>
      </c>
      <c r="C343" s="557" t="s">
        <v>303</v>
      </c>
      <c r="D343" s="567"/>
      <c r="E343" s="132">
        <v>45280</v>
      </c>
      <c r="F343" s="472">
        <v>20</v>
      </c>
      <c r="G343" s="309" t="s">
        <v>516</v>
      </c>
      <c r="H343" s="309"/>
    </row>
    <row r="344" spans="2:8" ht="24.95" customHeight="1" x14ac:dyDescent="0.25">
      <c r="B344" s="472" t="s">
        <v>277</v>
      </c>
      <c r="C344" s="557" t="s">
        <v>303</v>
      </c>
      <c r="D344" s="567"/>
      <c r="E344" s="132">
        <v>45280</v>
      </c>
      <c r="F344" s="472">
        <v>44.5</v>
      </c>
      <c r="G344" s="309" t="s">
        <v>363</v>
      </c>
      <c r="H344" s="309" t="s">
        <v>780</v>
      </c>
    </row>
    <row r="345" spans="2:8" ht="24.95" customHeight="1" x14ac:dyDescent="0.25">
      <c r="B345" s="472" t="s">
        <v>277</v>
      </c>
      <c r="C345" s="557" t="s">
        <v>303</v>
      </c>
      <c r="D345" s="567"/>
      <c r="E345" s="132">
        <v>45282</v>
      </c>
      <c r="F345" s="472">
        <v>344.2</v>
      </c>
      <c r="G345" s="309" t="s">
        <v>516</v>
      </c>
      <c r="H345" s="309"/>
    </row>
    <row r="346" spans="2:8" ht="24.95" customHeight="1" x14ac:dyDescent="0.25">
      <c r="B346" s="472" t="s">
        <v>755</v>
      </c>
      <c r="C346" s="557" t="s">
        <v>303</v>
      </c>
      <c r="D346" s="567"/>
      <c r="E346" s="132">
        <v>45282</v>
      </c>
      <c r="F346" s="472">
        <v>10</v>
      </c>
      <c r="G346" s="309" t="s">
        <v>751</v>
      </c>
      <c r="H346" s="309"/>
    </row>
    <row r="347" spans="2:8" ht="24.95" customHeight="1" x14ac:dyDescent="0.25">
      <c r="B347" s="472" t="s">
        <v>472</v>
      </c>
      <c r="C347" s="557" t="s">
        <v>303</v>
      </c>
      <c r="D347" s="567"/>
      <c r="E347" s="132">
        <v>45282</v>
      </c>
      <c r="F347" s="472">
        <v>17</v>
      </c>
      <c r="G347" s="309" t="s">
        <v>516</v>
      </c>
      <c r="H347" s="309"/>
    </row>
    <row r="348" spans="2:8" ht="24.95" customHeight="1" x14ac:dyDescent="0.25">
      <c r="B348" s="472" t="s">
        <v>277</v>
      </c>
      <c r="C348" s="557" t="s">
        <v>362</v>
      </c>
      <c r="D348" s="567"/>
      <c r="E348" s="132">
        <v>45282</v>
      </c>
      <c r="F348" s="472"/>
      <c r="G348" s="309"/>
      <c r="H348" s="309"/>
    </row>
    <row r="349" spans="2:8" ht="24.95" customHeight="1" x14ac:dyDescent="0.25">
      <c r="B349" s="472" t="s">
        <v>472</v>
      </c>
      <c r="C349" s="557" t="s">
        <v>362</v>
      </c>
      <c r="D349" s="567"/>
      <c r="E349" s="132">
        <v>45282</v>
      </c>
      <c r="F349" s="472"/>
      <c r="G349" s="309"/>
      <c r="H349" s="309"/>
    </row>
    <row r="350" spans="2:8" ht="24.95" customHeight="1" x14ac:dyDescent="0.25">
      <c r="B350" s="472" t="s">
        <v>472</v>
      </c>
      <c r="C350" s="557" t="s">
        <v>361</v>
      </c>
      <c r="D350" s="567">
        <v>7526</v>
      </c>
      <c r="E350" s="132">
        <v>45287</v>
      </c>
      <c r="F350" s="472">
        <v>120</v>
      </c>
      <c r="G350" s="309"/>
      <c r="H350" s="309"/>
    </row>
    <row r="351" spans="2:8" ht="24.95" customHeight="1" x14ac:dyDescent="0.25">
      <c r="B351" s="472" t="s">
        <v>507</v>
      </c>
      <c r="C351" s="557" t="s">
        <v>303</v>
      </c>
      <c r="D351" s="567"/>
      <c r="E351" s="132">
        <v>45287</v>
      </c>
      <c r="F351" s="472">
        <v>15</v>
      </c>
      <c r="G351" s="309" t="s">
        <v>516</v>
      </c>
      <c r="H351" s="309"/>
    </row>
    <row r="352" spans="2:8" ht="24.95" customHeight="1" x14ac:dyDescent="0.25">
      <c r="B352" s="472" t="s">
        <v>507</v>
      </c>
      <c r="C352" s="557" t="s">
        <v>362</v>
      </c>
      <c r="D352" s="567"/>
      <c r="E352" s="132">
        <v>45287</v>
      </c>
      <c r="F352" s="472"/>
      <c r="G352" s="309"/>
      <c r="H352" s="309"/>
    </row>
    <row r="353" spans="2:8" ht="24.95" customHeight="1" x14ac:dyDescent="0.25">
      <c r="B353" s="472" t="s">
        <v>458</v>
      </c>
      <c r="C353" s="557" t="s">
        <v>303</v>
      </c>
      <c r="D353" s="567"/>
      <c r="E353" s="132">
        <v>45288</v>
      </c>
      <c r="F353" s="472">
        <v>23</v>
      </c>
      <c r="G353" s="309" t="s">
        <v>363</v>
      </c>
      <c r="H353" s="309"/>
    </row>
    <row r="354" spans="2:8" ht="24.95" customHeight="1" x14ac:dyDescent="0.25">
      <c r="B354" s="472" t="s">
        <v>458</v>
      </c>
      <c r="C354" s="557" t="s">
        <v>362</v>
      </c>
      <c r="D354" s="567"/>
      <c r="E354" s="132">
        <v>45288</v>
      </c>
      <c r="F354" s="472"/>
      <c r="G354" s="309"/>
      <c r="H354" s="309"/>
    </row>
    <row r="355" spans="2:8" ht="63" customHeight="1" x14ac:dyDescent="0.25">
      <c r="B355" s="472" t="s">
        <v>756</v>
      </c>
      <c r="C355" s="557" t="s">
        <v>303</v>
      </c>
      <c r="D355" s="567"/>
      <c r="E355" s="132">
        <v>45288</v>
      </c>
      <c r="F355" s="472">
        <v>26</v>
      </c>
      <c r="G355" s="309" t="s">
        <v>363</v>
      </c>
      <c r="H355" s="309" t="s">
        <v>786</v>
      </c>
    </row>
    <row r="356" spans="2:8" ht="24.95" customHeight="1" x14ac:dyDescent="0.25">
      <c r="B356" s="472" t="s">
        <v>756</v>
      </c>
      <c r="C356" s="557" t="s">
        <v>362</v>
      </c>
      <c r="D356" s="567"/>
      <c r="E356" s="132">
        <v>45288</v>
      </c>
      <c r="F356" s="472"/>
      <c r="G356" s="309"/>
      <c r="H356" s="309"/>
    </row>
    <row r="357" spans="2:8" ht="24.95" customHeight="1" x14ac:dyDescent="0.25">
      <c r="B357" s="472" t="s">
        <v>475</v>
      </c>
      <c r="C357" s="557" t="s">
        <v>303</v>
      </c>
      <c r="D357" s="567"/>
      <c r="E357" s="132">
        <v>45300</v>
      </c>
      <c r="F357" s="472">
        <v>8</v>
      </c>
      <c r="G357" s="309" t="s">
        <v>751</v>
      </c>
      <c r="H357" s="309"/>
    </row>
    <row r="358" spans="2:8" ht="24.95" customHeight="1" x14ac:dyDescent="0.25">
      <c r="B358" s="472" t="s">
        <v>638</v>
      </c>
      <c r="C358" s="557" t="s">
        <v>303</v>
      </c>
      <c r="D358" s="567"/>
      <c r="E358" s="132">
        <v>45300</v>
      </c>
      <c r="F358" s="472">
        <v>22</v>
      </c>
      <c r="G358" s="309" t="s">
        <v>751</v>
      </c>
      <c r="H358" s="309"/>
    </row>
    <row r="359" spans="2:8" ht="24.95" customHeight="1" x14ac:dyDescent="0.25">
      <c r="B359" s="472" t="s">
        <v>755</v>
      </c>
      <c r="C359" s="557" t="s">
        <v>303</v>
      </c>
      <c r="D359" s="567"/>
      <c r="E359" s="132">
        <v>45300</v>
      </c>
      <c r="F359" s="472">
        <v>10</v>
      </c>
      <c r="G359" s="309" t="s">
        <v>751</v>
      </c>
      <c r="H359" s="309"/>
    </row>
    <row r="360" spans="2:8" ht="24.95" customHeight="1" x14ac:dyDescent="0.25">
      <c r="B360" s="472" t="s">
        <v>475</v>
      </c>
      <c r="C360" s="557" t="s">
        <v>362</v>
      </c>
      <c r="D360" s="567"/>
      <c r="E360" s="132">
        <v>45300</v>
      </c>
      <c r="F360" s="472"/>
      <c r="G360" s="309"/>
      <c r="H360" s="309"/>
    </row>
    <row r="361" spans="2:8" ht="24.95" customHeight="1" x14ac:dyDescent="0.25">
      <c r="B361" s="472" t="s">
        <v>638</v>
      </c>
      <c r="C361" s="557" t="s">
        <v>362</v>
      </c>
      <c r="D361" s="567"/>
      <c r="E361" s="132">
        <v>45300</v>
      </c>
      <c r="F361" s="472"/>
      <c r="G361" s="309"/>
      <c r="H361" s="309"/>
    </row>
    <row r="362" spans="2:8" ht="24.95" customHeight="1" x14ac:dyDescent="0.25">
      <c r="B362" s="472" t="s">
        <v>755</v>
      </c>
      <c r="C362" s="557" t="s">
        <v>362</v>
      </c>
      <c r="D362" s="567"/>
      <c r="E362" s="132">
        <v>45300</v>
      </c>
      <c r="F362" s="472"/>
      <c r="G362" s="309"/>
      <c r="H362" s="309"/>
    </row>
    <row r="363" spans="2:8" ht="24.95" customHeight="1" x14ac:dyDescent="0.25">
      <c r="B363" s="472" t="s">
        <v>574</v>
      </c>
      <c r="C363" s="557" t="s">
        <v>361</v>
      </c>
      <c r="D363" s="567">
        <v>7635</v>
      </c>
      <c r="E363" s="132">
        <v>45301</v>
      </c>
      <c r="F363" s="472">
        <v>100</v>
      </c>
      <c r="G363" s="309"/>
      <c r="H363" s="309"/>
    </row>
    <row r="364" spans="2:8" ht="24.95" customHeight="1" x14ac:dyDescent="0.25">
      <c r="B364" s="472" t="s">
        <v>790</v>
      </c>
      <c r="C364" s="557" t="s">
        <v>361</v>
      </c>
      <c r="D364" s="567">
        <v>7639</v>
      </c>
      <c r="E364" s="132">
        <v>45302</v>
      </c>
      <c r="F364" s="472">
        <v>14</v>
      </c>
      <c r="G364" s="309"/>
      <c r="H364" s="309"/>
    </row>
    <row r="365" spans="2:8" ht="24.95" customHeight="1" x14ac:dyDescent="0.25">
      <c r="B365" s="472" t="s">
        <v>625</v>
      </c>
      <c r="C365" s="557" t="s">
        <v>303</v>
      </c>
      <c r="D365" s="567"/>
      <c r="E365" s="132">
        <v>45303</v>
      </c>
      <c r="F365" s="472">
        <v>127</v>
      </c>
      <c r="G365" s="309" t="s">
        <v>102</v>
      </c>
      <c r="H365" s="309"/>
    </row>
    <row r="366" spans="2:8" ht="24.95" customHeight="1" x14ac:dyDescent="0.25">
      <c r="B366" s="472" t="s">
        <v>625</v>
      </c>
      <c r="C366" s="557" t="s">
        <v>362</v>
      </c>
      <c r="D366" s="567"/>
      <c r="E366" s="132">
        <v>45303</v>
      </c>
      <c r="F366" s="472"/>
      <c r="G366" s="309"/>
      <c r="H366" s="309"/>
    </row>
    <row r="367" spans="2:8" ht="24.95" customHeight="1" x14ac:dyDescent="0.25">
      <c r="B367" s="472" t="s">
        <v>793</v>
      </c>
      <c r="C367" s="557" t="s">
        <v>361</v>
      </c>
      <c r="D367" s="567">
        <v>7659</v>
      </c>
      <c r="E367" s="132">
        <v>45306</v>
      </c>
      <c r="F367" s="472">
        <v>26</v>
      </c>
      <c r="G367" s="309"/>
      <c r="H367" s="309"/>
    </row>
    <row r="368" spans="2:8" ht="24.95" customHeight="1" x14ac:dyDescent="0.25">
      <c r="B368" s="472" t="s">
        <v>739</v>
      </c>
      <c r="C368" s="557" t="s">
        <v>593</v>
      </c>
      <c r="D368" s="567">
        <v>7710</v>
      </c>
      <c r="E368" s="132">
        <v>45306</v>
      </c>
      <c r="F368" s="472">
        <v>15</v>
      </c>
      <c r="G368" s="309"/>
      <c r="H368" s="309"/>
    </row>
    <row r="369" spans="2:8" ht="24.95" customHeight="1" x14ac:dyDescent="0.25">
      <c r="B369" s="472" t="s">
        <v>461</v>
      </c>
      <c r="C369" s="557" t="s">
        <v>303</v>
      </c>
      <c r="D369" s="567"/>
      <c r="E369" s="132">
        <v>45308</v>
      </c>
      <c r="F369" s="472">
        <v>57</v>
      </c>
      <c r="G369" s="309" t="s">
        <v>102</v>
      </c>
      <c r="H369" s="309"/>
    </row>
    <row r="370" spans="2:8" ht="24.95" customHeight="1" x14ac:dyDescent="0.25">
      <c r="B370" s="472" t="s">
        <v>461</v>
      </c>
      <c r="C370" s="557" t="s">
        <v>362</v>
      </c>
      <c r="D370" s="567"/>
      <c r="E370" s="132">
        <v>45308</v>
      </c>
      <c r="F370" s="472"/>
      <c r="G370" s="309"/>
      <c r="H370" s="309"/>
    </row>
    <row r="371" spans="2:8" ht="24.95" customHeight="1" x14ac:dyDescent="0.25">
      <c r="B371" s="472" t="s">
        <v>461</v>
      </c>
      <c r="C371" s="557" t="s">
        <v>361</v>
      </c>
      <c r="D371" s="567">
        <v>7758</v>
      </c>
      <c r="E371" s="132">
        <v>45313</v>
      </c>
      <c r="F371" s="472">
        <v>85</v>
      </c>
      <c r="G371" s="309"/>
      <c r="H371" s="309"/>
    </row>
    <row r="372" spans="2:8" ht="24.95" customHeight="1" x14ac:dyDescent="0.25">
      <c r="B372" s="472" t="s">
        <v>508</v>
      </c>
      <c r="C372" s="557" t="s">
        <v>303</v>
      </c>
      <c r="D372" s="567"/>
      <c r="E372" s="132">
        <v>45315</v>
      </c>
      <c r="F372" s="472">
        <v>106</v>
      </c>
      <c r="G372" s="309" t="s">
        <v>363</v>
      </c>
      <c r="H372" s="309"/>
    </row>
    <row r="373" spans="2:8" ht="24.95" customHeight="1" x14ac:dyDescent="0.25">
      <c r="B373" s="472" t="s">
        <v>508</v>
      </c>
      <c r="C373" s="557" t="s">
        <v>362</v>
      </c>
      <c r="D373" s="567"/>
      <c r="E373" s="132">
        <v>45315</v>
      </c>
      <c r="F373" s="472"/>
      <c r="G373" s="309"/>
      <c r="H373" s="309"/>
    </row>
    <row r="374" spans="2:8" ht="24.95" customHeight="1" x14ac:dyDescent="0.25">
      <c r="B374" s="472" t="s">
        <v>574</v>
      </c>
      <c r="C374" s="557" t="s">
        <v>593</v>
      </c>
      <c r="D374" s="567">
        <v>7915</v>
      </c>
      <c r="E374" s="132">
        <v>45316</v>
      </c>
      <c r="F374" s="472">
        <v>50</v>
      </c>
      <c r="G374" s="309"/>
      <c r="H374" s="309"/>
    </row>
    <row r="375" spans="2:8" ht="33" customHeight="1" x14ac:dyDescent="0.25">
      <c r="B375" s="472" t="s">
        <v>747</v>
      </c>
      <c r="C375" s="557" t="s">
        <v>303</v>
      </c>
      <c r="D375" s="567"/>
      <c r="E375" s="132">
        <v>45317</v>
      </c>
      <c r="F375" s="472">
        <v>228</v>
      </c>
      <c r="G375" s="309" t="s">
        <v>807</v>
      </c>
      <c r="H375" s="309" t="s">
        <v>806</v>
      </c>
    </row>
    <row r="376" spans="2:8" ht="24.95" customHeight="1" x14ac:dyDescent="0.25">
      <c r="B376" s="606" t="s">
        <v>747</v>
      </c>
      <c r="C376" s="606" t="s">
        <v>362</v>
      </c>
      <c r="D376" s="567"/>
      <c r="E376" s="132">
        <v>45317</v>
      </c>
      <c r="F376" s="606"/>
      <c r="G376" s="309"/>
      <c r="H376" s="309"/>
    </row>
    <row r="377" spans="2:8" ht="24.95" customHeight="1" x14ac:dyDescent="0.25">
      <c r="B377" s="472" t="s">
        <v>461</v>
      </c>
      <c r="C377" s="557" t="s">
        <v>593</v>
      </c>
      <c r="D377" s="567">
        <v>7935</v>
      </c>
      <c r="E377" s="132">
        <v>45317</v>
      </c>
      <c r="F377" s="472">
        <v>255</v>
      </c>
      <c r="G377" s="309"/>
      <c r="H377" s="309"/>
    </row>
    <row r="378" spans="2:8" ht="24.95" customHeight="1" x14ac:dyDescent="0.25">
      <c r="B378" s="472" t="s">
        <v>809</v>
      </c>
      <c r="C378" s="557" t="s">
        <v>361</v>
      </c>
      <c r="D378" s="567">
        <v>7941</v>
      </c>
      <c r="E378" s="132">
        <v>45317</v>
      </c>
      <c r="F378" s="472">
        <v>90</v>
      </c>
      <c r="G378" s="309"/>
      <c r="H378" s="309"/>
    </row>
    <row r="379" spans="2:8" ht="24.95" customHeight="1" x14ac:dyDescent="0.25">
      <c r="B379" s="472" t="s">
        <v>790</v>
      </c>
      <c r="C379" s="557" t="s">
        <v>593</v>
      </c>
      <c r="D379" s="567">
        <v>7980</v>
      </c>
      <c r="E379" s="132">
        <v>45320</v>
      </c>
      <c r="F379" s="472">
        <v>50</v>
      </c>
      <c r="G379" s="309"/>
      <c r="H379" s="309"/>
    </row>
    <row r="380" spans="2:8" ht="24.95" customHeight="1" x14ac:dyDescent="0.25">
      <c r="B380" s="472" t="s">
        <v>472</v>
      </c>
      <c r="C380" s="557" t="s">
        <v>303</v>
      </c>
      <c r="D380" s="567"/>
      <c r="E380" s="132">
        <v>45320</v>
      </c>
      <c r="F380" s="472">
        <v>65</v>
      </c>
      <c r="G380" s="309" t="s">
        <v>626</v>
      </c>
      <c r="H380" s="309"/>
    </row>
    <row r="381" spans="2:8" ht="24.95" customHeight="1" x14ac:dyDescent="0.25">
      <c r="B381" s="472" t="s">
        <v>574</v>
      </c>
      <c r="C381" s="557" t="s">
        <v>303</v>
      </c>
      <c r="D381" s="567"/>
      <c r="E381" s="132">
        <v>45320</v>
      </c>
      <c r="F381" s="472">
        <v>50</v>
      </c>
      <c r="G381" s="309" t="s">
        <v>751</v>
      </c>
      <c r="H381" s="309"/>
    </row>
    <row r="382" spans="2:8" ht="24.95" customHeight="1" x14ac:dyDescent="0.25">
      <c r="B382" s="472" t="s">
        <v>812</v>
      </c>
      <c r="C382" s="557" t="s">
        <v>361</v>
      </c>
      <c r="D382" s="567">
        <v>8012</v>
      </c>
      <c r="E382" s="132">
        <v>45321</v>
      </c>
      <c r="F382" s="472">
        <v>42</v>
      </c>
      <c r="G382" s="309"/>
      <c r="H382" s="309"/>
    </row>
    <row r="383" spans="2:8" ht="24.95" customHeight="1" x14ac:dyDescent="0.25">
      <c r="B383" s="472" t="s">
        <v>812</v>
      </c>
      <c r="C383" s="557" t="s">
        <v>303</v>
      </c>
      <c r="D383" s="567">
        <v>8012</v>
      </c>
      <c r="E383" s="132">
        <v>45321</v>
      </c>
      <c r="F383" s="472">
        <v>8.3000000000000007</v>
      </c>
      <c r="G383" s="309"/>
      <c r="H383" s="309" t="s">
        <v>813</v>
      </c>
    </row>
    <row r="384" spans="2:8" ht="24.95" customHeight="1" x14ac:dyDescent="0.25">
      <c r="B384" s="472" t="s">
        <v>810</v>
      </c>
      <c r="C384" s="557" t="s">
        <v>303</v>
      </c>
      <c r="D384" s="567">
        <v>7941</v>
      </c>
      <c r="E384" s="132">
        <v>45321</v>
      </c>
      <c r="F384" s="472">
        <v>90</v>
      </c>
      <c r="G384" s="309"/>
      <c r="H384" s="309" t="s">
        <v>816</v>
      </c>
    </row>
    <row r="385" spans="2:8" ht="24.95" customHeight="1" x14ac:dyDescent="0.25">
      <c r="B385" s="472" t="s">
        <v>817</v>
      </c>
      <c r="C385" s="557" t="s">
        <v>362</v>
      </c>
      <c r="D385" s="567"/>
      <c r="E385" s="132">
        <v>45321</v>
      </c>
      <c r="F385" s="472"/>
      <c r="G385" s="309"/>
      <c r="H385" s="309"/>
    </row>
    <row r="386" spans="2:8" ht="24.95" customHeight="1" x14ac:dyDescent="0.25">
      <c r="B386" s="472" t="s">
        <v>472</v>
      </c>
      <c r="C386" s="557" t="s">
        <v>303</v>
      </c>
      <c r="D386" s="567"/>
      <c r="E386" s="132">
        <v>45322</v>
      </c>
      <c r="F386" s="472">
        <v>55</v>
      </c>
      <c r="G386" s="309" t="s">
        <v>825</v>
      </c>
      <c r="H386" s="309"/>
    </row>
    <row r="387" spans="2:8" ht="24.95" customHeight="1" x14ac:dyDescent="0.25">
      <c r="B387" s="472" t="s">
        <v>472</v>
      </c>
      <c r="C387" s="557" t="s">
        <v>362</v>
      </c>
      <c r="D387" s="567"/>
      <c r="E387" s="132">
        <v>45322</v>
      </c>
      <c r="F387" s="472"/>
      <c r="G387" s="309"/>
      <c r="H387" s="309"/>
    </row>
    <row r="388" spans="2:8" ht="24.95" customHeight="1" x14ac:dyDescent="0.25">
      <c r="B388" s="472" t="s">
        <v>574</v>
      </c>
      <c r="C388" s="557" t="s">
        <v>303</v>
      </c>
      <c r="D388" s="567"/>
      <c r="E388" s="132">
        <v>45323</v>
      </c>
      <c r="F388" s="472">
        <v>50</v>
      </c>
      <c r="G388" s="309" t="s">
        <v>751</v>
      </c>
      <c r="H388" s="309"/>
    </row>
    <row r="389" spans="2:8" ht="24.95" customHeight="1" x14ac:dyDescent="0.25">
      <c r="B389" s="472" t="s">
        <v>745</v>
      </c>
      <c r="C389" s="557" t="s">
        <v>303</v>
      </c>
      <c r="D389" s="567"/>
      <c r="E389" s="132">
        <v>45323</v>
      </c>
      <c r="F389" s="472">
        <v>360</v>
      </c>
      <c r="G389" s="309" t="s">
        <v>827</v>
      </c>
      <c r="H389" s="309" t="s">
        <v>828</v>
      </c>
    </row>
    <row r="390" spans="2:8" ht="24.95" customHeight="1" x14ac:dyDescent="0.25">
      <c r="B390" s="472" t="s">
        <v>745</v>
      </c>
      <c r="C390" s="557" t="s">
        <v>362</v>
      </c>
      <c r="D390" s="567"/>
      <c r="E390" s="132">
        <v>45323</v>
      </c>
      <c r="F390" s="472"/>
      <c r="G390" s="309"/>
      <c r="H390" s="309"/>
    </row>
    <row r="391" spans="2:8" ht="24.95" customHeight="1" x14ac:dyDescent="0.25">
      <c r="B391" s="472" t="s">
        <v>357</v>
      </c>
      <c r="C391" s="557" t="s">
        <v>303</v>
      </c>
      <c r="D391" s="567"/>
      <c r="E391" s="132">
        <v>45323</v>
      </c>
      <c r="F391" s="472">
        <v>200</v>
      </c>
      <c r="G391" s="309" t="s">
        <v>363</v>
      </c>
      <c r="H391" s="309" t="s">
        <v>829</v>
      </c>
    </row>
    <row r="392" spans="2:8" ht="24.95" customHeight="1" x14ac:dyDescent="0.25">
      <c r="B392" s="472" t="s">
        <v>831</v>
      </c>
      <c r="C392" s="557" t="s">
        <v>361</v>
      </c>
      <c r="D392" s="567">
        <v>8061</v>
      </c>
      <c r="E392" s="132">
        <v>45323</v>
      </c>
      <c r="F392" s="472">
        <v>5</v>
      </c>
      <c r="G392" s="309"/>
      <c r="H392" s="309"/>
    </row>
    <row r="393" spans="2:8" ht="24.95" customHeight="1" x14ac:dyDescent="0.25">
      <c r="B393" s="472"/>
      <c r="C393" s="557"/>
      <c r="D393" s="567"/>
      <c r="E393" s="132"/>
      <c r="F393" s="472"/>
      <c r="G393" s="309"/>
      <c r="H393" s="309"/>
    </row>
    <row r="394" spans="2:8" ht="24.95" customHeight="1" x14ac:dyDescent="0.25">
      <c r="B394" s="472"/>
      <c r="C394" s="557"/>
      <c r="D394" s="567"/>
      <c r="E394" s="132"/>
      <c r="F394" s="472"/>
      <c r="G394" s="309"/>
      <c r="H394" s="309"/>
    </row>
    <row r="395" spans="2:8" ht="24.95" customHeight="1" x14ac:dyDescent="0.25">
      <c r="B395" s="472"/>
      <c r="C395" s="557"/>
      <c r="D395" s="567"/>
      <c r="E395" s="132"/>
      <c r="F395" s="472"/>
      <c r="G395" s="309"/>
      <c r="H395" s="309"/>
    </row>
    <row r="396" spans="2:8" ht="24.95" customHeight="1" x14ac:dyDescent="0.25">
      <c r="B396" s="472"/>
      <c r="C396" s="557"/>
      <c r="D396" s="567"/>
      <c r="E396" s="132"/>
      <c r="F396" s="472"/>
      <c r="G396" s="309"/>
      <c r="H396" s="309"/>
    </row>
    <row r="397" spans="2:8" ht="24.95" customHeight="1" x14ac:dyDescent="0.25">
      <c r="B397" s="472"/>
      <c r="C397" s="557"/>
      <c r="D397" s="567"/>
      <c r="E397" s="132"/>
      <c r="F397" s="472"/>
      <c r="G397" s="309"/>
      <c r="H397" s="309"/>
    </row>
    <row r="398" spans="2:8" ht="24.95" customHeight="1" x14ac:dyDescent="0.25">
      <c r="B398" s="472"/>
      <c r="C398" s="557"/>
      <c r="D398" s="567"/>
      <c r="E398" s="132"/>
      <c r="F398" s="472"/>
      <c r="G398" s="309"/>
      <c r="H398" s="309"/>
    </row>
    <row r="399" spans="2:8" ht="24.95" customHeight="1" x14ac:dyDescent="0.25">
      <c r="B399" s="472"/>
      <c r="C399" s="557"/>
      <c r="D399" s="567"/>
      <c r="E399" s="132"/>
      <c r="F399" s="472"/>
      <c r="G399" s="309"/>
      <c r="H399" s="309"/>
    </row>
    <row r="400" spans="2:8" ht="24.95" customHeight="1" x14ac:dyDescent="0.25">
      <c r="B400" s="472"/>
      <c r="C400" s="557"/>
      <c r="D400" s="567"/>
      <c r="E400" s="132"/>
      <c r="F400" s="472"/>
      <c r="G400" s="309"/>
      <c r="H400" s="309"/>
    </row>
    <row r="401" spans="2:8" ht="24.95" customHeight="1" x14ac:dyDescent="0.25">
      <c r="B401" s="472"/>
      <c r="C401" s="557"/>
      <c r="D401" s="567"/>
      <c r="E401" s="132"/>
      <c r="F401" s="472"/>
      <c r="G401" s="309"/>
      <c r="H401" s="309"/>
    </row>
    <row r="402" spans="2:8" ht="24.95" customHeight="1" x14ac:dyDescent="0.25">
      <c r="B402" s="472"/>
      <c r="C402" s="557"/>
      <c r="D402" s="567"/>
      <c r="E402" s="132"/>
      <c r="F402" s="472"/>
      <c r="G402" s="309"/>
      <c r="H402" s="309"/>
    </row>
    <row r="403" spans="2:8" ht="24.95" customHeight="1" x14ac:dyDescent="0.25">
      <c r="B403" s="472"/>
      <c r="C403" s="557"/>
      <c r="D403" s="567"/>
      <c r="E403" s="132"/>
      <c r="F403" s="472"/>
      <c r="G403" s="309"/>
      <c r="H403" s="309"/>
    </row>
    <row r="404" spans="2:8" ht="24.95" customHeight="1" x14ac:dyDescent="0.25">
      <c r="B404" s="472"/>
      <c r="C404" s="557"/>
      <c r="D404" s="567"/>
      <c r="E404" s="132"/>
      <c r="F404" s="472"/>
      <c r="G404" s="309"/>
      <c r="H404" s="309"/>
    </row>
    <row r="405" spans="2:8" ht="24.95" customHeight="1" x14ac:dyDescent="0.25">
      <c r="B405" s="472"/>
      <c r="C405" s="557"/>
      <c r="D405" s="567"/>
      <c r="E405" s="132"/>
      <c r="F405" s="472"/>
      <c r="G405" s="309"/>
      <c r="H405" s="309"/>
    </row>
    <row r="406" spans="2:8" ht="24.95" customHeight="1" x14ac:dyDescent="0.25">
      <c r="B406" s="472"/>
      <c r="C406" s="557"/>
      <c r="D406" s="567"/>
      <c r="E406" s="132"/>
      <c r="F406" s="472"/>
      <c r="G406" s="309"/>
      <c r="H406" s="309"/>
    </row>
    <row r="407" spans="2:8" ht="24.95" customHeight="1" x14ac:dyDescent="0.25">
      <c r="B407" s="472"/>
      <c r="C407" s="557"/>
      <c r="D407" s="567"/>
      <c r="E407" s="132"/>
      <c r="F407" s="472"/>
      <c r="G407" s="309"/>
      <c r="H407" s="309"/>
    </row>
    <row r="408" spans="2:8" ht="24.95" customHeight="1" x14ac:dyDescent="0.25">
      <c r="B408" s="472"/>
      <c r="C408" s="557"/>
      <c r="D408" s="567"/>
      <c r="E408" s="132"/>
      <c r="F408" s="472"/>
      <c r="G408" s="309"/>
      <c r="H408" s="309"/>
    </row>
    <row r="409" spans="2:8" ht="24.95" customHeight="1" x14ac:dyDescent="0.25">
      <c r="B409" s="472"/>
      <c r="C409" s="557"/>
      <c r="D409" s="567"/>
      <c r="E409" s="132"/>
      <c r="F409" s="472"/>
      <c r="G409" s="309"/>
      <c r="H409" s="309"/>
    </row>
    <row r="410" spans="2:8" ht="24.95" customHeight="1" x14ac:dyDescent="0.25">
      <c r="B410" s="472"/>
      <c r="C410" s="557"/>
      <c r="D410" s="567"/>
      <c r="E410" s="132"/>
      <c r="F410" s="472"/>
      <c r="G410" s="309"/>
      <c r="H410" s="309"/>
    </row>
    <row r="411" spans="2:8" ht="24.95" customHeight="1" x14ac:dyDescent="0.25">
      <c r="B411" s="472"/>
      <c r="C411" s="557"/>
      <c r="D411" s="567"/>
      <c r="E411" s="132"/>
      <c r="F411" s="472"/>
      <c r="G411" s="309"/>
      <c r="H411" s="309"/>
    </row>
    <row r="412" spans="2:8" ht="24.95" customHeight="1" x14ac:dyDescent="0.25">
      <c r="B412" s="472"/>
      <c r="C412" s="557"/>
      <c r="D412" s="567"/>
      <c r="E412" s="132"/>
      <c r="F412" s="472"/>
      <c r="G412" s="309"/>
      <c r="H412" s="309"/>
    </row>
    <row r="413" spans="2:8" ht="24.95" customHeight="1" x14ac:dyDescent="0.25">
      <c r="B413" s="472"/>
      <c r="C413" s="557"/>
      <c r="D413" s="567"/>
      <c r="E413" s="132"/>
      <c r="F413" s="472"/>
      <c r="G413" s="309"/>
      <c r="H413" s="309"/>
    </row>
    <row r="414" spans="2:8" ht="24.95" customHeight="1" x14ac:dyDescent="0.25">
      <c r="B414" s="472"/>
      <c r="C414" s="557"/>
      <c r="D414" s="567"/>
      <c r="E414" s="132"/>
      <c r="F414" s="472"/>
      <c r="G414" s="309"/>
      <c r="H414" s="309"/>
    </row>
    <row r="415" spans="2:8" ht="24.95" customHeight="1" x14ac:dyDescent="0.25">
      <c r="B415" s="472"/>
      <c r="C415" s="557"/>
      <c r="D415" s="567"/>
      <c r="E415" s="132"/>
      <c r="F415" s="472"/>
      <c r="G415" s="309"/>
      <c r="H415" s="309"/>
    </row>
    <row r="416" spans="2:8" ht="24.95" customHeight="1" x14ac:dyDescent="0.25">
      <c r="B416" s="472"/>
      <c r="C416" s="557"/>
      <c r="D416" s="567"/>
      <c r="E416" s="132"/>
      <c r="F416" s="472"/>
      <c r="G416" s="309"/>
      <c r="H416" s="309"/>
    </row>
    <row r="417" spans="2:8" ht="24.95" customHeight="1" x14ac:dyDescent="0.25">
      <c r="B417" s="472"/>
      <c r="C417" s="557"/>
      <c r="D417" s="567"/>
      <c r="E417" s="132"/>
      <c r="F417" s="472"/>
      <c r="G417" s="309"/>
      <c r="H417" s="309"/>
    </row>
    <row r="418" spans="2:8" ht="24.95" customHeight="1" x14ac:dyDescent="0.25">
      <c r="B418" s="472"/>
      <c r="C418" s="557"/>
      <c r="D418" s="567"/>
      <c r="E418" s="132"/>
      <c r="F418" s="472"/>
      <c r="G418" s="309"/>
      <c r="H418" s="309"/>
    </row>
    <row r="419" spans="2:8" ht="24.95" customHeight="1" x14ac:dyDescent="0.25">
      <c r="B419" s="472"/>
      <c r="C419" s="557"/>
      <c r="D419" s="567"/>
      <c r="E419" s="132"/>
      <c r="F419" s="472"/>
      <c r="G419" s="309"/>
      <c r="H419" s="309"/>
    </row>
    <row r="420" spans="2:8" ht="24.95" customHeight="1" x14ac:dyDescent="0.25">
      <c r="B420" s="472"/>
      <c r="C420" s="557"/>
      <c r="D420" s="567"/>
      <c r="E420" s="132"/>
      <c r="F420" s="472"/>
      <c r="G420" s="309"/>
      <c r="H420" s="309"/>
    </row>
    <row r="421" spans="2:8" ht="24.95" customHeight="1" x14ac:dyDescent="0.25">
      <c r="B421" s="472"/>
      <c r="C421" s="557"/>
      <c r="D421" s="567"/>
      <c r="E421" s="132"/>
      <c r="F421" s="472"/>
      <c r="G421" s="309"/>
      <c r="H421" s="309"/>
    </row>
    <row r="422" spans="2:8" ht="24.95" customHeight="1" x14ac:dyDescent="0.25">
      <c r="B422" s="472"/>
      <c r="C422" s="557"/>
      <c r="D422" s="567"/>
      <c r="E422" s="132"/>
      <c r="F422" s="472"/>
      <c r="G422" s="309"/>
      <c r="H422" s="309"/>
    </row>
    <row r="423" spans="2:8" ht="24.95" customHeight="1" x14ac:dyDescent="0.25">
      <c r="B423" s="472"/>
      <c r="C423" s="557"/>
      <c r="D423" s="567"/>
      <c r="E423" s="132"/>
      <c r="F423" s="472"/>
      <c r="G423" s="309"/>
      <c r="H423" s="309"/>
    </row>
    <row r="424" spans="2:8" ht="24.95" customHeight="1" x14ac:dyDescent="0.25">
      <c r="B424" s="472"/>
      <c r="C424" s="557"/>
      <c r="D424" s="567"/>
      <c r="E424" s="132"/>
      <c r="F424" s="472"/>
      <c r="G424" s="309"/>
      <c r="H424" s="309"/>
    </row>
    <row r="425" spans="2:8" ht="24.95" customHeight="1" x14ac:dyDescent="0.25">
      <c r="B425" s="472"/>
      <c r="C425" s="557"/>
      <c r="D425" s="567"/>
      <c r="E425" s="132"/>
      <c r="F425" s="472"/>
      <c r="G425" s="309"/>
      <c r="H425" s="309"/>
    </row>
    <row r="426" spans="2:8" ht="24.95" customHeight="1" x14ac:dyDescent="0.25">
      <c r="B426" s="472"/>
      <c r="C426" s="557"/>
      <c r="D426" s="567"/>
      <c r="E426" s="132"/>
      <c r="F426" s="472"/>
      <c r="G426" s="309"/>
      <c r="H426" s="309"/>
    </row>
    <row r="427" spans="2:8" ht="24.95" customHeight="1" x14ac:dyDescent="0.25">
      <c r="B427" s="472"/>
      <c r="C427" s="557"/>
      <c r="D427" s="567"/>
      <c r="E427" s="132"/>
      <c r="F427" s="472"/>
      <c r="G427" s="309"/>
      <c r="H427" s="309"/>
    </row>
    <row r="428" spans="2:8" ht="24.95" customHeight="1" x14ac:dyDescent="0.25">
      <c r="B428" s="472"/>
      <c r="C428" s="557"/>
      <c r="D428" s="567"/>
      <c r="E428" s="132"/>
      <c r="F428" s="472"/>
      <c r="G428" s="309"/>
      <c r="H428" s="309"/>
    </row>
    <row r="429" spans="2:8" ht="24.95" customHeight="1" x14ac:dyDescent="0.25">
      <c r="B429" s="472"/>
      <c r="C429" s="557"/>
      <c r="D429" s="567"/>
      <c r="E429" s="132"/>
      <c r="F429" s="472"/>
      <c r="G429" s="309"/>
      <c r="H429" s="309"/>
    </row>
    <row r="430" spans="2:8" ht="24.95" customHeight="1" x14ac:dyDescent="0.25">
      <c r="B430" s="472"/>
      <c r="C430" s="557"/>
      <c r="D430" s="567"/>
      <c r="E430" s="132"/>
      <c r="F430" s="472"/>
      <c r="G430" s="309"/>
      <c r="H430" s="309"/>
    </row>
    <row r="431" spans="2:8" ht="24.95" customHeight="1" x14ac:dyDescent="0.25">
      <c r="B431" s="472"/>
      <c r="C431" s="557"/>
      <c r="D431" s="567"/>
      <c r="E431" s="132"/>
      <c r="F431" s="472"/>
      <c r="G431" s="309"/>
      <c r="H431" s="309"/>
    </row>
    <row r="432" spans="2:8" ht="24.95" customHeight="1" x14ac:dyDescent="0.25">
      <c r="B432" s="472"/>
      <c r="C432" s="557"/>
      <c r="D432" s="567"/>
      <c r="E432" s="132"/>
      <c r="F432" s="472"/>
      <c r="G432" s="309"/>
      <c r="H432" s="309"/>
    </row>
    <row r="433" spans="2:8" ht="24.95" customHeight="1" x14ac:dyDescent="0.25">
      <c r="B433" s="472"/>
      <c r="C433" s="557"/>
      <c r="D433" s="567"/>
      <c r="E433" s="132"/>
      <c r="F433" s="472"/>
      <c r="G433" s="309"/>
      <c r="H433" s="309"/>
    </row>
    <row r="434" spans="2:8" ht="24.95" customHeight="1" x14ac:dyDescent="0.25">
      <c r="B434" s="472"/>
      <c r="C434" s="557"/>
      <c r="D434" s="567"/>
      <c r="E434" s="132"/>
      <c r="F434" s="472"/>
      <c r="G434" s="309"/>
      <c r="H434" s="309"/>
    </row>
    <row r="435" spans="2:8" ht="24.95" customHeight="1" x14ac:dyDescent="0.25">
      <c r="B435" s="472"/>
      <c r="C435" s="557"/>
      <c r="D435" s="567"/>
      <c r="E435" s="132"/>
      <c r="F435" s="472"/>
      <c r="G435" s="309"/>
      <c r="H435" s="309"/>
    </row>
    <row r="436" spans="2:8" ht="24.95" customHeight="1" x14ac:dyDescent="0.25">
      <c r="B436" s="472"/>
      <c r="C436" s="557"/>
      <c r="D436" s="567"/>
      <c r="E436" s="132"/>
      <c r="F436" s="472"/>
      <c r="G436" s="309"/>
      <c r="H436" s="309"/>
    </row>
    <row r="437" spans="2:8" ht="24.95" customHeight="1" x14ac:dyDescent="0.25">
      <c r="B437" s="472"/>
      <c r="C437" s="557"/>
      <c r="D437" s="567"/>
      <c r="E437" s="132"/>
      <c r="F437" s="472"/>
      <c r="G437" s="309"/>
      <c r="H437" s="309"/>
    </row>
    <row r="438" spans="2:8" ht="24.95" customHeight="1" x14ac:dyDescent="0.25">
      <c r="B438" s="472"/>
      <c r="C438" s="557"/>
      <c r="D438" s="567"/>
      <c r="E438" s="132"/>
      <c r="F438" s="472"/>
      <c r="G438" s="309"/>
      <c r="H438" s="309"/>
    </row>
    <row r="439" spans="2:8" ht="24.95" customHeight="1" x14ac:dyDescent="0.25">
      <c r="B439" s="472"/>
      <c r="C439" s="557"/>
      <c r="D439" s="567"/>
      <c r="E439" s="132"/>
      <c r="F439" s="472"/>
      <c r="G439" s="309"/>
      <c r="H439" s="309"/>
    </row>
    <row r="440" spans="2:8" ht="24.95" customHeight="1" x14ac:dyDescent="0.25">
      <c r="B440" s="472"/>
      <c r="C440" s="557"/>
      <c r="D440" s="567"/>
      <c r="E440" s="132"/>
      <c r="F440" s="472"/>
      <c r="G440" s="309"/>
      <c r="H440" s="309"/>
    </row>
    <row r="441" spans="2:8" ht="24.95" customHeight="1" x14ac:dyDescent="0.25">
      <c r="B441" s="472"/>
      <c r="C441" s="557"/>
      <c r="D441" s="567"/>
      <c r="E441" s="132"/>
      <c r="F441" s="472"/>
      <c r="G441" s="309"/>
      <c r="H441" s="309"/>
    </row>
    <row r="442" spans="2:8" ht="24.95" customHeight="1" x14ac:dyDescent="0.25">
      <c r="B442" s="472"/>
      <c r="C442" s="557"/>
      <c r="D442" s="567"/>
      <c r="E442" s="132"/>
      <c r="F442" s="472"/>
      <c r="G442" s="309"/>
      <c r="H442" s="309"/>
    </row>
    <row r="443" spans="2:8" ht="24.95" customHeight="1" x14ac:dyDescent="0.25">
      <c r="B443" s="472"/>
      <c r="C443" s="557"/>
      <c r="D443" s="567"/>
      <c r="E443" s="132"/>
      <c r="F443" s="472"/>
      <c r="G443" s="309"/>
      <c r="H443" s="309"/>
    </row>
    <row r="444" spans="2:8" ht="24.95" customHeight="1" x14ac:dyDescent="0.25">
      <c r="B444" s="472"/>
      <c r="C444" s="557"/>
      <c r="D444" s="567"/>
      <c r="E444" s="132"/>
      <c r="F444" s="472"/>
      <c r="G444" s="309"/>
      <c r="H444" s="309"/>
    </row>
    <row r="445" spans="2:8" ht="24.95" customHeight="1" x14ac:dyDescent="0.25">
      <c r="B445" s="472"/>
      <c r="C445" s="557"/>
      <c r="D445" s="567"/>
      <c r="E445" s="132"/>
      <c r="F445" s="472"/>
      <c r="G445" s="309"/>
      <c r="H445" s="309"/>
    </row>
    <row r="446" spans="2:8" ht="24.95" customHeight="1" x14ac:dyDescent="0.25">
      <c r="B446" s="472"/>
      <c r="C446" s="557"/>
      <c r="D446" s="567"/>
      <c r="E446" s="132"/>
      <c r="F446" s="472"/>
      <c r="G446" s="309"/>
      <c r="H446" s="309"/>
    </row>
    <row r="447" spans="2:8" ht="24.95" customHeight="1" x14ac:dyDescent="0.25">
      <c r="B447" s="472"/>
      <c r="C447" s="557"/>
      <c r="D447" s="567"/>
      <c r="E447" s="132"/>
      <c r="F447" s="472"/>
      <c r="G447" s="309"/>
      <c r="H447" s="309"/>
    </row>
    <row r="448" spans="2:8" ht="24.95" customHeight="1" x14ac:dyDescent="0.25">
      <c r="B448" s="472"/>
      <c r="C448" s="557"/>
      <c r="D448" s="567"/>
      <c r="E448" s="132"/>
      <c r="F448" s="472"/>
      <c r="G448" s="309"/>
      <c r="H448" s="309"/>
    </row>
    <row r="449" spans="2:8" ht="24.95" customHeight="1" x14ac:dyDescent="0.25">
      <c r="B449" s="472"/>
      <c r="C449" s="557"/>
      <c r="D449" s="567"/>
      <c r="E449" s="132"/>
      <c r="F449" s="472"/>
      <c r="G449" s="309"/>
      <c r="H449" s="309"/>
    </row>
    <row r="450" spans="2:8" ht="24.95" customHeight="1" x14ac:dyDescent="0.25">
      <c r="B450" s="472"/>
      <c r="C450" s="557"/>
      <c r="D450" s="567"/>
      <c r="E450" s="132"/>
      <c r="F450" s="472"/>
      <c r="G450" s="309"/>
      <c r="H450" s="309"/>
    </row>
    <row r="451" spans="2:8" ht="24.95" customHeight="1" x14ac:dyDescent="0.25">
      <c r="B451" s="472"/>
      <c r="C451" s="557"/>
      <c r="D451" s="567"/>
      <c r="E451" s="132"/>
      <c r="F451" s="472"/>
      <c r="G451" s="309"/>
      <c r="H451" s="309"/>
    </row>
    <row r="452" spans="2:8" ht="24.95" customHeight="1" x14ac:dyDescent="0.25">
      <c r="B452" s="472"/>
      <c r="C452" s="557"/>
      <c r="D452" s="567"/>
      <c r="E452" s="132"/>
      <c r="F452" s="472"/>
      <c r="G452" s="309"/>
      <c r="H452" s="309"/>
    </row>
    <row r="453" spans="2:8" ht="24.95" customHeight="1" x14ac:dyDescent="0.25">
      <c r="B453" s="472"/>
      <c r="C453" s="557"/>
      <c r="D453" s="567"/>
      <c r="E453" s="132"/>
      <c r="F453" s="472"/>
      <c r="G453" s="309"/>
      <c r="H453" s="309"/>
    </row>
    <row r="454" spans="2:8" ht="24.95" customHeight="1" x14ac:dyDescent="0.25">
      <c r="B454" s="472"/>
      <c r="C454" s="557"/>
      <c r="D454" s="567"/>
      <c r="E454" s="132"/>
      <c r="F454" s="472"/>
      <c r="G454" s="309"/>
      <c r="H454" s="309"/>
    </row>
    <row r="455" spans="2:8" ht="24.95" customHeight="1" x14ac:dyDescent="0.25">
      <c r="B455" s="472"/>
      <c r="C455" s="557"/>
      <c r="D455" s="567"/>
      <c r="E455" s="132"/>
      <c r="F455" s="472"/>
      <c r="G455" s="309"/>
      <c r="H455" s="309"/>
    </row>
    <row r="456" spans="2:8" ht="24.95" customHeight="1" x14ac:dyDescent="0.25">
      <c r="B456" s="472"/>
      <c r="C456" s="557"/>
      <c r="D456" s="567"/>
      <c r="E456" s="132"/>
      <c r="F456" s="472"/>
      <c r="G456" s="309"/>
      <c r="H456" s="309"/>
    </row>
    <row r="457" spans="2:8" ht="24.95" customHeight="1" x14ac:dyDescent="0.25">
      <c r="B457" s="472"/>
      <c r="C457" s="557"/>
      <c r="D457" s="567"/>
      <c r="E457" s="132"/>
      <c r="F457" s="472"/>
      <c r="G457" s="309"/>
      <c r="H457" s="309"/>
    </row>
    <row r="458" spans="2:8" ht="24.95" customHeight="1" x14ac:dyDescent="0.25">
      <c r="B458" s="472"/>
      <c r="C458" s="557"/>
      <c r="D458" s="567"/>
      <c r="E458" s="132"/>
      <c r="F458" s="472"/>
      <c r="G458" s="309"/>
      <c r="H458" s="309"/>
    </row>
    <row r="459" spans="2:8" ht="24.95" customHeight="1" x14ac:dyDescent="0.25">
      <c r="B459" s="472"/>
      <c r="C459" s="557"/>
      <c r="D459" s="567"/>
      <c r="E459" s="132"/>
      <c r="F459" s="472"/>
      <c r="G459" s="309"/>
      <c r="H459" s="309"/>
    </row>
    <row r="460" spans="2:8" ht="24.95" customHeight="1" x14ac:dyDescent="0.25">
      <c r="B460" s="472"/>
      <c r="C460" s="557"/>
      <c r="D460" s="567"/>
      <c r="E460" s="132"/>
      <c r="F460" s="472"/>
      <c r="G460" s="309"/>
      <c r="H460" s="309"/>
    </row>
    <row r="461" spans="2:8" ht="24.95" customHeight="1" x14ac:dyDescent="0.25">
      <c r="B461" s="472"/>
      <c r="C461" s="557"/>
      <c r="D461" s="567"/>
      <c r="E461" s="132"/>
      <c r="F461" s="472"/>
      <c r="G461" s="309"/>
      <c r="H461" s="309"/>
    </row>
    <row r="462" spans="2:8" ht="24.95" customHeight="1" x14ac:dyDescent="0.25">
      <c r="B462" s="472"/>
      <c r="C462" s="557"/>
      <c r="D462" s="567"/>
      <c r="E462" s="132"/>
      <c r="F462" s="472"/>
      <c r="G462" s="309"/>
      <c r="H462" s="309"/>
    </row>
    <row r="463" spans="2:8" ht="24.95" customHeight="1" x14ac:dyDescent="0.25">
      <c r="B463" s="472"/>
      <c r="C463" s="557"/>
      <c r="D463" s="567"/>
      <c r="E463" s="132"/>
      <c r="F463" s="472"/>
      <c r="G463" s="309"/>
      <c r="H463" s="309"/>
    </row>
    <row r="464" spans="2:8" ht="24.95" customHeight="1" x14ac:dyDescent="0.25">
      <c r="B464" s="472"/>
      <c r="C464" s="557"/>
      <c r="D464" s="567"/>
      <c r="E464" s="132"/>
      <c r="F464" s="472"/>
      <c r="G464" s="309"/>
      <c r="H464" s="309"/>
    </row>
    <row r="465" spans="2:8" ht="24.95" customHeight="1" x14ac:dyDescent="0.25">
      <c r="B465" s="472"/>
      <c r="C465" s="557"/>
      <c r="D465" s="567"/>
      <c r="E465" s="132"/>
      <c r="F465" s="472"/>
      <c r="G465" s="309"/>
      <c r="H465" s="309"/>
    </row>
    <row r="466" spans="2:8" ht="24.95" customHeight="1" x14ac:dyDescent="0.25">
      <c r="B466" s="472"/>
      <c r="C466" s="557"/>
      <c r="D466" s="567"/>
      <c r="E466" s="132"/>
      <c r="F466" s="472"/>
      <c r="G466" s="309"/>
      <c r="H466" s="309"/>
    </row>
    <row r="467" spans="2:8" ht="24.95" customHeight="1" x14ac:dyDescent="0.25">
      <c r="B467" s="472"/>
      <c r="C467" s="557"/>
      <c r="D467" s="567"/>
      <c r="E467" s="132"/>
      <c r="F467" s="472"/>
      <c r="G467" s="309"/>
      <c r="H467" s="309"/>
    </row>
    <row r="468" spans="2:8" ht="24.95" customHeight="1" x14ac:dyDescent="0.25">
      <c r="B468" s="472"/>
      <c r="C468" s="557"/>
      <c r="D468" s="567"/>
      <c r="E468" s="132"/>
      <c r="F468" s="472"/>
      <c r="G468" s="309"/>
      <c r="H468" s="309"/>
    </row>
    <row r="469" spans="2:8" ht="24.95" customHeight="1" x14ac:dyDescent="0.25">
      <c r="B469" s="472"/>
      <c r="C469" s="557"/>
      <c r="D469" s="567"/>
      <c r="E469" s="132"/>
      <c r="F469" s="472"/>
      <c r="G469" s="309"/>
      <c r="H469" s="309"/>
    </row>
    <row r="470" spans="2:8" ht="24.95" customHeight="1" x14ac:dyDescent="0.25">
      <c r="B470" s="472"/>
      <c r="C470" s="557"/>
      <c r="D470" s="567"/>
      <c r="E470" s="132"/>
      <c r="F470" s="472"/>
      <c r="G470" s="309"/>
      <c r="H470" s="309"/>
    </row>
    <row r="471" spans="2:8" ht="24.95" customHeight="1" x14ac:dyDescent="0.25">
      <c r="B471" s="472"/>
      <c r="C471" s="557"/>
      <c r="D471" s="567"/>
      <c r="E471" s="132"/>
      <c r="F471" s="472"/>
      <c r="G471" s="309"/>
      <c r="H471" s="309"/>
    </row>
    <row r="472" spans="2:8" ht="24.95" customHeight="1" x14ac:dyDescent="0.25">
      <c r="B472" s="472"/>
      <c r="C472" s="557"/>
      <c r="D472" s="567"/>
      <c r="E472" s="132"/>
      <c r="F472" s="472"/>
      <c r="G472" s="309"/>
      <c r="H472" s="309"/>
    </row>
    <row r="473" spans="2:8" ht="24.95" customHeight="1" x14ac:dyDescent="0.25">
      <c r="B473" s="472"/>
      <c r="C473" s="557"/>
      <c r="D473" s="567"/>
      <c r="E473" s="132"/>
      <c r="F473" s="472"/>
      <c r="G473" s="309"/>
      <c r="H473" s="309"/>
    </row>
    <row r="474" spans="2:8" ht="24.95" customHeight="1" x14ac:dyDescent="0.25">
      <c r="B474" s="472"/>
      <c r="C474" s="557"/>
      <c r="D474" s="567"/>
      <c r="E474" s="132"/>
      <c r="F474" s="472"/>
      <c r="G474" s="309"/>
      <c r="H474" s="309"/>
    </row>
    <row r="475" spans="2:8" ht="24.95" customHeight="1" x14ac:dyDescent="0.25">
      <c r="B475" s="472"/>
      <c r="C475" s="557"/>
      <c r="D475" s="567"/>
      <c r="E475" s="132"/>
      <c r="F475" s="472"/>
      <c r="G475" s="309"/>
      <c r="H475" s="309"/>
    </row>
    <row r="476" spans="2:8" ht="24.95" customHeight="1" x14ac:dyDescent="0.25">
      <c r="B476" s="472"/>
      <c r="C476" s="557"/>
      <c r="D476" s="567"/>
      <c r="E476" s="132"/>
      <c r="F476" s="472"/>
      <c r="G476" s="309"/>
      <c r="H476" s="309"/>
    </row>
    <row r="477" spans="2:8" ht="24.95" customHeight="1" x14ac:dyDescent="0.25">
      <c r="B477" s="472"/>
      <c r="C477" s="557"/>
      <c r="D477" s="567"/>
      <c r="E477" s="132"/>
      <c r="F477" s="472"/>
      <c r="G477" s="309"/>
      <c r="H477" s="309"/>
    </row>
    <row r="478" spans="2:8" ht="24.95" customHeight="1" x14ac:dyDescent="0.25">
      <c r="B478" s="472"/>
      <c r="C478" s="557"/>
      <c r="D478" s="567"/>
      <c r="E478" s="132"/>
      <c r="F478" s="472"/>
      <c r="G478" s="309"/>
      <c r="H478" s="309"/>
    </row>
    <row r="479" spans="2:8" ht="24.95" customHeight="1" x14ac:dyDescent="0.25">
      <c r="B479" s="472"/>
      <c r="C479" s="557"/>
      <c r="D479" s="567"/>
      <c r="E479" s="132"/>
      <c r="F479" s="472"/>
      <c r="G479" s="309"/>
      <c r="H479" s="309"/>
    </row>
    <row r="480" spans="2:8" ht="24.95" customHeight="1" x14ac:dyDescent="0.25">
      <c r="B480" s="472"/>
      <c r="C480" s="557"/>
      <c r="D480" s="567"/>
      <c r="E480" s="132"/>
      <c r="F480" s="472"/>
      <c r="G480" s="309"/>
      <c r="H480" s="309"/>
    </row>
    <row r="481" spans="2:8" ht="24.95" customHeight="1" x14ac:dyDescent="0.25">
      <c r="B481" s="472"/>
      <c r="C481" s="557"/>
      <c r="D481" s="567"/>
      <c r="E481" s="132"/>
      <c r="F481" s="472"/>
      <c r="G481" s="309"/>
      <c r="H481" s="309"/>
    </row>
    <row r="482" spans="2:8" ht="24.95" customHeight="1" x14ac:dyDescent="0.25">
      <c r="B482" s="472"/>
      <c r="C482" s="557"/>
      <c r="D482" s="567"/>
      <c r="E482" s="132"/>
      <c r="F482" s="472"/>
      <c r="G482" s="309"/>
      <c r="H482" s="309"/>
    </row>
    <row r="483" spans="2:8" ht="24.95" customHeight="1" x14ac:dyDescent="0.25">
      <c r="B483" s="472"/>
      <c r="C483" s="557"/>
      <c r="D483" s="567"/>
      <c r="E483" s="132"/>
      <c r="F483" s="472"/>
      <c r="G483" s="309"/>
      <c r="H483" s="309"/>
    </row>
    <row r="484" spans="2:8" ht="24.95" customHeight="1" x14ac:dyDescent="0.25">
      <c r="B484" s="472"/>
      <c r="C484" s="557"/>
      <c r="D484" s="567"/>
      <c r="E484" s="132"/>
      <c r="F484" s="472"/>
      <c r="G484" s="309"/>
      <c r="H484" s="309"/>
    </row>
    <row r="485" spans="2:8" ht="24.95" customHeight="1" x14ac:dyDescent="0.25">
      <c r="B485" s="472"/>
      <c r="C485" s="557"/>
      <c r="D485" s="567"/>
      <c r="E485" s="132"/>
      <c r="F485" s="472"/>
      <c r="G485" s="309"/>
      <c r="H485" s="309"/>
    </row>
    <row r="486" spans="2:8" ht="24.95" customHeight="1" x14ac:dyDescent="0.25">
      <c r="B486" s="472"/>
      <c r="C486" s="557"/>
      <c r="D486" s="567"/>
      <c r="E486" s="132"/>
      <c r="F486" s="472"/>
      <c r="G486" s="309"/>
      <c r="H486" s="309"/>
    </row>
    <row r="487" spans="2:8" ht="24.95" customHeight="1" x14ac:dyDescent="0.25">
      <c r="B487" s="472"/>
      <c r="C487" s="557"/>
      <c r="D487" s="567"/>
      <c r="E487" s="132"/>
      <c r="F487" s="472"/>
      <c r="G487" s="309"/>
      <c r="H487" s="309"/>
    </row>
    <row r="488" spans="2:8" ht="24.95" customHeight="1" x14ac:dyDescent="0.25">
      <c r="B488" s="472"/>
      <c r="C488" s="557"/>
      <c r="D488" s="567"/>
      <c r="E488" s="132"/>
      <c r="F488" s="472"/>
      <c r="G488" s="309"/>
      <c r="H488" s="309"/>
    </row>
    <row r="489" spans="2:8" ht="24.95" customHeight="1" x14ac:dyDescent="0.25">
      <c r="B489" s="472"/>
      <c r="C489" s="557"/>
      <c r="D489" s="567"/>
      <c r="E489" s="132"/>
      <c r="F489" s="472"/>
      <c r="G489" s="309"/>
      <c r="H489" s="309"/>
    </row>
    <row r="490" spans="2:8" ht="24.95" customHeight="1" x14ac:dyDescent="0.25">
      <c r="B490" s="472"/>
      <c r="C490" s="557"/>
      <c r="D490" s="567"/>
      <c r="E490" s="132"/>
      <c r="F490" s="472"/>
      <c r="G490" s="309"/>
      <c r="H490" s="309"/>
    </row>
    <row r="491" spans="2:8" ht="24.95" customHeight="1" x14ac:dyDescent="0.25">
      <c r="B491" s="472"/>
      <c r="C491" s="557"/>
      <c r="D491" s="567"/>
      <c r="E491" s="132"/>
      <c r="F491" s="472"/>
      <c r="G491" s="309"/>
      <c r="H491" s="309"/>
    </row>
    <row r="492" spans="2:8" ht="24.95" customHeight="1" x14ac:dyDescent="0.25">
      <c r="B492" s="472"/>
      <c r="C492" s="557"/>
      <c r="D492" s="567"/>
      <c r="E492" s="132"/>
      <c r="F492" s="472"/>
      <c r="G492" s="309"/>
      <c r="H492" s="309"/>
    </row>
    <row r="493" spans="2:8" ht="24.95" customHeight="1" x14ac:dyDescent="0.25">
      <c r="B493" s="472"/>
      <c r="C493" s="557"/>
      <c r="D493" s="567"/>
      <c r="E493" s="132"/>
      <c r="F493" s="472"/>
      <c r="G493" s="309"/>
      <c r="H493" s="309"/>
    </row>
    <row r="494" spans="2:8" ht="24.95" customHeight="1" x14ac:dyDescent="0.25">
      <c r="B494" s="472"/>
      <c r="C494" s="557"/>
      <c r="D494" s="567"/>
      <c r="E494" s="132"/>
      <c r="F494" s="472"/>
      <c r="G494" s="309"/>
      <c r="H494" s="309"/>
    </row>
    <row r="495" spans="2:8" ht="24.95" customHeight="1" x14ac:dyDescent="0.25">
      <c r="B495" s="472"/>
      <c r="C495" s="557"/>
      <c r="D495" s="567"/>
      <c r="E495" s="132"/>
      <c r="F495" s="472"/>
      <c r="G495" s="309"/>
      <c r="H495" s="309"/>
    </row>
    <row r="496" spans="2:8" ht="24.95" customHeight="1" x14ac:dyDescent="0.25">
      <c r="B496" s="472"/>
      <c r="C496" s="557"/>
      <c r="D496" s="567"/>
      <c r="E496" s="132"/>
      <c r="F496" s="472"/>
      <c r="G496" s="309"/>
      <c r="H496" s="309"/>
    </row>
    <row r="497" spans="2:8" ht="24.95" customHeight="1" x14ac:dyDescent="0.25">
      <c r="B497" s="472"/>
      <c r="C497" s="557"/>
      <c r="D497" s="567"/>
      <c r="E497" s="132"/>
      <c r="F497" s="472"/>
      <c r="G497" s="309"/>
      <c r="H497" s="309"/>
    </row>
    <row r="498" spans="2:8" ht="24.95" customHeight="1" x14ac:dyDescent="0.25">
      <c r="B498" s="472"/>
      <c r="C498" s="557"/>
      <c r="D498" s="567"/>
      <c r="E498" s="132"/>
      <c r="F498" s="472"/>
      <c r="G498" s="309"/>
      <c r="H498" s="309"/>
    </row>
    <row r="499" spans="2:8" ht="24.95" customHeight="1" x14ac:dyDescent="0.25">
      <c r="B499" s="472"/>
      <c r="C499" s="557"/>
      <c r="D499" s="567"/>
      <c r="E499" s="132"/>
      <c r="F499" s="472"/>
      <c r="G499" s="309"/>
      <c r="H499" s="309"/>
    </row>
    <row r="500" spans="2:8" ht="24.95" customHeight="1" x14ac:dyDescent="0.25">
      <c r="B500" s="472"/>
      <c r="C500" s="557"/>
      <c r="D500" s="567"/>
      <c r="E500" s="132"/>
      <c r="F500" s="472"/>
      <c r="G500" s="309"/>
      <c r="H500" s="309"/>
    </row>
    <row r="501" spans="2:8" ht="24.95" customHeight="1" x14ac:dyDescent="0.25">
      <c r="B501" s="472"/>
      <c r="C501" s="557"/>
      <c r="D501" s="567"/>
      <c r="E501" s="132"/>
      <c r="F501" s="472"/>
      <c r="G501" s="309"/>
      <c r="H501" s="309"/>
    </row>
    <row r="502" spans="2:8" ht="24.95" customHeight="1" x14ac:dyDescent="0.25">
      <c r="B502" s="472"/>
      <c r="C502" s="557"/>
      <c r="D502" s="567"/>
      <c r="E502" s="132"/>
      <c r="F502" s="472"/>
      <c r="G502" s="309"/>
      <c r="H502" s="309"/>
    </row>
    <row r="503" spans="2:8" ht="24.95" customHeight="1" x14ac:dyDescent="0.25">
      <c r="B503" s="472"/>
      <c r="C503" s="557"/>
      <c r="D503" s="567"/>
      <c r="E503" s="132"/>
      <c r="F503" s="472"/>
      <c r="G503" s="309"/>
      <c r="H503" s="309"/>
    </row>
    <row r="504" spans="2:8" ht="24.95" customHeight="1" x14ac:dyDescent="0.25">
      <c r="B504" s="472"/>
      <c r="C504" s="557"/>
      <c r="D504" s="567"/>
      <c r="E504" s="132"/>
      <c r="F504" s="472"/>
      <c r="G504" s="309"/>
      <c r="H504" s="309"/>
    </row>
    <row r="505" spans="2:8" ht="24.95" customHeight="1" x14ac:dyDescent="0.25">
      <c r="B505" s="472"/>
      <c r="C505" s="557"/>
      <c r="D505" s="567"/>
      <c r="E505" s="132"/>
      <c r="F505" s="472"/>
      <c r="G505" s="309"/>
      <c r="H505" s="309"/>
    </row>
    <row r="506" spans="2:8" ht="24.95" customHeight="1" x14ac:dyDescent="0.25">
      <c r="B506" s="472"/>
      <c r="C506" s="557"/>
      <c r="D506" s="567"/>
      <c r="E506" s="132"/>
      <c r="F506" s="472"/>
      <c r="G506" s="309"/>
      <c r="H506" s="309"/>
    </row>
    <row r="507" spans="2:8" ht="24.95" customHeight="1" x14ac:dyDescent="0.25">
      <c r="B507" s="472"/>
      <c r="C507" s="557"/>
      <c r="D507" s="567"/>
      <c r="E507" s="132"/>
      <c r="F507" s="472"/>
      <c r="G507" s="309"/>
      <c r="H507" s="309"/>
    </row>
    <row r="508" spans="2:8" ht="24.95" customHeight="1" x14ac:dyDescent="0.25">
      <c r="B508" s="472"/>
      <c r="C508" s="557"/>
      <c r="D508" s="567"/>
      <c r="E508" s="132"/>
      <c r="F508" s="472"/>
      <c r="G508" s="309"/>
      <c r="H508" s="309"/>
    </row>
    <row r="509" spans="2:8" ht="24.95" customHeight="1" x14ac:dyDescent="0.25">
      <c r="B509" s="472"/>
      <c r="C509" s="557"/>
      <c r="D509" s="567"/>
      <c r="E509" s="132"/>
      <c r="F509" s="472"/>
      <c r="G509" s="309"/>
      <c r="H509" s="309"/>
    </row>
    <row r="510" spans="2:8" ht="24.95" customHeight="1" x14ac:dyDescent="0.25">
      <c r="B510" s="472"/>
      <c r="C510" s="557"/>
      <c r="D510" s="567"/>
      <c r="E510" s="132"/>
      <c r="F510" s="472"/>
      <c r="G510" s="309"/>
      <c r="H510" s="309"/>
    </row>
    <row r="511" spans="2:8" ht="24.95" customHeight="1" x14ac:dyDescent="0.25">
      <c r="B511" s="472"/>
      <c r="C511" s="557"/>
      <c r="D511" s="567"/>
      <c r="E511" s="132"/>
      <c r="F511" s="472"/>
      <c r="G511" s="309"/>
      <c r="H511" s="309"/>
    </row>
    <row r="512" spans="2:8" ht="24.95" customHeight="1" x14ac:dyDescent="0.25">
      <c r="B512" s="472"/>
      <c r="C512" s="557"/>
      <c r="D512" s="567"/>
      <c r="E512" s="132"/>
      <c r="F512" s="472"/>
      <c r="G512" s="309"/>
      <c r="H512" s="309"/>
    </row>
    <row r="513" spans="2:8" ht="24.95" customHeight="1" x14ac:dyDescent="0.25">
      <c r="B513" s="472"/>
      <c r="C513" s="557"/>
      <c r="D513" s="567"/>
      <c r="E513" s="132"/>
      <c r="F513" s="472"/>
      <c r="G513" s="309"/>
      <c r="H513" s="309"/>
    </row>
    <row r="514" spans="2:8" ht="24.95" customHeight="1" x14ac:dyDescent="0.25">
      <c r="B514" s="472"/>
      <c r="C514" s="557"/>
      <c r="D514" s="567"/>
      <c r="E514" s="132"/>
      <c r="F514" s="472"/>
      <c r="G514" s="309"/>
      <c r="H514" s="309"/>
    </row>
    <row r="515" spans="2:8" ht="24.95" customHeight="1" x14ac:dyDescent="0.25">
      <c r="B515" s="472"/>
      <c r="C515" s="557"/>
      <c r="D515" s="567"/>
      <c r="E515" s="132"/>
      <c r="F515" s="472"/>
      <c r="G515" s="309"/>
      <c r="H515" s="309"/>
    </row>
    <row r="516" spans="2:8" ht="24.95" customHeight="1" x14ac:dyDescent="0.25">
      <c r="B516" s="472"/>
      <c r="C516" s="557"/>
      <c r="D516" s="567"/>
      <c r="E516" s="132"/>
      <c r="F516" s="472"/>
      <c r="G516" s="309"/>
      <c r="H516" s="309"/>
    </row>
    <row r="517" spans="2:8" ht="24.95" customHeight="1" x14ac:dyDescent="0.25">
      <c r="B517" s="472"/>
      <c r="C517" s="557"/>
      <c r="D517" s="567"/>
      <c r="E517" s="132"/>
      <c r="F517" s="472"/>
      <c r="G517" s="309"/>
      <c r="H517" s="309"/>
    </row>
    <row r="518" spans="2:8" ht="24.95" customHeight="1" x14ac:dyDescent="0.25">
      <c r="B518" s="472"/>
      <c r="C518" s="557"/>
      <c r="D518" s="567"/>
      <c r="E518" s="132"/>
      <c r="F518" s="472"/>
      <c r="G518" s="309"/>
      <c r="H518" s="309"/>
    </row>
    <row r="519" spans="2:8" ht="24.95" customHeight="1" x14ac:dyDescent="0.25">
      <c r="B519" s="472"/>
      <c r="C519" s="557"/>
      <c r="D519" s="567"/>
      <c r="E519" s="132"/>
      <c r="F519" s="472"/>
      <c r="G519" s="309"/>
      <c r="H519" s="309"/>
    </row>
    <row r="520" spans="2:8" ht="24.95" customHeight="1" x14ac:dyDescent="0.25">
      <c r="B520" s="472"/>
      <c r="C520" s="557"/>
      <c r="D520" s="567"/>
      <c r="E520" s="132"/>
      <c r="F520" s="472"/>
      <c r="G520" s="309"/>
      <c r="H520" s="309"/>
    </row>
    <row r="521" spans="2:8" ht="24.95" customHeight="1" x14ac:dyDescent="0.25">
      <c r="B521" s="472"/>
      <c r="C521" s="557"/>
      <c r="D521" s="567"/>
      <c r="E521" s="132"/>
      <c r="F521" s="472"/>
      <c r="G521" s="309"/>
      <c r="H521" s="309"/>
    </row>
    <row r="522" spans="2:8" ht="24.95" customHeight="1" x14ac:dyDescent="0.25">
      <c r="B522" s="472"/>
      <c r="C522" s="557"/>
      <c r="D522" s="567"/>
      <c r="E522" s="132"/>
      <c r="F522" s="472"/>
      <c r="G522" s="309"/>
      <c r="H522" s="309"/>
    </row>
    <row r="523" spans="2:8" ht="24.95" customHeight="1" x14ac:dyDescent="0.25">
      <c r="B523" s="472"/>
      <c r="C523" s="557"/>
      <c r="D523" s="567"/>
      <c r="E523" s="132"/>
      <c r="F523" s="472"/>
      <c r="G523" s="309"/>
      <c r="H523" s="309"/>
    </row>
    <row r="524" spans="2:8" ht="24.95" customHeight="1" x14ac:dyDescent="0.25">
      <c r="B524" s="472"/>
      <c r="C524" s="557"/>
      <c r="D524" s="567"/>
      <c r="E524" s="132"/>
      <c r="F524" s="472"/>
      <c r="G524" s="309"/>
      <c r="H524" s="309"/>
    </row>
    <row r="525" spans="2:8" ht="24.95" customHeight="1" x14ac:dyDescent="0.25">
      <c r="B525" s="472"/>
      <c r="C525" s="557"/>
      <c r="D525" s="567"/>
      <c r="E525" s="132"/>
      <c r="F525" s="472"/>
      <c r="G525" s="309"/>
      <c r="H525" s="309"/>
    </row>
    <row r="526" spans="2:8" ht="24.95" customHeight="1" x14ac:dyDescent="0.25">
      <c r="B526" s="472"/>
      <c r="C526" s="557"/>
      <c r="D526" s="567"/>
      <c r="E526" s="132"/>
      <c r="F526" s="472"/>
      <c r="G526" s="309"/>
      <c r="H526" s="309"/>
    </row>
    <row r="527" spans="2:8" ht="24.95" customHeight="1" x14ac:dyDescent="0.25">
      <c r="B527" s="472"/>
      <c r="C527" s="557"/>
      <c r="D527" s="567"/>
      <c r="E527" s="132"/>
      <c r="F527" s="472"/>
      <c r="G527" s="309"/>
      <c r="H527" s="309"/>
    </row>
    <row r="528" spans="2:8" ht="24.95" customHeight="1" x14ac:dyDescent="0.25">
      <c r="B528" s="472"/>
      <c r="C528" s="557"/>
      <c r="D528" s="567"/>
      <c r="E528" s="132"/>
      <c r="F528" s="472"/>
      <c r="G528" s="309"/>
      <c r="H528" s="309"/>
    </row>
    <row r="529" spans="2:8" ht="24.95" customHeight="1" x14ac:dyDescent="0.25">
      <c r="B529" s="472"/>
      <c r="C529" s="557"/>
      <c r="D529" s="567"/>
      <c r="E529" s="132"/>
      <c r="F529" s="472"/>
      <c r="G529" s="309"/>
      <c r="H529" s="309"/>
    </row>
    <row r="530" spans="2:8" ht="24.95" customHeight="1" x14ac:dyDescent="0.25">
      <c r="B530" s="472"/>
      <c r="C530" s="557"/>
      <c r="D530" s="567"/>
      <c r="E530" s="132"/>
      <c r="F530" s="472"/>
      <c r="G530" s="309"/>
      <c r="H530" s="309"/>
    </row>
    <row r="531" spans="2:8" ht="24.95" customHeight="1" x14ac:dyDescent="0.25">
      <c r="B531" s="472"/>
      <c r="C531" s="557"/>
      <c r="D531" s="567"/>
      <c r="E531" s="132"/>
      <c r="F531" s="472"/>
      <c r="G531" s="309"/>
      <c r="H531" s="309"/>
    </row>
    <row r="532" spans="2:8" ht="24.95" customHeight="1" x14ac:dyDescent="0.25">
      <c r="B532" s="472"/>
      <c r="C532" s="557"/>
      <c r="D532" s="567"/>
      <c r="E532" s="132"/>
      <c r="F532" s="472"/>
      <c r="G532" s="309"/>
      <c r="H532" s="309"/>
    </row>
    <row r="533" spans="2:8" ht="24.95" customHeight="1" x14ac:dyDescent="0.25">
      <c r="B533" s="472"/>
      <c r="C533" s="557"/>
      <c r="D533" s="567"/>
      <c r="E533" s="132"/>
      <c r="F533" s="472"/>
      <c r="G533" s="309"/>
      <c r="H533" s="309"/>
    </row>
    <row r="534" spans="2:8" ht="24.95" customHeight="1" x14ac:dyDescent="0.25">
      <c r="B534" s="472"/>
      <c r="C534" s="557"/>
      <c r="D534" s="567"/>
      <c r="E534" s="132"/>
      <c r="F534" s="472"/>
      <c r="G534" s="309"/>
      <c r="H534" s="309"/>
    </row>
    <row r="535" spans="2:8" ht="24.95" customHeight="1" x14ac:dyDescent="0.25">
      <c r="B535" s="472"/>
      <c r="C535" s="557"/>
      <c r="D535" s="567"/>
      <c r="E535" s="132"/>
      <c r="F535" s="472"/>
      <c r="G535" s="309"/>
      <c r="H535" s="309"/>
    </row>
    <row r="536" spans="2:8" ht="24.95" customHeight="1" x14ac:dyDescent="0.25">
      <c r="B536" s="472"/>
      <c r="C536" s="557"/>
      <c r="D536" s="567"/>
      <c r="E536" s="132"/>
      <c r="F536" s="472"/>
      <c r="G536" s="309"/>
      <c r="H536" s="309"/>
    </row>
    <row r="537" spans="2:8" ht="24.95" customHeight="1" x14ac:dyDescent="0.25">
      <c r="B537" s="472"/>
      <c r="C537" s="557"/>
      <c r="D537" s="567"/>
      <c r="E537" s="132"/>
      <c r="F537" s="472"/>
      <c r="G537" s="309"/>
      <c r="H537" s="309"/>
    </row>
    <row r="538" spans="2:8" ht="24.95" customHeight="1" x14ac:dyDescent="0.25">
      <c r="B538" s="472"/>
      <c r="C538" s="557"/>
      <c r="D538" s="567"/>
      <c r="E538" s="132"/>
      <c r="F538" s="472"/>
      <c r="G538" s="309"/>
      <c r="H538" s="309"/>
    </row>
    <row r="539" spans="2:8" ht="24.95" customHeight="1" x14ac:dyDescent="0.25">
      <c r="B539" s="472"/>
      <c r="C539" s="557"/>
      <c r="D539" s="567"/>
      <c r="E539" s="132"/>
      <c r="F539" s="472"/>
      <c r="G539" s="309"/>
      <c r="H539" s="309"/>
    </row>
    <row r="540" spans="2:8" ht="24.95" customHeight="1" x14ac:dyDescent="0.25">
      <c r="B540" s="472"/>
      <c r="C540" s="557"/>
      <c r="D540" s="567"/>
      <c r="E540" s="132"/>
      <c r="F540" s="472"/>
      <c r="G540" s="309"/>
      <c r="H540" s="309"/>
    </row>
    <row r="541" spans="2:8" ht="24.95" customHeight="1" x14ac:dyDescent="0.25">
      <c r="B541" s="472"/>
      <c r="C541" s="557"/>
      <c r="D541" s="567"/>
      <c r="E541" s="132"/>
      <c r="F541" s="472"/>
      <c r="G541" s="309"/>
      <c r="H541" s="309"/>
    </row>
    <row r="542" spans="2:8" ht="24.95" customHeight="1" x14ac:dyDescent="0.25">
      <c r="B542" s="472"/>
      <c r="C542" s="557"/>
      <c r="D542" s="567"/>
      <c r="E542" s="132"/>
      <c r="F542" s="472"/>
      <c r="G542" s="309"/>
      <c r="H542" s="309"/>
    </row>
    <row r="543" spans="2:8" ht="24.95" customHeight="1" x14ac:dyDescent="0.25">
      <c r="B543" s="472"/>
      <c r="C543" s="557"/>
      <c r="D543" s="567"/>
      <c r="E543" s="132"/>
      <c r="F543" s="472"/>
      <c r="G543" s="309"/>
      <c r="H543" s="309"/>
    </row>
    <row r="544" spans="2:8" ht="24.95" customHeight="1" x14ac:dyDescent="0.25">
      <c r="B544" s="472"/>
      <c r="C544" s="557"/>
      <c r="D544" s="567"/>
      <c r="E544" s="132"/>
      <c r="F544" s="472"/>
      <c r="G544" s="309"/>
      <c r="H544" s="309"/>
    </row>
    <row r="545" spans="2:8" ht="24.95" customHeight="1" x14ac:dyDescent="0.25">
      <c r="B545" s="472"/>
      <c r="C545" s="557"/>
      <c r="D545" s="567"/>
      <c r="E545" s="132"/>
      <c r="F545" s="472"/>
      <c r="G545" s="309"/>
      <c r="H545" s="309"/>
    </row>
    <row r="546" spans="2:8" ht="24.95" customHeight="1" x14ac:dyDescent="0.25">
      <c r="B546" s="472"/>
      <c r="C546" s="557"/>
      <c r="D546" s="567"/>
      <c r="E546" s="132"/>
      <c r="F546" s="472"/>
      <c r="G546" s="309"/>
      <c r="H546" s="309"/>
    </row>
    <row r="547" spans="2:8" ht="24.95" customHeight="1" x14ac:dyDescent="0.25">
      <c r="B547" s="472"/>
      <c r="C547" s="557"/>
      <c r="D547" s="567"/>
      <c r="E547" s="132"/>
      <c r="F547" s="472"/>
      <c r="G547" s="309"/>
      <c r="H547" s="309"/>
    </row>
    <row r="548" spans="2:8" ht="24.95" customHeight="1" x14ac:dyDescent="0.25">
      <c r="B548" s="472"/>
      <c r="C548" s="557"/>
      <c r="D548" s="567"/>
      <c r="E548" s="132"/>
      <c r="F548" s="472"/>
      <c r="G548" s="309"/>
      <c r="H548" s="309"/>
    </row>
    <row r="549" spans="2:8" ht="24.95" customHeight="1" x14ac:dyDescent="0.25">
      <c r="B549" s="472"/>
      <c r="C549" s="557"/>
      <c r="D549" s="567"/>
      <c r="E549" s="132"/>
      <c r="F549" s="472"/>
      <c r="G549" s="309"/>
      <c r="H549" s="309"/>
    </row>
    <row r="550" spans="2:8" ht="24.95" customHeight="1" x14ac:dyDescent="0.25">
      <c r="B550" s="472"/>
      <c r="C550" s="557"/>
      <c r="D550" s="567"/>
      <c r="E550" s="132"/>
      <c r="F550" s="472"/>
      <c r="G550" s="309"/>
      <c r="H550" s="309"/>
    </row>
    <row r="551" spans="2:8" ht="24.95" customHeight="1" x14ac:dyDescent="0.25">
      <c r="B551" s="472"/>
      <c r="C551" s="557"/>
      <c r="D551" s="567"/>
      <c r="E551" s="132"/>
      <c r="F551" s="472"/>
      <c r="G551" s="309"/>
      <c r="H551" s="309"/>
    </row>
    <row r="552" spans="2:8" ht="24.95" customHeight="1" x14ac:dyDescent="0.25">
      <c r="B552" s="472"/>
      <c r="C552" s="557"/>
      <c r="D552" s="567"/>
      <c r="E552" s="132"/>
      <c r="F552" s="472"/>
      <c r="G552" s="309"/>
      <c r="H552" s="309"/>
    </row>
    <row r="553" spans="2:8" ht="24.95" customHeight="1" x14ac:dyDescent="0.25">
      <c r="B553" s="472"/>
      <c r="C553" s="557"/>
      <c r="D553" s="567"/>
      <c r="E553" s="132"/>
      <c r="F553" s="472"/>
      <c r="G553" s="309"/>
      <c r="H553" s="309"/>
    </row>
    <row r="554" spans="2:8" ht="24.95" customHeight="1" x14ac:dyDescent="0.25">
      <c r="B554" s="472"/>
      <c r="C554" s="557"/>
      <c r="D554" s="567"/>
      <c r="E554" s="132"/>
      <c r="F554" s="472"/>
      <c r="G554" s="309"/>
      <c r="H554" s="309"/>
    </row>
    <row r="555" spans="2:8" ht="24.95" customHeight="1" x14ac:dyDescent="0.25">
      <c r="B555" s="472"/>
      <c r="C555" s="557"/>
      <c r="D555" s="567"/>
      <c r="E555" s="132"/>
      <c r="F555" s="472"/>
      <c r="G555" s="309"/>
      <c r="H555" s="309"/>
    </row>
    <row r="556" spans="2:8" ht="24.95" customHeight="1" x14ac:dyDescent="0.25">
      <c r="B556" s="472"/>
      <c r="C556" s="557"/>
      <c r="D556" s="567"/>
      <c r="E556" s="132"/>
      <c r="F556" s="472"/>
      <c r="G556" s="309"/>
      <c r="H556" s="309"/>
    </row>
    <row r="557" spans="2:8" ht="24.95" customHeight="1" x14ac:dyDescent="0.25">
      <c r="B557" s="472"/>
      <c r="C557" s="557"/>
      <c r="D557" s="567"/>
      <c r="E557" s="132"/>
      <c r="F557" s="472"/>
      <c r="G557" s="309"/>
      <c r="H557" s="309"/>
    </row>
    <row r="558" spans="2:8" ht="24.95" customHeight="1" x14ac:dyDescent="0.25">
      <c r="B558" s="472"/>
      <c r="C558" s="557"/>
      <c r="D558" s="567"/>
      <c r="E558" s="132"/>
      <c r="F558" s="472"/>
      <c r="G558" s="309"/>
      <c r="H558" s="309"/>
    </row>
    <row r="559" spans="2:8" ht="24.95" customHeight="1" x14ac:dyDescent="0.25">
      <c r="B559" s="472"/>
      <c r="C559" s="557"/>
      <c r="D559" s="567"/>
      <c r="E559" s="132"/>
      <c r="F559" s="472"/>
      <c r="G559" s="309"/>
      <c r="H559" s="309"/>
    </row>
    <row r="560" spans="2:8" ht="24.95" customHeight="1" x14ac:dyDescent="0.25">
      <c r="B560" s="472"/>
      <c r="C560" s="557"/>
      <c r="D560" s="567"/>
      <c r="E560" s="132"/>
      <c r="F560" s="472"/>
      <c r="G560" s="309"/>
      <c r="H560" s="309"/>
    </row>
    <row r="561" spans="2:8" ht="24.95" customHeight="1" x14ac:dyDescent="0.25">
      <c r="B561" s="472"/>
      <c r="C561" s="557"/>
      <c r="D561" s="567"/>
      <c r="E561" s="132"/>
      <c r="F561" s="472"/>
      <c r="G561" s="309"/>
      <c r="H561" s="309"/>
    </row>
    <row r="562" spans="2:8" ht="24.95" customHeight="1" x14ac:dyDescent="0.25">
      <c r="B562" s="472"/>
      <c r="C562" s="557"/>
      <c r="D562" s="567"/>
      <c r="E562" s="132"/>
      <c r="F562" s="472"/>
      <c r="G562" s="309"/>
      <c r="H562" s="309"/>
    </row>
    <row r="563" spans="2:8" ht="24.95" customHeight="1" x14ac:dyDescent="0.25">
      <c r="B563" s="472"/>
      <c r="C563" s="557"/>
      <c r="D563" s="567"/>
      <c r="E563" s="132"/>
      <c r="F563" s="472"/>
      <c r="G563" s="309"/>
      <c r="H563" s="309"/>
    </row>
    <row r="564" spans="2:8" ht="24.95" customHeight="1" x14ac:dyDescent="0.25">
      <c r="B564" s="472"/>
      <c r="C564" s="557"/>
      <c r="D564" s="567"/>
      <c r="E564" s="132"/>
      <c r="F564" s="472"/>
      <c r="G564" s="309"/>
      <c r="H564" s="309"/>
    </row>
    <row r="565" spans="2:8" ht="24.95" customHeight="1" x14ac:dyDescent="0.25">
      <c r="B565" s="472"/>
      <c r="C565" s="557"/>
      <c r="D565" s="567"/>
      <c r="E565" s="132"/>
      <c r="F565" s="472"/>
      <c r="G565" s="309"/>
      <c r="H565" s="309"/>
    </row>
    <row r="566" spans="2:8" ht="24.95" customHeight="1" x14ac:dyDescent="0.25">
      <c r="B566" s="472"/>
      <c r="C566" s="557"/>
      <c r="D566" s="567"/>
      <c r="E566" s="132"/>
      <c r="F566" s="472"/>
      <c r="G566" s="309"/>
      <c r="H566" s="309"/>
    </row>
    <row r="567" spans="2:8" ht="24.95" customHeight="1" x14ac:dyDescent="0.25">
      <c r="B567" s="472"/>
      <c r="C567" s="557"/>
      <c r="D567" s="567"/>
      <c r="E567" s="132"/>
      <c r="F567" s="472"/>
      <c r="G567" s="309"/>
      <c r="H567" s="309"/>
    </row>
    <row r="568" spans="2:8" ht="24.95" customHeight="1" x14ac:dyDescent="0.25">
      <c r="B568" s="472"/>
      <c r="C568" s="557"/>
      <c r="D568" s="567"/>
      <c r="E568" s="132"/>
      <c r="F568" s="472"/>
      <c r="G568" s="309"/>
      <c r="H568" s="309"/>
    </row>
    <row r="569" spans="2:8" ht="24.95" customHeight="1" x14ac:dyDescent="0.25">
      <c r="B569" s="472"/>
      <c r="C569" s="557"/>
      <c r="D569" s="567"/>
      <c r="E569" s="132"/>
      <c r="F569" s="472"/>
      <c r="G569" s="309"/>
      <c r="H569" s="309"/>
    </row>
    <row r="570" spans="2:8" ht="24.95" customHeight="1" x14ac:dyDescent="0.25">
      <c r="B570" s="472"/>
      <c r="C570" s="557"/>
      <c r="D570" s="567"/>
      <c r="E570" s="132"/>
      <c r="F570" s="472"/>
      <c r="G570" s="309"/>
      <c r="H570" s="309"/>
    </row>
    <row r="571" spans="2:8" ht="24.95" customHeight="1" x14ac:dyDescent="0.25">
      <c r="B571" s="472"/>
      <c r="C571" s="557"/>
      <c r="D571" s="567"/>
      <c r="E571" s="132"/>
      <c r="F571" s="472"/>
      <c r="G571" s="309"/>
      <c r="H571" s="309"/>
    </row>
    <row r="572" spans="2:8" ht="24.95" customHeight="1" x14ac:dyDescent="0.25">
      <c r="B572" s="472"/>
      <c r="C572" s="557"/>
      <c r="D572" s="567"/>
      <c r="E572" s="132"/>
      <c r="F572" s="472"/>
      <c r="G572" s="309"/>
      <c r="H572" s="309"/>
    </row>
    <row r="573" spans="2:8" ht="24.95" customHeight="1" x14ac:dyDescent="0.25">
      <c r="B573" s="472"/>
      <c r="C573" s="557"/>
      <c r="D573" s="567"/>
      <c r="E573" s="132"/>
      <c r="F573" s="472"/>
      <c r="G573" s="309"/>
      <c r="H573" s="309"/>
    </row>
    <row r="574" spans="2:8" ht="24.95" customHeight="1" x14ac:dyDescent="0.25">
      <c r="B574" s="472"/>
      <c r="C574" s="557"/>
      <c r="D574" s="567"/>
      <c r="E574" s="132"/>
      <c r="F574" s="472"/>
      <c r="G574" s="309"/>
      <c r="H574" s="309"/>
    </row>
    <row r="575" spans="2:8" ht="24.95" customHeight="1" x14ac:dyDescent="0.25">
      <c r="B575" s="472"/>
      <c r="C575" s="557"/>
      <c r="D575" s="567"/>
      <c r="E575" s="132"/>
      <c r="F575" s="472"/>
      <c r="G575" s="309"/>
      <c r="H575" s="309"/>
    </row>
    <row r="576" spans="2:8" ht="24.95" customHeight="1" x14ac:dyDescent="0.25">
      <c r="B576" s="472"/>
      <c r="C576" s="557"/>
      <c r="D576" s="567"/>
      <c r="E576" s="132"/>
      <c r="F576" s="472"/>
      <c r="G576" s="309"/>
      <c r="H576" s="309"/>
    </row>
    <row r="577" spans="2:8" ht="24.95" customHeight="1" x14ac:dyDescent="0.25">
      <c r="B577" s="472"/>
      <c r="C577" s="557"/>
      <c r="D577" s="567"/>
      <c r="E577" s="132"/>
      <c r="F577" s="472"/>
      <c r="G577" s="309"/>
      <c r="H577" s="309"/>
    </row>
    <row r="578" spans="2:8" ht="24.95" customHeight="1" x14ac:dyDescent="0.25">
      <c r="B578" s="472"/>
      <c r="C578" s="557"/>
      <c r="D578" s="567"/>
      <c r="E578" s="132"/>
      <c r="F578" s="472"/>
      <c r="G578" s="309"/>
      <c r="H578" s="309"/>
    </row>
    <row r="579" spans="2:8" ht="24.95" customHeight="1" x14ac:dyDescent="0.25">
      <c r="B579" s="472"/>
      <c r="C579" s="557"/>
      <c r="D579" s="567"/>
      <c r="E579" s="132"/>
      <c r="F579" s="472"/>
      <c r="G579" s="309"/>
      <c r="H579" s="309"/>
    </row>
    <row r="580" spans="2:8" ht="24.95" customHeight="1" x14ac:dyDescent="0.25">
      <c r="B580" s="472"/>
      <c r="C580" s="557"/>
      <c r="D580" s="567"/>
      <c r="E580" s="132"/>
      <c r="F580" s="472"/>
      <c r="G580" s="309"/>
      <c r="H580" s="309"/>
    </row>
    <row r="581" spans="2:8" ht="24.95" customHeight="1" x14ac:dyDescent="0.25">
      <c r="B581" s="472"/>
      <c r="C581" s="557"/>
      <c r="D581" s="567"/>
      <c r="E581" s="132"/>
      <c r="F581" s="472"/>
      <c r="G581" s="309"/>
      <c r="H581" s="309"/>
    </row>
    <row r="582" spans="2:8" ht="24.95" customHeight="1" x14ac:dyDescent="0.25">
      <c r="B582" s="472"/>
      <c r="C582" s="557"/>
      <c r="D582" s="567"/>
      <c r="E582" s="132"/>
      <c r="F582" s="472"/>
      <c r="G582" s="309"/>
      <c r="H582" s="309"/>
    </row>
    <row r="583" spans="2:8" ht="24.95" customHeight="1" x14ac:dyDescent="0.25">
      <c r="B583" s="472"/>
      <c r="C583" s="557"/>
      <c r="D583" s="567"/>
      <c r="E583" s="132"/>
      <c r="F583" s="472"/>
      <c r="G583" s="309"/>
      <c r="H583" s="309"/>
    </row>
    <row r="584" spans="2:8" ht="24.95" customHeight="1" x14ac:dyDescent="0.25">
      <c r="B584" s="472"/>
      <c r="C584" s="557"/>
      <c r="D584" s="567"/>
      <c r="E584" s="132"/>
      <c r="F584" s="472"/>
      <c r="G584" s="309"/>
      <c r="H584" s="309"/>
    </row>
    <row r="585" spans="2:8" ht="24.95" customHeight="1" x14ac:dyDescent="0.25">
      <c r="B585" s="472"/>
      <c r="C585" s="557"/>
      <c r="D585" s="567"/>
      <c r="E585" s="132"/>
      <c r="F585" s="472"/>
      <c r="G585" s="309"/>
      <c r="H585" s="309"/>
    </row>
    <row r="586" spans="2:8" ht="24.95" customHeight="1" x14ac:dyDescent="0.25">
      <c r="B586" s="472"/>
      <c r="C586" s="557"/>
      <c r="D586" s="567"/>
      <c r="E586" s="132"/>
      <c r="F586" s="472"/>
      <c r="G586" s="309"/>
      <c r="H586" s="309"/>
    </row>
    <row r="587" spans="2:8" ht="24.95" customHeight="1" x14ac:dyDescent="0.25">
      <c r="B587" s="472"/>
      <c r="C587" s="557"/>
      <c r="D587" s="567"/>
      <c r="E587" s="132"/>
      <c r="F587" s="472"/>
      <c r="G587" s="309"/>
      <c r="H587" s="309"/>
    </row>
    <row r="588" spans="2:8" ht="24.95" customHeight="1" x14ac:dyDescent="0.25">
      <c r="B588" s="472"/>
      <c r="C588" s="557"/>
      <c r="D588" s="567"/>
      <c r="E588" s="132"/>
      <c r="F588" s="472"/>
      <c r="G588" s="309"/>
      <c r="H588" s="309"/>
    </row>
    <row r="589" spans="2:8" ht="24.95" customHeight="1" x14ac:dyDescent="0.25">
      <c r="B589" s="472"/>
      <c r="C589" s="557"/>
      <c r="D589" s="567"/>
      <c r="E589" s="132"/>
      <c r="F589" s="472"/>
      <c r="G589" s="309"/>
      <c r="H589" s="309"/>
    </row>
    <row r="590" spans="2:8" ht="24.95" customHeight="1" x14ac:dyDescent="0.25">
      <c r="B590" s="472"/>
      <c r="C590" s="557"/>
      <c r="D590" s="567"/>
      <c r="E590" s="132"/>
      <c r="F590" s="472"/>
      <c r="G590" s="309"/>
      <c r="H590" s="309"/>
    </row>
    <row r="591" spans="2:8" ht="24.95" customHeight="1" x14ac:dyDescent="0.25">
      <c r="B591" s="472"/>
      <c r="C591" s="557"/>
      <c r="D591" s="567"/>
      <c r="E591" s="132"/>
      <c r="F591" s="472"/>
      <c r="G591" s="309"/>
      <c r="H591" s="309"/>
    </row>
    <row r="592" spans="2:8" ht="24.95" customHeight="1" x14ac:dyDescent="0.25">
      <c r="B592" s="472"/>
      <c r="C592" s="557"/>
      <c r="D592" s="567"/>
      <c r="E592" s="132"/>
      <c r="F592" s="472"/>
      <c r="G592" s="309"/>
      <c r="H592" s="309"/>
    </row>
    <row r="593" spans="2:8" ht="24.95" customHeight="1" x14ac:dyDescent="0.25">
      <c r="B593" s="472"/>
      <c r="C593" s="557"/>
      <c r="D593" s="567"/>
      <c r="E593" s="132"/>
      <c r="F593" s="472"/>
      <c r="G593" s="309"/>
      <c r="H593" s="309"/>
    </row>
    <row r="594" spans="2:8" ht="24.95" customHeight="1" x14ac:dyDescent="0.25">
      <c r="B594" s="472"/>
      <c r="C594" s="557"/>
      <c r="D594" s="567"/>
      <c r="E594" s="132"/>
      <c r="F594" s="472"/>
      <c r="G594" s="309"/>
      <c r="H594" s="309"/>
    </row>
    <row r="595" spans="2:8" ht="24.95" customHeight="1" x14ac:dyDescent="0.25">
      <c r="B595" s="472"/>
      <c r="C595" s="557"/>
      <c r="D595" s="567"/>
      <c r="E595" s="132"/>
      <c r="F595" s="472"/>
      <c r="G595" s="309"/>
      <c r="H595" s="309"/>
    </row>
    <row r="596" spans="2:8" ht="24.95" customHeight="1" x14ac:dyDescent="0.25">
      <c r="B596" s="472"/>
      <c r="C596" s="557"/>
      <c r="D596" s="567"/>
      <c r="E596" s="132"/>
      <c r="F596" s="472"/>
      <c r="G596" s="309"/>
      <c r="H596" s="309"/>
    </row>
    <row r="597" spans="2:8" ht="24.95" customHeight="1" x14ac:dyDescent="0.25">
      <c r="B597" s="472"/>
      <c r="C597" s="557"/>
      <c r="D597" s="567"/>
      <c r="E597" s="132"/>
      <c r="F597" s="472"/>
      <c r="G597" s="309"/>
      <c r="H597" s="309"/>
    </row>
    <row r="598" spans="2:8" ht="24.95" customHeight="1" x14ac:dyDescent="0.25">
      <c r="B598" s="472"/>
      <c r="C598" s="557"/>
      <c r="D598" s="567"/>
      <c r="E598" s="132"/>
      <c r="F598" s="472"/>
      <c r="G598" s="309"/>
      <c r="H598" s="309"/>
    </row>
    <row r="599" spans="2:8" ht="24.95" customHeight="1" x14ac:dyDescent="0.25">
      <c r="B599" s="472"/>
      <c r="C599" s="557"/>
      <c r="D599" s="567"/>
      <c r="E599" s="132"/>
      <c r="F599" s="472"/>
      <c r="G599" s="309"/>
      <c r="H599" s="309"/>
    </row>
    <row r="600" spans="2:8" ht="24.95" customHeight="1" x14ac:dyDescent="0.25">
      <c r="B600" s="472"/>
      <c r="C600" s="557"/>
      <c r="D600" s="567"/>
      <c r="E600" s="132"/>
      <c r="F600" s="472"/>
      <c r="G600" s="309"/>
      <c r="H600" s="309"/>
    </row>
    <row r="601" spans="2:8" ht="24.95" customHeight="1" x14ac:dyDescent="0.25">
      <c r="B601" s="472"/>
      <c r="C601" s="557"/>
      <c r="D601" s="567"/>
      <c r="E601" s="132"/>
      <c r="F601" s="472"/>
      <c r="G601" s="309"/>
      <c r="H601" s="309"/>
    </row>
    <row r="602" spans="2:8" ht="24.95" customHeight="1" x14ac:dyDescent="0.25">
      <c r="B602" s="472"/>
      <c r="C602" s="557"/>
      <c r="D602" s="567"/>
      <c r="E602" s="132"/>
      <c r="F602" s="472"/>
      <c r="G602" s="309"/>
      <c r="H602" s="309"/>
    </row>
    <row r="603" spans="2:8" ht="24.95" customHeight="1" x14ac:dyDescent="0.25">
      <c r="B603" s="472"/>
      <c r="C603" s="557"/>
      <c r="D603" s="567"/>
      <c r="E603" s="132"/>
      <c r="F603" s="472"/>
      <c r="G603" s="309"/>
      <c r="H603" s="309"/>
    </row>
    <row r="604" spans="2:8" ht="24.95" customHeight="1" x14ac:dyDescent="0.25">
      <c r="B604" s="472"/>
      <c r="C604" s="557"/>
      <c r="D604" s="567"/>
      <c r="E604" s="132"/>
      <c r="F604" s="472"/>
      <c r="G604" s="309"/>
      <c r="H604" s="309"/>
    </row>
    <row r="605" spans="2:8" ht="24.95" customHeight="1" x14ac:dyDescent="0.25">
      <c r="B605" s="472"/>
      <c r="C605" s="557"/>
      <c r="D605" s="567"/>
      <c r="E605" s="132"/>
      <c r="F605" s="472"/>
      <c r="G605" s="309"/>
      <c r="H605" s="309"/>
    </row>
    <row r="606" spans="2:8" ht="24.95" customHeight="1" x14ac:dyDescent="0.25">
      <c r="B606" s="472"/>
      <c r="C606" s="557"/>
      <c r="D606" s="567"/>
      <c r="E606" s="132"/>
      <c r="F606" s="472"/>
      <c r="G606" s="309"/>
      <c r="H606" s="309"/>
    </row>
    <row r="607" spans="2:8" ht="24.95" customHeight="1" x14ac:dyDescent="0.25">
      <c r="B607" s="472"/>
      <c r="C607" s="557"/>
      <c r="D607" s="567"/>
      <c r="E607" s="132"/>
      <c r="F607" s="472"/>
      <c r="G607" s="309"/>
      <c r="H607" s="309"/>
    </row>
    <row r="608" spans="2:8" ht="24.95" customHeight="1" x14ac:dyDescent="0.25">
      <c r="B608" s="472"/>
      <c r="C608" s="557"/>
      <c r="D608" s="567"/>
      <c r="E608" s="132"/>
      <c r="F608" s="472"/>
      <c r="G608" s="309"/>
      <c r="H608" s="309"/>
    </row>
    <row r="609" spans="2:8" ht="24.95" customHeight="1" x14ac:dyDescent="0.25">
      <c r="B609" s="472"/>
      <c r="C609" s="557"/>
      <c r="D609" s="567"/>
      <c r="E609" s="132"/>
      <c r="F609" s="472"/>
      <c r="G609" s="309"/>
      <c r="H609" s="309"/>
    </row>
    <row r="610" spans="2:8" ht="24.95" customHeight="1" x14ac:dyDescent="0.25">
      <c r="B610" s="472"/>
      <c r="C610" s="557"/>
      <c r="D610" s="567"/>
      <c r="E610" s="132"/>
      <c r="F610" s="472"/>
      <c r="G610" s="309"/>
      <c r="H610" s="309"/>
    </row>
    <row r="611" spans="2:8" ht="24.95" customHeight="1" x14ac:dyDescent="0.25">
      <c r="B611" s="472"/>
      <c r="C611" s="557"/>
      <c r="D611" s="567"/>
      <c r="E611" s="132"/>
      <c r="F611" s="472"/>
      <c r="G611" s="309"/>
      <c r="H611" s="309"/>
    </row>
    <row r="612" spans="2:8" ht="24.95" customHeight="1" x14ac:dyDescent="0.25">
      <c r="B612" s="472"/>
      <c r="C612" s="557"/>
      <c r="D612" s="567"/>
      <c r="E612" s="132"/>
      <c r="F612" s="472"/>
      <c r="G612" s="309"/>
      <c r="H612" s="309"/>
    </row>
    <row r="613" spans="2:8" ht="24.95" customHeight="1" x14ac:dyDescent="0.25">
      <c r="B613" s="472"/>
      <c r="C613" s="557"/>
      <c r="D613" s="567"/>
      <c r="E613" s="132"/>
      <c r="F613" s="472"/>
      <c r="G613" s="309"/>
      <c r="H613" s="309"/>
    </row>
    <row r="614" spans="2:8" ht="24.95" customHeight="1" x14ac:dyDescent="0.25">
      <c r="B614" s="472"/>
      <c r="C614" s="557"/>
      <c r="D614" s="567"/>
      <c r="E614" s="132"/>
      <c r="F614" s="472"/>
      <c r="G614" s="309"/>
      <c r="H614" s="309"/>
    </row>
    <row r="615" spans="2:8" ht="24.95" customHeight="1" x14ac:dyDescent="0.25">
      <c r="B615" s="472"/>
      <c r="C615" s="557"/>
      <c r="D615" s="567"/>
      <c r="E615" s="132"/>
      <c r="F615" s="472"/>
      <c r="G615" s="309"/>
      <c r="H615" s="309"/>
    </row>
    <row r="616" spans="2:8" ht="24.95" customHeight="1" x14ac:dyDescent="0.25">
      <c r="B616" s="472"/>
      <c r="C616" s="557"/>
      <c r="D616" s="567"/>
      <c r="E616" s="132"/>
      <c r="F616" s="472"/>
      <c r="G616" s="309"/>
      <c r="H616" s="309"/>
    </row>
    <row r="617" spans="2:8" ht="24.95" customHeight="1" x14ac:dyDescent="0.25">
      <c r="B617" s="472"/>
      <c r="C617" s="557"/>
      <c r="D617" s="567"/>
      <c r="E617" s="132"/>
      <c r="F617" s="472"/>
      <c r="G617" s="309"/>
      <c r="H617" s="309"/>
    </row>
    <row r="618" spans="2:8" ht="24.95" customHeight="1" x14ac:dyDescent="0.25">
      <c r="B618" s="472"/>
      <c r="C618" s="557"/>
      <c r="D618" s="567"/>
      <c r="E618" s="132"/>
      <c r="F618" s="472"/>
      <c r="G618" s="309"/>
      <c r="H618" s="309"/>
    </row>
    <row r="619" spans="2:8" ht="24.95" customHeight="1" x14ac:dyDescent="0.25">
      <c r="B619" s="472"/>
      <c r="C619" s="557"/>
      <c r="D619" s="567"/>
      <c r="E619" s="132"/>
      <c r="F619" s="472"/>
      <c r="G619" s="309"/>
      <c r="H619" s="309"/>
    </row>
    <row r="620" spans="2:8" ht="24.95" customHeight="1" x14ac:dyDescent="0.25">
      <c r="B620" s="472"/>
      <c r="C620" s="557"/>
      <c r="D620" s="567"/>
      <c r="E620" s="132"/>
      <c r="F620" s="472"/>
      <c r="G620" s="309"/>
      <c r="H620" s="309"/>
    </row>
    <row r="621" spans="2:8" ht="24.95" customHeight="1" x14ac:dyDescent="0.25">
      <c r="B621" s="472"/>
      <c r="C621" s="557"/>
      <c r="D621" s="567"/>
      <c r="E621" s="132"/>
      <c r="F621" s="472"/>
      <c r="G621" s="309"/>
      <c r="H621" s="309"/>
    </row>
    <row r="622" spans="2:8" ht="24.95" customHeight="1" x14ac:dyDescent="0.25">
      <c r="B622" s="472"/>
      <c r="C622" s="557"/>
      <c r="D622" s="567"/>
      <c r="E622" s="132"/>
      <c r="F622" s="472"/>
      <c r="G622" s="309"/>
      <c r="H622" s="309"/>
    </row>
    <row r="623" spans="2:8" ht="24.95" customHeight="1" x14ac:dyDescent="0.25">
      <c r="B623" s="472"/>
      <c r="C623" s="557"/>
      <c r="D623" s="567"/>
      <c r="E623" s="132"/>
      <c r="F623" s="472"/>
      <c r="G623" s="309"/>
      <c r="H623" s="309"/>
    </row>
    <row r="624" spans="2:8" ht="24.95" customHeight="1" x14ac:dyDescent="0.25">
      <c r="B624" s="472"/>
      <c r="C624" s="557"/>
      <c r="D624" s="567"/>
      <c r="E624" s="132"/>
      <c r="F624" s="472"/>
      <c r="G624" s="309"/>
      <c r="H624" s="309"/>
    </row>
    <row r="625" spans="2:8" ht="24.95" customHeight="1" x14ac:dyDescent="0.25">
      <c r="B625" s="472"/>
      <c r="C625" s="557"/>
      <c r="D625" s="567"/>
      <c r="E625" s="132"/>
      <c r="F625" s="472"/>
      <c r="G625" s="309"/>
      <c r="H625" s="309"/>
    </row>
    <row r="626" spans="2:8" ht="24.95" customHeight="1" x14ac:dyDescent="0.25">
      <c r="B626" s="472"/>
      <c r="C626" s="557"/>
      <c r="D626" s="567"/>
      <c r="E626" s="132"/>
      <c r="F626" s="472"/>
      <c r="G626" s="309"/>
      <c r="H626" s="309"/>
    </row>
    <row r="627" spans="2:8" ht="24.95" customHeight="1" x14ac:dyDescent="0.25">
      <c r="B627" s="472"/>
      <c r="C627" s="557"/>
      <c r="D627" s="567"/>
      <c r="E627" s="132"/>
      <c r="F627" s="472"/>
      <c r="G627" s="309"/>
      <c r="H627" s="309"/>
    </row>
    <row r="628" spans="2:8" ht="24.95" customHeight="1" x14ac:dyDescent="0.25">
      <c r="B628" s="472"/>
      <c r="C628" s="557"/>
      <c r="D628" s="567"/>
      <c r="E628" s="132"/>
      <c r="F628" s="472"/>
      <c r="G628" s="309"/>
      <c r="H628" s="309"/>
    </row>
    <row r="629" spans="2:8" ht="24.95" customHeight="1" x14ac:dyDescent="0.25">
      <c r="B629" s="472"/>
      <c r="C629" s="557"/>
      <c r="D629" s="567"/>
      <c r="E629" s="132"/>
      <c r="F629" s="472"/>
      <c r="G629" s="309"/>
      <c r="H629" s="309"/>
    </row>
    <row r="630" spans="2:8" ht="24.95" customHeight="1" x14ac:dyDescent="0.25">
      <c r="B630" s="472"/>
      <c r="C630" s="557"/>
      <c r="D630" s="567"/>
      <c r="E630" s="132"/>
      <c r="F630" s="472"/>
      <c r="G630" s="309"/>
      <c r="H630" s="309"/>
    </row>
    <row r="631" spans="2:8" ht="24.95" customHeight="1" x14ac:dyDescent="0.25">
      <c r="B631" s="472"/>
      <c r="C631" s="557"/>
      <c r="D631" s="567"/>
      <c r="E631" s="132"/>
      <c r="F631" s="472"/>
      <c r="G631" s="309"/>
      <c r="H631" s="309"/>
    </row>
    <row r="632" spans="2:8" ht="24.95" customHeight="1" x14ac:dyDescent="0.25">
      <c r="B632" s="472"/>
      <c r="C632" s="557"/>
      <c r="D632" s="567"/>
      <c r="E632" s="132"/>
      <c r="F632" s="472"/>
      <c r="G632" s="309"/>
      <c r="H632" s="309"/>
    </row>
    <row r="633" spans="2:8" ht="24.95" customHeight="1" x14ac:dyDescent="0.25">
      <c r="B633" s="472"/>
      <c r="C633" s="557"/>
      <c r="D633" s="567"/>
      <c r="E633" s="132"/>
      <c r="F633" s="472"/>
      <c r="G633" s="309"/>
      <c r="H633" s="309"/>
    </row>
    <row r="634" spans="2:8" ht="24.95" customHeight="1" x14ac:dyDescent="0.25">
      <c r="B634" s="472"/>
      <c r="C634" s="557"/>
      <c r="D634" s="567"/>
      <c r="E634" s="132"/>
      <c r="F634" s="472"/>
      <c r="G634" s="309"/>
      <c r="H634" s="309"/>
    </row>
    <row r="635" spans="2:8" ht="24.95" customHeight="1" x14ac:dyDescent="0.25">
      <c r="B635" s="472"/>
      <c r="C635" s="557"/>
      <c r="D635" s="567"/>
      <c r="E635" s="132"/>
      <c r="F635" s="472"/>
      <c r="G635" s="309"/>
      <c r="H635" s="309"/>
    </row>
    <row r="636" spans="2:8" ht="24.95" customHeight="1" x14ac:dyDescent="0.25">
      <c r="B636" s="472"/>
      <c r="C636" s="557"/>
      <c r="D636" s="567"/>
      <c r="E636" s="132"/>
      <c r="F636" s="472"/>
      <c r="G636" s="309"/>
      <c r="H636" s="309"/>
    </row>
    <row r="637" spans="2:8" ht="24.95" customHeight="1" x14ac:dyDescent="0.25">
      <c r="B637" s="472"/>
      <c r="C637" s="557"/>
      <c r="D637" s="567"/>
      <c r="E637" s="132"/>
      <c r="F637" s="472"/>
      <c r="G637" s="309"/>
      <c r="H637" s="309"/>
    </row>
    <row r="638" spans="2:8" ht="24.95" customHeight="1" x14ac:dyDescent="0.25">
      <c r="B638" s="472"/>
      <c r="C638" s="557"/>
      <c r="D638" s="567"/>
      <c r="E638" s="132"/>
      <c r="F638" s="472"/>
      <c r="G638" s="309"/>
      <c r="H638" s="309"/>
    </row>
    <row r="639" spans="2:8" ht="24.95" customHeight="1" x14ac:dyDescent="0.25">
      <c r="B639" s="472"/>
      <c r="C639" s="557"/>
      <c r="D639" s="567"/>
      <c r="E639" s="132"/>
      <c r="F639" s="472"/>
      <c r="G639" s="309"/>
      <c r="H639" s="309"/>
    </row>
    <row r="640" spans="2:8" ht="24.95" customHeight="1" x14ac:dyDescent="0.25">
      <c r="B640" s="472"/>
      <c r="C640" s="557"/>
      <c r="D640" s="567"/>
      <c r="E640" s="132"/>
      <c r="F640" s="472"/>
      <c r="G640" s="309"/>
      <c r="H640" s="309"/>
    </row>
    <row r="641" spans="2:8" ht="24.95" customHeight="1" x14ac:dyDescent="0.25">
      <c r="B641" s="472"/>
      <c r="C641" s="557"/>
      <c r="D641" s="567"/>
      <c r="E641" s="132"/>
      <c r="F641" s="472"/>
      <c r="G641" s="309"/>
      <c r="H641" s="309"/>
    </row>
    <row r="642" spans="2:8" ht="24.95" customHeight="1" x14ac:dyDescent="0.25">
      <c r="B642" s="472"/>
      <c r="C642" s="557"/>
      <c r="D642" s="567"/>
      <c r="E642" s="132"/>
      <c r="F642" s="472"/>
      <c r="G642" s="309"/>
      <c r="H642" s="309"/>
    </row>
    <row r="643" spans="2:8" ht="24.95" customHeight="1" x14ac:dyDescent="0.25">
      <c r="B643" s="472"/>
      <c r="C643" s="557"/>
      <c r="D643" s="567"/>
      <c r="E643" s="132"/>
      <c r="F643" s="472"/>
      <c r="G643" s="309"/>
      <c r="H643" s="309"/>
    </row>
    <row r="644" spans="2:8" ht="24.95" customHeight="1" x14ac:dyDescent="0.25">
      <c r="B644" s="472"/>
      <c r="C644" s="557"/>
      <c r="D644" s="567"/>
      <c r="E644" s="132"/>
      <c r="F644" s="472"/>
      <c r="G644" s="309"/>
      <c r="H644" s="309"/>
    </row>
    <row r="645" spans="2:8" ht="24.95" customHeight="1" x14ac:dyDescent="0.25">
      <c r="B645" s="472"/>
      <c r="C645" s="557"/>
      <c r="D645" s="567"/>
      <c r="E645" s="132"/>
      <c r="F645" s="472"/>
      <c r="G645" s="309"/>
      <c r="H645" s="309"/>
    </row>
    <row r="646" spans="2:8" ht="24.95" customHeight="1" x14ac:dyDescent="0.25">
      <c r="B646" s="472"/>
      <c r="C646" s="557"/>
      <c r="D646" s="567"/>
      <c r="E646" s="132"/>
      <c r="F646" s="472"/>
      <c r="G646" s="309"/>
      <c r="H646" s="309"/>
    </row>
    <row r="647" spans="2:8" ht="24.95" customHeight="1" x14ac:dyDescent="0.25">
      <c r="B647" s="472"/>
      <c r="C647" s="557"/>
      <c r="D647" s="567"/>
      <c r="E647" s="132"/>
      <c r="F647" s="472"/>
      <c r="G647" s="309"/>
      <c r="H647" s="309"/>
    </row>
    <row r="648" spans="2:8" ht="24.95" customHeight="1" x14ac:dyDescent="0.25">
      <c r="B648" s="472"/>
      <c r="C648" s="557"/>
      <c r="D648" s="567"/>
      <c r="E648" s="132"/>
      <c r="F648" s="472"/>
      <c r="G648" s="309"/>
      <c r="H648" s="309"/>
    </row>
    <row r="649" spans="2:8" ht="24.95" customHeight="1" x14ac:dyDescent="0.25">
      <c r="B649" s="472"/>
      <c r="C649" s="557"/>
      <c r="D649" s="567"/>
      <c r="E649" s="132"/>
      <c r="F649" s="472"/>
      <c r="G649" s="309"/>
      <c r="H649" s="309"/>
    </row>
    <row r="650" spans="2:8" ht="24.95" customHeight="1" x14ac:dyDescent="0.25">
      <c r="B650" s="472"/>
      <c r="C650" s="557"/>
      <c r="D650" s="567"/>
      <c r="E650" s="132"/>
      <c r="F650" s="472"/>
      <c r="G650" s="309"/>
      <c r="H650" s="309"/>
    </row>
    <row r="651" spans="2:8" ht="24.95" customHeight="1" x14ac:dyDescent="0.25">
      <c r="B651" s="472"/>
      <c r="C651" s="557"/>
      <c r="D651" s="567"/>
      <c r="E651" s="132"/>
      <c r="F651" s="472"/>
      <c r="G651" s="309"/>
      <c r="H651" s="309"/>
    </row>
    <row r="652" spans="2:8" ht="24.95" customHeight="1" x14ac:dyDescent="0.25">
      <c r="B652" s="472"/>
      <c r="C652" s="557"/>
      <c r="D652" s="567"/>
      <c r="E652" s="132"/>
      <c r="F652" s="472"/>
      <c r="G652" s="309"/>
      <c r="H652" s="309"/>
    </row>
    <row r="653" spans="2:8" ht="24.95" customHeight="1" x14ac:dyDescent="0.25">
      <c r="B653" s="472"/>
      <c r="C653" s="557"/>
      <c r="D653" s="567"/>
      <c r="E653" s="132"/>
      <c r="F653" s="472"/>
      <c r="G653" s="309"/>
      <c r="H653" s="309"/>
    </row>
    <row r="654" spans="2:8" ht="24.95" customHeight="1" x14ac:dyDescent="0.25">
      <c r="B654" s="472"/>
      <c r="C654" s="557"/>
      <c r="D654" s="567"/>
      <c r="E654" s="132"/>
      <c r="F654" s="472"/>
      <c r="G654" s="309"/>
      <c r="H654" s="309"/>
    </row>
    <row r="655" spans="2:8" ht="24.95" customHeight="1" x14ac:dyDescent="0.25">
      <c r="B655" s="472"/>
      <c r="C655" s="557"/>
      <c r="D655" s="567"/>
      <c r="E655" s="132"/>
      <c r="F655" s="472"/>
      <c r="G655" s="309"/>
      <c r="H655" s="309"/>
    </row>
    <row r="656" spans="2:8" ht="24.95" customHeight="1" x14ac:dyDescent="0.25">
      <c r="B656" s="472"/>
      <c r="C656" s="557"/>
      <c r="D656" s="567"/>
      <c r="E656" s="132"/>
      <c r="F656" s="472"/>
      <c r="G656" s="309"/>
      <c r="H656" s="309"/>
    </row>
    <row r="657" spans="2:8" ht="24.95" customHeight="1" x14ac:dyDescent="0.25">
      <c r="B657" s="472"/>
      <c r="C657" s="557"/>
      <c r="D657" s="567"/>
      <c r="E657" s="132"/>
      <c r="F657" s="472"/>
      <c r="G657" s="309"/>
      <c r="H657" s="309"/>
    </row>
    <row r="658" spans="2:8" ht="24.95" customHeight="1" x14ac:dyDescent="0.25">
      <c r="B658" s="472"/>
      <c r="C658" s="557"/>
      <c r="D658" s="567"/>
      <c r="E658" s="132"/>
      <c r="F658" s="472"/>
      <c r="G658" s="309"/>
      <c r="H658" s="309"/>
    </row>
    <row r="659" spans="2:8" ht="24.95" customHeight="1" x14ac:dyDescent="0.25">
      <c r="B659" s="472"/>
      <c r="C659" s="557"/>
      <c r="D659" s="567"/>
      <c r="E659" s="132"/>
      <c r="F659" s="472"/>
      <c r="G659" s="309"/>
      <c r="H659" s="309"/>
    </row>
    <row r="660" spans="2:8" ht="24.95" customHeight="1" x14ac:dyDescent="0.25">
      <c r="B660" s="472"/>
      <c r="C660" s="557"/>
      <c r="D660" s="567"/>
      <c r="E660" s="132"/>
      <c r="F660" s="472"/>
      <c r="G660" s="309"/>
      <c r="H660" s="309"/>
    </row>
    <row r="661" spans="2:8" ht="24.95" customHeight="1" x14ac:dyDescent="0.25">
      <c r="B661" s="472"/>
      <c r="C661" s="557"/>
      <c r="D661" s="567"/>
      <c r="E661" s="132"/>
      <c r="F661" s="472"/>
      <c r="G661" s="309"/>
      <c r="H661" s="309"/>
    </row>
    <row r="662" spans="2:8" ht="24.95" customHeight="1" x14ac:dyDescent="0.25">
      <c r="B662" s="472"/>
      <c r="C662" s="557"/>
      <c r="D662" s="567"/>
      <c r="E662" s="132"/>
      <c r="F662" s="472"/>
      <c r="G662" s="309"/>
      <c r="H662" s="309"/>
    </row>
    <row r="663" spans="2:8" ht="24.95" customHeight="1" x14ac:dyDescent="0.25">
      <c r="B663" s="472"/>
      <c r="C663" s="557"/>
      <c r="D663" s="567"/>
      <c r="E663" s="132"/>
      <c r="F663" s="472"/>
      <c r="G663" s="309"/>
      <c r="H663" s="309"/>
    </row>
    <row r="664" spans="2:8" ht="24.95" customHeight="1" x14ac:dyDescent="0.25">
      <c r="B664" s="472"/>
      <c r="C664" s="557"/>
      <c r="D664" s="567"/>
      <c r="E664" s="132"/>
      <c r="F664" s="472"/>
      <c r="G664" s="309"/>
      <c r="H664" s="309"/>
    </row>
    <row r="665" spans="2:8" ht="24.95" customHeight="1" x14ac:dyDescent="0.25">
      <c r="B665" s="472"/>
      <c r="C665" s="557"/>
      <c r="D665" s="567"/>
      <c r="E665" s="132"/>
      <c r="F665" s="472"/>
      <c r="G665" s="309"/>
      <c r="H665" s="309"/>
    </row>
    <row r="666" spans="2:8" ht="24.95" customHeight="1" x14ac:dyDescent="0.25">
      <c r="B666" s="472"/>
      <c r="C666" s="557"/>
      <c r="D666" s="567"/>
      <c r="E666" s="132"/>
      <c r="F666" s="472"/>
      <c r="G666" s="309"/>
      <c r="H666" s="309"/>
    </row>
    <row r="667" spans="2:8" ht="24.95" customHeight="1" x14ac:dyDescent="0.25">
      <c r="B667" s="472"/>
      <c r="C667" s="557"/>
      <c r="D667" s="567"/>
      <c r="E667" s="132"/>
      <c r="F667" s="472"/>
      <c r="G667" s="309"/>
      <c r="H667" s="309"/>
    </row>
    <row r="668" spans="2:8" ht="24.95" customHeight="1" x14ac:dyDescent="0.25">
      <c r="B668" s="472"/>
      <c r="C668" s="557"/>
      <c r="D668" s="567"/>
      <c r="E668" s="132"/>
      <c r="F668" s="472"/>
      <c r="G668" s="309"/>
      <c r="H668" s="309"/>
    </row>
    <row r="669" spans="2:8" ht="24.95" customHeight="1" x14ac:dyDescent="0.25">
      <c r="B669" s="472"/>
      <c r="C669" s="557"/>
      <c r="D669" s="567"/>
      <c r="E669" s="132"/>
      <c r="F669" s="472"/>
      <c r="G669" s="309"/>
      <c r="H669" s="309"/>
    </row>
    <row r="670" spans="2:8" ht="24.95" customHeight="1" x14ac:dyDescent="0.25">
      <c r="B670" s="472"/>
      <c r="C670" s="557"/>
      <c r="D670" s="567"/>
      <c r="E670" s="132"/>
      <c r="F670" s="472"/>
      <c r="G670" s="309"/>
      <c r="H670" s="309"/>
    </row>
    <row r="671" spans="2:8" ht="24.95" customHeight="1" x14ac:dyDescent="0.25">
      <c r="B671" s="472"/>
      <c r="C671" s="557"/>
      <c r="D671" s="567"/>
      <c r="E671" s="132"/>
      <c r="F671" s="472"/>
      <c r="G671" s="309"/>
      <c r="H671" s="309"/>
    </row>
    <row r="672" spans="2:8" ht="24.95" customHeight="1" x14ac:dyDescent="0.25">
      <c r="B672" s="472"/>
      <c r="C672" s="557"/>
      <c r="D672" s="567"/>
      <c r="E672" s="132"/>
      <c r="F672" s="472"/>
      <c r="G672" s="309"/>
      <c r="H672" s="309"/>
    </row>
    <row r="673" spans="2:8" ht="24.95" customHeight="1" x14ac:dyDescent="0.25">
      <c r="B673" s="472"/>
      <c r="C673" s="557"/>
      <c r="D673" s="567"/>
      <c r="E673" s="132"/>
      <c r="F673" s="472"/>
      <c r="G673" s="309"/>
      <c r="H673" s="309"/>
    </row>
    <row r="674" spans="2:8" ht="24.95" customHeight="1" x14ac:dyDescent="0.25">
      <c r="B674" s="472"/>
      <c r="C674" s="557"/>
      <c r="D674" s="567"/>
      <c r="E674" s="132"/>
      <c r="F674" s="472"/>
      <c r="G674" s="309"/>
      <c r="H674" s="309"/>
    </row>
    <row r="675" spans="2:8" ht="24.95" customHeight="1" x14ac:dyDescent="0.25">
      <c r="B675" s="472"/>
      <c r="C675" s="557"/>
      <c r="D675" s="567"/>
      <c r="E675" s="132"/>
      <c r="F675" s="472"/>
      <c r="G675" s="309"/>
      <c r="H675" s="309"/>
    </row>
    <row r="676" spans="2:8" ht="24.95" customHeight="1" x14ac:dyDescent="0.25">
      <c r="B676" s="472"/>
      <c r="C676" s="557"/>
      <c r="D676" s="567"/>
      <c r="E676" s="132"/>
      <c r="F676" s="472"/>
      <c r="G676" s="309"/>
      <c r="H676" s="309"/>
    </row>
    <row r="677" spans="2:8" ht="24.95" customHeight="1" x14ac:dyDescent="0.25">
      <c r="B677" s="472"/>
      <c r="C677" s="557"/>
      <c r="D677" s="567"/>
      <c r="E677" s="132"/>
      <c r="F677" s="472"/>
      <c r="G677" s="309"/>
      <c r="H677" s="309"/>
    </row>
    <row r="678" spans="2:8" ht="24.95" customHeight="1" x14ac:dyDescent="0.25">
      <c r="B678" s="472"/>
      <c r="C678" s="557"/>
      <c r="D678" s="567"/>
      <c r="E678" s="132"/>
      <c r="F678" s="472"/>
      <c r="G678" s="309"/>
      <c r="H678" s="309"/>
    </row>
    <row r="679" spans="2:8" ht="24.95" customHeight="1" x14ac:dyDescent="0.25">
      <c r="B679" s="472"/>
      <c r="C679" s="557"/>
      <c r="D679" s="567"/>
      <c r="E679" s="132"/>
      <c r="F679" s="472"/>
      <c r="G679" s="309"/>
      <c r="H679" s="309"/>
    </row>
    <row r="680" spans="2:8" ht="24.95" customHeight="1" x14ac:dyDescent="0.25">
      <c r="B680" s="472"/>
      <c r="C680" s="557"/>
      <c r="D680" s="567"/>
      <c r="E680" s="132"/>
      <c r="F680" s="472"/>
      <c r="G680" s="309"/>
      <c r="H680" s="309"/>
    </row>
    <row r="681" spans="2:8" ht="24.95" customHeight="1" x14ac:dyDescent="0.25">
      <c r="B681" s="472"/>
      <c r="C681" s="557"/>
      <c r="D681" s="567"/>
      <c r="E681" s="132"/>
      <c r="F681" s="472"/>
      <c r="G681" s="309"/>
      <c r="H681" s="309"/>
    </row>
    <row r="682" spans="2:8" ht="24.95" customHeight="1" x14ac:dyDescent="0.25">
      <c r="B682" s="472"/>
      <c r="C682" s="557"/>
      <c r="D682" s="567"/>
      <c r="E682" s="132"/>
      <c r="F682" s="472"/>
      <c r="G682" s="309"/>
      <c r="H682" s="309"/>
    </row>
    <row r="683" spans="2:8" ht="24.95" customHeight="1" x14ac:dyDescent="0.25">
      <c r="B683" s="472"/>
      <c r="C683" s="557"/>
      <c r="D683" s="567"/>
      <c r="E683" s="132"/>
      <c r="F683" s="472"/>
      <c r="G683" s="309"/>
      <c r="H683" s="309"/>
    </row>
    <row r="684" spans="2:8" ht="24.95" customHeight="1" x14ac:dyDescent="0.25">
      <c r="B684" s="472"/>
      <c r="C684" s="557"/>
      <c r="D684" s="567"/>
      <c r="E684" s="132"/>
      <c r="F684" s="472"/>
      <c r="G684" s="309"/>
      <c r="H684" s="309"/>
    </row>
    <row r="685" spans="2:8" ht="24.95" customHeight="1" x14ac:dyDescent="0.25">
      <c r="B685" s="472"/>
      <c r="C685" s="557"/>
      <c r="D685" s="567"/>
      <c r="E685" s="132"/>
      <c r="F685" s="472"/>
      <c r="G685" s="309"/>
      <c r="H685" s="309"/>
    </row>
    <row r="686" spans="2:8" ht="24.95" customHeight="1" x14ac:dyDescent="0.25">
      <c r="B686" s="472"/>
      <c r="C686" s="557"/>
      <c r="D686" s="567"/>
      <c r="E686" s="132"/>
      <c r="F686" s="472"/>
      <c r="G686" s="309"/>
      <c r="H686" s="309"/>
    </row>
    <row r="687" spans="2:8" ht="24.95" customHeight="1" x14ac:dyDescent="0.25">
      <c r="B687" s="472"/>
      <c r="C687" s="557"/>
      <c r="D687" s="567"/>
      <c r="E687" s="132"/>
      <c r="F687" s="472"/>
      <c r="G687" s="309"/>
      <c r="H687" s="309"/>
    </row>
    <row r="688" spans="2:8" ht="24.95" customHeight="1" x14ac:dyDescent="0.25">
      <c r="B688" s="472"/>
      <c r="C688" s="557"/>
      <c r="D688" s="567"/>
      <c r="E688" s="132"/>
      <c r="F688" s="472"/>
      <c r="G688" s="309"/>
      <c r="H688" s="309"/>
    </row>
    <row r="689" spans="2:8" ht="24.95" customHeight="1" x14ac:dyDescent="0.25">
      <c r="B689" s="472"/>
      <c r="C689" s="557"/>
      <c r="D689" s="567"/>
      <c r="E689" s="132"/>
      <c r="F689" s="472"/>
      <c r="G689" s="309"/>
      <c r="H689" s="309"/>
    </row>
    <row r="690" spans="2:8" ht="24.95" customHeight="1" x14ac:dyDescent="0.25">
      <c r="B690" s="472"/>
      <c r="C690" s="557"/>
      <c r="D690" s="567"/>
      <c r="E690" s="132"/>
      <c r="F690" s="472"/>
      <c r="G690" s="309"/>
      <c r="H690" s="309"/>
    </row>
    <row r="691" spans="2:8" ht="24.95" customHeight="1" x14ac:dyDescent="0.25">
      <c r="B691" s="472"/>
      <c r="C691" s="557"/>
      <c r="D691" s="567"/>
      <c r="E691" s="132"/>
      <c r="F691" s="472"/>
      <c r="G691" s="309"/>
      <c r="H691" s="309"/>
    </row>
    <row r="692" spans="2:8" ht="24.95" customHeight="1" x14ac:dyDescent="0.25">
      <c r="B692" s="472"/>
      <c r="C692" s="557"/>
      <c r="D692" s="567"/>
      <c r="E692" s="132"/>
      <c r="F692" s="472"/>
      <c r="G692" s="309"/>
      <c r="H692" s="309"/>
    </row>
    <row r="693" spans="2:8" ht="24.95" customHeight="1" x14ac:dyDescent="0.25">
      <c r="B693" s="472"/>
      <c r="C693" s="557"/>
      <c r="D693" s="567"/>
      <c r="E693" s="132"/>
      <c r="F693" s="472"/>
      <c r="G693" s="309"/>
      <c r="H693" s="309"/>
    </row>
    <row r="694" spans="2:8" ht="24.95" customHeight="1" x14ac:dyDescent="0.25">
      <c r="B694" s="472"/>
      <c r="C694" s="557"/>
      <c r="D694" s="567"/>
      <c r="E694" s="132"/>
      <c r="F694" s="472"/>
      <c r="G694" s="309"/>
      <c r="H694" s="309"/>
    </row>
    <row r="695" spans="2:8" ht="24.95" customHeight="1" x14ac:dyDescent="0.25">
      <c r="B695" s="472"/>
      <c r="C695" s="557"/>
      <c r="D695" s="567"/>
      <c r="E695" s="132"/>
      <c r="F695" s="472"/>
      <c r="G695" s="309"/>
      <c r="H695" s="309"/>
    </row>
    <row r="696" spans="2:8" ht="24.95" customHeight="1" x14ac:dyDescent="0.25">
      <c r="B696" s="472"/>
      <c r="C696" s="557"/>
      <c r="D696" s="567"/>
      <c r="E696" s="132"/>
      <c r="F696" s="472"/>
      <c r="G696" s="309"/>
      <c r="H696" s="309"/>
    </row>
    <row r="697" spans="2:8" ht="24.95" customHeight="1" x14ac:dyDescent="0.25">
      <c r="B697" s="472"/>
      <c r="C697" s="557"/>
      <c r="D697" s="567"/>
      <c r="E697" s="132"/>
      <c r="F697" s="472"/>
      <c r="G697" s="309"/>
      <c r="H697" s="309"/>
    </row>
    <row r="698" spans="2:8" ht="24.95" customHeight="1" x14ac:dyDescent="0.25">
      <c r="B698" s="472"/>
      <c r="C698" s="557"/>
      <c r="D698" s="567"/>
      <c r="E698" s="132"/>
      <c r="F698" s="472"/>
      <c r="G698" s="309"/>
      <c r="H698" s="309"/>
    </row>
    <row r="699" spans="2:8" ht="24.95" customHeight="1" x14ac:dyDescent="0.25">
      <c r="B699" s="472"/>
      <c r="C699" s="557"/>
      <c r="D699" s="567"/>
      <c r="E699" s="132"/>
      <c r="F699" s="472"/>
      <c r="G699" s="309"/>
      <c r="H699" s="309"/>
    </row>
    <row r="700" spans="2:8" ht="24.95" customHeight="1" x14ac:dyDescent="0.25">
      <c r="B700" s="472"/>
      <c r="C700" s="557"/>
      <c r="D700" s="567"/>
      <c r="E700" s="132"/>
      <c r="F700" s="472"/>
      <c r="G700" s="309"/>
      <c r="H700" s="309"/>
    </row>
    <row r="701" spans="2:8" ht="24.95" customHeight="1" x14ac:dyDescent="0.25">
      <c r="B701" s="472"/>
      <c r="C701" s="557"/>
      <c r="D701" s="567"/>
      <c r="E701" s="132"/>
      <c r="F701" s="472"/>
      <c r="G701" s="309"/>
      <c r="H701" s="309"/>
    </row>
    <row r="702" spans="2:8" ht="24.95" customHeight="1" x14ac:dyDescent="0.25">
      <c r="B702" s="472"/>
      <c r="C702" s="557"/>
      <c r="D702" s="567"/>
      <c r="E702" s="132"/>
      <c r="F702" s="472"/>
      <c r="G702" s="309"/>
      <c r="H702" s="309"/>
    </row>
    <row r="703" spans="2:8" ht="24.95" customHeight="1" x14ac:dyDescent="0.25">
      <c r="B703" s="472"/>
      <c r="C703" s="557"/>
      <c r="D703" s="567"/>
      <c r="E703" s="132"/>
      <c r="F703" s="472"/>
      <c r="G703" s="309"/>
      <c r="H703" s="309"/>
    </row>
    <row r="704" spans="2:8" ht="24.95" customHeight="1" x14ac:dyDescent="0.25">
      <c r="B704" s="472"/>
      <c r="C704" s="557"/>
      <c r="D704" s="567"/>
      <c r="E704" s="132"/>
      <c r="F704" s="472"/>
      <c r="G704" s="309"/>
      <c r="H704" s="309"/>
    </row>
    <row r="705" spans="2:8" ht="24.95" customHeight="1" x14ac:dyDescent="0.25">
      <c r="B705" s="472"/>
      <c r="C705" s="557"/>
      <c r="D705" s="567"/>
      <c r="E705" s="132"/>
      <c r="F705" s="472"/>
      <c r="G705" s="309"/>
      <c r="H705" s="309"/>
    </row>
    <row r="706" spans="2:8" ht="24.95" customHeight="1" x14ac:dyDescent="0.25">
      <c r="B706" s="472"/>
      <c r="C706" s="557"/>
      <c r="D706" s="567"/>
      <c r="E706" s="132"/>
      <c r="F706" s="472"/>
      <c r="G706" s="309"/>
      <c r="H706" s="309"/>
    </row>
    <row r="707" spans="2:8" ht="24.95" customHeight="1" x14ac:dyDescent="0.25">
      <c r="B707" s="472"/>
      <c r="C707" s="557"/>
      <c r="D707" s="567"/>
      <c r="E707" s="132"/>
      <c r="F707" s="472"/>
      <c r="G707" s="309"/>
      <c r="H707" s="309"/>
    </row>
    <row r="708" spans="2:8" ht="24.95" customHeight="1" x14ac:dyDescent="0.25">
      <c r="B708" s="472"/>
      <c r="C708" s="557"/>
      <c r="D708" s="567"/>
      <c r="E708" s="132"/>
      <c r="F708" s="472"/>
      <c r="G708" s="309"/>
      <c r="H708" s="309"/>
    </row>
    <row r="709" spans="2:8" ht="24.95" customHeight="1" x14ac:dyDescent="0.25">
      <c r="B709" s="472"/>
      <c r="C709" s="557"/>
      <c r="D709" s="567"/>
      <c r="E709" s="132"/>
      <c r="F709" s="472"/>
      <c r="G709" s="309"/>
      <c r="H709" s="309"/>
    </row>
    <row r="710" spans="2:8" ht="24.95" customHeight="1" x14ac:dyDescent="0.25">
      <c r="B710" s="472"/>
      <c r="C710" s="557"/>
      <c r="D710" s="567"/>
      <c r="E710" s="132"/>
      <c r="F710" s="472"/>
      <c r="G710" s="309"/>
      <c r="H710" s="309"/>
    </row>
    <row r="711" spans="2:8" ht="24.95" customHeight="1" x14ac:dyDescent="0.25">
      <c r="B711" s="472"/>
      <c r="C711" s="557"/>
      <c r="D711" s="567"/>
      <c r="E711" s="132"/>
      <c r="F711" s="472"/>
      <c r="G711" s="309"/>
      <c r="H711" s="309"/>
    </row>
    <row r="712" spans="2:8" ht="24.95" customHeight="1" x14ac:dyDescent="0.25">
      <c r="B712" s="472"/>
      <c r="C712" s="557"/>
      <c r="D712" s="567"/>
      <c r="E712" s="132"/>
      <c r="F712" s="472"/>
      <c r="G712" s="309"/>
      <c r="H712" s="309"/>
    </row>
    <row r="713" spans="2:8" ht="24.95" customHeight="1" x14ac:dyDescent="0.25">
      <c r="B713" s="472"/>
      <c r="C713" s="557"/>
      <c r="D713" s="567"/>
      <c r="E713" s="132"/>
      <c r="F713" s="472"/>
      <c r="G713" s="309"/>
      <c r="H713" s="309"/>
    </row>
    <row r="714" spans="2:8" ht="24.95" customHeight="1" x14ac:dyDescent="0.25">
      <c r="B714" s="472"/>
      <c r="C714" s="557"/>
      <c r="D714" s="567"/>
      <c r="E714" s="132"/>
      <c r="F714" s="472"/>
      <c r="G714" s="309"/>
      <c r="H714" s="309"/>
    </row>
    <row r="715" spans="2:8" ht="24.95" customHeight="1" x14ac:dyDescent="0.25">
      <c r="B715" s="472"/>
      <c r="C715" s="557"/>
      <c r="D715" s="567"/>
      <c r="E715" s="132"/>
      <c r="F715" s="472"/>
      <c r="G715" s="309"/>
      <c r="H715" s="309"/>
    </row>
    <row r="716" spans="2:8" ht="24.95" customHeight="1" x14ac:dyDescent="0.25">
      <c r="B716" s="472"/>
      <c r="C716" s="557"/>
      <c r="D716" s="567"/>
      <c r="E716" s="132"/>
      <c r="F716" s="472"/>
      <c r="G716" s="309"/>
      <c r="H716" s="309"/>
    </row>
    <row r="717" spans="2:8" ht="24.95" customHeight="1" x14ac:dyDescent="0.25">
      <c r="B717" s="472"/>
      <c r="C717" s="557"/>
      <c r="D717" s="567"/>
      <c r="E717" s="132"/>
      <c r="F717" s="472"/>
      <c r="G717" s="309"/>
      <c r="H717" s="309"/>
    </row>
    <row r="718" spans="2:8" ht="24.95" customHeight="1" x14ac:dyDescent="0.25">
      <c r="B718" s="472"/>
      <c r="C718" s="557"/>
      <c r="D718" s="567"/>
      <c r="E718" s="132"/>
      <c r="F718" s="472"/>
      <c r="G718" s="309"/>
      <c r="H718" s="309"/>
    </row>
    <row r="719" spans="2:8" ht="24.95" customHeight="1" x14ac:dyDescent="0.25">
      <c r="B719" s="472"/>
      <c r="C719" s="557"/>
      <c r="D719" s="567"/>
      <c r="E719" s="132"/>
      <c r="F719" s="472"/>
      <c r="G719" s="309"/>
      <c r="H719" s="309"/>
    </row>
    <row r="720" spans="2:8" ht="24.95" customHeight="1" x14ac:dyDescent="0.25">
      <c r="B720" s="472"/>
      <c r="C720" s="557"/>
      <c r="D720" s="567"/>
      <c r="E720" s="132"/>
      <c r="F720" s="472"/>
      <c r="G720" s="309"/>
      <c r="H720" s="309"/>
    </row>
    <row r="721" spans="2:8" ht="24.95" customHeight="1" x14ac:dyDescent="0.25">
      <c r="B721" s="472"/>
      <c r="C721" s="557"/>
      <c r="D721" s="567"/>
      <c r="E721" s="132"/>
      <c r="F721" s="472"/>
      <c r="G721" s="309"/>
      <c r="H721" s="309"/>
    </row>
    <row r="722" spans="2:8" ht="24.95" customHeight="1" x14ac:dyDescent="0.25">
      <c r="B722" s="472"/>
      <c r="C722" s="557"/>
      <c r="D722" s="567"/>
      <c r="E722" s="132"/>
      <c r="F722" s="472"/>
      <c r="G722" s="309"/>
      <c r="H722" s="309"/>
    </row>
    <row r="723" spans="2:8" ht="24.95" customHeight="1" x14ac:dyDescent="0.25">
      <c r="B723" s="472"/>
      <c r="C723" s="557"/>
      <c r="D723" s="567"/>
      <c r="E723" s="132"/>
      <c r="F723" s="472"/>
      <c r="G723" s="309"/>
      <c r="H723" s="309"/>
    </row>
    <row r="724" spans="2:8" ht="24.95" customHeight="1" x14ac:dyDescent="0.25">
      <c r="B724" s="472"/>
      <c r="C724" s="557"/>
      <c r="D724" s="567"/>
      <c r="E724" s="132"/>
      <c r="F724" s="472"/>
      <c r="G724" s="309"/>
      <c r="H724" s="309"/>
    </row>
    <row r="725" spans="2:8" ht="24.95" customHeight="1" x14ac:dyDescent="0.25">
      <c r="B725" s="472"/>
      <c r="C725" s="557"/>
      <c r="D725" s="567"/>
      <c r="E725" s="132"/>
      <c r="F725" s="472"/>
      <c r="G725" s="309"/>
      <c r="H725" s="309"/>
    </row>
    <row r="726" spans="2:8" ht="24.95" customHeight="1" x14ac:dyDescent="0.25">
      <c r="B726" s="472"/>
      <c r="C726" s="557"/>
      <c r="D726" s="567"/>
      <c r="E726" s="132"/>
      <c r="F726" s="472"/>
      <c r="G726" s="309"/>
      <c r="H726" s="309"/>
    </row>
    <row r="727" spans="2:8" ht="24.95" customHeight="1" x14ac:dyDescent="0.25">
      <c r="B727" s="472"/>
      <c r="C727" s="557"/>
      <c r="D727" s="567"/>
      <c r="E727" s="132"/>
      <c r="F727" s="472"/>
      <c r="G727" s="309"/>
      <c r="H727" s="309"/>
    </row>
    <row r="728" spans="2:8" ht="24.95" customHeight="1" x14ac:dyDescent="0.25">
      <c r="B728" s="472"/>
      <c r="C728" s="557"/>
      <c r="D728" s="567"/>
      <c r="E728" s="132"/>
      <c r="F728" s="472"/>
      <c r="G728" s="309"/>
      <c r="H728" s="309"/>
    </row>
    <row r="729" spans="2:8" ht="24.95" customHeight="1" x14ac:dyDescent="0.25">
      <c r="B729" s="472"/>
      <c r="C729" s="557"/>
      <c r="D729" s="567"/>
      <c r="E729" s="132"/>
      <c r="F729" s="472"/>
      <c r="G729" s="309"/>
      <c r="H729" s="309"/>
    </row>
    <row r="730" spans="2:8" ht="24.95" customHeight="1" x14ac:dyDescent="0.25">
      <c r="B730" s="472"/>
      <c r="C730" s="557"/>
      <c r="D730" s="567"/>
      <c r="E730" s="132"/>
      <c r="F730" s="472"/>
      <c r="G730" s="309"/>
      <c r="H730" s="309"/>
    </row>
    <row r="731" spans="2:8" ht="24.95" customHeight="1" x14ac:dyDescent="0.25">
      <c r="B731" s="472"/>
      <c r="C731" s="557"/>
      <c r="D731" s="567"/>
      <c r="E731" s="132"/>
      <c r="F731" s="472"/>
      <c r="G731" s="309"/>
      <c r="H731" s="309"/>
    </row>
    <row r="732" spans="2:8" ht="24.95" customHeight="1" x14ac:dyDescent="0.25">
      <c r="B732" s="472"/>
      <c r="C732" s="557"/>
      <c r="D732" s="567"/>
      <c r="E732" s="132"/>
      <c r="F732" s="472"/>
      <c r="G732" s="309"/>
      <c r="H732" s="309"/>
    </row>
    <row r="733" spans="2:8" ht="24.95" customHeight="1" x14ac:dyDescent="0.25">
      <c r="B733" s="472"/>
      <c r="C733" s="557"/>
      <c r="D733" s="567"/>
      <c r="E733" s="132"/>
      <c r="F733" s="472"/>
      <c r="G733" s="309"/>
      <c r="H733" s="309"/>
    </row>
    <row r="734" spans="2:8" ht="24.95" customHeight="1" x14ac:dyDescent="0.25">
      <c r="B734" s="472"/>
      <c r="C734" s="557"/>
      <c r="D734" s="567"/>
      <c r="E734" s="132"/>
      <c r="F734" s="472"/>
      <c r="G734" s="309"/>
      <c r="H734" s="309"/>
    </row>
    <row r="735" spans="2:8" ht="24.95" customHeight="1" x14ac:dyDescent="0.25">
      <c r="B735" s="472"/>
      <c r="C735" s="557"/>
      <c r="D735" s="567"/>
      <c r="E735" s="132"/>
      <c r="F735" s="472"/>
      <c r="G735" s="309"/>
      <c r="H735" s="309"/>
    </row>
    <row r="736" spans="2:8" ht="24.95" customHeight="1" x14ac:dyDescent="0.25">
      <c r="B736" s="472"/>
      <c r="C736" s="557"/>
      <c r="D736" s="567"/>
      <c r="E736" s="132"/>
      <c r="F736" s="472"/>
      <c r="G736" s="309"/>
      <c r="H736" s="309"/>
    </row>
    <row r="737" spans="2:8" ht="24.95" customHeight="1" x14ac:dyDescent="0.25">
      <c r="B737" s="472"/>
      <c r="C737" s="557"/>
      <c r="D737" s="567"/>
      <c r="E737" s="132"/>
      <c r="F737" s="472"/>
      <c r="G737" s="309"/>
      <c r="H737" s="309"/>
    </row>
    <row r="738" spans="2:8" ht="24.95" customHeight="1" x14ac:dyDescent="0.25">
      <c r="B738" s="472"/>
      <c r="C738" s="557"/>
      <c r="D738" s="567"/>
      <c r="E738" s="132"/>
      <c r="F738" s="472"/>
      <c r="G738" s="309"/>
      <c r="H738" s="309"/>
    </row>
    <row r="739" spans="2:8" ht="24.95" customHeight="1" x14ac:dyDescent="0.25">
      <c r="B739" s="472"/>
      <c r="C739" s="557"/>
      <c r="D739" s="567"/>
      <c r="E739" s="132"/>
      <c r="F739" s="472"/>
      <c r="G739" s="309"/>
      <c r="H739" s="309"/>
    </row>
    <row r="740" spans="2:8" ht="24.95" customHeight="1" x14ac:dyDescent="0.25">
      <c r="B740" s="472"/>
      <c r="C740" s="557"/>
      <c r="D740" s="567"/>
      <c r="E740" s="132"/>
      <c r="F740" s="472"/>
      <c r="G740" s="309"/>
      <c r="H740" s="309"/>
    </row>
    <row r="741" spans="2:8" ht="24.95" customHeight="1" x14ac:dyDescent="0.25">
      <c r="B741" s="472"/>
      <c r="C741" s="557"/>
      <c r="D741" s="567"/>
      <c r="E741" s="132"/>
      <c r="F741" s="472"/>
      <c r="G741" s="309"/>
      <c r="H741" s="309"/>
    </row>
    <row r="742" spans="2:8" ht="24.95" customHeight="1" x14ac:dyDescent="0.25">
      <c r="B742" s="472"/>
      <c r="C742" s="557"/>
      <c r="D742" s="567"/>
      <c r="E742" s="132"/>
      <c r="F742" s="472"/>
      <c r="G742" s="309"/>
      <c r="H742" s="309"/>
    </row>
    <row r="743" spans="2:8" ht="24.95" customHeight="1" x14ac:dyDescent="0.25">
      <c r="B743" s="472"/>
      <c r="C743" s="557"/>
      <c r="D743" s="567"/>
      <c r="E743" s="132"/>
      <c r="F743" s="472"/>
      <c r="G743" s="309"/>
      <c r="H743" s="309"/>
    </row>
    <row r="744" spans="2:8" ht="24.95" customHeight="1" x14ac:dyDescent="0.25">
      <c r="B744" s="472"/>
      <c r="C744" s="557"/>
      <c r="D744" s="567"/>
      <c r="E744" s="132"/>
      <c r="F744" s="472"/>
      <c r="G744" s="309"/>
      <c r="H744" s="309"/>
    </row>
    <row r="745" spans="2:8" ht="24.95" customHeight="1" x14ac:dyDescent="0.25">
      <c r="B745" s="472"/>
      <c r="C745" s="557"/>
      <c r="D745" s="567"/>
      <c r="E745" s="132"/>
      <c r="F745" s="472"/>
      <c r="G745" s="309"/>
      <c r="H745" s="309"/>
    </row>
    <row r="746" spans="2:8" ht="24.95" customHeight="1" x14ac:dyDescent="0.25">
      <c r="B746" s="472"/>
      <c r="C746" s="557"/>
      <c r="D746" s="567"/>
      <c r="E746" s="132"/>
      <c r="F746" s="472"/>
      <c r="G746" s="309"/>
      <c r="H746" s="309"/>
    </row>
    <row r="747" spans="2:8" ht="24.95" customHeight="1" x14ac:dyDescent="0.25">
      <c r="B747" s="472"/>
      <c r="C747" s="557"/>
      <c r="D747" s="567"/>
      <c r="E747" s="132"/>
      <c r="F747" s="472"/>
      <c r="G747" s="309"/>
      <c r="H747" s="309"/>
    </row>
    <row r="748" spans="2:8" ht="24.95" customHeight="1" x14ac:dyDescent="0.25">
      <c r="B748" s="472"/>
      <c r="C748" s="557"/>
      <c r="D748" s="567"/>
      <c r="E748" s="132"/>
      <c r="F748" s="472"/>
      <c r="G748" s="309"/>
      <c r="H748" s="309"/>
    </row>
    <row r="749" spans="2:8" ht="24.95" customHeight="1" x14ac:dyDescent="0.25">
      <c r="B749" s="472"/>
      <c r="C749" s="557"/>
      <c r="D749" s="567"/>
      <c r="E749" s="132"/>
      <c r="F749" s="472"/>
      <c r="G749" s="309"/>
      <c r="H749" s="309"/>
    </row>
    <row r="750" spans="2:8" ht="24.95" customHeight="1" x14ac:dyDescent="0.25">
      <c r="B750" s="472"/>
      <c r="C750" s="557"/>
      <c r="D750" s="567"/>
      <c r="E750" s="132"/>
      <c r="F750" s="472"/>
      <c r="G750" s="309"/>
      <c r="H750" s="309"/>
    </row>
    <row r="751" spans="2:8" ht="24.95" customHeight="1" x14ac:dyDescent="0.25">
      <c r="B751" s="472"/>
      <c r="C751" s="557"/>
      <c r="D751" s="567"/>
      <c r="E751" s="132"/>
      <c r="F751" s="472"/>
      <c r="G751" s="309"/>
      <c r="H751" s="309"/>
    </row>
    <row r="752" spans="2:8" ht="24.95" customHeight="1" x14ac:dyDescent="0.25">
      <c r="B752" s="472"/>
      <c r="C752" s="557"/>
      <c r="D752" s="567"/>
      <c r="E752" s="132"/>
      <c r="F752" s="472"/>
      <c r="G752" s="309"/>
      <c r="H752" s="309"/>
    </row>
    <row r="753" spans="2:8" ht="24.95" customHeight="1" x14ac:dyDescent="0.25">
      <c r="B753" s="472"/>
      <c r="C753" s="557"/>
      <c r="D753" s="567"/>
      <c r="E753" s="132"/>
      <c r="F753" s="472"/>
      <c r="G753" s="309"/>
      <c r="H753" s="309"/>
    </row>
    <row r="754" spans="2:8" ht="24.95" customHeight="1" x14ac:dyDescent="0.25">
      <c r="B754" s="472"/>
      <c r="C754" s="557"/>
      <c r="D754" s="567"/>
      <c r="E754" s="132"/>
      <c r="F754" s="472"/>
      <c r="G754" s="309"/>
      <c r="H754" s="309"/>
    </row>
    <row r="755" spans="2:8" ht="24.95" customHeight="1" x14ac:dyDescent="0.25">
      <c r="B755" s="472"/>
      <c r="C755" s="557"/>
      <c r="D755" s="567"/>
      <c r="E755" s="132"/>
      <c r="F755" s="472"/>
      <c r="G755" s="309"/>
      <c r="H755" s="309"/>
    </row>
    <row r="756" spans="2:8" ht="24.95" customHeight="1" x14ac:dyDescent="0.25">
      <c r="B756" s="472"/>
      <c r="C756" s="557"/>
      <c r="D756" s="567"/>
      <c r="E756" s="132"/>
      <c r="F756" s="472"/>
      <c r="G756" s="309"/>
      <c r="H756" s="309"/>
    </row>
    <row r="757" spans="2:8" ht="24.95" customHeight="1" x14ac:dyDescent="0.25">
      <c r="B757" s="472"/>
      <c r="C757" s="557"/>
      <c r="D757" s="567"/>
      <c r="E757" s="132"/>
      <c r="F757" s="472"/>
      <c r="G757" s="309"/>
      <c r="H757" s="309"/>
    </row>
    <row r="758" spans="2:8" ht="24.95" customHeight="1" x14ac:dyDescent="0.25">
      <c r="B758" s="472"/>
      <c r="C758" s="557"/>
      <c r="D758" s="567"/>
      <c r="E758" s="132"/>
      <c r="F758" s="472"/>
      <c r="G758" s="309"/>
      <c r="H758" s="309"/>
    </row>
    <row r="759" spans="2:8" ht="24.95" customHeight="1" x14ac:dyDescent="0.25">
      <c r="B759" s="472"/>
      <c r="C759" s="557"/>
      <c r="D759" s="567"/>
      <c r="E759" s="132"/>
      <c r="F759" s="472"/>
      <c r="G759" s="309"/>
      <c r="H759" s="309"/>
    </row>
    <row r="760" spans="2:8" ht="24.95" customHeight="1" x14ac:dyDescent="0.25">
      <c r="B760" s="472"/>
      <c r="C760" s="557"/>
      <c r="D760" s="567"/>
      <c r="E760" s="132"/>
      <c r="F760" s="472"/>
      <c r="G760" s="309"/>
      <c r="H760" s="309"/>
    </row>
    <row r="761" spans="2:8" ht="24.95" customHeight="1" x14ac:dyDescent="0.25">
      <c r="B761" s="472"/>
      <c r="C761" s="557"/>
      <c r="D761" s="567"/>
      <c r="E761" s="132"/>
      <c r="F761" s="472"/>
      <c r="G761" s="309"/>
      <c r="H761" s="309"/>
    </row>
    <row r="762" spans="2:8" ht="24.95" customHeight="1" x14ac:dyDescent="0.25">
      <c r="B762" s="472"/>
      <c r="C762" s="557"/>
      <c r="D762" s="567"/>
      <c r="E762" s="132"/>
      <c r="F762" s="472"/>
      <c r="G762" s="309"/>
      <c r="H762" s="309"/>
    </row>
    <row r="763" spans="2:8" ht="24.95" customHeight="1" x14ac:dyDescent="0.25">
      <c r="B763" s="472"/>
      <c r="C763" s="557"/>
      <c r="D763" s="567"/>
      <c r="E763" s="132"/>
      <c r="F763" s="472"/>
      <c r="G763" s="309"/>
      <c r="H763" s="309"/>
    </row>
    <row r="764" spans="2:8" ht="24.95" customHeight="1" x14ac:dyDescent="0.25">
      <c r="B764" s="472"/>
      <c r="C764" s="557"/>
      <c r="D764" s="567"/>
      <c r="E764" s="132"/>
      <c r="F764" s="472"/>
      <c r="G764" s="309"/>
      <c r="H764" s="309"/>
    </row>
    <row r="765" spans="2:8" ht="24.95" customHeight="1" x14ac:dyDescent="0.25">
      <c r="B765" s="472"/>
      <c r="C765" s="557"/>
      <c r="D765" s="567"/>
      <c r="E765" s="132"/>
      <c r="F765" s="472"/>
      <c r="G765" s="309"/>
      <c r="H765" s="309"/>
    </row>
    <row r="766" spans="2:8" ht="24.95" customHeight="1" x14ac:dyDescent="0.25">
      <c r="B766" s="472"/>
      <c r="C766" s="557"/>
      <c r="D766" s="567"/>
      <c r="E766" s="132"/>
      <c r="F766" s="472"/>
      <c r="G766" s="309"/>
      <c r="H766" s="309"/>
    </row>
    <row r="767" spans="2:8" ht="24.95" customHeight="1" x14ac:dyDescent="0.25">
      <c r="B767" s="472"/>
      <c r="C767" s="557"/>
      <c r="D767" s="567"/>
      <c r="E767" s="132"/>
      <c r="F767" s="472"/>
      <c r="G767" s="309"/>
      <c r="H767" s="309"/>
    </row>
    <row r="768" spans="2:8" ht="24.95" customHeight="1" x14ac:dyDescent="0.25">
      <c r="B768" s="472"/>
      <c r="C768" s="557"/>
      <c r="D768" s="567"/>
      <c r="E768" s="132"/>
      <c r="F768" s="472"/>
      <c r="G768" s="309"/>
      <c r="H768" s="309"/>
    </row>
    <row r="769" spans="2:8" ht="24.95" customHeight="1" x14ac:dyDescent="0.25">
      <c r="B769" s="472"/>
      <c r="C769" s="557"/>
      <c r="D769" s="567"/>
      <c r="E769" s="132"/>
      <c r="F769" s="472"/>
      <c r="G769" s="309"/>
      <c r="H769" s="309"/>
    </row>
    <row r="770" spans="2:8" ht="24.95" customHeight="1" x14ac:dyDescent="0.25">
      <c r="B770" s="472"/>
      <c r="C770" s="557"/>
      <c r="D770" s="567"/>
      <c r="E770" s="132"/>
      <c r="F770" s="472"/>
      <c r="G770" s="309"/>
      <c r="H770" s="309"/>
    </row>
    <row r="771" spans="2:8" ht="24.95" customHeight="1" x14ac:dyDescent="0.25">
      <c r="B771" s="472"/>
      <c r="C771" s="557"/>
      <c r="D771" s="567"/>
      <c r="E771" s="132"/>
      <c r="F771" s="472"/>
      <c r="G771" s="309"/>
      <c r="H771" s="309"/>
    </row>
    <row r="772" spans="2:8" ht="24.95" customHeight="1" x14ac:dyDescent="0.25">
      <c r="B772" s="472"/>
      <c r="C772" s="557"/>
      <c r="D772" s="567"/>
      <c r="E772" s="132"/>
      <c r="F772" s="472"/>
      <c r="G772" s="309"/>
      <c r="H772" s="309"/>
    </row>
    <row r="773" spans="2:8" ht="24.95" customHeight="1" x14ac:dyDescent="0.25">
      <c r="B773" s="472"/>
      <c r="C773" s="557"/>
      <c r="D773" s="567"/>
      <c r="E773" s="132"/>
      <c r="F773" s="472"/>
      <c r="G773" s="309"/>
      <c r="H773" s="309"/>
    </row>
    <row r="774" spans="2:8" ht="24.95" customHeight="1" x14ac:dyDescent="0.25">
      <c r="B774" s="472"/>
      <c r="C774" s="557"/>
      <c r="D774" s="567"/>
      <c r="E774" s="132"/>
      <c r="F774" s="472"/>
      <c r="G774" s="309"/>
      <c r="H774" s="309"/>
    </row>
    <row r="775" spans="2:8" ht="24.95" customHeight="1" x14ac:dyDescent="0.25">
      <c r="B775" s="472"/>
      <c r="C775" s="557"/>
      <c r="D775" s="567"/>
      <c r="E775" s="132"/>
      <c r="F775" s="472"/>
      <c r="G775" s="309"/>
      <c r="H775" s="309"/>
    </row>
    <row r="776" spans="2:8" ht="24.95" customHeight="1" x14ac:dyDescent="0.25">
      <c r="B776" s="472"/>
      <c r="C776" s="557"/>
      <c r="D776" s="567"/>
      <c r="E776" s="132"/>
      <c r="F776" s="472"/>
      <c r="G776" s="309"/>
      <c r="H776" s="309"/>
    </row>
    <row r="777" spans="2:8" ht="24.95" customHeight="1" x14ac:dyDescent="0.25">
      <c r="B777" s="472"/>
      <c r="C777" s="557"/>
      <c r="D777" s="567"/>
      <c r="E777" s="132"/>
      <c r="F777" s="472"/>
      <c r="G777" s="309"/>
      <c r="H777" s="309"/>
    </row>
    <row r="778" spans="2:8" ht="24.95" customHeight="1" x14ac:dyDescent="0.25">
      <c r="B778" s="472"/>
      <c r="C778" s="557"/>
      <c r="D778" s="567"/>
      <c r="E778" s="132"/>
      <c r="F778" s="472"/>
      <c r="G778" s="309"/>
      <c r="H778" s="309"/>
    </row>
    <row r="779" spans="2:8" ht="24.95" customHeight="1" x14ac:dyDescent="0.25">
      <c r="B779" s="472"/>
      <c r="C779" s="557"/>
      <c r="D779" s="567"/>
      <c r="E779" s="132"/>
      <c r="F779" s="472"/>
      <c r="G779" s="309"/>
      <c r="H779" s="309"/>
    </row>
    <row r="780" spans="2:8" ht="24.95" customHeight="1" x14ac:dyDescent="0.25">
      <c r="B780" s="472"/>
      <c r="C780" s="557"/>
      <c r="D780" s="567"/>
      <c r="E780" s="132"/>
      <c r="F780" s="472"/>
      <c r="G780" s="309"/>
      <c r="H780" s="309"/>
    </row>
    <row r="781" spans="2:8" ht="24.95" customHeight="1" x14ac:dyDescent="0.25">
      <c r="B781" s="472"/>
      <c r="C781" s="557"/>
      <c r="D781" s="567"/>
      <c r="E781" s="132"/>
      <c r="F781" s="472"/>
      <c r="G781" s="309"/>
      <c r="H781" s="309"/>
    </row>
    <row r="782" spans="2:8" ht="24.95" customHeight="1" x14ac:dyDescent="0.25">
      <c r="B782" s="472"/>
      <c r="C782" s="557"/>
      <c r="D782" s="567"/>
      <c r="E782" s="132"/>
      <c r="F782" s="472"/>
      <c r="G782" s="309"/>
      <c r="H782" s="309"/>
    </row>
    <row r="783" spans="2:8" ht="24.95" customHeight="1" x14ac:dyDescent="0.25">
      <c r="B783" s="472"/>
      <c r="C783" s="557"/>
      <c r="D783" s="567"/>
      <c r="E783" s="132"/>
      <c r="F783" s="472"/>
      <c r="G783" s="309"/>
      <c r="H783" s="309"/>
    </row>
    <row r="784" spans="2:8" ht="24.95" customHeight="1" x14ac:dyDescent="0.25">
      <c r="B784" s="472"/>
      <c r="C784" s="557"/>
      <c r="D784" s="567"/>
      <c r="E784" s="132"/>
      <c r="F784" s="472"/>
      <c r="G784" s="309"/>
      <c r="H784" s="309"/>
    </row>
    <row r="785" spans="2:8" ht="24.95" customHeight="1" x14ac:dyDescent="0.25">
      <c r="B785" s="472"/>
      <c r="C785" s="557"/>
      <c r="D785" s="567"/>
      <c r="E785" s="132"/>
      <c r="F785" s="472"/>
      <c r="G785" s="309"/>
      <c r="H785" s="309"/>
    </row>
    <row r="786" spans="2:8" ht="24.95" customHeight="1" x14ac:dyDescent="0.25">
      <c r="B786" s="472"/>
      <c r="C786" s="557"/>
      <c r="D786" s="567"/>
      <c r="E786" s="132"/>
      <c r="F786" s="472"/>
      <c r="G786" s="309"/>
      <c r="H786" s="309"/>
    </row>
    <row r="787" spans="2:8" ht="24.95" customHeight="1" x14ac:dyDescent="0.25">
      <c r="B787" s="472"/>
      <c r="C787" s="557"/>
      <c r="D787" s="567"/>
      <c r="E787" s="132"/>
      <c r="F787" s="472"/>
      <c r="G787" s="309"/>
      <c r="H787" s="309"/>
    </row>
    <row r="788" spans="2:8" ht="24.95" customHeight="1" x14ac:dyDescent="0.25">
      <c r="B788" s="472"/>
      <c r="C788" s="557"/>
      <c r="D788" s="567"/>
      <c r="E788" s="132"/>
      <c r="F788" s="472"/>
      <c r="G788" s="309"/>
      <c r="H788" s="309"/>
    </row>
    <row r="789" spans="2:8" ht="24.95" customHeight="1" x14ac:dyDescent="0.25">
      <c r="B789" s="472"/>
      <c r="C789" s="557"/>
      <c r="D789" s="567"/>
      <c r="E789" s="132"/>
      <c r="F789" s="472"/>
      <c r="G789" s="309"/>
      <c r="H789" s="309"/>
    </row>
    <row r="790" spans="2:8" ht="24.95" customHeight="1" x14ac:dyDescent="0.25">
      <c r="B790" s="472"/>
      <c r="C790" s="557"/>
      <c r="D790" s="567"/>
      <c r="E790" s="132"/>
      <c r="F790" s="472"/>
      <c r="G790" s="309"/>
      <c r="H790" s="309"/>
    </row>
    <row r="791" spans="2:8" ht="24.95" customHeight="1" x14ac:dyDescent="0.25">
      <c r="B791" s="472"/>
      <c r="C791" s="557"/>
      <c r="D791" s="567"/>
      <c r="E791" s="132"/>
      <c r="F791" s="472"/>
      <c r="G791" s="309"/>
      <c r="H791" s="309"/>
    </row>
    <row r="792" spans="2:8" ht="24.95" customHeight="1" x14ac:dyDescent="0.25">
      <c r="B792" s="472"/>
      <c r="C792" s="557"/>
      <c r="D792" s="567"/>
      <c r="E792" s="132"/>
      <c r="F792" s="472"/>
      <c r="G792" s="309"/>
      <c r="H792" s="309"/>
    </row>
    <row r="793" spans="2:8" ht="24.95" customHeight="1" x14ac:dyDescent="0.25">
      <c r="B793" s="472"/>
      <c r="C793" s="557"/>
      <c r="D793" s="567"/>
      <c r="E793" s="132"/>
      <c r="F793" s="472"/>
      <c r="G793" s="309"/>
      <c r="H793" s="309"/>
    </row>
    <row r="794" spans="2:8" ht="24.95" customHeight="1" x14ac:dyDescent="0.25">
      <c r="B794" s="472"/>
      <c r="C794" s="557"/>
      <c r="D794" s="567"/>
      <c r="E794" s="132"/>
      <c r="F794" s="472"/>
      <c r="G794" s="309"/>
      <c r="H794" s="309"/>
    </row>
    <row r="795" spans="2:8" ht="24.95" customHeight="1" x14ac:dyDescent="0.25">
      <c r="B795" s="472"/>
      <c r="C795" s="557"/>
      <c r="D795" s="567"/>
      <c r="E795" s="132"/>
      <c r="F795" s="472"/>
      <c r="G795" s="309"/>
      <c r="H795" s="309"/>
    </row>
    <row r="796" spans="2:8" ht="24.95" customHeight="1" x14ac:dyDescent="0.25">
      <c r="B796" s="472"/>
      <c r="C796" s="557"/>
      <c r="D796" s="567"/>
      <c r="E796" s="132"/>
      <c r="F796" s="472"/>
      <c r="G796" s="309"/>
      <c r="H796" s="309"/>
    </row>
    <row r="797" spans="2:8" ht="24.95" customHeight="1" x14ac:dyDescent="0.25">
      <c r="B797" s="472"/>
      <c r="C797" s="557"/>
      <c r="D797" s="567"/>
      <c r="E797" s="132"/>
      <c r="F797" s="472"/>
      <c r="G797" s="309"/>
      <c r="H797" s="309"/>
    </row>
    <row r="798" spans="2:8" ht="24.95" customHeight="1" x14ac:dyDescent="0.25">
      <c r="B798" s="472"/>
      <c r="C798" s="557"/>
      <c r="D798" s="567"/>
      <c r="E798" s="132"/>
      <c r="F798" s="472"/>
      <c r="G798" s="309"/>
      <c r="H798" s="309"/>
    </row>
    <row r="799" spans="2:8" ht="24.95" customHeight="1" x14ac:dyDescent="0.25">
      <c r="B799" s="472"/>
      <c r="C799" s="557"/>
      <c r="D799" s="567"/>
      <c r="E799" s="132"/>
      <c r="F799" s="472"/>
      <c r="G799" s="309"/>
      <c r="H799" s="309"/>
    </row>
    <row r="800" spans="2:8" ht="24.95" customHeight="1" x14ac:dyDescent="0.25">
      <c r="B800" s="472"/>
      <c r="C800" s="557"/>
      <c r="D800" s="567"/>
      <c r="E800" s="132"/>
      <c r="F800" s="472"/>
      <c r="G800" s="309"/>
      <c r="H800" s="309"/>
    </row>
    <row r="801" spans="2:8" ht="24.95" customHeight="1" x14ac:dyDescent="0.25">
      <c r="B801" s="472"/>
      <c r="C801" s="557"/>
      <c r="D801" s="567"/>
      <c r="E801" s="132"/>
      <c r="F801" s="472"/>
      <c r="G801" s="309"/>
      <c r="H801" s="309"/>
    </row>
    <row r="802" spans="2:8" ht="24.95" customHeight="1" x14ac:dyDescent="0.25">
      <c r="B802" s="472"/>
      <c r="C802" s="557"/>
      <c r="D802" s="567"/>
      <c r="E802" s="132"/>
      <c r="F802" s="472"/>
      <c r="G802" s="309"/>
      <c r="H802" s="309"/>
    </row>
    <row r="803" spans="2:8" ht="24.95" customHeight="1" x14ac:dyDescent="0.25">
      <c r="B803" s="472"/>
      <c r="C803" s="557"/>
      <c r="D803" s="567"/>
      <c r="E803" s="132"/>
      <c r="F803" s="472"/>
      <c r="G803" s="309"/>
      <c r="H803" s="309"/>
    </row>
    <row r="804" spans="2:8" ht="24.95" customHeight="1" x14ac:dyDescent="0.25">
      <c r="B804" s="472"/>
      <c r="C804" s="557"/>
      <c r="D804" s="567"/>
      <c r="E804" s="132"/>
      <c r="F804" s="472"/>
      <c r="G804" s="309"/>
      <c r="H804" s="309"/>
    </row>
    <row r="805" spans="2:8" ht="24.95" customHeight="1" x14ac:dyDescent="0.25">
      <c r="B805" s="472"/>
      <c r="C805" s="557"/>
      <c r="D805" s="567"/>
      <c r="E805" s="132"/>
      <c r="F805" s="472"/>
      <c r="G805" s="309"/>
      <c r="H805" s="309"/>
    </row>
    <row r="806" spans="2:8" ht="24.95" customHeight="1" x14ac:dyDescent="0.25">
      <c r="B806" s="472"/>
      <c r="C806" s="557"/>
      <c r="D806" s="567"/>
      <c r="E806" s="132"/>
      <c r="F806" s="472"/>
      <c r="G806" s="309"/>
      <c r="H806" s="309"/>
    </row>
    <row r="807" spans="2:8" ht="24.95" customHeight="1" x14ac:dyDescent="0.25">
      <c r="B807" s="472"/>
      <c r="C807" s="557"/>
      <c r="D807" s="567"/>
      <c r="E807" s="132"/>
      <c r="F807" s="472"/>
      <c r="G807" s="309"/>
      <c r="H807" s="309"/>
    </row>
    <row r="808" spans="2:8" ht="24.95" customHeight="1" x14ac:dyDescent="0.25">
      <c r="B808" s="472"/>
      <c r="C808" s="557"/>
      <c r="D808" s="567"/>
      <c r="E808" s="132"/>
      <c r="F808" s="472"/>
      <c r="G808" s="309"/>
      <c r="H808" s="309"/>
    </row>
    <row r="809" spans="2:8" ht="24.95" customHeight="1" x14ac:dyDescent="0.25">
      <c r="B809" s="472"/>
      <c r="C809" s="557"/>
      <c r="D809" s="567"/>
      <c r="E809" s="132"/>
      <c r="F809" s="472"/>
      <c r="G809" s="309"/>
      <c r="H809" s="309"/>
    </row>
    <row r="810" spans="2:8" ht="24.95" customHeight="1" x14ac:dyDescent="0.25">
      <c r="B810" s="472"/>
      <c r="C810" s="557"/>
      <c r="D810" s="567"/>
      <c r="E810" s="132"/>
      <c r="F810" s="472"/>
      <c r="G810" s="309"/>
      <c r="H810" s="309"/>
    </row>
    <row r="811" spans="2:8" ht="24.95" customHeight="1" x14ac:dyDescent="0.25">
      <c r="B811" s="472"/>
      <c r="C811" s="557"/>
      <c r="D811" s="567"/>
      <c r="E811" s="132"/>
      <c r="F811" s="472"/>
      <c r="G811" s="309"/>
      <c r="H811" s="309"/>
    </row>
    <row r="812" spans="2:8" ht="24.95" customHeight="1" x14ac:dyDescent="0.25">
      <c r="B812" s="472"/>
      <c r="C812" s="557"/>
      <c r="D812" s="567"/>
      <c r="E812" s="132"/>
      <c r="F812" s="472"/>
      <c r="G812" s="309"/>
      <c r="H812" s="309"/>
    </row>
    <row r="813" spans="2:8" ht="24.95" customHeight="1" x14ac:dyDescent="0.25">
      <c r="B813" s="472"/>
      <c r="C813" s="557"/>
      <c r="D813" s="567"/>
      <c r="E813" s="132"/>
      <c r="F813" s="472"/>
      <c r="G813" s="309"/>
      <c r="H813" s="309"/>
    </row>
    <row r="814" spans="2:8" ht="24.95" customHeight="1" x14ac:dyDescent="0.25">
      <c r="B814" s="472"/>
      <c r="C814" s="557"/>
      <c r="D814" s="567"/>
      <c r="E814" s="132"/>
      <c r="F814" s="472"/>
      <c r="G814" s="309"/>
      <c r="H814" s="309"/>
    </row>
    <row r="815" spans="2:8" ht="24.95" customHeight="1" x14ac:dyDescent="0.25">
      <c r="B815" s="472"/>
      <c r="C815" s="557"/>
      <c r="D815" s="567"/>
      <c r="E815" s="132"/>
      <c r="F815" s="472"/>
      <c r="G815" s="309"/>
      <c r="H815" s="309"/>
    </row>
    <row r="816" spans="2:8" ht="24.95" customHeight="1" x14ac:dyDescent="0.25">
      <c r="B816" s="472"/>
      <c r="C816" s="557"/>
      <c r="D816" s="567"/>
      <c r="E816" s="132"/>
      <c r="F816" s="472"/>
      <c r="G816" s="309"/>
      <c r="H816" s="309"/>
    </row>
    <row r="817" spans="2:8" ht="24.95" customHeight="1" x14ac:dyDescent="0.25">
      <c r="B817" s="472"/>
      <c r="C817" s="557"/>
      <c r="D817" s="567"/>
      <c r="E817" s="132"/>
      <c r="F817" s="472"/>
      <c r="G817" s="309"/>
      <c r="H817" s="309"/>
    </row>
    <row r="818" spans="2:8" ht="24.95" customHeight="1" x14ac:dyDescent="0.25">
      <c r="B818" s="472"/>
      <c r="C818" s="557"/>
      <c r="D818" s="567"/>
      <c r="E818" s="132"/>
      <c r="F818" s="472"/>
      <c r="G818" s="309"/>
      <c r="H818" s="309"/>
    </row>
    <row r="819" spans="2:8" ht="24.95" customHeight="1" x14ac:dyDescent="0.25">
      <c r="B819" s="472"/>
      <c r="C819" s="557"/>
      <c r="D819" s="567"/>
      <c r="E819" s="132"/>
      <c r="F819" s="472"/>
      <c r="G819" s="309"/>
      <c r="H819" s="309"/>
    </row>
    <row r="820" spans="2:8" ht="24.95" customHeight="1" x14ac:dyDescent="0.25">
      <c r="B820" s="472"/>
      <c r="C820" s="557"/>
      <c r="D820" s="567"/>
      <c r="E820" s="132"/>
      <c r="F820" s="472"/>
      <c r="G820" s="309"/>
      <c r="H820" s="309"/>
    </row>
    <row r="821" spans="2:8" ht="24.95" customHeight="1" x14ac:dyDescent="0.25">
      <c r="B821" s="472"/>
      <c r="C821" s="557"/>
      <c r="D821" s="567"/>
      <c r="E821" s="132"/>
      <c r="F821" s="472"/>
      <c r="G821" s="309"/>
      <c r="H821" s="309"/>
    </row>
    <row r="822" spans="2:8" ht="24.95" customHeight="1" x14ac:dyDescent="0.25">
      <c r="B822" s="472"/>
      <c r="C822" s="557"/>
      <c r="D822" s="567"/>
      <c r="E822" s="132"/>
      <c r="F822" s="472"/>
      <c r="G822" s="309"/>
      <c r="H822" s="309"/>
    </row>
    <row r="823" spans="2:8" ht="24.95" customHeight="1" x14ac:dyDescent="0.25">
      <c r="B823" s="472"/>
      <c r="C823" s="557"/>
      <c r="D823" s="567"/>
      <c r="E823" s="132"/>
      <c r="F823" s="472"/>
      <c r="G823" s="309"/>
      <c r="H823" s="309"/>
    </row>
    <row r="824" spans="2:8" ht="24.95" customHeight="1" x14ac:dyDescent="0.25">
      <c r="B824" s="472"/>
      <c r="C824" s="557"/>
      <c r="D824" s="567"/>
      <c r="E824" s="132"/>
      <c r="F824" s="472"/>
      <c r="G824" s="309"/>
      <c r="H824" s="309"/>
    </row>
    <row r="825" spans="2:8" ht="24.95" customHeight="1" x14ac:dyDescent="0.25">
      <c r="B825" s="472"/>
      <c r="C825" s="557"/>
      <c r="D825" s="567"/>
      <c r="E825" s="132"/>
      <c r="F825" s="472"/>
      <c r="G825" s="309"/>
      <c r="H825" s="309"/>
    </row>
    <row r="826" spans="2:8" ht="24.95" customHeight="1" x14ac:dyDescent="0.25">
      <c r="B826" s="472"/>
      <c r="C826" s="557"/>
      <c r="D826" s="567"/>
      <c r="E826" s="132"/>
      <c r="F826" s="472"/>
      <c r="G826" s="309"/>
      <c r="H826" s="309"/>
    </row>
    <row r="827" spans="2:8" ht="24.95" customHeight="1" x14ac:dyDescent="0.25">
      <c r="B827" s="472"/>
      <c r="C827" s="557"/>
      <c r="D827" s="567"/>
      <c r="E827" s="132"/>
      <c r="F827" s="472"/>
      <c r="G827" s="309"/>
      <c r="H827" s="309"/>
    </row>
    <row r="828" spans="2:8" ht="24.95" customHeight="1" x14ac:dyDescent="0.25">
      <c r="B828" s="472"/>
      <c r="C828" s="557"/>
      <c r="D828" s="567"/>
      <c r="E828" s="132"/>
      <c r="F828" s="472"/>
      <c r="G828" s="309"/>
      <c r="H828" s="309"/>
    </row>
    <row r="829" spans="2:8" ht="24.95" customHeight="1" x14ac:dyDescent="0.25">
      <c r="B829" s="472"/>
      <c r="C829" s="557"/>
      <c r="D829" s="567"/>
      <c r="E829" s="132"/>
      <c r="F829" s="472"/>
      <c r="G829" s="309"/>
      <c r="H829" s="309"/>
    </row>
    <row r="830" spans="2:8" ht="24.95" customHeight="1" x14ac:dyDescent="0.25">
      <c r="B830" s="472"/>
      <c r="C830" s="557"/>
      <c r="D830" s="567"/>
      <c r="E830" s="132"/>
      <c r="F830" s="472"/>
      <c r="G830" s="309"/>
      <c r="H830" s="309"/>
    </row>
    <row r="831" spans="2:8" ht="24.95" customHeight="1" x14ac:dyDescent="0.25">
      <c r="B831" s="472"/>
      <c r="C831" s="557"/>
      <c r="D831" s="567"/>
      <c r="E831" s="132"/>
      <c r="F831" s="472"/>
      <c r="G831" s="309"/>
      <c r="H831" s="309"/>
    </row>
    <row r="832" spans="2:8" ht="24.95" customHeight="1" x14ac:dyDescent="0.25">
      <c r="B832" s="472"/>
      <c r="C832" s="557"/>
      <c r="D832" s="567"/>
      <c r="E832" s="132"/>
      <c r="F832" s="472"/>
      <c r="G832" s="309"/>
      <c r="H832" s="309"/>
    </row>
    <row r="833" spans="2:8" ht="24.95" customHeight="1" x14ac:dyDescent="0.25">
      <c r="B833" s="472"/>
      <c r="C833" s="557"/>
      <c r="D833" s="567"/>
      <c r="E833" s="132"/>
      <c r="F833" s="472"/>
      <c r="G833" s="309"/>
      <c r="H833" s="309"/>
    </row>
    <row r="834" spans="2:8" ht="24.95" customHeight="1" x14ac:dyDescent="0.25">
      <c r="B834" s="472"/>
      <c r="C834" s="557"/>
      <c r="D834" s="567"/>
      <c r="E834" s="132"/>
      <c r="F834" s="472"/>
      <c r="G834" s="309"/>
      <c r="H834" s="309"/>
    </row>
    <row r="835" spans="2:8" ht="24.95" customHeight="1" x14ac:dyDescent="0.25">
      <c r="B835" s="472"/>
      <c r="C835" s="557"/>
      <c r="D835" s="567"/>
      <c r="E835" s="132"/>
      <c r="F835" s="472"/>
      <c r="G835" s="309"/>
      <c r="H835" s="309"/>
    </row>
    <row r="836" spans="2:8" ht="24.95" customHeight="1" x14ac:dyDescent="0.25">
      <c r="B836" s="472"/>
      <c r="C836" s="557"/>
      <c r="D836" s="567"/>
      <c r="E836" s="132"/>
      <c r="F836" s="472"/>
      <c r="G836" s="309"/>
      <c r="H836" s="309"/>
    </row>
    <row r="837" spans="2:8" ht="24.95" customHeight="1" x14ac:dyDescent="0.25">
      <c r="B837" s="472"/>
      <c r="C837" s="557"/>
      <c r="D837" s="567"/>
      <c r="E837" s="132"/>
      <c r="F837" s="472"/>
      <c r="G837" s="309"/>
      <c r="H837" s="309"/>
    </row>
    <row r="838" spans="2:8" ht="24.95" customHeight="1" x14ac:dyDescent="0.25">
      <c r="B838" s="472"/>
      <c r="C838" s="557"/>
      <c r="D838" s="567"/>
      <c r="E838" s="132"/>
      <c r="F838" s="472"/>
      <c r="G838" s="309"/>
      <c r="H838" s="309"/>
    </row>
    <row r="839" spans="2:8" ht="24.95" customHeight="1" x14ac:dyDescent="0.25">
      <c r="B839" s="472"/>
      <c r="C839" s="557"/>
      <c r="D839" s="567"/>
      <c r="E839" s="132"/>
      <c r="F839" s="472"/>
      <c r="G839" s="309"/>
      <c r="H839" s="309"/>
    </row>
    <row r="840" spans="2:8" ht="24.95" customHeight="1" x14ac:dyDescent="0.25">
      <c r="B840" s="472"/>
      <c r="C840" s="557"/>
      <c r="D840" s="567"/>
      <c r="E840" s="132"/>
      <c r="F840" s="472"/>
      <c r="G840" s="309"/>
      <c r="H840" s="309"/>
    </row>
    <row r="841" spans="2:8" ht="24.95" customHeight="1" x14ac:dyDescent="0.25">
      <c r="B841" s="472"/>
      <c r="C841" s="557"/>
      <c r="D841" s="567"/>
      <c r="E841" s="132"/>
      <c r="F841" s="472"/>
      <c r="G841" s="309"/>
      <c r="H841" s="309"/>
    </row>
    <row r="842" spans="2:8" ht="24.95" customHeight="1" x14ac:dyDescent="0.25">
      <c r="B842" s="472"/>
      <c r="C842" s="557"/>
      <c r="D842" s="567"/>
      <c r="E842" s="132"/>
      <c r="F842" s="472"/>
      <c r="G842" s="309"/>
      <c r="H842" s="309"/>
    </row>
    <row r="843" spans="2:8" ht="24.95" customHeight="1" x14ac:dyDescent="0.25">
      <c r="B843" s="472"/>
      <c r="C843" s="557"/>
      <c r="D843" s="567"/>
      <c r="E843" s="132"/>
      <c r="F843" s="472"/>
      <c r="G843" s="309"/>
      <c r="H843" s="309"/>
    </row>
    <row r="844" spans="2:8" ht="24.95" customHeight="1" x14ac:dyDescent="0.25">
      <c r="B844" s="472"/>
      <c r="C844" s="557"/>
      <c r="D844" s="567"/>
      <c r="E844" s="132"/>
      <c r="F844" s="472"/>
      <c r="G844" s="309"/>
      <c r="H844" s="309"/>
    </row>
    <row r="845" spans="2:8" ht="24.95" customHeight="1" x14ac:dyDescent="0.25">
      <c r="B845" s="472"/>
      <c r="C845" s="557"/>
      <c r="D845" s="567"/>
      <c r="E845" s="132"/>
      <c r="F845" s="472"/>
      <c r="G845" s="309"/>
      <c r="H845" s="309"/>
    </row>
    <row r="846" spans="2:8" ht="24.95" customHeight="1" x14ac:dyDescent="0.25">
      <c r="B846" s="472"/>
      <c r="C846" s="557"/>
      <c r="D846" s="567"/>
      <c r="E846" s="132"/>
      <c r="F846" s="472"/>
      <c r="G846" s="309"/>
      <c r="H846" s="309"/>
    </row>
    <row r="847" spans="2:8" ht="24.95" customHeight="1" x14ac:dyDescent="0.25">
      <c r="B847" s="472"/>
      <c r="C847" s="557"/>
      <c r="D847" s="567"/>
      <c r="E847" s="132"/>
      <c r="F847" s="472"/>
      <c r="G847" s="309"/>
      <c r="H847" s="309"/>
    </row>
    <row r="848" spans="2:8" ht="24.95" customHeight="1" x14ac:dyDescent="0.25">
      <c r="B848" s="472"/>
      <c r="C848" s="557"/>
      <c r="D848" s="567"/>
      <c r="E848" s="132"/>
      <c r="F848" s="472"/>
      <c r="G848" s="309"/>
      <c r="H848" s="309"/>
    </row>
    <row r="849" spans="2:8" ht="24.95" customHeight="1" x14ac:dyDescent="0.25">
      <c r="B849" s="472"/>
      <c r="C849" s="557"/>
      <c r="D849" s="567"/>
      <c r="E849" s="132"/>
      <c r="F849" s="472"/>
      <c r="G849" s="309"/>
      <c r="H849" s="309"/>
    </row>
    <row r="850" spans="2:8" ht="24.95" customHeight="1" x14ac:dyDescent="0.25">
      <c r="B850" s="472"/>
      <c r="C850" s="557"/>
      <c r="D850" s="567"/>
      <c r="E850" s="132"/>
      <c r="F850" s="472"/>
      <c r="G850" s="309"/>
      <c r="H850" s="309"/>
    </row>
    <row r="851" spans="2:8" ht="24.95" customHeight="1" x14ac:dyDescent="0.25">
      <c r="B851" s="472"/>
      <c r="C851" s="557"/>
      <c r="D851" s="567"/>
      <c r="E851" s="132"/>
      <c r="F851" s="472"/>
      <c r="G851" s="309"/>
      <c r="H851" s="309"/>
    </row>
    <row r="852" spans="2:8" ht="24.95" customHeight="1" x14ac:dyDescent="0.25">
      <c r="B852" s="472"/>
      <c r="C852" s="557"/>
      <c r="D852" s="567"/>
      <c r="E852" s="132"/>
      <c r="F852" s="472"/>
      <c r="G852" s="309"/>
      <c r="H852" s="309"/>
    </row>
    <row r="853" spans="2:8" ht="24.95" customHeight="1" x14ac:dyDescent="0.25">
      <c r="B853" s="472"/>
      <c r="C853" s="557"/>
      <c r="D853" s="567"/>
      <c r="E853" s="132"/>
      <c r="F853" s="472"/>
      <c r="G853" s="309"/>
      <c r="H853" s="309"/>
    </row>
    <row r="854" spans="2:8" ht="24.95" customHeight="1" x14ac:dyDescent="0.25">
      <c r="B854" s="472"/>
      <c r="C854" s="557"/>
      <c r="D854" s="567"/>
      <c r="E854" s="132"/>
      <c r="F854" s="472"/>
      <c r="G854" s="309"/>
      <c r="H854" s="309"/>
    </row>
    <row r="855" spans="2:8" ht="24.95" customHeight="1" x14ac:dyDescent="0.25">
      <c r="B855" s="472"/>
      <c r="C855" s="557"/>
      <c r="D855" s="567"/>
      <c r="E855" s="132"/>
      <c r="F855" s="472"/>
      <c r="G855" s="309"/>
      <c r="H855" s="309"/>
    </row>
    <row r="856" spans="2:8" ht="24.95" customHeight="1" x14ac:dyDescent="0.25">
      <c r="B856" s="472"/>
      <c r="C856" s="557"/>
      <c r="D856" s="567"/>
      <c r="E856" s="132"/>
      <c r="F856" s="472"/>
      <c r="G856" s="309"/>
      <c r="H856" s="309"/>
    </row>
    <row r="857" spans="2:8" ht="24.95" customHeight="1" x14ac:dyDescent="0.25">
      <c r="B857" s="472"/>
      <c r="C857" s="557"/>
      <c r="D857" s="567"/>
      <c r="E857" s="132"/>
      <c r="F857" s="472"/>
      <c r="G857" s="309"/>
      <c r="H857" s="309"/>
    </row>
    <row r="858" spans="2:8" ht="24.95" customHeight="1" x14ac:dyDescent="0.25">
      <c r="B858" s="472"/>
      <c r="C858" s="557"/>
      <c r="D858" s="567"/>
      <c r="E858" s="132"/>
      <c r="F858" s="472"/>
      <c r="G858" s="309"/>
      <c r="H858" s="309"/>
    </row>
    <row r="859" spans="2:8" ht="24.95" customHeight="1" x14ac:dyDescent="0.25">
      <c r="B859" s="472"/>
      <c r="C859" s="557"/>
      <c r="D859" s="567"/>
      <c r="E859" s="132"/>
      <c r="F859" s="472"/>
      <c r="G859" s="309"/>
      <c r="H859" s="309"/>
    </row>
    <row r="860" spans="2:8" ht="24.95" customHeight="1" x14ac:dyDescent="0.25">
      <c r="B860" s="472"/>
      <c r="C860" s="557"/>
      <c r="D860" s="567"/>
      <c r="E860" s="132"/>
      <c r="F860" s="472"/>
      <c r="G860" s="309"/>
      <c r="H860" s="309"/>
    </row>
    <row r="861" spans="2:8" ht="24.95" customHeight="1" x14ac:dyDescent="0.25">
      <c r="B861" s="472"/>
      <c r="C861" s="557"/>
      <c r="D861" s="567"/>
      <c r="E861" s="132"/>
      <c r="F861" s="472"/>
      <c r="G861" s="309"/>
      <c r="H861" s="309"/>
    </row>
    <row r="862" spans="2:8" ht="24.95" customHeight="1" x14ac:dyDescent="0.25">
      <c r="B862" s="472"/>
      <c r="C862" s="557"/>
      <c r="D862" s="567"/>
      <c r="E862" s="132"/>
      <c r="F862" s="472"/>
      <c r="G862" s="309"/>
      <c r="H862" s="309"/>
    </row>
    <row r="863" spans="2:8" ht="24.95" customHeight="1" x14ac:dyDescent="0.25">
      <c r="B863" s="472"/>
      <c r="C863" s="557"/>
      <c r="D863" s="567"/>
      <c r="E863" s="132"/>
      <c r="F863" s="472"/>
      <c r="G863" s="309"/>
      <c r="H863" s="309"/>
    </row>
    <row r="864" spans="2:8" ht="24.95" customHeight="1" x14ac:dyDescent="0.25">
      <c r="B864" s="472"/>
      <c r="C864" s="557"/>
      <c r="D864" s="567"/>
      <c r="E864" s="132"/>
      <c r="F864" s="472"/>
      <c r="G864" s="309"/>
      <c r="H864" s="309"/>
    </row>
    <row r="865" spans="2:8" ht="24.95" customHeight="1" x14ac:dyDescent="0.25">
      <c r="B865" s="472"/>
      <c r="C865" s="557"/>
      <c r="D865" s="567"/>
      <c r="E865" s="132"/>
      <c r="F865" s="472"/>
      <c r="G865" s="309"/>
      <c r="H865" s="309"/>
    </row>
    <row r="866" spans="2:8" ht="24.95" customHeight="1" x14ac:dyDescent="0.25">
      <c r="B866" s="472"/>
      <c r="C866" s="557"/>
      <c r="D866" s="567"/>
      <c r="E866" s="132"/>
      <c r="F866" s="472"/>
      <c r="G866" s="309"/>
      <c r="H866" s="309"/>
    </row>
    <row r="867" spans="2:8" ht="24.95" customHeight="1" x14ac:dyDescent="0.25">
      <c r="B867" s="472"/>
      <c r="C867" s="557"/>
      <c r="D867" s="567"/>
      <c r="E867" s="132"/>
      <c r="F867" s="472"/>
      <c r="G867" s="309"/>
      <c r="H867" s="309"/>
    </row>
    <row r="868" spans="2:8" ht="24.95" customHeight="1" x14ac:dyDescent="0.25">
      <c r="B868" s="472"/>
      <c r="C868" s="557"/>
      <c r="D868" s="567"/>
      <c r="E868" s="132"/>
      <c r="F868" s="472"/>
      <c r="G868" s="309"/>
      <c r="H868" s="309"/>
    </row>
    <row r="869" spans="2:8" ht="24.95" customHeight="1" x14ac:dyDescent="0.25">
      <c r="B869" s="472"/>
      <c r="C869" s="557"/>
      <c r="D869" s="567"/>
      <c r="E869" s="132"/>
      <c r="F869" s="472"/>
      <c r="G869" s="309"/>
      <c r="H869" s="309"/>
    </row>
    <row r="870" spans="2:8" ht="24.95" customHeight="1" x14ac:dyDescent="0.25">
      <c r="B870" s="472"/>
      <c r="C870" s="557"/>
      <c r="D870" s="567"/>
      <c r="E870" s="132"/>
      <c r="F870" s="472"/>
      <c r="G870" s="309"/>
      <c r="H870" s="309"/>
    </row>
    <row r="871" spans="2:8" ht="24.95" customHeight="1" x14ac:dyDescent="0.25">
      <c r="B871" s="472"/>
      <c r="C871" s="557"/>
      <c r="D871" s="567"/>
      <c r="E871" s="132"/>
      <c r="F871" s="472"/>
      <c r="G871" s="309"/>
      <c r="H871" s="309"/>
    </row>
    <row r="872" spans="2:8" ht="24.95" customHeight="1" x14ac:dyDescent="0.25">
      <c r="B872" s="472"/>
      <c r="C872" s="557"/>
      <c r="D872" s="567"/>
      <c r="E872" s="132"/>
      <c r="F872" s="472"/>
      <c r="G872" s="309"/>
      <c r="H872" s="309"/>
    </row>
    <row r="873" spans="2:8" ht="24.95" customHeight="1" x14ac:dyDescent="0.25">
      <c r="B873" s="472"/>
      <c r="C873" s="557"/>
      <c r="D873" s="567"/>
      <c r="E873" s="132"/>
      <c r="F873" s="472"/>
      <c r="G873" s="309"/>
      <c r="H873" s="309"/>
    </row>
    <row r="874" spans="2:8" ht="24.95" customHeight="1" x14ac:dyDescent="0.25">
      <c r="B874" s="472"/>
      <c r="C874" s="557"/>
      <c r="D874" s="567"/>
      <c r="E874" s="132"/>
      <c r="F874" s="472"/>
      <c r="G874" s="309"/>
      <c r="H874" s="309"/>
    </row>
    <row r="875" spans="2:8" ht="24.95" customHeight="1" x14ac:dyDescent="0.25">
      <c r="B875" s="472"/>
      <c r="C875" s="557"/>
      <c r="D875" s="567"/>
      <c r="E875" s="132"/>
      <c r="F875" s="472"/>
      <c r="G875" s="309"/>
      <c r="H875" s="309"/>
    </row>
    <row r="876" spans="2:8" ht="24.95" customHeight="1" x14ac:dyDescent="0.25">
      <c r="B876" s="472"/>
      <c r="C876" s="557"/>
      <c r="D876" s="567"/>
      <c r="E876" s="132"/>
      <c r="F876" s="472"/>
      <c r="G876" s="309"/>
      <c r="H876" s="309"/>
    </row>
    <row r="877" spans="2:8" ht="24.95" customHeight="1" x14ac:dyDescent="0.25">
      <c r="B877" s="472"/>
      <c r="C877" s="557"/>
      <c r="D877" s="567"/>
      <c r="E877" s="132"/>
      <c r="F877" s="472"/>
      <c r="G877" s="309"/>
      <c r="H877" s="309"/>
    </row>
    <row r="878" spans="2:8" ht="24.95" customHeight="1" x14ac:dyDescent="0.25">
      <c r="B878" s="472"/>
      <c r="C878" s="557"/>
      <c r="D878" s="567"/>
      <c r="E878" s="132"/>
      <c r="F878" s="472"/>
      <c r="G878" s="309"/>
      <c r="H878" s="309"/>
    </row>
    <row r="879" spans="2:8" ht="24.95" customHeight="1" x14ac:dyDescent="0.25">
      <c r="B879" s="472"/>
      <c r="C879" s="557"/>
      <c r="D879" s="567"/>
      <c r="E879" s="132"/>
      <c r="F879" s="472"/>
      <c r="G879" s="309"/>
      <c r="H879" s="309"/>
    </row>
    <row r="880" spans="2:8" ht="24.95" customHeight="1" x14ac:dyDescent="0.25">
      <c r="B880" s="472"/>
      <c r="C880" s="557"/>
      <c r="D880" s="567"/>
      <c r="E880" s="132"/>
      <c r="F880" s="472"/>
      <c r="G880" s="309"/>
      <c r="H880" s="309"/>
    </row>
    <row r="881" spans="2:8" ht="24.95" customHeight="1" x14ac:dyDescent="0.25">
      <c r="B881" s="472"/>
      <c r="C881" s="557"/>
      <c r="D881" s="567"/>
      <c r="E881" s="132"/>
      <c r="F881" s="472"/>
      <c r="G881" s="309"/>
      <c r="H881" s="309"/>
    </row>
    <row r="882" spans="2:8" ht="24.95" customHeight="1" x14ac:dyDescent="0.25">
      <c r="B882" s="472"/>
      <c r="C882" s="557"/>
      <c r="D882" s="567"/>
      <c r="E882" s="132"/>
      <c r="F882" s="472"/>
      <c r="G882" s="309"/>
      <c r="H882" s="309"/>
    </row>
    <row r="883" spans="2:8" ht="24.95" customHeight="1" x14ac:dyDescent="0.25">
      <c r="B883" s="472"/>
      <c r="C883" s="557"/>
      <c r="D883" s="567"/>
      <c r="E883" s="132"/>
      <c r="F883" s="472"/>
      <c r="G883" s="309"/>
      <c r="H883" s="309"/>
    </row>
    <row r="884" spans="2:8" ht="24.95" customHeight="1" x14ac:dyDescent="0.25">
      <c r="B884" s="472"/>
      <c r="C884" s="557"/>
      <c r="D884" s="567"/>
      <c r="E884" s="132"/>
      <c r="F884" s="472"/>
      <c r="G884" s="309"/>
      <c r="H884" s="309"/>
    </row>
    <row r="885" spans="2:8" ht="24.95" customHeight="1" x14ac:dyDescent="0.25">
      <c r="B885" s="472"/>
      <c r="C885" s="557"/>
      <c r="D885" s="567"/>
      <c r="E885" s="132"/>
      <c r="F885" s="472"/>
      <c r="G885" s="309"/>
      <c r="H885" s="309"/>
    </row>
    <row r="886" spans="2:8" ht="24.95" customHeight="1" x14ac:dyDescent="0.25">
      <c r="B886" s="472"/>
      <c r="C886" s="557"/>
      <c r="D886" s="567"/>
      <c r="E886" s="132"/>
      <c r="F886" s="472"/>
      <c r="G886" s="309"/>
      <c r="H886" s="309"/>
    </row>
    <row r="887" spans="2:8" ht="24.95" customHeight="1" x14ac:dyDescent="0.25">
      <c r="B887" s="472"/>
      <c r="C887" s="557"/>
      <c r="D887" s="567"/>
      <c r="E887" s="132"/>
      <c r="F887" s="472"/>
      <c r="G887" s="309"/>
      <c r="H887" s="309"/>
    </row>
    <row r="888" spans="2:8" ht="24.95" customHeight="1" x14ac:dyDescent="0.25">
      <c r="B888" s="472"/>
      <c r="C888" s="557"/>
      <c r="D888" s="567"/>
      <c r="E888" s="132"/>
      <c r="F888" s="472"/>
      <c r="G888" s="309"/>
      <c r="H888" s="309"/>
    </row>
    <row r="889" spans="2:8" ht="24.95" customHeight="1" x14ac:dyDescent="0.25">
      <c r="B889" s="472"/>
      <c r="C889" s="557"/>
      <c r="D889" s="567"/>
      <c r="E889" s="132"/>
      <c r="F889" s="472"/>
      <c r="G889" s="309"/>
      <c r="H889" s="309"/>
    </row>
    <row r="890" spans="2:8" ht="24.95" customHeight="1" x14ac:dyDescent="0.25">
      <c r="B890" s="472"/>
      <c r="C890" s="557"/>
      <c r="D890" s="567"/>
      <c r="E890" s="132"/>
      <c r="F890" s="472"/>
      <c r="G890" s="309"/>
      <c r="H890" s="309"/>
    </row>
    <row r="891" spans="2:8" ht="24.95" customHeight="1" x14ac:dyDescent="0.25">
      <c r="B891" s="472"/>
      <c r="C891" s="557"/>
      <c r="D891" s="567"/>
      <c r="E891" s="132"/>
      <c r="F891" s="472"/>
      <c r="G891" s="309"/>
      <c r="H891" s="309"/>
    </row>
    <row r="892" spans="2:8" ht="24.95" customHeight="1" x14ac:dyDescent="0.25">
      <c r="B892" s="472"/>
      <c r="C892" s="557"/>
      <c r="D892" s="567"/>
      <c r="E892" s="132"/>
      <c r="F892" s="472"/>
      <c r="G892" s="309"/>
      <c r="H892" s="309"/>
    </row>
    <row r="893" spans="2:8" ht="24.95" customHeight="1" x14ac:dyDescent="0.25">
      <c r="B893" s="472"/>
      <c r="C893" s="557"/>
      <c r="D893" s="567"/>
      <c r="E893" s="132"/>
      <c r="F893" s="472"/>
      <c r="G893" s="309"/>
      <c r="H893" s="309"/>
    </row>
    <row r="894" spans="2:8" ht="24.95" customHeight="1" x14ac:dyDescent="0.25">
      <c r="B894" s="472"/>
      <c r="C894" s="557"/>
      <c r="D894" s="567"/>
      <c r="E894" s="132"/>
      <c r="F894" s="472"/>
      <c r="G894" s="309"/>
      <c r="H894" s="309"/>
    </row>
    <row r="895" spans="2:8" ht="24.95" customHeight="1" x14ac:dyDescent="0.25">
      <c r="B895" s="472"/>
      <c r="C895" s="557"/>
      <c r="D895" s="567"/>
      <c r="E895" s="132"/>
      <c r="F895" s="472"/>
      <c r="G895" s="309"/>
      <c r="H895" s="309"/>
    </row>
    <row r="896" spans="2:8" ht="24.95" customHeight="1" x14ac:dyDescent="0.25">
      <c r="B896" s="472"/>
      <c r="C896" s="557"/>
      <c r="D896" s="567"/>
      <c r="E896" s="132"/>
      <c r="F896" s="472"/>
      <c r="G896" s="309"/>
      <c r="H896" s="309"/>
    </row>
    <row r="897" spans="2:8" ht="24.95" customHeight="1" x14ac:dyDescent="0.25">
      <c r="B897" s="472"/>
      <c r="C897" s="557"/>
      <c r="D897" s="567"/>
      <c r="E897" s="132"/>
      <c r="F897" s="472"/>
      <c r="G897" s="309"/>
      <c r="H897" s="309"/>
    </row>
    <row r="898" spans="2:8" ht="24.95" customHeight="1" x14ac:dyDescent="0.25">
      <c r="B898" s="472"/>
      <c r="C898" s="557"/>
      <c r="D898" s="567"/>
      <c r="E898" s="132"/>
      <c r="F898" s="472"/>
      <c r="G898" s="309"/>
      <c r="H898" s="309"/>
    </row>
    <row r="899" spans="2:8" ht="24.95" customHeight="1" x14ac:dyDescent="0.25">
      <c r="B899" s="472"/>
      <c r="C899" s="557"/>
      <c r="D899" s="567"/>
      <c r="E899" s="132"/>
      <c r="F899" s="472"/>
      <c r="G899" s="309"/>
      <c r="H899" s="309"/>
    </row>
    <row r="900" spans="2:8" ht="24.95" customHeight="1" x14ac:dyDescent="0.25">
      <c r="B900" s="472"/>
      <c r="C900" s="557"/>
      <c r="D900" s="567"/>
      <c r="E900" s="132"/>
      <c r="F900" s="472"/>
      <c r="G900" s="309"/>
      <c r="H900" s="309"/>
    </row>
    <row r="901" spans="2:8" ht="24.95" customHeight="1" x14ac:dyDescent="0.25">
      <c r="B901" s="472"/>
      <c r="C901" s="557"/>
      <c r="D901" s="567"/>
      <c r="E901" s="132"/>
      <c r="F901" s="472"/>
      <c r="G901" s="309"/>
      <c r="H901" s="309"/>
    </row>
    <row r="902" spans="2:8" ht="24.95" customHeight="1" x14ac:dyDescent="0.25">
      <c r="B902" s="472"/>
      <c r="C902" s="557"/>
      <c r="D902" s="567"/>
      <c r="E902" s="132"/>
      <c r="F902" s="472"/>
      <c r="G902" s="309"/>
      <c r="H902" s="309"/>
    </row>
    <row r="903" spans="2:8" ht="24.95" customHeight="1" x14ac:dyDescent="0.25">
      <c r="B903" s="472"/>
      <c r="C903" s="557"/>
      <c r="D903" s="567"/>
      <c r="E903" s="132"/>
      <c r="F903" s="472"/>
      <c r="G903" s="309"/>
      <c r="H903" s="309"/>
    </row>
    <row r="904" spans="2:8" ht="24.95" customHeight="1" x14ac:dyDescent="0.25">
      <c r="B904" s="472"/>
      <c r="C904" s="557"/>
      <c r="D904" s="567"/>
      <c r="E904" s="132"/>
      <c r="F904" s="472"/>
      <c r="G904" s="309"/>
      <c r="H904" s="309"/>
    </row>
    <row r="905" spans="2:8" ht="24.95" customHeight="1" x14ac:dyDescent="0.25">
      <c r="B905" s="472"/>
      <c r="C905" s="557"/>
      <c r="D905" s="567"/>
      <c r="E905" s="132"/>
      <c r="F905" s="472"/>
      <c r="G905" s="309"/>
      <c r="H905" s="309"/>
    </row>
    <row r="906" spans="2:8" ht="24.95" customHeight="1" x14ac:dyDescent="0.25">
      <c r="B906" s="472"/>
      <c r="C906" s="557"/>
      <c r="D906" s="567"/>
      <c r="E906" s="132"/>
      <c r="F906" s="472"/>
      <c r="G906" s="309"/>
      <c r="H906" s="309"/>
    </row>
    <row r="907" spans="2:8" ht="24.95" customHeight="1" x14ac:dyDescent="0.25">
      <c r="B907" s="472"/>
      <c r="C907" s="557"/>
      <c r="D907" s="567"/>
      <c r="E907" s="132"/>
      <c r="F907" s="472"/>
      <c r="G907" s="309"/>
      <c r="H907" s="309"/>
    </row>
    <row r="908" spans="2:8" ht="24.95" customHeight="1" x14ac:dyDescent="0.25">
      <c r="B908" s="472"/>
      <c r="C908" s="557"/>
      <c r="D908" s="567"/>
      <c r="E908" s="132"/>
      <c r="F908" s="472"/>
      <c r="G908" s="309"/>
      <c r="H908" s="309"/>
    </row>
    <row r="909" spans="2:8" ht="24.95" customHeight="1" x14ac:dyDescent="0.25">
      <c r="B909" s="472"/>
      <c r="C909" s="557"/>
      <c r="D909" s="567"/>
      <c r="E909" s="132"/>
      <c r="F909" s="472"/>
      <c r="G909" s="309"/>
      <c r="H909" s="309"/>
    </row>
    <row r="910" spans="2:8" ht="24.95" customHeight="1" x14ac:dyDescent="0.25">
      <c r="B910" s="472"/>
      <c r="C910" s="557"/>
      <c r="D910" s="567"/>
      <c r="E910" s="132"/>
      <c r="F910" s="472"/>
      <c r="G910" s="309"/>
      <c r="H910" s="309"/>
    </row>
    <row r="911" spans="2:8" ht="24.95" customHeight="1" x14ac:dyDescent="0.25">
      <c r="B911" s="472"/>
      <c r="C911" s="557"/>
      <c r="D911" s="567"/>
      <c r="E911" s="132"/>
      <c r="F911" s="472"/>
      <c r="G911" s="309"/>
      <c r="H911" s="309"/>
    </row>
    <row r="912" spans="2:8" ht="24.95" customHeight="1" x14ac:dyDescent="0.25">
      <c r="B912" s="472"/>
      <c r="C912" s="557"/>
      <c r="D912" s="567"/>
      <c r="E912" s="132"/>
      <c r="F912" s="472"/>
      <c r="G912" s="309"/>
      <c r="H912" s="309"/>
    </row>
    <row r="913" spans="2:8" ht="24.95" customHeight="1" x14ac:dyDescent="0.25">
      <c r="B913" s="472"/>
      <c r="C913" s="557"/>
      <c r="D913" s="567"/>
      <c r="E913" s="132"/>
      <c r="F913" s="472"/>
      <c r="G913" s="309"/>
      <c r="H913" s="309"/>
    </row>
    <row r="914" spans="2:8" ht="24.95" customHeight="1" x14ac:dyDescent="0.25">
      <c r="B914" s="472"/>
      <c r="C914" s="557"/>
      <c r="D914" s="567"/>
      <c r="E914" s="132"/>
      <c r="F914" s="472"/>
      <c r="G914" s="309"/>
      <c r="H914" s="309"/>
    </row>
    <row r="915" spans="2:8" ht="24.95" customHeight="1" x14ac:dyDescent="0.25">
      <c r="B915" s="472"/>
      <c r="C915" s="557"/>
      <c r="D915" s="567"/>
      <c r="E915" s="132"/>
      <c r="F915" s="472"/>
      <c r="G915" s="309"/>
      <c r="H915" s="309"/>
    </row>
    <row r="916" spans="2:8" ht="24.95" customHeight="1" x14ac:dyDescent="0.25">
      <c r="B916" s="472"/>
      <c r="C916" s="557"/>
      <c r="D916" s="567"/>
      <c r="E916" s="132"/>
      <c r="F916" s="472"/>
      <c r="G916" s="309"/>
      <c r="H916" s="309"/>
    </row>
    <row r="917" spans="2:8" ht="24.95" customHeight="1" x14ac:dyDescent="0.25">
      <c r="B917" s="472"/>
      <c r="C917" s="557"/>
      <c r="D917" s="567"/>
      <c r="E917" s="132"/>
      <c r="F917" s="472"/>
      <c r="G917" s="309"/>
      <c r="H917" s="309"/>
    </row>
    <row r="918" spans="2:8" ht="24.95" customHeight="1" x14ac:dyDescent="0.25">
      <c r="B918" s="472"/>
      <c r="C918" s="557"/>
      <c r="D918" s="567"/>
      <c r="E918" s="132"/>
      <c r="F918" s="472"/>
      <c r="G918" s="309"/>
      <c r="H918" s="309"/>
    </row>
    <row r="919" spans="2:8" ht="24.95" customHeight="1" x14ac:dyDescent="0.25">
      <c r="B919" s="472"/>
      <c r="C919" s="557"/>
      <c r="D919" s="567"/>
      <c r="E919" s="132"/>
      <c r="F919" s="472"/>
      <c r="G919" s="309"/>
      <c r="H919" s="309"/>
    </row>
    <row r="920" spans="2:8" ht="24.95" customHeight="1" x14ac:dyDescent="0.25">
      <c r="B920" s="472"/>
      <c r="C920" s="557"/>
      <c r="D920" s="567"/>
      <c r="E920" s="132"/>
      <c r="F920" s="472"/>
      <c r="G920" s="309"/>
      <c r="H920" s="309"/>
    </row>
    <row r="921" spans="2:8" ht="24.95" customHeight="1" x14ac:dyDescent="0.25">
      <c r="B921" s="472"/>
      <c r="C921" s="557"/>
      <c r="D921" s="567"/>
      <c r="E921" s="132"/>
      <c r="F921" s="472"/>
      <c r="G921" s="309"/>
      <c r="H921" s="309"/>
    </row>
    <row r="922" spans="2:8" ht="24.95" customHeight="1" x14ac:dyDescent="0.25">
      <c r="B922" s="472"/>
      <c r="C922" s="557"/>
      <c r="D922" s="567"/>
      <c r="E922" s="132"/>
      <c r="F922" s="472"/>
      <c r="G922" s="309"/>
      <c r="H922" s="309"/>
    </row>
    <row r="923" spans="2:8" ht="24.95" customHeight="1" x14ac:dyDescent="0.25">
      <c r="B923" s="472"/>
      <c r="C923" s="557"/>
      <c r="D923" s="567"/>
      <c r="E923" s="132"/>
      <c r="F923" s="472"/>
      <c r="G923" s="309"/>
      <c r="H923" s="309"/>
    </row>
    <row r="924" spans="2:8" ht="24.95" customHeight="1" x14ac:dyDescent="0.25">
      <c r="B924" s="472"/>
      <c r="C924" s="557"/>
      <c r="D924" s="567"/>
      <c r="E924" s="132"/>
      <c r="F924" s="472"/>
      <c r="G924" s="309"/>
      <c r="H924" s="309"/>
    </row>
    <row r="925" spans="2:8" ht="24.95" customHeight="1" x14ac:dyDescent="0.25">
      <c r="B925" s="472"/>
      <c r="C925" s="557"/>
      <c r="D925" s="567"/>
      <c r="E925" s="132"/>
      <c r="F925" s="472"/>
      <c r="G925" s="309"/>
      <c r="H925" s="309"/>
    </row>
    <row r="926" spans="2:8" ht="24.95" customHeight="1" x14ac:dyDescent="0.25">
      <c r="B926" s="472"/>
      <c r="C926" s="557"/>
      <c r="D926" s="567"/>
      <c r="E926" s="132"/>
      <c r="F926" s="472"/>
      <c r="G926" s="309"/>
      <c r="H926" s="309"/>
    </row>
    <row r="927" spans="2:8" ht="24.95" customHeight="1" x14ac:dyDescent="0.25">
      <c r="B927" s="472"/>
      <c r="C927" s="557"/>
      <c r="D927" s="567"/>
      <c r="E927" s="132"/>
      <c r="F927" s="472"/>
      <c r="G927" s="309"/>
      <c r="H927" s="309"/>
    </row>
    <row r="928" spans="2:8" ht="24.95" customHeight="1" x14ac:dyDescent="0.25">
      <c r="B928" s="472"/>
      <c r="C928" s="557"/>
      <c r="D928" s="567"/>
      <c r="E928" s="132"/>
      <c r="F928" s="472"/>
      <c r="G928" s="309"/>
      <c r="H928" s="309"/>
    </row>
    <row r="929" spans="2:8" ht="24.95" customHeight="1" x14ac:dyDescent="0.25">
      <c r="B929" s="472"/>
      <c r="C929" s="557"/>
      <c r="D929" s="567"/>
      <c r="E929" s="132"/>
      <c r="F929" s="472"/>
      <c r="G929" s="309"/>
      <c r="H929" s="309"/>
    </row>
    <row r="930" spans="2:8" ht="24.95" customHeight="1" x14ac:dyDescent="0.25">
      <c r="B930" s="472"/>
      <c r="C930" s="557"/>
      <c r="D930" s="567"/>
      <c r="E930" s="132"/>
      <c r="F930" s="472"/>
      <c r="G930" s="309"/>
      <c r="H930" s="309"/>
    </row>
    <row r="931" spans="2:8" ht="24.95" customHeight="1" x14ac:dyDescent="0.25">
      <c r="B931" s="472"/>
      <c r="C931" s="557"/>
      <c r="D931" s="567"/>
      <c r="E931" s="132"/>
      <c r="F931" s="472"/>
      <c r="G931" s="309"/>
      <c r="H931" s="309"/>
    </row>
    <row r="932" spans="2:8" ht="24.95" customHeight="1" x14ac:dyDescent="0.25">
      <c r="B932" s="472"/>
      <c r="C932" s="557"/>
      <c r="D932" s="567"/>
      <c r="E932" s="132"/>
      <c r="F932" s="472"/>
      <c r="G932" s="309"/>
      <c r="H932" s="309"/>
    </row>
    <row r="933" spans="2:8" ht="24.95" customHeight="1" x14ac:dyDescent="0.25">
      <c r="B933" s="472"/>
      <c r="C933" s="557"/>
      <c r="D933" s="567"/>
      <c r="E933" s="132"/>
      <c r="F933" s="472"/>
      <c r="G933" s="309"/>
      <c r="H933" s="309"/>
    </row>
    <row r="934" spans="2:8" ht="24.95" customHeight="1" x14ac:dyDescent="0.25">
      <c r="B934" s="472"/>
      <c r="C934" s="557"/>
      <c r="D934" s="567"/>
      <c r="E934" s="132"/>
      <c r="F934" s="472"/>
      <c r="G934" s="309"/>
      <c r="H934" s="309"/>
    </row>
    <row r="935" spans="2:8" ht="24.95" customHeight="1" x14ac:dyDescent="0.25">
      <c r="B935" s="472"/>
      <c r="C935" s="557"/>
      <c r="D935" s="567"/>
      <c r="E935" s="132"/>
      <c r="F935" s="472"/>
      <c r="G935" s="309"/>
      <c r="H935" s="309"/>
    </row>
    <row r="936" spans="2:8" ht="24.95" customHeight="1" x14ac:dyDescent="0.25">
      <c r="B936" s="472"/>
      <c r="C936" s="557"/>
      <c r="D936" s="567"/>
      <c r="E936" s="132"/>
      <c r="F936" s="472"/>
      <c r="G936" s="309"/>
      <c r="H936" s="309"/>
    </row>
    <row r="937" spans="2:8" ht="24.95" customHeight="1" x14ac:dyDescent="0.25">
      <c r="B937" s="472"/>
      <c r="C937" s="557"/>
      <c r="D937" s="567"/>
      <c r="E937" s="132"/>
      <c r="F937" s="472"/>
      <c r="G937" s="309"/>
      <c r="H937" s="309"/>
    </row>
    <row r="938" spans="2:8" ht="24.95" customHeight="1" x14ac:dyDescent="0.25">
      <c r="B938" s="472"/>
      <c r="C938" s="557"/>
      <c r="D938" s="567"/>
      <c r="E938" s="132"/>
      <c r="F938" s="472"/>
      <c r="G938" s="309"/>
      <c r="H938" s="309"/>
    </row>
    <row r="939" spans="2:8" ht="24.95" customHeight="1" x14ac:dyDescent="0.25">
      <c r="B939" s="472"/>
      <c r="C939" s="557"/>
      <c r="D939" s="567"/>
      <c r="E939" s="132"/>
      <c r="F939" s="472"/>
      <c r="G939" s="309"/>
      <c r="H939" s="309"/>
    </row>
    <row r="940" spans="2:8" ht="24.95" customHeight="1" x14ac:dyDescent="0.25">
      <c r="B940" s="472"/>
      <c r="C940" s="557"/>
      <c r="D940" s="567"/>
      <c r="E940" s="132"/>
      <c r="F940" s="472"/>
      <c r="G940" s="309"/>
      <c r="H940" s="309"/>
    </row>
    <row r="941" spans="2:8" ht="24.95" customHeight="1" x14ac:dyDescent="0.25">
      <c r="B941" s="472"/>
      <c r="C941" s="557"/>
      <c r="D941" s="567"/>
      <c r="E941" s="132"/>
      <c r="F941" s="472"/>
      <c r="G941" s="309"/>
      <c r="H941" s="309"/>
    </row>
    <row r="942" spans="2:8" ht="24.95" customHeight="1" x14ac:dyDescent="0.25">
      <c r="B942" s="472"/>
      <c r="C942" s="557"/>
      <c r="D942" s="567"/>
      <c r="E942" s="132"/>
      <c r="F942" s="472"/>
      <c r="G942" s="309"/>
      <c r="H942" s="309"/>
    </row>
    <row r="943" spans="2:8" ht="24.95" customHeight="1" x14ac:dyDescent="0.25">
      <c r="B943" s="472"/>
      <c r="C943" s="557"/>
      <c r="D943" s="567"/>
      <c r="E943" s="132"/>
      <c r="F943" s="472"/>
      <c r="G943" s="309"/>
      <c r="H943" s="309"/>
    </row>
    <row r="944" spans="2:8" ht="24.95" customHeight="1" x14ac:dyDescent="0.25">
      <c r="B944" s="472"/>
      <c r="C944" s="557"/>
      <c r="D944" s="567"/>
      <c r="E944" s="132"/>
      <c r="F944" s="472"/>
      <c r="G944" s="309"/>
      <c r="H944" s="309"/>
    </row>
    <row r="945" spans="2:8" ht="24.95" customHeight="1" x14ac:dyDescent="0.25">
      <c r="B945" s="472"/>
      <c r="C945" s="557"/>
      <c r="D945" s="567"/>
      <c r="E945" s="132"/>
      <c r="F945" s="472"/>
      <c r="G945" s="309"/>
      <c r="H945" s="309"/>
    </row>
    <row r="946" spans="2:8" ht="24.95" customHeight="1" x14ac:dyDescent="0.25">
      <c r="B946" s="472"/>
      <c r="C946" s="557"/>
      <c r="D946" s="567"/>
      <c r="E946" s="132"/>
      <c r="F946" s="472"/>
      <c r="G946" s="309"/>
      <c r="H946" s="309"/>
    </row>
    <row r="947" spans="2:8" ht="24.95" customHeight="1" x14ac:dyDescent="0.25">
      <c r="B947" s="472"/>
      <c r="C947" s="557"/>
      <c r="D947" s="567"/>
      <c r="E947" s="132"/>
      <c r="F947" s="472"/>
      <c r="G947" s="309"/>
      <c r="H947" s="309"/>
    </row>
    <row r="948" spans="2:8" ht="24.95" customHeight="1" x14ac:dyDescent="0.25">
      <c r="B948" s="472"/>
      <c r="C948" s="557"/>
      <c r="D948" s="567"/>
      <c r="E948" s="132"/>
      <c r="F948" s="472"/>
      <c r="G948" s="309"/>
      <c r="H948" s="309"/>
    </row>
    <row r="949" spans="2:8" ht="24.95" customHeight="1" x14ac:dyDescent="0.25">
      <c r="B949" s="472"/>
      <c r="C949" s="557"/>
      <c r="D949" s="567"/>
      <c r="E949" s="132"/>
      <c r="F949" s="472"/>
      <c r="G949" s="309"/>
      <c r="H949" s="309"/>
    </row>
    <row r="950" spans="2:8" ht="24.95" customHeight="1" x14ac:dyDescent="0.25">
      <c r="B950" s="472"/>
      <c r="C950" s="557"/>
      <c r="D950" s="567"/>
      <c r="E950" s="132"/>
      <c r="F950" s="472"/>
      <c r="G950" s="309"/>
      <c r="H950" s="309"/>
    </row>
    <row r="951" spans="2:8" ht="24.95" customHeight="1" x14ac:dyDescent="0.25">
      <c r="B951" s="472"/>
      <c r="C951" s="557"/>
      <c r="D951" s="567"/>
      <c r="E951" s="132"/>
      <c r="F951" s="472"/>
      <c r="G951" s="309"/>
      <c r="H951" s="309"/>
    </row>
    <row r="952" spans="2:8" ht="24.95" customHeight="1" x14ac:dyDescent="0.25">
      <c r="B952" s="472"/>
      <c r="C952" s="557"/>
      <c r="D952" s="567"/>
      <c r="E952" s="132"/>
      <c r="F952" s="472"/>
      <c r="G952" s="309"/>
      <c r="H952" s="309"/>
    </row>
    <row r="953" spans="2:8" ht="24.95" customHeight="1" x14ac:dyDescent="0.25">
      <c r="B953" s="472"/>
      <c r="C953" s="557"/>
      <c r="D953" s="567"/>
      <c r="E953" s="132"/>
      <c r="F953" s="472"/>
      <c r="G953" s="309"/>
      <c r="H953" s="309"/>
    </row>
    <row r="954" spans="2:8" ht="24.95" customHeight="1" x14ac:dyDescent="0.25">
      <c r="B954" s="472"/>
      <c r="C954" s="557"/>
      <c r="D954" s="567"/>
      <c r="E954" s="132"/>
      <c r="F954" s="472"/>
      <c r="G954" s="309"/>
      <c r="H954" s="309"/>
    </row>
    <row r="955" spans="2:8" ht="24.95" customHeight="1" x14ac:dyDescent="0.25">
      <c r="B955" s="472"/>
      <c r="C955" s="557"/>
      <c r="D955" s="567"/>
      <c r="E955" s="132"/>
      <c r="F955" s="472"/>
      <c r="G955" s="309"/>
      <c r="H955" s="309"/>
    </row>
    <row r="956" spans="2:8" ht="24.95" customHeight="1" x14ac:dyDescent="0.25">
      <c r="B956" s="472"/>
      <c r="C956" s="557"/>
      <c r="D956" s="567"/>
      <c r="E956" s="132"/>
      <c r="F956" s="472"/>
      <c r="G956" s="309"/>
      <c r="H956" s="309"/>
    </row>
    <row r="957" spans="2:8" ht="24.95" customHeight="1" x14ac:dyDescent="0.25">
      <c r="B957" s="472"/>
      <c r="C957" s="557"/>
      <c r="D957" s="567"/>
      <c r="E957" s="132"/>
      <c r="F957" s="472"/>
      <c r="G957" s="309"/>
      <c r="H957" s="309"/>
    </row>
    <row r="958" spans="2:8" ht="24.95" customHeight="1" x14ac:dyDescent="0.25">
      <c r="B958" s="472"/>
      <c r="C958" s="557"/>
      <c r="D958" s="567"/>
      <c r="E958" s="132"/>
      <c r="F958" s="472"/>
      <c r="G958" s="309"/>
      <c r="H958" s="309"/>
    </row>
    <row r="959" spans="2:8" ht="24.95" customHeight="1" x14ac:dyDescent="0.25">
      <c r="B959" s="472"/>
      <c r="C959" s="557"/>
      <c r="D959" s="567"/>
      <c r="E959" s="132"/>
      <c r="F959" s="472"/>
      <c r="G959" s="309"/>
      <c r="H959" s="309"/>
    </row>
    <row r="960" spans="2:8" ht="24.95" customHeight="1" x14ac:dyDescent="0.25">
      <c r="B960" s="472"/>
      <c r="C960" s="557"/>
      <c r="D960" s="567"/>
      <c r="E960" s="132"/>
      <c r="F960" s="472"/>
      <c r="G960" s="309"/>
      <c r="H960" s="309"/>
    </row>
    <row r="961" spans="2:8" ht="24.95" customHeight="1" x14ac:dyDescent="0.25">
      <c r="B961" s="472"/>
      <c r="C961" s="557"/>
      <c r="D961" s="567"/>
      <c r="E961" s="132"/>
      <c r="F961" s="472"/>
      <c r="G961" s="309"/>
      <c r="H961" s="309"/>
    </row>
    <row r="962" spans="2:8" ht="24.95" customHeight="1" x14ac:dyDescent="0.25">
      <c r="B962" s="472"/>
      <c r="C962" s="557"/>
      <c r="D962" s="567"/>
      <c r="E962" s="132"/>
      <c r="F962" s="472"/>
      <c r="G962" s="309"/>
      <c r="H962" s="309"/>
    </row>
    <row r="963" spans="2:8" ht="24.95" customHeight="1" x14ac:dyDescent="0.25">
      <c r="B963" s="472"/>
      <c r="C963" s="557"/>
      <c r="D963" s="567"/>
      <c r="E963" s="132"/>
      <c r="F963" s="472"/>
      <c r="G963" s="309"/>
      <c r="H963" s="309"/>
    </row>
    <row r="964" spans="2:8" ht="24.95" customHeight="1" x14ac:dyDescent="0.25">
      <c r="B964" s="472"/>
      <c r="C964" s="557"/>
      <c r="D964" s="567"/>
      <c r="E964" s="132"/>
      <c r="F964" s="472"/>
      <c r="G964" s="309"/>
      <c r="H964" s="309"/>
    </row>
    <row r="965" spans="2:8" ht="24.95" customHeight="1" x14ac:dyDescent="0.25">
      <c r="B965" s="472"/>
      <c r="C965" s="557"/>
      <c r="D965" s="567"/>
      <c r="E965" s="132"/>
      <c r="F965" s="472"/>
      <c r="G965" s="309"/>
      <c r="H965" s="309"/>
    </row>
    <row r="966" spans="2:8" ht="24.95" customHeight="1" x14ac:dyDescent="0.25">
      <c r="B966" s="472"/>
      <c r="C966" s="557"/>
      <c r="D966" s="567"/>
      <c r="E966" s="132"/>
      <c r="F966" s="472"/>
      <c r="G966" s="309"/>
      <c r="H966" s="309"/>
    </row>
    <row r="967" spans="2:8" ht="24.95" customHeight="1" x14ac:dyDescent="0.25">
      <c r="B967" s="472"/>
      <c r="C967" s="557"/>
      <c r="D967" s="567"/>
      <c r="E967" s="132"/>
      <c r="F967" s="472"/>
      <c r="G967" s="309"/>
      <c r="H967" s="309"/>
    </row>
    <row r="968" spans="2:8" ht="24.95" customHeight="1" x14ac:dyDescent="0.25">
      <c r="B968" s="472"/>
      <c r="C968" s="557"/>
      <c r="D968" s="567"/>
      <c r="E968" s="132"/>
      <c r="F968" s="472"/>
      <c r="G968" s="309"/>
      <c r="H968" s="309"/>
    </row>
    <row r="969" spans="2:8" ht="24.95" customHeight="1" x14ac:dyDescent="0.25">
      <c r="B969" s="472"/>
      <c r="C969" s="557"/>
      <c r="D969" s="567"/>
      <c r="E969" s="132"/>
      <c r="F969" s="472"/>
      <c r="G969" s="309"/>
      <c r="H969" s="309"/>
    </row>
    <row r="970" spans="2:8" ht="24.95" customHeight="1" x14ac:dyDescent="0.25">
      <c r="B970" s="472"/>
      <c r="C970" s="557"/>
      <c r="D970" s="567"/>
      <c r="E970" s="132"/>
      <c r="F970" s="472"/>
      <c r="G970" s="309"/>
      <c r="H970" s="309"/>
    </row>
    <row r="971" spans="2:8" ht="24.95" customHeight="1" x14ac:dyDescent="0.25">
      <c r="B971" s="472"/>
      <c r="C971" s="557"/>
      <c r="D971" s="567"/>
      <c r="E971" s="132"/>
      <c r="F971" s="472"/>
      <c r="G971" s="309"/>
      <c r="H971" s="309"/>
    </row>
    <row r="972" spans="2:8" ht="24.95" customHeight="1" x14ac:dyDescent="0.25">
      <c r="B972" s="472"/>
      <c r="C972" s="557"/>
      <c r="D972" s="567"/>
      <c r="E972" s="132"/>
      <c r="F972" s="472"/>
      <c r="G972" s="309"/>
      <c r="H972" s="309"/>
    </row>
    <row r="973" spans="2:8" ht="24.95" customHeight="1" x14ac:dyDescent="0.25">
      <c r="B973" s="472"/>
      <c r="C973" s="557"/>
      <c r="D973" s="567"/>
      <c r="E973" s="132"/>
      <c r="F973" s="472"/>
      <c r="G973" s="309"/>
      <c r="H973" s="309"/>
    </row>
    <row r="974" spans="2:8" ht="24.95" customHeight="1" x14ac:dyDescent="0.25">
      <c r="B974" s="472"/>
      <c r="C974" s="557"/>
      <c r="D974" s="567"/>
      <c r="E974" s="132"/>
      <c r="F974" s="472"/>
      <c r="G974" s="309"/>
      <c r="H974" s="309"/>
    </row>
    <row r="975" spans="2:8" ht="24.95" customHeight="1" x14ac:dyDescent="0.25">
      <c r="B975" s="472"/>
      <c r="C975" s="557"/>
      <c r="D975" s="567"/>
      <c r="E975" s="132"/>
      <c r="F975" s="472"/>
      <c r="G975" s="309"/>
      <c r="H975" s="309"/>
    </row>
    <row r="976" spans="2:8" ht="24.95" customHeight="1" x14ac:dyDescent="0.25">
      <c r="B976" s="472"/>
      <c r="C976" s="557"/>
      <c r="D976" s="567"/>
      <c r="E976" s="132"/>
      <c r="F976" s="472"/>
      <c r="G976" s="309"/>
      <c r="H976" s="309"/>
    </row>
    <row r="977" spans="2:8" ht="24.95" customHeight="1" x14ac:dyDescent="0.25">
      <c r="B977" s="472"/>
      <c r="C977" s="557"/>
      <c r="D977" s="567"/>
      <c r="E977" s="132"/>
      <c r="F977" s="472"/>
      <c r="G977" s="309"/>
      <c r="H977" s="309"/>
    </row>
    <row r="978" spans="2:8" ht="24.95" customHeight="1" x14ac:dyDescent="0.25">
      <c r="B978" s="472"/>
      <c r="C978" s="557"/>
      <c r="D978" s="567"/>
      <c r="E978" s="132"/>
      <c r="F978" s="472"/>
      <c r="G978" s="309"/>
      <c r="H978" s="309"/>
    </row>
    <row r="979" spans="2:8" ht="24.95" customHeight="1" x14ac:dyDescent="0.25">
      <c r="B979" s="472"/>
      <c r="C979" s="557"/>
      <c r="D979" s="567"/>
      <c r="E979" s="132"/>
      <c r="F979" s="472"/>
      <c r="G979" s="309"/>
      <c r="H979" s="309"/>
    </row>
    <row r="980" spans="2:8" ht="24.95" customHeight="1" x14ac:dyDescent="0.25">
      <c r="B980" s="472"/>
      <c r="C980" s="557"/>
      <c r="D980" s="567"/>
      <c r="E980" s="132"/>
      <c r="F980" s="472"/>
      <c r="G980" s="309"/>
      <c r="H980" s="309"/>
    </row>
    <row r="981" spans="2:8" ht="24.95" customHeight="1" x14ac:dyDescent="0.25">
      <c r="B981" s="472"/>
      <c r="C981" s="557"/>
      <c r="D981" s="567"/>
      <c r="E981" s="132"/>
      <c r="F981" s="472"/>
      <c r="G981" s="309"/>
      <c r="H981" s="309"/>
    </row>
    <row r="982" spans="2:8" ht="24.95" customHeight="1" x14ac:dyDescent="0.25">
      <c r="B982" s="472"/>
      <c r="C982" s="557"/>
      <c r="D982" s="567"/>
      <c r="E982" s="132"/>
      <c r="F982" s="472"/>
      <c r="G982" s="309"/>
      <c r="H982" s="309"/>
    </row>
    <row r="983" spans="2:8" ht="24.95" customHeight="1" x14ac:dyDescent="0.25">
      <c r="B983" s="472"/>
      <c r="C983" s="557"/>
      <c r="D983" s="567"/>
      <c r="E983" s="132"/>
      <c r="F983" s="472"/>
      <c r="G983" s="309"/>
      <c r="H983" s="309"/>
    </row>
    <row r="984" spans="2:8" ht="24.95" customHeight="1" x14ac:dyDescent="0.25">
      <c r="B984" s="472"/>
      <c r="C984" s="557"/>
      <c r="D984" s="567"/>
      <c r="E984" s="132"/>
      <c r="F984" s="472"/>
      <c r="G984" s="309"/>
      <c r="H984" s="309"/>
    </row>
    <row r="985" spans="2:8" ht="24.95" customHeight="1" x14ac:dyDescent="0.25">
      <c r="B985" s="472"/>
      <c r="C985" s="557"/>
      <c r="D985" s="567"/>
      <c r="E985" s="132"/>
      <c r="F985" s="472"/>
      <c r="G985" s="309"/>
      <c r="H985" s="309"/>
    </row>
    <row r="986" spans="2:8" ht="24.95" customHeight="1" x14ac:dyDescent="0.25">
      <c r="B986" s="472"/>
      <c r="C986" s="557"/>
      <c r="D986" s="567"/>
      <c r="E986" s="132"/>
      <c r="F986" s="472"/>
      <c r="G986" s="309"/>
      <c r="H986" s="309"/>
    </row>
    <row r="987" spans="2:8" ht="24.95" customHeight="1" x14ac:dyDescent="0.25">
      <c r="B987" s="472"/>
      <c r="C987" s="557"/>
      <c r="D987" s="567"/>
      <c r="E987" s="132"/>
      <c r="F987" s="472"/>
      <c r="G987" s="309"/>
      <c r="H987" s="309"/>
    </row>
    <row r="988" spans="2:8" ht="24.95" customHeight="1" x14ac:dyDescent="0.25">
      <c r="B988" s="472"/>
      <c r="C988" s="557"/>
      <c r="D988" s="567"/>
      <c r="E988" s="132"/>
      <c r="F988" s="472"/>
      <c r="G988" s="309"/>
      <c r="H988" s="309"/>
    </row>
    <row r="989" spans="2:8" ht="24.95" customHeight="1" x14ac:dyDescent="0.25">
      <c r="B989" s="472"/>
      <c r="C989" s="557"/>
      <c r="D989" s="567"/>
      <c r="E989" s="132"/>
      <c r="F989" s="472"/>
      <c r="G989" s="309"/>
      <c r="H989" s="309"/>
    </row>
    <row r="990" spans="2:8" ht="24.95" customHeight="1" x14ac:dyDescent="0.25">
      <c r="B990" s="472"/>
      <c r="C990" s="557"/>
      <c r="D990" s="567"/>
      <c r="E990" s="132"/>
      <c r="F990" s="472"/>
      <c r="G990" s="309"/>
      <c r="H990" s="309"/>
    </row>
    <row r="991" spans="2:8" ht="24.95" customHeight="1" x14ac:dyDescent="0.25">
      <c r="B991" s="472"/>
      <c r="C991" s="557"/>
      <c r="D991" s="567"/>
      <c r="E991" s="132"/>
      <c r="F991" s="472"/>
      <c r="G991" s="309"/>
      <c r="H991" s="309"/>
    </row>
    <row r="992" spans="2:8" ht="24.95" customHeight="1" x14ac:dyDescent="0.25">
      <c r="B992" s="472"/>
      <c r="C992" s="557"/>
      <c r="D992" s="567"/>
      <c r="E992" s="132"/>
      <c r="F992" s="472"/>
      <c r="G992" s="309"/>
      <c r="H992" s="309"/>
    </row>
    <row r="993" spans="2:8" ht="24.95" customHeight="1" x14ac:dyDescent="0.25">
      <c r="B993" s="472"/>
      <c r="C993" s="557"/>
      <c r="D993" s="567"/>
      <c r="E993" s="132"/>
      <c r="F993" s="472"/>
      <c r="G993" s="309"/>
      <c r="H993" s="309"/>
    </row>
    <row r="994" spans="2:8" ht="24.95" customHeight="1" x14ac:dyDescent="0.25">
      <c r="B994" s="472"/>
      <c r="C994" s="557"/>
      <c r="D994" s="567"/>
      <c r="E994" s="132"/>
      <c r="F994" s="472"/>
      <c r="G994" s="309"/>
      <c r="H994" s="309"/>
    </row>
    <row r="995" spans="2:8" ht="24.95" customHeight="1" x14ac:dyDescent="0.25">
      <c r="B995" s="472"/>
      <c r="C995" s="557"/>
      <c r="D995" s="567"/>
      <c r="E995" s="132"/>
      <c r="F995" s="472"/>
      <c r="G995" s="309"/>
      <c r="H995" s="309"/>
    </row>
    <row r="996" spans="2:8" ht="24.95" customHeight="1" x14ac:dyDescent="0.25">
      <c r="B996" s="472"/>
      <c r="C996" s="557"/>
      <c r="D996" s="567"/>
      <c r="E996" s="132"/>
      <c r="F996" s="472"/>
      <c r="G996" s="309"/>
      <c r="H996" s="309"/>
    </row>
    <row r="997" spans="2:8" ht="24.95" customHeight="1" x14ac:dyDescent="0.25">
      <c r="B997" s="472"/>
      <c r="C997" s="557"/>
      <c r="D997" s="567"/>
      <c r="E997" s="132"/>
      <c r="F997" s="472"/>
      <c r="G997" s="309"/>
      <c r="H997" s="309"/>
    </row>
    <row r="998" spans="2:8" ht="24.95" customHeight="1" x14ac:dyDescent="0.25">
      <c r="B998" s="472"/>
      <c r="C998" s="557"/>
      <c r="D998" s="567"/>
      <c r="E998" s="132"/>
      <c r="F998" s="472"/>
      <c r="G998" s="309"/>
      <c r="H998" s="309"/>
    </row>
    <row r="999" spans="2:8" ht="24.95" customHeight="1" x14ac:dyDescent="0.25">
      <c r="B999" s="472"/>
      <c r="C999" s="557"/>
      <c r="D999" s="567"/>
      <c r="E999" s="132"/>
      <c r="F999" s="472"/>
      <c r="G999" s="309"/>
      <c r="H999" s="309"/>
    </row>
    <row r="1000" spans="2:8" ht="24.95" customHeight="1" x14ac:dyDescent="0.25">
      <c r="B1000" s="472"/>
      <c r="C1000" s="557"/>
      <c r="D1000" s="567"/>
      <c r="E1000" s="132"/>
      <c r="F1000" s="472"/>
      <c r="G1000" s="309"/>
      <c r="H1000" s="309"/>
    </row>
    <row r="1001" spans="2:8" ht="24.95" customHeight="1" x14ac:dyDescent="0.25">
      <c r="B1001" s="472"/>
      <c r="C1001" s="557"/>
      <c r="D1001" s="567"/>
      <c r="E1001" s="132"/>
      <c r="F1001" s="472"/>
      <c r="G1001" s="309"/>
      <c r="H1001" s="309"/>
    </row>
    <row r="1002" spans="2:8" ht="24.95" customHeight="1" x14ac:dyDescent="0.25">
      <c r="B1002" s="472"/>
      <c r="C1002" s="557"/>
      <c r="D1002" s="567"/>
      <c r="E1002" s="132"/>
      <c r="F1002" s="472"/>
      <c r="G1002" s="309"/>
      <c r="H1002" s="309"/>
    </row>
    <row r="1003" spans="2:8" ht="24.95" customHeight="1" x14ac:dyDescent="0.25">
      <c r="B1003" s="472"/>
      <c r="C1003" s="557"/>
      <c r="D1003" s="567"/>
      <c r="E1003" s="132"/>
      <c r="F1003" s="472"/>
      <c r="G1003" s="309"/>
      <c r="H1003" s="309"/>
    </row>
    <row r="1004" spans="2:8" ht="24.95" customHeight="1" x14ac:dyDescent="0.25">
      <c r="B1004" s="472"/>
      <c r="C1004" s="557"/>
      <c r="D1004" s="567"/>
      <c r="E1004" s="132"/>
      <c r="F1004" s="472"/>
      <c r="G1004" s="309"/>
      <c r="H1004" s="309"/>
    </row>
    <row r="1005" spans="2:8" ht="24.95" customHeight="1" x14ac:dyDescent="0.25">
      <c r="B1005" s="472"/>
      <c r="C1005" s="557"/>
      <c r="D1005" s="567"/>
      <c r="E1005" s="132"/>
      <c r="F1005" s="472"/>
      <c r="G1005" s="309"/>
      <c r="H1005" s="309"/>
    </row>
    <row r="1006" spans="2:8" ht="24.95" customHeight="1" x14ac:dyDescent="0.25">
      <c r="B1006" s="472"/>
      <c r="C1006" s="557"/>
      <c r="D1006" s="567"/>
      <c r="E1006" s="132"/>
      <c r="F1006" s="472"/>
      <c r="G1006" s="309"/>
      <c r="H1006" s="309"/>
    </row>
    <row r="1007" spans="2:8" ht="24.95" customHeight="1" x14ac:dyDescent="0.25">
      <c r="B1007" s="472"/>
      <c r="C1007" s="557"/>
      <c r="D1007" s="567"/>
      <c r="E1007" s="132"/>
      <c r="F1007" s="472"/>
      <c r="G1007" s="309"/>
      <c r="H1007" s="309"/>
    </row>
    <row r="1008" spans="2:8" ht="24.95" customHeight="1" x14ac:dyDescent="0.25">
      <c r="B1008" s="472"/>
      <c r="C1008" s="557"/>
      <c r="D1008" s="567"/>
      <c r="E1008" s="132"/>
      <c r="F1008" s="472"/>
      <c r="G1008" s="309"/>
      <c r="H1008" s="309"/>
    </row>
    <row r="1009" spans="2:8" ht="24.95" customHeight="1" x14ac:dyDescent="0.25">
      <c r="B1009" s="472"/>
      <c r="C1009" s="557"/>
      <c r="D1009" s="567"/>
      <c r="E1009" s="132"/>
      <c r="F1009" s="472"/>
      <c r="G1009" s="309"/>
      <c r="H1009" s="309"/>
    </row>
    <row r="1010" spans="2:8" ht="24.95" customHeight="1" x14ac:dyDescent="0.25">
      <c r="B1010" s="472"/>
      <c r="C1010" s="557"/>
      <c r="D1010" s="567"/>
      <c r="E1010" s="132"/>
      <c r="F1010" s="472"/>
      <c r="G1010" s="309"/>
      <c r="H1010" s="309"/>
    </row>
    <row r="1011" spans="2:8" ht="24.95" customHeight="1" x14ac:dyDescent="0.25">
      <c r="B1011" s="472"/>
      <c r="C1011" s="557"/>
      <c r="D1011" s="567"/>
      <c r="E1011" s="132"/>
      <c r="F1011" s="472"/>
      <c r="G1011" s="309"/>
      <c r="H1011" s="309"/>
    </row>
    <row r="1012" spans="2:8" ht="24.95" customHeight="1" x14ac:dyDescent="0.25">
      <c r="B1012" s="472"/>
      <c r="C1012" s="557"/>
      <c r="D1012" s="567"/>
      <c r="E1012" s="132"/>
      <c r="F1012" s="472"/>
      <c r="G1012" s="309"/>
      <c r="H1012" s="309"/>
    </row>
    <row r="1013" spans="2:8" ht="24.95" customHeight="1" x14ac:dyDescent="0.25">
      <c r="B1013" s="472"/>
      <c r="C1013" s="557"/>
      <c r="D1013" s="567"/>
      <c r="E1013" s="132"/>
      <c r="F1013" s="472"/>
      <c r="G1013" s="309"/>
      <c r="H1013" s="309"/>
    </row>
    <row r="1014" spans="2:8" ht="24.95" customHeight="1" x14ac:dyDescent="0.25">
      <c r="B1014" s="472"/>
      <c r="C1014" s="557"/>
      <c r="D1014" s="567"/>
      <c r="E1014" s="132"/>
      <c r="F1014" s="472"/>
      <c r="G1014" s="309"/>
      <c r="H1014" s="309"/>
    </row>
    <row r="1015" spans="2:8" ht="24.95" customHeight="1" x14ac:dyDescent="0.25">
      <c r="B1015" s="472"/>
      <c r="C1015" s="557"/>
      <c r="D1015" s="567"/>
      <c r="E1015" s="132"/>
      <c r="F1015" s="472"/>
      <c r="G1015" s="309"/>
      <c r="H1015" s="309"/>
    </row>
    <row r="1016" spans="2:8" ht="24.95" customHeight="1" x14ac:dyDescent="0.25">
      <c r="B1016" s="472"/>
      <c r="C1016" s="557"/>
      <c r="D1016" s="567"/>
      <c r="E1016" s="132"/>
      <c r="F1016" s="472"/>
      <c r="G1016" s="309"/>
      <c r="H1016" s="309"/>
    </row>
    <row r="1017" spans="2:8" ht="24.95" customHeight="1" x14ac:dyDescent="0.25">
      <c r="B1017" s="472"/>
      <c r="C1017" s="557"/>
      <c r="D1017" s="567"/>
      <c r="E1017" s="132"/>
      <c r="F1017" s="472"/>
      <c r="G1017" s="309"/>
      <c r="H1017" s="309"/>
    </row>
    <row r="1018" spans="2:8" ht="24.95" customHeight="1" x14ac:dyDescent="0.25">
      <c r="B1018" s="472"/>
      <c r="C1018" s="557"/>
      <c r="D1018" s="567"/>
      <c r="E1018" s="132"/>
      <c r="F1018" s="472"/>
      <c r="G1018" s="309"/>
      <c r="H1018" s="309"/>
    </row>
    <row r="1019" spans="2:8" ht="24.95" customHeight="1" x14ac:dyDescent="0.25">
      <c r="B1019" s="472"/>
      <c r="C1019" s="557"/>
      <c r="D1019" s="567"/>
      <c r="E1019" s="132"/>
      <c r="F1019" s="472"/>
      <c r="G1019" s="309"/>
      <c r="H1019" s="309"/>
    </row>
    <row r="1020" spans="2:8" ht="24.95" customHeight="1" x14ac:dyDescent="0.25">
      <c r="B1020" s="472"/>
      <c r="C1020" s="557"/>
      <c r="D1020" s="567"/>
      <c r="E1020" s="132"/>
      <c r="F1020" s="472"/>
      <c r="G1020" s="309"/>
      <c r="H1020" s="309"/>
    </row>
    <row r="1021" spans="2:8" ht="24.95" customHeight="1" x14ac:dyDescent="0.25">
      <c r="B1021" s="472"/>
      <c r="C1021" s="557"/>
      <c r="D1021" s="567"/>
      <c r="E1021" s="132"/>
      <c r="F1021" s="472"/>
      <c r="G1021" s="309"/>
      <c r="H1021" s="309"/>
    </row>
    <row r="1022" spans="2:8" ht="24.95" customHeight="1" x14ac:dyDescent="0.25">
      <c r="B1022" s="472"/>
      <c r="C1022" s="557"/>
      <c r="D1022" s="567"/>
      <c r="E1022" s="132"/>
      <c r="F1022" s="472"/>
      <c r="G1022" s="309"/>
      <c r="H1022" s="309"/>
    </row>
    <row r="1023" spans="2:8" ht="24.95" customHeight="1" x14ac:dyDescent="0.25">
      <c r="B1023" s="472"/>
      <c r="C1023" s="557"/>
      <c r="D1023" s="567"/>
      <c r="E1023" s="132"/>
      <c r="F1023" s="472"/>
      <c r="G1023" s="309"/>
      <c r="H1023" s="309"/>
    </row>
    <row r="1024" spans="2:8" ht="24.95" customHeight="1" x14ac:dyDescent="0.25">
      <c r="B1024" s="472"/>
      <c r="C1024" s="557"/>
      <c r="D1024" s="567"/>
      <c r="E1024" s="132"/>
      <c r="F1024" s="472"/>
      <c r="G1024" s="309"/>
      <c r="H1024" s="309"/>
    </row>
    <row r="1025" spans="2:8" ht="24.95" customHeight="1" x14ac:dyDescent="0.25">
      <c r="B1025" s="472"/>
      <c r="C1025" s="557"/>
      <c r="D1025" s="567"/>
      <c r="E1025" s="132"/>
      <c r="F1025" s="472"/>
      <c r="G1025" s="309"/>
      <c r="H1025" s="309"/>
    </row>
    <row r="1026" spans="2:8" ht="24.95" customHeight="1" x14ac:dyDescent="0.25">
      <c r="B1026" s="472"/>
      <c r="C1026" s="557"/>
      <c r="D1026" s="567"/>
      <c r="E1026" s="132"/>
      <c r="F1026" s="472"/>
      <c r="G1026" s="309"/>
      <c r="H1026" s="309"/>
    </row>
    <row r="1027" spans="2:8" ht="24.95" customHeight="1" x14ac:dyDescent="0.25">
      <c r="B1027" s="472"/>
      <c r="C1027" s="557"/>
      <c r="D1027" s="567"/>
      <c r="E1027" s="132"/>
      <c r="F1027" s="472"/>
      <c r="G1027" s="309"/>
      <c r="H1027" s="309"/>
    </row>
    <row r="1028" spans="2:8" ht="24.95" customHeight="1" x14ac:dyDescent="0.25">
      <c r="B1028" s="472"/>
      <c r="C1028" s="557"/>
      <c r="D1028" s="567"/>
      <c r="E1028" s="132"/>
      <c r="F1028" s="472"/>
      <c r="G1028" s="309"/>
      <c r="H1028" s="309"/>
    </row>
    <row r="1029" spans="2:8" ht="24.95" customHeight="1" x14ac:dyDescent="0.25">
      <c r="B1029" s="472"/>
      <c r="C1029" s="557"/>
      <c r="D1029" s="567"/>
      <c r="E1029" s="132"/>
      <c r="F1029" s="472"/>
      <c r="G1029" s="309"/>
      <c r="H1029" s="309"/>
    </row>
    <row r="1030" spans="2:8" ht="24.95" customHeight="1" x14ac:dyDescent="0.25">
      <c r="B1030" s="472"/>
      <c r="C1030" s="557"/>
      <c r="D1030" s="567"/>
      <c r="E1030" s="132"/>
      <c r="F1030" s="472"/>
      <c r="G1030" s="309"/>
      <c r="H1030" s="309"/>
    </row>
    <row r="1031" spans="2:8" ht="24.95" customHeight="1" x14ac:dyDescent="0.25">
      <c r="B1031" s="472"/>
      <c r="C1031" s="557"/>
      <c r="D1031" s="567"/>
      <c r="E1031" s="132"/>
      <c r="F1031" s="472"/>
      <c r="G1031" s="309"/>
      <c r="H1031" s="309"/>
    </row>
    <row r="1032" spans="2:8" ht="24.95" customHeight="1" x14ac:dyDescent="0.25">
      <c r="B1032" s="472"/>
      <c r="C1032" s="557"/>
      <c r="D1032" s="567"/>
      <c r="E1032" s="132"/>
      <c r="F1032" s="472"/>
      <c r="G1032" s="309"/>
      <c r="H1032" s="309"/>
    </row>
    <row r="1033" spans="2:8" ht="24.95" customHeight="1" x14ac:dyDescent="0.25">
      <c r="B1033" s="472"/>
      <c r="C1033" s="557"/>
      <c r="D1033" s="567"/>
      <c r="E1033" s="132"/>
      <c r="F1033" s="472"/>
      <c r="G1033" s="309"/>
      <c r="H1033" s="309"/>
    </row>
    <row r="1034" spans="2:8" ht="24.95" customHeight="1" x14ac:dyDescent="0.25">
      <c r="B1034" s="472"/>
      <c r="C1034" s="557"/>
      <c r="D1034" s="567"/>
      <c r="E1034" s="132"/>
      <c r="F1034" s="472"/>
      <c r="G1034" s="309"/>
      <c r="H1034" s="309"/>
    </row>
    <row r="1035" spans="2:8" ht="24.95" customHeight="1" x14ac:dyDescent="0.25">
      <c r="B1035" s="472"/>
      <c r="C1035" s="557"/>
      <c r="D1035" s="567"/>
      <c r="E1035" s="132"/>
      <c r="F1035" s="472"/>
      <c r="G1035" s="309"/>
      <c r="H1035" s="309"/>
    </row>
    <row r="1036" spans="2:8" ht="24.95" customHeight="1" x14ac:dyDescent="0.25">
      <c r="B1036" s="472"/>
      <c r="C1036" s="557"/>
      <c r="D1036" s="567"/>
      <c r="E1036" s="132"/>
      <c r="F1036" s="472"/>
      <c r="G1036" s="309"/>
      <c r="H1036" s="309"/>
    </row>
    <row r="1037" spans="2:8" ht="24.95" customHeight="1" x14ac:dyDescent="0.25">
      <c r="B1037" s="472"/>
      <c r="C1037" s="557"/>
      <c r="D1037" s="567"/>
      <c r="E1037" s="132"/>
      <c r="F1037" s="472"/>
      <c r="G1037" s="309"/>
      <c r="H1037" s="309"/>
    </row>
    <row r="1038" spans="2:8" ht="24.95" customHeight="1" x14ac:dyDescent="0.25">
      <c r="B1038" s="472"/>
      <c r="C1038" s="557"/>
      <c r="D1038" s="567"/>
      <c r="E1038" s="132"/>
      <c r="F1038" s="472"/>
      <c r="G1038" s="309"/>
      <c r="H1038" s="309"/>
    </row>
    <row r="1039" spans="2:8" ht="24.95" customHeight="1" x14ac:dyDescent="0.25">
      <c r="B1039" s="472"/>
      <c r="C1039" s="557"/>
      <c r="D1039" s="567"/>
      <c r="E1039" s="132"/>
      <c r="F1039" s="472"/>
      <c r="G1039" s="309"/>
      <c r="H1039" s="309"/>
    </row>
    <row r="1040" spans="2:8" ht="24.95" customHeight="1" x14ac:dyDescent="0.25">
      <c r="B1040" s="472"/>
      <c r="C1040" s="557"/>
      <c r="D1040" s="567"/>
      <c r="E1040" s="132"/>
      <c r="F1040" s="472"/>
      <c r="G1040" s="309"/>
      <c r="H1040" s="309"/>
    </row>
    <row r="1041" spans="2:8" ht="24.95" customHeight="1" x14ac:dyDescent="0.25">
      <c r="B1041" s="472"/>
      <c r="C1041" s="557"/>
      <c r="D1041" s="567"/>
      <c r="E1041" s="132"/>
      <c r="F1041" s="472"/>
      <c r="G1041" s="309"/>
      <c r="H1041" s="309"/>
    </row>
    <row r="1042" spans="2:8" ht="24.95" customHeight="1" x14ac:dyDescent="0.25">
      <c r="B1042" s="472"/>
      <c r="C1042" s="557"/>
      <c r="D1042" s="567"/>
      <c r="E1042" s="132"/>
      <c r="F1042" s="472"/>
      <c r="G1042" s="309"/>
      <c r="H1042" s="309"/>
    </row>
    <row r="1043" spans="2:8" ht="24.95" customHeight="1" x14ac:dyDescent="0.25">
      <c r="B1043" s="472"/>
      <c r="C1043" s="557"/>
      <c r="D1043" s="567"/>
      <c r="E1043" s="132"/>
      <c r="F1043" s="472"/>
      <c r="G1043" s="309"/>
      <c r="H1043" s="309"/>
    </row>
    <row r="1044" spans="2:8" ht="24.95" customHeight="1" x14ac:dyDescent="0.25">
      <c r="B1044" s="472"/>
      <c r="C1044" s="557"/>
      <c r="D1044" s="567"/>
      <c r="E1044" s="132"/>
      <c r="F1044" s="472"/>
      <c r="G1044" s="309"/>
      <c r="H1044" s="309"/>
    </row>
    <row r="1045" spans="2:8" ht="24.95" customHeight="1" x14ac:dyDescent="0.25">
      <c r="B1045" s="472"/>
      <c r="C1045" s="557"/>
      <c r="D1045" s="567"/>
      <c r="E1045" s="132"/>
      <c r="F1045" s="472"/>
      <c r="G1045" s="309"/>
      <c r="H1045" s="309"/>
    </row>
    <row r="1046" spans="2:8" ht="24.95" customHeight="1" x14ac:dyDescent="0.25">
      <c r="B1046" s="472"/>
      <c r="C1046" s="557"/>
      <c r="D1046" s="567"/>
      <c r="E1046" s="132"/>
      <c r="F1046" s="472"/>
      <c r="G1046" s="309"/>
      <c r="H1046" s="309"/>
    </row>
    <row r="1047" spans="2:8" ht="24.95" customHeight="1" x14ac:dyDescent="0.25">
      <c r="B1047" s="472"/>
      <c r="C1047" s="557"/>
      <c r="D1047" s="567"/>
      <c r="E1047" s="132"/>
      <c r="F1047" s="472"/>
      <c r="G1047" s="309"/>
      <c r="H1047" s="309"/>
    </row>
    <row r="1048" spans="2:8" ht="24.95" customHeight="1" x14ac:dyDescent="0.25">
      <c r="B1048" s="472"/>
      <c r="C1048" s="557"/>
      <c r="D1048" s="567"/>
      <c r="E1048" s="132"/>
      <c r="F1048" s="472"/>
      <c r="G1048" s="309"/>
      <c r="H1048" s="309"/>
    </row>
    <row r="1049" spans="2:8" ht="24.95" customHeight="1" x14ac:dyDescent="0.25">
      <c r="B1049" s="472"/>
      <c r="C1049" s="557"/>
      <c r="D1049" s="567"/>
      <c r="E1049" s="132"/>
      <c r="F1049" s="472"/>
      <c r="G1049" s="309"/>
      <c r="H1049" s="309"/>
    </row>
    <row r="1050" spans="2:8" ht="24.95" customHeight="1" x14ac:dyDescent="0.25">
      <c r="B1050" s="472"/>
      <c r="C1050" s="557"/>
      <c r="D1050" s="567"/>
      <c r="E1050" s="132"/>
      <c r="F1050" s="472"/>
      <c r="G1050" s="309"/>
      <c r="H1050" s="309"/>
    </row>
    <row r="1051" spans="2:8" ht="24.95" customHeight="1" x14ac:dyDescent="0.25">
      <c r="B1051" s="472"/>
      <c r="C1051" s="557"/>
      <c r="D1051" s="567"/>
      <c r="E1051" s="132"/>
      <c r="F1051" s="472"/>
      <c r="G1051" s="309"/>
      <c r="H1051" s="309"/>
    </row>
    <row r="1052" spans="2:8" ht="24.95" customHeight="1" x14ac:dyDescent="0.25">
      <c r="B1052" s="472"/>
      <c r="C1052" s="557"/>
      <c r="D1052" s="567"/>
      <c r="E1052" s="132"/>
      <c r="F1052" s="472"/>
      <c r="G1052" s="309"/>
      <c r="H1052" s="309"/>
    </row>
    <row r="1053" spans="2:8" ht="24.95" customHeight="1" x14ac:dyDescent="0.25">
      <c r="B1053" s="472"/>
      <c r="C1053" s="557"/>
      <c r="D1053" s="567"/>
      <c r="E1053" s="132"/>
      <c r="F1053" s="472"/>
      <c r="G1053" s="309"/>
      <c r="H1053" s="309"/>
    </row>
    <row r="1054" spans="2:8" ht="24.95" customHeight="1" x14ac:dyDescent="0.25">
      <c r="B1054" s="472"/>
      <c r="C1054" s="557"/>
      <c r="D1054" s="567"/>
      <c r="E1054" s="132"/>
      <c r="F1054" s="472"/>
      <c r="G1054" s="309"/>
      <c r="H1054" s="309"/>
    </row>
    <row r="1055" spans="2:8" ht="24.95" customHeight="1" x14ac:dyDescent="0.25">
      <c r="B1055" s="472"/>
      <c r="C1055" s="557"/>
      <c r="D1055" s="567"/>
      <c r="E1055" s="132"/>
      <c r="F1055" s="472"/>
      <c r="G1055" s="309"/>
      <c r="H1055" s="309"/>
    </row>
    <row r="1056" spans="2:8" ht="24.95" customHeight="1" x14ac:dyDescent="0.25">
      <c r="B1056" s="472"/>
      <c r="C1056" s="557"/>
      <c r="D1056" s="567"/>
      <c r="E1056" s="132"/>
      <c r="F1056" s="472"/>
      <c r="G1056" s="309"/>
      <c r="H1056" s="309"/>
    </row>
    <row r="1057" spans="2:8" ht="24.95" customHeight="1" x14ac:dyDescent="0.25">
      <c r="B1057" s="472"/>
      <c r="C1057" s="557"/>
      <c r="D1057" s="567"/>
      <c r="E1057" s="132"/>
      <c r="F1057" s="472"/>
      <c r="G1057" s="309"/>
      <c r="H1057" s="309"/>
    </row>
    <row r="1058" spans="2:8" ht="24.95" customHeight="1" x14ac:dyDescent="0.25">
      <c r="B1058" s="472"/>
      <c r="C1058" s="557"/>
      <c r="D1058" s="567"/>
      <c r="E1058" s="132"/>
      <c r="F1058" s="472"/>
      <c r="G1058" s="309"/>
      <c r="H1058" s="309"/>
    </row>
    <row r="1059" spans="2:8" ht="24.95" customHeight="1" x14ac:dyDescent="0.25">
      <c r="B1059" s="472"/>
      <c r="C1059" s="557"/>
      <c r="D1059" s="567"/>
      <c r="E1059" s="132"/>
      <c r="F1059" s="472"/>
      <c r="G1059" s="309"/>
      <c r="H1059" s="309"/>
    </row>
    <row r="1060" spans="2:8" ht="24.95" customHeight="1" x14ac:dyDescent="0.25">
      <c r="B1060" s="472"/>
      <c r="C1060" s="557"/>
      <c r="D1060" s="567"/>
      <c r="E1060" s="132"/>
      <c r="F1060" s="472"/>
      <c r="G1060" s="309"/>
      <c r="H1060" s="309"/>
    </row>
    <row r="1061" spans="2:8" ht="24.95" customHeight="1" x14ac:dyDescent="0.25">
      <c r="B1061" s="472"/>
      <c r="C1061" s="557"/>
      <c r="D1061" s="567"/>
      <c r="E1061" s="132"/>
      <c r="F1061" s="472"/>
      <c r="G1061" s="309"/>
      <c r="H1061" s="309"/>
    </row>
    <row r="1062" spans="2:8" ht="24.95" customHeight="1" x14ac:dyDescent="0.25">
      <c r="B1062" s="472"/>
      <c r="C1062" s="557"/>
      <c r="D1062" s="567"/>
      <c r="E1062" s="132"/>
      <c r="F1062" s="472"/>
      <c r="G1062" s="309"/>
      <c r="H1062" s="309"/>
    </row>
    <row r="1063" spans="2:8" ht="24.95" customHeight="1" x14ac:dyDescent="0.25">
      <c r="B1063" s="472"/>
      <c r="C1063" s="557"/>
      <c r="D1063" s="567"/>
      <c r="E1063" s="132"/>
      <c r="F1063" s="472"/>
      <c r="G1063" s="309"/>
      <c r="H1063" s="309"/>
    </row>
    <row r="1064" spans="2:8" ht="24.95" customHeight="1" x14ac:dyDescent="0.25">
      <c r="B1064" s="472"/>
      <c r="C1064" s="557"/>
      <c r="D1064" s="567"/>
      <c r="E1064" s="132"/>
      <c r="F1064" s="472"/>
      <c r="G1064" s="309"/>
      <c r="H1064" s="309"/>
    </row>
    <row r="1065" spans="2:8" ht="24.95" customHeight="1" x14ac:dyDescent="0.25">
      <c r="B1065" s="472"/>
      <c r="C1065" s="557"/>
      <c r="D1065" s="567"/>
      <c r="E1065" s="132"/>
      <c r="F1065" s="472"/>
      <c r="G1065" s="309"/>
      <c r="H1065" s="309"/>
    </row>
    <row r="1066" spans="2:8" ht="24.95" customHeight="1" x14ac:dyDescent="0.25">
      <c r="B1066" s="472"/>
      <c r="C1066" s="557"/>
      <c r="D1066" s="567"/>
      <c r="E1066" s="132"/>
      <c r="F1066" s="472"/>
      <c r="G1066" s="309"/>
      <c r="H1066" s="309"/>
    </row>
    <row r="1067" spans="2:8" ht="24.95" customHeight="1" x14ac:dyDescent="0.25">
      <c r="B1067" s="472"/>
      <c r="C1067" s="557"/>
      <c r="D1067" s="567"/>
      <c r="E1067" s="132"/>
      <c r="F1067" s="472"/>
      <c r="G1067" s="309"/>
      <c r="H1067" s="309"/>
    </row>
    <row r="1068" spans="2:8" ht="24.95" customHeight="1" x14ac:dyDescent="0.25">
      <c r="B1068" s="472"/>
      <c r="C1068" s="557"/>
      <c r="D1068" s="567"/>
      <c r="E1068" s="132"/>
      <c r="F1068" s="472"/>
      <c r="G1068" s="309"/>
      <c r="H1068" s="309"/>
    </row>
    <row r="1069" spans="2:8" ht="24.95" customHeight="1" x14ac:dyDescent="0.25">
      <c r="B1069" s="472"/>
      <c r="C1069" s="557"/>
      <c r="D1069" s="567"/>
      <c r="E1069" s="132"/>
      <c r="F1069" s="472"/>
      <c r="G1069" s="309"/>
      <c r="H1069" s="309"/>
    </row>
    <row r="1070" spans="2:8" ht="24.95" customHeight="1" x14ac:dyDescent="0.25">
      <c r="B1070" s="472"/>
      <c r="C1070" s="557"/>
      <c r="D1070" s="567"/>
      <c r="E1070" s="132"/>
      <c r="F1070" s="472"/>
      <c r="G1070" s="309"/>
      <c r="H1070" s="309"/>
    </row>
    <row r="1071" spans="2:8" ht="24.95" customHeight="1" x14ac:dyDescent="0.25">
      <c r="B1071" s="472"/>
      <c r="C1071" s="557"/>
      <c r="D1071" s="567"/>
      <c r="E1071" s="132"/>
      <c r="F1071" s="472"/>
      <c r="G1071" s="309"/>
      <c r="H1071" s="309"/>
    </row>
    <row r="1072" spans="2:8" ht="24.95" customHeight="1" x14ac:dyDescent="0.25">
      <c r="B1072" s="472"/>
      <c r="C1072" s="557"/>
      <c r="D1072" s="567"/>
      <c r="E1072" s="132"/>
      <c r="F1072" s="472"/>
      <c r="G1072" s="309"/>
      <c r="H1072" s="309"/>
    </row>
    <row r="1073" spans="2:8" ht="24.95" customHeight="1" x14ac:dyDescent="0.25">
      <c r="B1073" s="472"/>
      <c r="C1073" s="557"/>
      <c r="D1073" s="567"/>
      <c r="E1073" s="132"/>
      <c r="F1073" s="472"/>
      <c r="G1073" s="309"/>
      <c r="H1073" s="309"/>
    </row>
    <row r="1074" spans="2:8" ht="24.95" customHeight="1" x14ac:dyDescent="0.25">
      <c r="B1074" s="472"/>
      <c r="C1074" s="557"/>
      <c r="D1074" s="567"/>
      <c r="E1074" s="132"/>
      <c r="F1074" s="472"/>
      <c r="G1074" s="309"/>
      <c r="H1074" s="309"/>
    </row>
    <row r="1075" spans="2:8" ht="24.95" customHeight="1" x14ac:dyDescent="0.25">
      <c r="B1075" s="472"/>
      <c r="C1075" s="557"/>
      <c r="D1075" s="567"/>
      <c r="E1075" s="132"/>
      <c r="F1075" s="472"/>
      <c r="G1075" s="309"/>
      <c r="H1075" s="309"/>
    </row>
    <row r="1076" spans="2:8" ht="24.95" customHeight="1" x14ac:dyDescent="0.25">
      <c r="B1076" s="472"/>
      <c r="C1076" s="557"/>
      <c r="D1076" s="567"/>
      <c r="E1076" s="132"/>
      <c r="F1076" s="472"/>
      <c r="G1076" s="309"/>
      <c r="H1076" s="309"/>
    </row>
    <row r="1077" spans="2:8" ht="24.95" customHeight="1" x14ac:dyDescent="0.25">
      <c r="B1077" s="472"/>
      <c r="C1077" s="557"/>
      <c r="D1077" s="567"/>
      <c r="E1077" s="132"/>
      <c r="F1077" s="472"/>
      <c r="G1077" s="309"/>
      <c r="H1077" s="309"/>
    </row>
    <row r="1078" spans="2:8" ht="24.95" customHeight="1" x14ac:dyDescent="0.25">
      <c r="B1078" s="472"/>
      <c r="C1078" s="557"/>
      <c r="D1078" s="567"/>
      <c r="E1078" s="132"/>
      <c r="F1078" s="472"/>
      <c r="G1078" s="309"/>
      <c r="H1078" s="309"/>
    </row>
    <row r="1079" spans="2:8" ht="24.95" customHeight="1" x14ac:dyDescent="0.25">
      <c r="B1079" s="472"/>
      <c r="C1079" s="557"/>
      <c r="D1079" s="567"/>
      <c r="E1079" s="132"/>
      <c r="F1079" s="472"/>
      <c r="G1079" s="309"/>
      <c r="H1079" s="309"/>
    </row>
    <row r="1080" spans="2:8" ht="24.95" customHeight="1" x14ac:dyDescent="0.25">
      <c r="B1080" s="472"/>
      <c r="C1080" s="557"/>
      <c r="D1080" s="567"/>
      <c r="E1080" s="132"/>
      <c r="F1080" s="472"/>
      <c r="G1080" s="309"/>
      <c r="H1080" s="309"/>
    </row>
    <row r="1081" spans="2:8" ht="24.95" customHeight="1" x14ac:dyDescent="0.25">
      <c r="B1081" s="472"/>
      <c r="C1081" s="557"/>
      <c r="D1081" s="567"/>
      <c r="E1081" s="132"/>
      <c r="F1081" s="472"/>
      <c r="G1081" s="309"/>
      <c r="H1081" s="309"/>
    </row>
    <row r="1082" spans="2:8" ht="24.95" customHeight="1" x14ac:dyDescent="0.25">
      <c r="B1082" s="472"/>
      <c r="C1082" s="557"/>
      <c r="D1082" s="567"/>
      <c r="E1082" s="132"/>
      <c r="F1082" s="472"/>
      <c r="G1082" s="309"/>
      <c r="H1082" s="309"/>
    </row>
    <row r="1083" spans="2:8" ht="24.95" customHeight="1" x14ac:dyDescent="0.25">
      <c r="B1083" s="472"/>
      <c r="C1083" s="557"/>
      <c r="D1083" s="567"/>
      <c r="E1083" s="132"/>
      <c r="F1083" s="472"/>
      <c r="G1083" s="309"/>
      <c r="H1083" s="309"/>
    </row>
    <row r="1084" spans="2:8" ht="24.95" customHeight="1" x14ac:dyDescent="0.25">
      <c r="B1084" s="472"/>
      <c r="C1084" s="557"/>
      <c r="D1084" s="567"/>
      <c r="E1084" s="132"/>
      <c r="F1084" s="472"/>
      <c r="G1084" s="309"/>
      <c r="H1084" s="309"/>
    </row>
    <row r="1085" spans="2:8" ht="24.95" customHeight="1" x14ac:dyDescent="0.25">
      <c r="B1085" s="472"/>
      <c r="C1085" s="557"/>
      <c r="D1085" s="567"/>
      <c r="E1085" s="132"/>
      <c r="F1085" s="472"/>
      <c r="G1085" s="309"/>
      <c r="H1085" s="309"/>
    </row>
    <row r="1086" spans="2:8" ht="24.95" customHeight="1" x14ac:dyDescent="0.25">
      <c r="B1086" s="472"/>
      <c r="C1086" s="557"/>
      <c r="D1086" s="567"/>
      <c r="E1086" s="132"/>
      <c r="F1086" s="472"/>
      <c r="G1086" s="309"/>
      <c r="H1086" s="309"/>
    </row>
    <row r="1087" spans="2:8" ht="24.95" customHeight="1" x14ac:dyDescent="0.25">
      <c r="B1087" s="472"/>
      <c r="C1087" s="557"/>
      <c r="D1087" s="567"/>
      <c r="E1087" s="132"/>
      <c r="F1087" s="472"/>
      <c r="G1087" s="309"/>
      <c r="H1087" s="309"/>
    </row>
    <row r="1088" spans="2:8" ht="24.95" customHeight="1" x14ac:dyDescent="0.25">
      <c r="B1088" s="472"/>
      <c r="C1088" s="557"/>
      <c r="D1088" s="567"/>
      <c r="E1088" s="132"/>
      <c r="F1088" s="472"/>
      <c r="G1088" s="309"/>
      <c r="H1088" s="309"/>
    </row>
    <row r="1089" spans="2:8" ht="24.95" customHeight="1" x14ac:dyDescent="0.25">
      <c r="B1089" s="472"/>
      <c r="C1089" s="557"/>
      <c r="D1089" s="567"/>
      <c r="E1089" s="132"/>
      <c r="F1089" s="472"/>
      <c r="G1089" s="309"/>
      <c r="H1089" s="309"/>
    </row>
    <row r="1090" spans="2:8" ht="24.95" customHeight="1" x14ac:dyDescent="0.25">
      <c r="B1090" s="472"/>
      <c r="C1090" s="557"/>
      <c r="D1090" s="567"/>
      <c r="E1090" s="132"/>
      <c r="F1090" s="472"/>
      <c r="G1090" s="309"/>
      <c r="H1090" s="309"/>
    </row>
    <row r="1091" spans="2:8" ht="24.95" customHeight="1" x14ac:dyDescent="0.25">
      <c r="B1091" s="472"/>
      <c r="C1091" s="557"/>
      <c r="D1091" s="567"/>
      <c r="E1091" s="132"/>
      <c r="F1091" s="472"/>
      <c r="G1091" s="309"/>
      <c r="H1091" s="309"/>
    </row>
    <row r="1092" spans="2:8" ht="24.95" customHeight="1" x14ac:dyDescent="0.25">
      <c r="B1092" s="472"/>
      <c r="C1092" s="557"/>
      <c r="D1092" s="567"/>
      <c r="E1092" s="132"/>
      <c r="F1092" s="472"/>
      <c r="G1092" s="309"/>
      <c r="H1092" s="309"/>
    </row>
    <row r="1093" spans="2:8" ht="24.95" customHeight="1" x14ac:dyDescent="0.25">
      <c r="B1093" s="472"/>
      <c r="C1093" s="557"/>
      <c r="D1093" s="567"/>
      <c r="E1093" s="132"/>
      <c r="F1093" s="472"/>
      <c r="G1093" s="309"/>
      <c r="H1093" s="309"/>
    </row>
    <row r="1094" spans="2:8" ht="24.95" customHeight="1" x14ac:dyDescent="0.25">
      <c r="B1094" s="472"/>
      <c r="C1094" s="557"/>
      <c r="D1094" s="567"/>
      <c r="E1094" s="132"/>
      <c r="F1094" s="472"/>
      <c r="G1094" s="309"/>
      <c r="H1094" s="309"/>
    </row>
    <row r="1095" spans="2:8" ht="24.95" customHeight="1" x14ac:dyDescent="0.25">
      <c r="B1095" s="472"/>
      <c r="C1095" s="557"/>
      <c r="D1095" s="567"/>
      <c r="E1095" s="132"/>
      <c r="F1095" s="472"/>
      <c r="G1095" s="309"/>
      <c r="H1095" s="309"/>
    </row>
    <row r="1096" spans="2:8" ht="24.95" customHeight="1" x14ac:dyDescent="0.25">
      <c r="B1096" s="472"/>
      <c r="C1096" s="557"/>
      <c r="D1096" s="567"/>
      <c r="E1096" s="132"/>
      <c r="F1096" s="472"/>
      <c r="G1096" s="309"/>
      <c r="H1096" s="309"/>
    </row>
    <row r="1097" spans="2:8" ht="24.95" customHeight="1" x14ac:dyDescent="0.25">
      <c r="B1097" s="472"/>
      <c r="C1097" s="557"/>
      <c r="D1097" s="567"/>
      <c r="E1097" s="132"/>
      <c r="F1097" s="472"/>
      <c r="G1097" s="309"/>
      <c r="H1097" s="309"/>
    </row>
    <row r="1098" spans="2:8" ht="24.95" customHeight="1" x14ac:dyDescent="0.25">
      <c r="B1098" s="472"/>
      <c r="C1098" s="557"/>
      <c r="D1098" s="567"/>
      <c r="E1098" s="132"/>
      <c r="F1098" s="472"/>
      <c r="G1098" s="309"/>
      <c r="H1098" s="309"/>
    </row>
    <row r="1099" spans="2:8" ht="24.95" customHeight="1" x14ac:dyDescent="0.25">
      <c r="B1099" s="472"/>
      <c r="C1099" s="557"/>
      <c r="D1099" s="567"/>
      <c r="E1099" s="132"/>
      <c r="F1099" s="472"/>
      <c r="G1099" s="309"/>
      <c r="H1099" s="309"/>
    </row>
    <row r="1100" spans="2:8" ht="24.95" customHeight="1" x14ac:dyDescent="0.25">
      <c r="B1100" s="472"/>
      <c r="C1100" s="557"/>
      <c r="D1100" s="567"/>
      <c r="E1100" s="132"/>
      <c r="F1100" s="472"/>
      <c r="G1100" s="309"/>
      <c r="H1100" s="309"/>
    </row>
    <row r="1101" spans="2:8" ht="24.95" customHeight="1" x14ac:dyDescent="0.25">
      <c r="B1101" s="472"/>
      <c r="C1101" s="557"/>
      <c r="D1101" s="567"/>
      <c r="E1101" s="132"/>
      <c r="F1101" s="472"/>
      <c r="G1101" s="309"/>
      <c r="H1101" s="309"/>
    </row>
    <row r="1102" spans="2:8" ht="24.95" customHeight="1" x14ac:dyDescent="0.25">
      <c r="B1102" s="472"/>
      <c r="C1102" s="557"/>
      <c r="D1102" s="567"/>
      <c r="E1102" s="132"/>
      <c r="F1102" s="472"/>
      <c r="G1102" s="309"/>
      <c r="H1102" s="309"/>
    </row>
    <row r="1103" spans="2:8" ht="24.95" customHeight="1" x14ac:dyDescent="0.25">
      <c r="B1103" s="472"/>
      <c r="C1103" s="557"/>
      <c r="D1103" s="567"/>
      <c r="E1103" s="132"/>
      <c r="F1103" s="472"/>
      <c r="G1103" s="309"/>
      <c r="H1103" s="309"/>
    </row>
    <row r="1104" spans="2:8" ht="24.95" customHeight="1" x14ac:dyDescent="0.25">
      <c r="B1104" s="472"/>
      <c r="C1104" s="557"/>
      <c r="D1104" s="567"/>
      <c r="E1104" s="132"/>
      <c r="F1104" s="472"/>
      <c r="G1104" s="309"/>
      <c r="H1104" s="309"/>
    </row>
    <row r="1105" spans="2:8" ht="24.95" customHeight="1" x14ac:dyDescent="0.25">
      <c r="B1105" s="472"/>
      <c r="C1105" s="557"/>
      <c r="D1105" s="567"/>
      <c r="E1105" s="132"/>
      <c r="F1105" s="472"/>
      <c r="G1105" s="309"/>
      <c r="H1105" s="309"/>
    </row>
    <row r="1106" spans="2:8" ht="24.95" customHeight="1" x14ac:dyDescent="0.25">
      <c r="B1106" s="472"/>
      <c r="C1106" s="557"/>
      <c r="D1106" s="567"/>
      <c r="E1106" s="132"/>
      <c r="F1106" s="472"/>
      <c r="G1106" s="309"/>
      <c r="H1106" s="309"/>
    </row>
    <row r="1107" spans="2:8" ht="24.95" customHeight="1" x14ac:dyDescent="0.25">
      <c r="B1107" s="472"/>
      <c r="C1107" s="557"/>
      <c r="D1107" s="567"/>
      <c r="E1107" s="132"/>
      <c r="F1107" s="472"/>
      <c r="G1107" s="309"/>
      <c r="H1107" s="309"/>
    </row>
    <row r="1108" spans="2:8" ht="24.95" customHeight="1" x14ac:dyDescent="0.25">
      <c r="B1108" s="472"/>
      <c r="C1108" s="557"/>
      <c r="D1108" s="567"/>
      <c r="E1108" s="132"/>
      <c r="F1108" s="472"/>
      <c r="G1108" s="309"/>
      <c r="H1108" s="309"/>
    </row>
    <row r="1109" spans="2:8" ht="24.95" customHeight="1" x14ac:dyDescent="0.25">
      <c r="B1109" s="472"/>
      <c r="C1109" s="557"/>
      <c r="D1109" s="567"/>
      <c r="E1109" s="132"/>
      <c r="F1109" s="472"/>
      <c r="G1109" s="309"/>
      <c r="H1109" s="309"/>
    </row>
    <row r="1110" spans="2:8" ht="24.95" customHeight="1" x14ac:dyDescent="0.25">
      <c r="B1110" s="472"/>
      <c r="C1110" s="557"/>
      <c r="D1110" s="567"/>
      <c r="E1110" s="132"/>
      <c r="F1110" s="472"/>
      <c r="G1110" s="309"/>
      <c r="H1110" s="309"/>
    </row>
    <row r="1111" spans="2:8" ht="24.95" customHeight="1" x14ac:dyDescent="0.25">
      <c r="B1111" s="472"/>
      <c r="C1111" s="557"/>
      <c r="D1111" s="567"/>
      <c r="E1111" s="132"/>
      <c r="F1111" s="472"/>
      <c r="G1111" s="309"/>
      <c r="H1111" s="309"/>
    </row>
    <row r="1112" spans="2:8" ht="24.95" customHeight="1" x14ac:dyDescent="0.25">
      <c r="B1112" s="472"/>
      <c r="C1112" s="557"/>
      <c r="D1112" s="567"/>
      <c r="E1112" s="132"/>
      <c r="F1112" s="472"/>
      <c r="G1112" s="309"/>
      <c r="H1112" s="309"/>
    </row>
    <row r="1113" spans="2:8" ht="24.95" customHeight="1" x14ac:dyDescent="0.25">
      <c r="B1113" s="472"/>
      <c r="C1113" s="557"/>
      <c r="D1113" s="567"/>
      <c r="E1113" s="132"/>
      <c r="F1113" s="472"/>
      <c r="G1113" s="309"/>
      <c r="H1113" s="309"/>
    </row>
    <row r="1114" spans="2:8" ht="24.95" customHeight="1" x14ac:dyDescent="0.25">
      <c r="B1114" s="472"/>
      <c r="C1114" s="557"/>
      <c r="D1114" s="567"/>
      <c r="E1114" s="132"/>
      <c r="F1114" s="472"/>
      <c r="G1114" s="309"/>
      <c r="H1114" s="309"/>
    </row>
    <row r="1115" spans="2:8" ht="24.95" customHeight="1" x14ac:dyDescent="0.25">
      <c r="B1115" s="472"/>
      <c r="C1115" s="557"/>
      <c r="D1115" s="567"/>
      <c r="E1115" s="132"/>
      <c r="F1115" s="472"/>
      <c r="G1115" s="309"/>
      <c r="H1115" s="309"/>
    </row>
    <row r="1116" spans="2:8" ht="24.95" customHeight="1" x14ac:dyDescent="0.25">
      <c r="B1116" s="472"/>
      <c r="C1116" s="557"/>
      <c r="D1116" s="567"/>
      <c r="E1116" s="132"/>
      <c r="F1116" s="472"/>
      <c r="G1116" s="309"/>
      <c r="H1116" s="309"/>
    </row>
    <row r="1117" spans="2:8" ht="24.95" customHeight="1" x14ac:dyDescent="0.25">
      <c r="B1117" s="472"/>
      <c r="C1117" s="557"/>
      <c r="D1117" s="567"/>
      <c r="E1117" s="132"/>
      <c r="F1117" s="472"/>
      <c r="G1117" s="309"/>
      <c r="H1117" s="309"/>
    </row>
    <row r="1118" spans="2:8" ht="24.95" customHeight="1" x14ac:dyDescent="0.25">
      <c r="B1118" s="472"/>
      <c r="C1118" s="557"/>
      <c r="D1118" s="567"/>
      <c r="E1118" s="132"/>
      <c r="F1118" s="472"/>
      <c r="G1118" s="309"/>
      <c r="H1118" s="309"/>
    </row>
    <row r="1119" spans="2:8" ht="24.95" customHeight="1" x14ac:dyDescent="0.25">
      <c r="B1119" s="472"/>
      <c r="C1119" s="557"/>
      <c r="D1119" s="567"/>
      <c r="E1119" s="132"/>
      <c r="F1119" s="472"/>
      <c r="G1119" s="309"/>
      <c r="H1119" s="309"/>
    </row>
    <row r="1120" spans="2:8" ht="24.95" customHeight="1" x14ac:dyDescent="0.25">
      <c r="B1120" s="472"/>
      <c r="C1120" s="557"/>
      <c r="D1120" s="567"/>
      <c r="E1120" s="132"/>
      <c r="F1120" s="472"/>
      <c r="G1120" s="309"/>
      <c r="H1120" s="309"/>
    </row>
    <row r="1121" spans="2:8" ht="24.95" customHeight="1" x14ac:dyDescent="0.25">
      <c r="B1121" s="472"/>
      <c r="C1121" s="557"/>
      <c r="D1121" s="567"/>
      <c r="E1121" s="132"/>
      <c r="F1121" s="472"/>
      <c r="G1121" s="309"/>
      <c r="H1121" s="309"/>
    </row>
    <row r="1122" spans="2:8" ht="24.95" customHeight="1" x14ac:dyDescent="0.25">
      <c r="B1122" s="472"/>
      <c r="C1122" s="557"/>
      <c r="D1122" s="567"/>
      <c r="E1122" s="132"/>
      <c r="F1122" s="472"/>
      <c r="G1122" s="309"/>
      <c r="H1122" s="309"/>
    </row>
    <row r="1123" spans="2:8" ht="24.95" customHeight="1" x14ac:dyDescent="0.25">
      <c r="B1123" s="472"/>
      <c r="C1123" s="557"/>
      <c r="D1123" s="567"/>
      <c r="E1123" s="132"/>
      <c r="F1123" s="472"/>
      <c r="G1123" s="309"/>
      <c r="H1123" s="309"/>
    </row>
    <row r="1124" spans="2:8" ht="24.95" customHeight="1" x14ac:dyDescent="0.25">
      <c r="B1124" s="472"/>
      <c r="C1124" s="557"/>
      <c r="D1124" s="567"/>
      <c r="E1124" s="132"/>
      <c r="F1124" s="472"/>
      <c r="G1124" s="309"/>
      <c r="H1124" s="309"/>
    </row>
    <row r="1125" spans="2:8" ht="24.95" customHeight="1" x14ac:dyDescent="0.25">
      <c r="B1125" s="472"/>
      <c r="C1125" s="557"/>
      <c r="D1125" s="567"/>
      <c r="E1125" s="132"/>
      <c r="F1125" s="472"/>
      <c r="G1125" s="309"/>
      <c r="H1125" s="309"/>
    </row>
    <row r="1126" spans="2:8" ht="24.95" customHeight="1" x14ac:dyDescent="0.25">
      <c r="B1126" s="472"/>
      <c r="C1126" s="557"/>
      <c r="D1126" s="567"/>
      <c r="E1126" s="132"/>
      <c r="F1126" s="472"/>
      <c r="G1126" s="309"/>
      <c r="H1126" s="309"/>
    </row>
    <row r="1127" spans="2:8" ht="24.95" customHeight="1" x14ac:dyDescent="0.25">
      <c r="B1127" s="472"/>
      <c r="C1127" s="557"/>
      <c r="D1127" s="567"/>
      <c r="E1127" s="132"/>
      <c r="F1127" s="472"/>
      <c r="G1127" s="309"/>
      <c r="H1127" s="309"/>
    </row>
    <row r="1128" spans="2:8" ht="24.95" customHeight="1" x14ac:dyDescent="0.25">
      <c r="B1128" s="472"/>
      <c r="C1128" s="557"/>
      <c r="D1128" s="567"/>
      <c r="E1128" s="132"/>
      <c r="F1128" s="472"/>
      <c r="G1128" s="309"/>
      <c r="H1128" s="309"/>
    </row>
    <row r="1129" spans="2:8" ht="24.95" customHeight="1" x14ac:dyDescent="0.25">
      <c r="B1129" s="472"/>
      <c r="C1129" s="557"/>
      <c r="D1129" s="567"/>
      <c r="E1129" s="132"/>
      <c r="F1129" s="472"/>
      <c r="G1129" s="309"/>
      <c r="H1129" s="309"/>
    </row>
    <row r="1130" spans="2:8" ht="24.95" customHeight="1" x14ac:dyDescent="0.25">
      <c r="B1130" s="472"/>
      <c r="C1130" s="557"/>
      <c r="D1130" s="567"/>
      <c r="E1130" s="132"/>
      <c r="F1130" s="472"/>
      <c r="G1130" s="309"/>
      <c r="H1130" s="309"/>
    </row>
    <row r="1131" spans="2:8" ht="24.95" customHeight="1" x14ac:dyDescent="0.25">
      <c r="B1131" s="472"/>
      <c r="C1131" s="557"/>
      <c r="D1131" s="567"/>
      <c r="E1131" s="132"/>
      <c r="F1131" s="472"/>
      <c r="G1131" s="309"/>
      <c r="H1131" s="309"/>
    </row>
    <row r="1132" spans="2:8" ht="24.95" customHeight="1" x14ac:dyDescent="0.25">
      <c r="B1132" s="472"/>
      <c r="C1132" s="557"/>
      <c r="D1132" s="567"/>
      <c r="E1132" s="132"/>
      <c r="F1132" s="472"/>
      <c r="G1132" s="309"/>
      <c r="H1132" s="309"/>
    </row>
    <row r="1133" spans="2:8" ht="24.95" customHeight="1" x14ac:dyDescent="0.25">
      <c r="B1133" s="472"/>
      <c r="C1133" s="557"/>
      <c r="D1133" s="567"/>
      <c r="E1133" s="132"/>
      <c r="F1133" s="472"/>
      <c r="G1133" s="309"/>
      <c r="H1133" s="309"/>
    </row>
    <row r="1134" spans="2:8" ht="24.95" customHeight="1" x14ac:dyDescent="0.25">
      <c r="B1134" s="472"/>
      <c r="C1134" s="557"/>
      <c r="D1134" s="567"/>
      <c r="E1134" s="132"/>
      <c r="F1134" s="472"/>
      <c r="G1134" s="309"/>
      <c r="H1134" s="309"/>
    </row>
    <row r="1135" spans="2:8" ht="24.95" customHeight="1" x14ac:dyDescent="0.25">
      <c r="B1135" s="472"/>
      <c r="C1135" s="557"/>
      <c r="D1135" s="567"/>
      <c r="E1135" s="132"/>
      <c r="F1135" s="472"/>
      <c r="G1135" s="309"/>
      <c r="H1135" s="309"/>
    </row>
    <row r="1136" spans="2:8" ht="24.95" customHeight="1" x14ac:dyDescent="0.25">
      <c r="B1136" s="472"/>
      <c r="C1136" s="557"/>
      <c r="D1136" s="567"/>
      <c r="E1136" s="132"/>
      <c r="F1136" s="472"/>
      <c r="G1136" s="309"/>
      <c r="H1136" s="309"/>
    </row>
    <row r="1137" spans="2:8" ht="24.95" customHeight="1" x14ac:dyDescent="0.25">
      <c r="B1137" s="472"/>
      <c r="C1137" s="557"/>
      <c r="D1137" s="567"/>
      <c r="E1137" s="132"/>
      <c r="F1137" s="472"/>
      <c r="G1137" s="309"/>
      <c r="H1137" s="309"/>
    </row>
    <row r="1138" spans="2:8" ht="24.95" customHeight="1" x14ac:dyDescent="0.25">
      <c r="B1138" s="472"/>
      <c r="C1138" s="557"/>
      <c r="D1138" s="567"/>
      <c r="E1138" s="132"/>
      <c r="F1138" s="472"/>
      <c r="G1138" s="309"/>
      <c r="H1138" s="309"/>
    </row>
    <row r="1139" spans="2:8" ht="24.95" customHeight="1" x14ac:dyDescent="0.25">
      <c r="B1139" s="472"/>
      <c r="C1139" s="557"/>
      <c r="D1139" s="567"/>
      <c r="E1139" s="132"/>
      <c r="F1139" s="472"/>
      <c r="G1139" s="309"/>
      <c r="H1139" s="309"/>
    </row>
    <row r="1140" spans="2:8" ht="24.95" customHeight="1" x14ac:dyDescent="0.25">
      <c r="B1140" s="472"/>
      <c r="C1140" s="557"/>
      <c r="D1140" s="567"/>
      <c r="E1140" s="132"/>
      <c r="F1140" s="472"/>
      <c r="G1140" s="309"/>
      <c r="H1140" s="309"/>
    </row>
    <row r="1141" spans="2:8" ht="24.95" customHeight="1" x14ac:dyDescent="0.25">
      <c r="B1141" s="472"/>
      <c r="C1141" s="557"/>
      <c r="D1141" s="567"/>
      <c r="E1141" s="132"/>
      <c r="F1141" s="472"/>
      <c r="G1141" s="309"/>
      <c r="H1141" s="309"/>
    </row>
    <row r="1142" spans="2:8" ht="24.95" customHeight="1" x14ac:dyDescent="0.25">
      <c r="B1142" s="472"/>
      <c r="C1142" s="557"/>
      <c r="D1142" s="567"/>
      <c r="E1142" s="132"/>
      <c r="F1142" s="472"/>
      <c r="G1142" s="309"/>
      <c r="H1142" s="309"/>
    </row>
    <row r="1143" spans="2:8" ht="24.95" customHeight="1" x14ac:dyDescent="0.25">
      <c r="B1143" s="472"/>
      <c r="C1143" s="557"/>
      <c r="D1143" s="567"/>
      <c r="E1143" s="132"/>
      <c r="F1143" s="472"/>
      <c r="G1143" s="309"/>
      <c r="H1143" s="309"/>
    </row>
    <row r="1144" spans="2:8" ht="24.95" customHeight="1" x14ac:dyDescent="0.25">
      <c r="B1144" s="472"/>
      <c r="C1144" s="557"/>
      <c r="D1144" s="567"/>
      <c r="E1144" s="132"/>
      <c r="F1144" s="472"/>
      <c r="G1144" s="309"/>
      <c r="H1144" s="309"/>
    </row>
    <row r="1145" spans="2:8" ht="24.95" customHeight="1" x14ac:dyDescent="0.25">
      <c r="B1145" s="472"/>
      <c r="C1145" s="557"/>
      <c r="D1145" s="567"/>
      <c r="E1145" s="132"/>
      <c r="F1145" s="472"/>
      <c r="G1145" s="309"/>
      <c r="H1145" s="309"/>
    </row>
    <row r="1146" spans="2:8" ht="24.95" customHeight="1" x14ac:dyDescent="0.25">
      <c r="B1146" s="472"/>
      <c r="C1146" s="557"/>
      <c r="D1146" s="567"/>
      <c r="E1146" s="132"/>
      <c r="F1146" s="472"/>
      <c r="G1146" s="309"/>
      <c r="H1146" s="309"/>
    </row>
    <row r="1147" spans="2:8" ht="24.95" customHeight="1" x14ac:dyDescent="0.25">
      <c r="B1147" s="472"/>
      <c r="C1147" s="557"/>
      <c r="D1147" s="567"/>
      <c r="E1147" s="132"/>
      <c r="F1147" s="472"/>
      <c r="G1147" s="309"/>
      <c r="H1147" s="309"/>
    </row>
    <row r="1148" spans="2:8" ht="24.95" customHeight="1" x14ac:dyDescent="0.25">
      <c r="B1148" s="472"/>
      <c r="C1148" s="557"/>
      <c r="D1148" s="567"/>
      <c r="E1148" s="132"/>
      <c r="F1148" s="472"/>
      <c r="G1148" s="309"/>
      <c r="H1148" s="309"/>
    </row>
    <row r="1149" spans="2:8" ht="24.95" customHeight="1" x14ac:dyDescent="0.25">
      <c r="B1149" s="472"/>
      <c r="C1149" s="557"/>
      <c r="D1149" s="567"/>
      <c r="E1149" s="132"/>
      <c r="F1149" s="472"/>
      <c r="G1149" s="309"/>
      <c r="H1149" s="309"/>
    </row>
    <row r="1150" spans="2:8" ht="24.95" customHeight="1" x14ac:dyDescent="0.25">
      <c r="B1150" s="472"/>
      <c r="C1150" s="557"/>
      <c r="D1150" s="567"/>
      <c r="E1150" s="132"/>
      <c r="F1150" s="472"/>
      <c r="G1150" s="309"/>
      <c r="H1150" s="309"/>
    </row>
    <row r="1151" spans="2:8" ht="24.95" customHeight="1" x14ac:dyDescent="0.25">
      <c r="B1151" s="472"/>
      <c r="C1151" s="557"/>
      <c r="D1151" s="567"/>
      <c r="E1151" s="132"/>
      <c r="F1151" s="472"/>
      <c r="G1151" s="309"/>
      <c r="H1151" s="309"/>
    </row>
    <row r="1152" spans="2:8" ht="24.95" customHeight="1" x14ac:dyDescent="0.25">
      <c r="B1152" s="472"/>
      <c r="C1152" s="557"/>
      <c r="D1152" s="567"/>
      <c r="E1152" s="132"/>
      <c r="F1152" s="472"/>
      <c r="G1152" s="309"/>
      <c r="H1152" s="309"/>
    </row>
    <row r="1153" spans="2:8" ht="24.95" customHeight="1" x14ac:dyDescent="0.25">
      <c r="B1153" s="472"/>
      <c r="C1153" s="557"/>
      <c r="D1153" s="567"/>
      <c r="E1153" s="132"/>
      <c r="F1153" s="472"/>
      <c r="G1153" s="309"/>
      <c r="H1153" s="309"/>
    </row>
    <row r="1154" spans="2:8" ht="24.95" customHeight="1" x14ac:dyDescent="0.25">
      <c r="B1154" s="472"/>
      <c r="C1154" s="557"/>
      <c r="D1154" s="567"/>
      <c r="E1154" s="132"/>
      <c r="F1154" s="472"/>
      <c r="G1154" s="309"/>
      <c r="H1154" s="309"/>
    </row>
    <row r="1155" spans="2:8" ht="24.95" customHeight="1" x14ac:dyDescent="0.25">
      <c r="B1155" s="472"/>
      <c r="C1155" s="557"/>
      <c r="D1155" s="567"/>
      <c r="E1155" s="132"/>
      <c r="F1155" s="472"/>
      <c r="G1155" s="309"/>
      <c r="H1155" s="309"/>
    </row>
    <row r="1156" spans="2:8" ht="24.95" customHeight="1" x14ac:dyDescent="0.25">
      <c r="B1156" s="472"/>
      <c r="C1156" s="557"/>
      <c r="D1156" s="567"/>
      <c r="E1156" s="132"/>
      <c r="F1156" s="472"/>
      <c r="G1156" s="309"/>
      <c r="H1156" s="309"/>
    </row>
    <row r="1157" spans="2:8" ht="24.95" customHeight="1" x14ac:dyDescent="0.25">
      <c r="B1157" s="472"/>
      <c r="C1157" s="557"/>
      <c r="D1157" s="567"/>
      <c r="E1157" s="132"/>
      <c r="F1157" s="472"/>
      <c r="G1157" s="309"/>
      <c r="H1157" s="309"/>
    </row>
    <row r="1158" spans="2:8" ht="24.95" customHeight="1" x14ac:dyDescent="0.25">
      <c r="B1158" s="472"/>
      <c r="C1158" s="557"/>
      <c r="D1158" s="567"/>
      <c r="E1158" s="132"/>
      <c r="F1158" s="472"/>
      <c r="G1158" s="309"/>
      <c r="H1158" s="309"/>
    </row>
    <row r="1159" spans="2:8" ht="24.95" customHeight="1" x14ac:dyDescent="0.25">
      <c r="B1159" s="472"/>
      <c r="C1159" s="557"/>
      <c r="D1159" s="567"/>
      <c r="E1159" s="132"/>
      <c r="F1159" s="472"/>
      <c r="G1159" s="309"/>
      <c r="H1159" s="309"/>
    </row>
    <row r="1160" spans="2:8" ht="24.95" customHeight="1" x14ac:dyDescent="0.25">
      <c r="B1160" s="472"/>
      <c r="C1160" s="557"/>
      <c r="D1160" s="567"/>
      <c r="E1160" s="132"/>
      <c r="F1160" s="472"/>
      <c r="G1160" s="309"/>
      <c r="H1160" s="309"/>
    </row>
    <row r="1161" spans="2:8" ht="24.95" customHeight="1" x14ac:dyDescent="0.25">
      <c r="B1161" s="472"/>
      <c r="C1161" s="557"/>
      <c r="D1161" s="567"/>
      <c r="E1161" s="132"/>
      <c r="F1161" s="472"/>
      <c r="G1161" s="309"/>
      <c r="H1161" s="309"/>
    </row>
    <row r="1162" spans="2:8" ht="24.95" customHeight="1" x14ac:dyDescent="0.25">
      <c r="B1162" s="472"/>
      <c r="C1162" s="557"/>
      <c r="D1162" s="567"/>
      <c r="E1162" s="132"/>
      <c r="F1162" s="472"/>
      <c r="G1162" s="309"/>
      <c r="H1162" s="309"/>
    </row>
    <row r="1163" spans="2:8" ht="24.95" customHeight="1" x14ac:dyDescent="0.25">
      <c r="B1163" s="472"/>
      <c r="C1163" s="557"/>
      <c r="D1163" s="567"/>
      <c r="E1163" s="132"/>
      <c r="F1163" s="472"/>
      <c r="G1163" s="309"/>
      <c r="H1163" s="309"/>
    </row>
    <row r="1164" spans="2:8" ht="24.95" customHeight="1" x14ac:dyDescent="0.25">
      <c r="B1164" s="472"/>
      <c r="C1164" s="557"/>
      <c r="D1164" s="567"/>
      <c r="E1164" s="132"/>
      <c r="F1164" s="472"/>
      <c r="G1164" s="309"/>
      <c r="H1164" s="309"/>
    </row>
    <row r="1165" spans="2:8" ht="24.95" customHeight="1" x14ac:dyDescent="0.25">
      <c r="B1165" s="472"/>
      <c r="C1165" s="557"/>
      <c r="D1165" s="567"/>
      <c r="E1165" s="132"/>
      <c r="F1165" s="472"/>
      <c r="G1165" s="309"/>
      <c r="H1165" s="309"/>
    </row>
    <row r="1166" spans="2:8" ht="24.95" customHeight="1" x14ac:dyDescent="0.25">
      <c r="B1166" s="472"/>
      <c r="C1166" s="557"/>
      <c r="D1166" s="567"/>
      <c r="E1166" s="132"/>
      <c r="F1166" s="472"/>
      <c r="G1166" s="309"/>
      <c r="H1166" s="309"/>
    </row>
    <row r="1167" spans="2:8" ht="24.95" customHeight="1" x14ac:dyDescent="0.25">
      <c r="B1167" s="472"/>
      <c r="C1167" s="557"/>
      <c r="D1167" s="567"/>
      <c r="E1167" s="132"/>
      <c r="F1167" s="472"/>
      <c r="G1167" s="309"/>
      <c r="H1167" s="309"/>
    </row>
    <row r="1168" spans="2:8" ht="24.95" customHeight="1" x14ac:dyDescent="0.25">
      <c r="B1168" s="472"/>
      <c r="C1168" s="557"/>
      <c r="D1168" s="567"/>
      <c r="E1168" s="132"/>
      <c r="F1168" s="472"/>
      <c r="G1168" s="309"/>
      <c r="H1168" s="309"/>
    </row>
    <row r="1169" spans="2:8" ht="24.95" customHeight="1" x14ac:dyDescent="0.25">
      <c r="B1169" s="472"/>
      <c r="C1169" s="557"/>
      <c r="D1169" s="567"/>
      <c r="E1169" s="132"/>
      <c r="F1169" s="472"/>
      <c r="G1169" s="309"/>
      <c r="H1169" s="309"/>
    </row>
    <row r="1170" spans="2:8" ht="24.95" customHeight="1" x14ac:dyDescent="0.25">
      <c r="B1170" s="472"/>
      <c r="C1170" s="557"/>
      <c r="D1170" s="567"/>
      <c r="E1170" s="132"/>
      <c r="F1170" s="472"/>
      <c r="G1170" s="309"/>
      <c r="H1170" s="309"/>
    </row>
    <row r="1171" spans="2:8" ht="24.95" customHeight="1" x14ac:dyDescent="0.25">
      <c r="B1171" s="472"/>
      <c r="C1171" s="557"/>
      <c r="D1171" s="567"/>
      <c r="E1171" s="132"/>
      <c r="F1171" s="472"/>
      <c r="G1171" s="309"/>
      <c r="H1171" s="309"/>
    </row>
    <row r="1172" spans="2:8" ht="24.95" customHeight="1" x14ac:dyDescent="0.25">
      <c r="B1172" s="472"/>
      <c r="C1172" s="557"/>
      <c r="D1172" s="567"/>
      <c r="E1172" s="132"/>
      <c r="F1172" s="472"/>
      <c r="G1172" s="309"/>
      <c r="H1172" s="309"/>
    </row>
    <row r="1173" spans="2:8" ht="24.95" customHeight="1" x14ac:dyDescent="0.25">
      <c r="B1173" s="472"/>
      <c r="C1173" s="557"/>
      <c r="D1173" s="567"/>
      <c r="E1173" s="132"/>
      <c r="F1173" s="472"/>
      <c r="G1173" s="309"/>
      <c r="H1173" s="309"/>
    </row>
    <row r="1174" spans="2:8" ht="24.95" customHeight="1" x14ac:dyDescent="0.25">
      <c r="B1174" s="472"/>
      <c r="C1174" s="557"/>
      <c r="D1174" s="567"/>
      <c r="E1174" s="132"/>
      <c r="F1174" s="472"/>
      <c r="G1174" s="309"/>
      <c r="H1174" s="309"/>
    </row>
    <row r="1175" spans="2:8" ht="24.95" customHeight="1" x14ac:dyDescent="0.25">
      <c r="B1175" s="472"/>
      <c r="C1175" s="557"/>
      <c r="D1175" s="567"/>
      <c r="E1175" s="132"/>
      <c r="F1175" s="472"/>
      <c r="G1175" s="309"/>
      <c r="H1175" s="309"/>
    </row>
    <row r="1176" spans="2:8" ht="24.95" customHeight="1" x14ac:dyDescent="0.25">
      <c r="B1176" s="472"/>
      <c r="C1176" s="557"/>
      <c r="D1176" s="567"/>
      <c r="E1176" s="132"/>
      <c r="F1176" s="472"/>
      <c r="G1176" s="309"/>
      <c r="H1176" s="309"/>
    </row>
    <row r="1177" spans="2:8" ht="24.95" customHeight="1" x14ac:dyDescent="0.25">
      <c r="B1177" s="472"/>
      <c r="C1177" s="557"/>
      <c r="D1177" s="567"/>
      <c r="E1177" s="132"/>
      <c r="F1177" s="472"/>
      <c r="G1177" s="309"/>
      <c r="H1177" s="309"/>
    </row>
    <row r="1178" spans="2:8" ht="24.95" customHeight="1" x14ac:dyDescent="0.25">
      <c r="B1178" s="472"/>
      <c r="C1178" s="557"/>
      <c r="D1178" s="567"/>
      <c r="E1178" s="132"/>
      <c r="F1178" s="472"/>
      <c r="G1178" s="309"/>
      <c r="H1178" s="309"/>
    </row>
    <row r="1179" spans="2:8" ht="24.95" customHeight="1" x14ac:dyDescent="0.25">
      <c r="B1179" s="472"/>
      <c r="C1179" s="557"/>
      <c r="D1179" s="567"/>
      <c r="E1179" s="132"/>
      <c r="F1179" s="472"/>
      <c r="G1179" s="309"/>
      <c r="H1179" s="309"/>
    </row>
    <row r="1180" spans="2:8" ht="24.95" customHeight="1" x14ac:dyDescent="0.25">
      <c r="B1180" s="472"/>
      <c r="C1180" s="557"/>
      <c r="D1180" s="567"/>
      <c r="E1180" s="132"/>
      <c r="F1180" s="472"/>
      <c r="G1180" s="309"/>
      <c r="H1180" s="309"/>
    </row>
    <row r="1181" spans="2:8" ht="24.95" customHeight="1" x14ac:dyDescent="0.25">
      <c r="B1181" s="472"/>
      <c r="C1181" s="557"/>
      <c r="D1181" s="567"/>
      <c r="E1181" s="132"/>
      <c r="F1181" s="472"/>
      <c r="G1181" s="309"/>
      <c r="H1181" s="309"/>
    </row>
    <row r="1182" spans="2:8" ht="24.95" customHeight="1" x14ac:dyDescent="0.25">
      <c r="B1182" s="472"/>
      <c r="C1182" s="557"/>
      <c r="D1182" s="567"/>
      <c r="E1182" s="132"/>
      <c r="F1182" s="472"/>
      <c r="G1182" s="309"/>
      <c r="H1182" s="309"/>
    </row>
    <row r="1183" spans="2:8" ht="24.95" customHeight="1" x14ac:dyDescent="0.25">
      <c r="B1183" s="472"/>
      <c r="C1183" s="557"/>
      <c r="D1183" s="567"/>
      <c r="E1183" s="132"/>
      <c r="F1183" s="472"/>
      <c r="G1183" s="309"/>
      <c r="H1183" s="309"/>
    </row>
    <row r="1184" spans="2:8" ht="24.95" customHeight="1" x14ac:dyDescent="0.25">
      <c r="B1184" s="472"/>
      <c r="C1184" s="557"/>
      <c r="D1184" s="567"/>
      <c r="E1184" s="132"/>
      <c r="F1184" s="472"/>
      <c r="G1184" s="309"/>
      <c r="H1184" s="309"/>
    </row>
    <row r="1185" spans="2:8" ht="24.95" customHeight="1" x14ac:dyDescent="0.25">
      <c r="B1185" s="472"/>
      <c r="C1185" s="557"/>
      <c r="D1185" s="567"/>
      <c r="E1185" s="132"/>
      <c r="F1185" s="472"/>
      <c r="G1185" s="309"/>
      <c r="H1185" s="309"/>
    </row>
    <row r="1186" spans="2:8" ht="24.95" customHeight="1" x14ac:dyDescent="0.25">
      <c r="B1186" s="472"/>
      <c r="C1186" s="557"/>
      <c r="D1186" s="567"/>
      <c r="E1186" s="132"/>
      <c r="F1186" s="472"/>
      <c r="G1186" s="309"/>
      <c r="H1186" s="309"/>
    </row>
    <row r="1187" spans="2:8" ht="24.95" customHeight="1" x14ac:dyDescent="0.25">
      <c r="B1187" s="472"/>
      <c r="C1187" s="557"/>
      <c r="D1187" s="567"/>
      <c r="E1187" s="132"/>
      <c r="F1187" s="472"/>
      <c r="G1187" s="309"/>
      <c r="H1187" s="309"/>
    </row>
    <row r="1188" spans="2:8" ht="24.95" customHeight="1" x14ac:dyDescent="0.25">
      <c r="B1188" s="472"/>
      <c r="C1188" s="557"/>
      <c r="D1188" s="567"/>
      <c r="E1188" s="132"/>
      <c r="F1188" s="472"/>
      <c r="G1188" s="309"/>
      <c r="H1188" s="309"/>
    </row>
    <row r="1189" spans="2:8" ht="24.95" customHeight="1" x14ac:dyDescent="0.25">
      <c r="B1189" s="472"/>
      <c r="C1189" s="557"/>
      <c r="D1189" s="567"/>
      <c r="E1189" s="132"/>
      <c r="F1189" s="472"/>
      <c r="G1189" s="309"/>
      <c r="H1189" s="309"/>
    </row>
    <row r="1190" spans="2:8" ht="24.95" customHeight="1" x14ac:dyDescent="0.25">
      <c r="B1190" s="472"/>
      <c r="C1190" s="557"/>
      <c r="D1190" s="567"/>
      <c r="E1190" s="132"/>
      <c r="F1190" s="472"/>
      <c r="G1190" s="309"/>
      <c r="H1190" s="309"/>
    </row>
    <row r="1191" spans="2:8" ht="24.95" customHeight="1" x14ac:dyDescent="0.25">
      <c r="B1191" s="472"/>
      <c r="C1191" s="557"/>
      <c r="D1191" s="567"/>
      <c r="E1191" s="132"/>
      <c r="F1191" s="472"/>
      <c r="G1191" s="309"/>
      <c r="H1191" s="309"/>
    </row>
    <row r="1192" spans="2:8" ht="24.95" customHeight="1" x14ac:dyDescent="0.25">
      <c r="B1192" s="472"/>
      <c r="C1192" s="557"/>
      <c r="D1192" s="567"/>
      <c r="E1192" s="132"/>
      <c r="F1192" s="472"/>
      <c r="G1192" s="309"/>
      <c r="H1192" s="309"/>
    </row>
    <row r="1193" spans="2:8" ht="24.95" customHeight="1" x14ac:dyDescent="0.25">
      <c r="B1193" s="472"/>
      <c r="C1193" s="557"/>
      <c r="D1193" s="567"/>
      <c r="E1193" s="132"/>
      <c r="F1193" s="472"/>
      <c r="G1193" s="309"/>
      <c r="H1193" s="309"/>
    </row>
    <row r="1194" spans="2:8" ht="24.95" customHeight="1" x14ac:dyDescent="0.25">
      <c r="B1194" s="472"/>
      <c r="C1194" s="557"/>
      <c r="D1194" s="567"/>
      <c r="E1194" s="132"/>
      <c r="F1194" s="472"/>
      <c r="G1194" s="309"/>
      <c r="H1194" s="309"/>
    </row>
    <row r="1195" spans="2:8" ht="24.95" customHeight="1" x14ac:dyDescent="0.25">
      <c r="B1195" s="472"/>
      <c r="C1195" s="557"/>
      <c r="D1195" s="567"/>
      <c r="E1195" s="132"/>
      <c r="F1195" s="472"/>
      <c r="G1195" s="309"/>
      <c r="H1195" s="309"/>
    </row>
    <row r="1196" spans="2:8" ht="24.95" customHeight="1" x14ac:dyDescent="0.25">
      <c r="B1196" s="472"/>
      <c r="C1196" s="557"/>
      <c r="D1196" s="567"/>
      <c r="E1196" s="132"/>
      <c r="F1196" s="472"/>
      <c r="G1196" s="309"/>
      <c r="H1196" s="309"/>
    </row>
    <row r="1197" spans="2:8" ht="24.95" customHeight="1" x14ac:dyDescent="0.25">
      <c r="B1197" s="472"/>
      <c r="C1197" s="557"/>
      <c r="D1197" s="567"/>
      <c r="E1197" s="132"/>
      <c r="F1197" s="472"/>
      <c r="G1197" s="309"/>
      <c r="H1197" s="309"/>
    </row>
    <row r="1198" spans="2:8" ht="24.95" customHeight="1" x14ac:dyDescent="0.25">
      <c r="B1198" s="472"/>
      <c r="C1198" s="557"/>
      <c r="D1198" s="567"/>
      <c r="E1198" s="132"/>
      <c r="F1198" s="472"/>
      <c r="G1198" s="309"/>
      <c r="H1198" s="309"/>
    </row>
    <row r="1199" spans="2:8" ht="24.95" customHeight="1" x14ac:dyDescent="0.25">
      <c r="B1199" s="472"/>
      <c r="C1199" s="557"/>
      <c r="D1199" s="567"/>
      <c r="E1199" s="132"/>
      <c r="F1199" s="472"/>
      <c r="G1199" s="309"/>
      <c r="H1199" s="309"/>
    </row>
    <row r="1200" spans="2:8" ht="24.95" customHeight="1" x14ac:dyDescent="0.25">
      <c r="B1200" s="472"/>
      <c r="C1200" s="557"/>
      <c r="D1200" s="567"/>
      <c r="E1200" s="132"/>
      <c r="F1200" s="472"/>
      <c r="G1200" s="309"/>
      <c r="H1200" s="309"/>
    </row>
    <row r="1201" spans="2:8" ht="24.95" customHeight="1" x14ac:dyDescent="0.25">
      <c r="B1201" s="472"/>
      <c r="C1201" s="557"/>
      <c r="D1201" s="567"/>
      <c r="E1201" s="132"/>
      <c r="F1201" s="472"/>
      <c r="G1201" s="309"/>
      <c r="H1201" s="309"/>
    </row>
    <row r="1202" spans="2:8" ht="24.95" customHeight="1" x14ac:dyDescent="0.25">
      <c r="B1202" s="472"/>
      <c r="C1202" s="557"/>
      <c r="D1202" s="567"/>
      <c r="E1202" s="132"/>
      <c r="F1202" s="472"/>
      <c r="G1202" s="309"/>
      <c r="H1202" s="309"/>
    </row>
    <row r="1203" spans="2:8" ht="24.95" customHeight="1" x14ac:dyDescent="0.25">
      <c r="B1203" s="472"/>
      <c r="C1203" s="557"/>
      <c r="D1203" s="567"/>
      <c r="E1203" s="132"/>
      <c r="F1203" s="472"/>
      <c r="G1203" s="309"/>
      <c r="H1203" s="309"/>
    </row>
    <row r="1204" spans="2:8" ht="24.95" customHeight="1" x14ac:dyDescent="0.25">
      <c r="B1204" s="472"/>
      <c r="C1204" s="557"/>
      <c r="D1204" s="567"/>
      <c r="E1204" s="132"/>
      <c r="F1204" s="472"/>
      <c r="G1204" s="309"/>
      <c r="H1204" s="309"/>
    </row>
    <row r="1205" spans="2:8" ht="24.95" customHeight="1" x14ac:dyDescent="0.25">
      <c r="B1205" s="472"/>
      <c r="C1205" s="557"/>
      <c r="D1205" s="567"/>
      <c r="E1205" s="132"/>
      <c r="F1205" s="472"/>
      <c r="G1205" s="309"/>
      <c r="H1205" s="309"/>
    </row>
    <row r="1206" spans="2:8" ht="24.95" customHeight="1" x14ac:dyDescent="0.25">
      <c r="B1206" s="472"/>
      <c r="C1206" s="557"/>
      <c r="D1206" s="567"/>
      <c r="E1206" s="132"/>
      <c r="F1206" s="472"/>
      <c r="G1206" s="309"/>
      <c r="H1206" s="309"/>
    </row>
    <row r="1207" spans="2:8" ht="24.95" customHeight="1" x14ac:dyDescent="0.25">
      <c r="B1207" s="472"/>
      <c r="C1207" s="557"/>
      <c r="D1207" s="567"/>
      <c r="E1207" s="132"/>
      <c r="F1207" s="472"/>
      <c r="G1207" s="309"/>
      <c r="H1207" s="309"/>
    </row>
    <row r="1208" spans="2:8" ht="24.95" customHeight="1" x14ac:dyDescent="0.25">
      <c r="B1208" s="472"/>
      <c r="C1208" s="557"/>
      <c r="D1208" s="567"/>
      <c r="E1208" s="132"/>
      <c r="F1208" s="472"/>
      <c r="G1208" s="309"/>
      <c r="H1208" s="309"/>
    </row>
    <row r="1209" spans="2:8" ht="24.95" customHeight="1" x14ac:dyDescent="0.25">
      <c r="B1209" s="472"/>
      <c r="C1209" s="557"/>
      <c r="D1209" s="567"/>
      <c r="E1209" s="132"/>
      <c r="F1209" s="472"/>
      <c r="G1209" s="309"/>
      <c r="H1209" s="309"/>
    </row>
    <row r="1210" spans="2:8" ht="24.95" customHeight="1" x14ac:dyDescent="0.25">
      <c r="B1210" s="472"/>
      <c r="C1210" s="557"/>
      <c r="D1210" s="567"/>
      <c r="E1210" s="132"/>
      <c r="F1210" s="472"/>
      <c r="G1210" s="309"/>
      <c r="H1210" s="309"/>
    </row>
    <row r="1211" spans="2:8" ht="24.95" customHeight="1" x14ac:dyDescent="0.25">
      <c r="B1211" s="472"/>
      <c r="C1211" s="557"/>
      <c r="D1211" s="567"/>
      <c r="E1211" s="132"/>
      <c r="F1211" s="472"/>
      <c r="G1211" s="309"/>
      <c r="H1211" s="309"/>
    </row>
    <row r="1212" spans="2:8" ht="24.95" customHeight="1" x14ac:dyDescent="0.25">
      <c r="B1212" s="472"/>
      <c r="C1212" s="557"/>
      <c r="D1212" s="567"/>
      <c r="E1212" s="132"/>
      <c r="F1212" s="472"/>
      <c r="G1212" s="309"/>
      <c r="H1212" s="309"/>
    </row>
    <row r="1213" spans="2:8" ht="24.95" customHeight="1" x14ac:dyDescent="0.25">
      <c r="B1213" s="472"/>
      <c r="C1213" s="557"/>
      <c r="D1213" s="567"/>
      <c r="E1213" s="132"/>
      <c r="F1213" s="472"/>
      <c r="G1213" s="309"/>
      <c r="H1213" s="309"/>
    </row>
    <row r="1214" spans="2:8" ht="24.95" customHeight="1" x14ac:dyDescent="0.25">
      <c r="B1214" s="472"/>
      <c r="C1214" s="557"/>
      <c r="D1214" s="567"/>
      <c r="E1214" s="132"/>
      <c r="F1214" s="472"/>
      <c r="G1214" s="309"/>
      <c r="H1214" s="309"/>
    </row>
    <row r="1215" spans="2:8" ht="24.95" customHeight="1" x14ac:dyDescent="0.25">
      <c r="B1215" s="472"/>
      <c r="C1215" s="557"/>
      <c r="D1215" s="567"/>
      <c r="E1215" s="132"/>
      <c r="F1215" s="472"/>
      <c r="G1215" s="309"/>
      <c r="H1215" s="309"/>
    </row>
    <row r="1216" spans="2:8" ht="24.95" customHeight="1" x14ac:dyDescent="0.25">
      <c r="B1216" s="472"/>
      <c r="C1216" s="557"/>
      <c r="D1216" s="567"/>
      <c r="E1216" s="132"/>
      <c r="F1216" s="472"/>
      <c r="G1216" s="309"/>
      <c r="H1216" s="309"/>
    </row>
    <row r="1217" spans="2:8" ht="24.95" customHeight="1" x14ac:dyDescent="0.25">
      <c r="B1217" s="472"/>
      <c r="C1217" s="557"/>
      <c r="D1217" s="567"/>
      <c r="E1217" s="132"/>
      <c r="F1217" s="472"/>
      <c r="G1217" s="309"/>
      <c r="H1217" s="309"/>
    </row>
    <row r="1218" spans="2:8" ht="24.95" customHeight="1" x14ac:dyDescent="0.25">
      <c r="B1218" s="472"/>
      <c r="C1218" s="557"/>
      <c r="D1218" s="567"/>
      <c r="E1218" s="132"/>
      <c r="F1218" s="472"/>
      <c r="G1218" s="309"/>
      <c r="H1218" s="309"/>
    </row>
    <row r="1219" spans="2:8" ht="24.95" customHeight="1" x14ac:dyDescent="0.25">
      <c r="B1219" s="472"/>
      <c r="C1219" s="557"/>
      <c r="D1219" s="567"/>
      <c r="E1219" s="132"/>
      <c r="F1219" s="472"/>
      <c r="G1219" s="309"/>
      <c r="H1219" s="309"/>
    </row>
    <row r="1220" spans="2:8" ht="24.95" customHeight="1" x14ac:dyDescent="0.25">
      <c r="B1220" s="472"/>
      <c r="C1220" s="557"/>
      <c r="D1220" s="567"/>
      <c r="E1220" s="132"/>
      <c r="F1220" s="472"/>
      <c r="G1220" s="309"/>
      <c r="H1220" s="309"/>
    </row>
    <row r="1221" spans="2:8" ht="24.95" customHeight="1" x14ac:dyDescent="0.25">
      <c r="B1221" s="472"/>
      <c r="C1221" s="557"/>
      <c r="D1221" s="567"/>
      <c r="E1221" s="132"/>
      <c r="F1221" s="472"/>
      <c r="G1221" s="309"/>
      <c r="H1221" s="309"/>
    </row>
    <row r="1222" spans="2:8" ht="24.95" customHeight="1" x14ac:dyDescent="0.25">
      <c r="B1222" s="472"/>
      <c r="C1222" s="557"/>
      <c r="D1222" s="567"/>
      <c r="E1222" s="132"/>
      <c r="F1222" s="472"/>
      <c r="G1222" s="309"/>
      <c r="H1222" s="309"/>
    </row>
    <row r="1223" spans="2:8" ht="24.95" customHeight="1" x14ac:dyDescent="0.25">
      <c r="B1223" s="472"/>
      <c r="C1223" s="557"/>
      <c r="D1223" s="567"/>
      <c r="E1223" s="132"/>
      <c r="F1223" s="472"/>
      <c r="G1223" s="309"/>
      <c r="H1223" s="309"/>
    </row>
    <row r="1224" spans="2:8" ht="24.95" customHeight="1" x14ac:dyDescent="0.25">
      <c r="B1224" s="472"/>
      <c r="C1224" s="557"/>
      <c r="D1224" s="567"/>
      <c r="E1224" s="132"/>
      <c r="F1224" s="472"/>
      <c r="G1224" s="309"/>
      <c r="H1224" s="309"/>
    </row>
    <row r="1225" spans="2:8" ht="24.95" customHeight="1" x14ac:dyDescent="0.25">
      <c r="B1225" s="472"/>
      <c r="C1225" s="557"/>
      <c r="D1225" s="567"/>
      <c r="E1225" s="132"/>
      <c r="F1225" s="472"/>
      <c r="G1225" s="309"/>
      <c r="H1225" s="309"/>
    </row>
    <row r="1226" spans="2:8" ht="24.95" customHeight="1" x14ac:dyDescent="0.25">
      <c r="B1226" s="472"/>
      <c r="C1226" s="557"/>
      <c r="D1226" s="567"/>
      <c r="E1226" s="132"/>
      <c r="F1226" s="472"/>
      <c r="G1226" s="309"/>
      <c r="H1226" s="309"/>
    </row>
    <row r="1227" spans="2:8" ht="24.95" customHeight="1" x14ac:dyDescent="0.25">
      <c r="B1227" s="472"/>
      <c r="C1227" s="557"/>
      <c r="D1227" s="567"/>
      <c r="E1227" s="132"/>
      <c r="F1227" s="472"/>
      <c r="G1227" s="309"/>
      <c r="H1227" s="309"/>
    </row>
    <row r="1228" spans="2:8" ht="24.95" customHeight="1" x14ac:dyDescent="0.25">
      <c r="B1228" s="472"/>
      <c r="C1228" s="557"/>
      <c r="D1228" s="567"/>
      <c r="E1228" s="132"/>
      <c r="F1228" s="472"/>
      <c r="G1228" s="309"/>
      <c r="H1228" s="309"/>
    </row>
    <row r="1229" spans="2:8" ht="24.95" customHeight="1" x14ac:dyDescent="0.25">
      <c r="B1229" s="472"/>
      <c r="C1229" s="557"/>
      <c r="D1229" s="567"/>
      <c r="E1229" s="132"/>
      <c r="F1229" s="472"/>
      <c r="G1229" s="309"/>
      <c r="H1229" s="309"/>
    </row>
    <row r="1230" spans="2:8" ht="24.95" customHeight="1" x14ac:dyDescent="0.25">
      <c r="B1230" s="472"/>
      <c r="C1230" s="557"/>
      <c r="D1230" s="567"/>
      <c r="E1230" s="132"/>
      <c r="F1230" s="472"/>
      <c r="G1230" s="309"/>
      <c r="H1230" s="309"/>
    </row>
    <row r="1231" spans="2:8" ht="24.95" customHeight="1" x14ac:dyDescent="0.25">
      <c r="B1231" s="472"/>
      <c r="C1231" s="557"/>
      <c r="D1231" s="567"/>
      <c r="E1231" s="132"/>
      <c r="F1231" s="472"/>
      <c r="G1231" s="309"/>
      <c r="H1231" s="309"/>
    </row>
    <row r="1232" spans="2:8" ht="24.95" customHeight="1" x14ac:dyDescent="0.25">
      <c r="B1232" s="472"/>
      <c r="C1232" s="557"/>
      <c r="D1232" s="567"/>
      <c r="E1232" s="132"/>
      <c r="F1232" s="472"/>
      <c r="G1232" s="309"/>
      <c r="H1232" s="309"/>
    </row>
    <row r="1233" spans="2:8" ht="24.95" customHeight="1" x14ac:dyDescent="0.25">
      <c r="B1233" s="472"/>
      <c r="C1233" s="557"/>
      <c r="D1233" s="567"/>
      <c r="E1233" s="132"/>
      <c r="F1233" s="472"/>
      <c r="G1233" s="309"/>
      <c r="H1233" s="309"/>
    </row>
    <row r="1234" spans="2:8" ht="24.95" customHeight="1" x14ac:dyDescent="0.25">
      <c r="B1234" s="472"/>
      <c r="C1234" s="557"/>
      <c r="D1234" s="567"/>
      <c r="E1234" s="132"/>
      <c r="F1234" s="472"/>
      <c r="G1234" s="309"/>
      <c r="H1234" s="309"/>
    </row>
    <row r="1235" spans="2:8" ht="24.95" customHeight="1" x14ac:dyDescent="0.25">
      <c r="B1235" s="472"/>
      <c r="C1235" s="557"/>
      <c r="D1235" s="567"/>
      <c r="E1235" s="132"/>
      <c r="F1235" s="472"/>
      <c r="G1235" s="309"/>
      <c r="H1235" s="309"/>
    </row>
    <row r="1236" spans="2:8" ht="24.95" customHeight="1" x14ac:dyDescent="0.25">
      <c r="B1236" s="472"/>
      <c r="C1236" s="557"/>
      <c r="D1236" s="567"/>
      <c r="E1236" s="132"/>
      <c r="F1236" s="472"/>
      <c r="G1236" s="309"/>
      <c r="H1236" s="309"/>
    </row>
    <row r="1237" spans="2:8" ht="24.95" customHeight="1" x14ac:dyDescent="0.25">
      <c r="B1237" s="472"/>
      <c r="C1237" s="557"/>
      <c r="D1237" s="567"/>
      <c r="E1237" s="132"/>
      <c r="F1237" s="472"/>
      <c r="G1237" s="309"/>
      <c r="H1237" s="309"/>
    </row>
    <row r="1238" spans="2:8" ht="24.95" customHeight="1" x14ac:dyDescent="0.25">
      <c r="B1238" s="472"/>
      <c r="C1238" s="557"/>
      <c r="D1238" s="567"/>
      <c r="E1238" s="132"/>
      <c r="F1238" s="472"/>
      <c r="G1238" s="309"/>
      <c r="H1238" s="309"/>
    </row>
    <row r="1239" spans="2:8" ht="24.95" customHeight="1" x14ac:dyDescent="0.25">
      <c r="B1239" s="472"/>
      <c r="C1239" s="557"/>
      <c r="D1239" s="567"/>
      <c r="E1239" s="132"/>
      <c r="F1239" s="472"/>
      <c r="G1239" s="309"/>
      <c r="H1239" s="309"/>
    </row>
    <row r="1240" spans="2:8" ht="24.95" customHeight="1" x14ac:dyDescent="0.25">
      <c r="B1240" s="472"/>
      <c r="C1240" s="557"/>
      <c r="D1240" s="567"/>
      <c r="E1240" s="132"/>
      <c r="F1240" s="472"/>
      <c r="G1240" s="309"/>
      <c r="H1240" s="309"/>
    </row>
    <row r="1241" spans="2:8" ht="24.95" customHeight="1" x14ac:dyDescent="0.25">
      <c r="B1241" s="472"/>
      <c r="C1241" s="557"/>
      <c r="D1241" s="567"/>
      <c r="E1241" s="132"/>
      <c r="F1241" s="472"/>
      <c r="G1241" s="309"/>
      <c r="H1241" s="309"/>
    </row>
    <row r="1242" spans="2:8" ht="24.95" customHeight="1" x14ac:dyDescent="0.25">
      <c r="B1242" s="472"/>
      <c r="C1242" s="557"/>
      <c r="D1242" s="567"/>
      <c r="E1242" s="132"/>
      <c r="F1242" s="472"/>
      <c r="G1242" s="309"/>
      <c r="H1242" s="309"/>
    </row>
    <row r="1243" spans="2:8" ht="24.95" customHeight="1" x14ac:dyDescent="0.25">
      <c r="B1243" s="472"/>
      <c r="C1243" s="557"/>
      <c r="D1243" s="567"/>
      <c r="E1243" s="132"/>
      <c r="F1243" s="472"/>
      <c r="G1243" s="309"/>
      <c r="H1243" s="309"/>
    </row>
    <row r="1244" spans="2:8" ht="24.95" customHeight="1" x14ac:dyDescent="0.25">
      <c r="B1244" s="472"/>
      <c r="C1244" s="557"/>
      <c r="D1244" s="567"/>
      <c r="E1244" s="132"/>
      <c r="F1244" s="472"/>
      <c r="G1244" s="309"/>
      <c r="H1244" s="309"/>
    </row>
    <row r="1245" spans="2:8" ht="24.95" customHeight="1" x14ac:dyDescent="0.25">
      <c r="B1245" s="472"/>
      <c r="C1245" s="557"/>
      <c r="D1245" s="567"/>
      <c r="E1245" s="132"/>
      <c r="F1245" s="472"/>
      <c r="G1245" s="309"/>
      <c r="H1245" s="309"/>
    </row>
    <row r="1246" spans="2:8" ht="24.95" customHeight="1" x14ac:dyDescent="0.25">
      <c r="B1246" s="472"/>
      <c r="C1246" s="557"/>
      <c r="D1246" s="567"/>
      <c r="E1246" s="132"/>
      <c r="F1246" s="472"/>
      <c r="G1246" s="309"/>
      <c r="H1246" s="309"/>
    </row>
    <row r="1247" spans="2:8" ht="24.95" customHeight="1" x14ac:dyDescent="0.25">
      <c r="B1247" s="472"/>
      <c r="C1247" s="557"/>
      <c r="D1247" s="567"/>
      <c r="E1247" s="132"/>
      <c r="F1247" s="472"/>
      <c r="G1247" s="309"/>
      <c r="H1247" s="309"/>
    </row>
    <row r="1248" spans="2:8" ht="24.95" customHeight="1" x14ac:dyDescent="0.25">
      <c r="B1248" s="472"/>
      <c r="C1248" s="557"/>
      <c r="D1248" s="567"/>
      <c r="E1248" s="132"/>
      <c r="F1248" s="472"/>
      <c r="G1248" s="309"/>
      <c r="H1248" s="309"/>
    </row>
    <row r="1249" spans="2:8" ht="24.95" customHeight="1" x14ac:dyDescent="0.25">
      <c r="B1249" s="472"/>
      <c r="C1249" s="557"/>
      <c r="D1249" s="567"/>
      <c r="E1249" s="132"/>
      <c r="F1249" s="472"/>
      <c r="G1249" s="309"/>
      <c r="H1249" s="309"/>
    </row>
    <row r="1250" spans="2:8" ht="24.95" customHeight="1" x14ac:dyDescent="0.25">
      <c r="B1250" s="472"/>
      <c r="C1250" s="557"/>
      <c r="D1250" s="567"/>
      <c r="E1250" s="132"/>
      <c r="F1250" s="472"/>
      <c r="G1250" s="309"/>
      <c r="H1250" s="309"/>
    </row>
    <row r="1251" spans="2:8" ht="24.95" customHeight="1" x14ac:dyDescent="0.25">
      <c r="B1251" s="472"/>
      <c r="C1251" s="557"/>
      <c r="D1251" s="567"/>
      <c r="E1251" s="132"/>
      <c r="F1251" s="472"/>
      <c r="G1251" s="309"/>
      <c r="H1251" s="309"/>
    </row>
    <row r="1252" spans="2:8" ht="24.95" customHeight="1" x14ac:dyDescent="0.25">
      <c r="B1252" s="472"/>
      <c r="C1252" s="557"/>
      <c r="D1252" s="567"/>
      <c r="E1252" s="132"/>
      <c r="F1252" s="472"/>
      <c r="G1252" s="309"/>
      <c r="H1252" s="309"/>
    </row>
    <row r="1253" spans="2:8" ht="24.95" customHeight="1" x14ac:dyDescent="0.25">
      <c r="B1253" s="472"/>
      <c r="C1253" s="557"/>
      <c r="D1253" s="567"/>
      <c r="E1253" s="132"/>
      <c r="F1253" s="472"/>
      <c r="G1253" s="309"/>
      <c r="H1253" s="309"/>
    </row>
    <row r="1254" spans="2:8" ht="24.95" customHeight="1" x14ac:dyDescent="0.25">
      <c r="B1254" s="472"/>
      <c r="C1254" s="557"/>
      <c r="D1254" s="567"/>
      <c r="E1254" s="132"/>
      <c r="F1254" s="472"/>
      <c r="G1254" s="309"/>
      <c r="H1254" s="309"/>
    </row>
    <row r="1255" spans="2:8" ht="24.95" customHeight="1" x14ac:dyDescent="0.25">
      <c r="B1255" s="472"/>
      <c r="C1255" s="557"/>
      <c r="D1255" s="567"/>
      <c r="E1255" s="132"/>
      <c r="F1255" s="472"/>
      <c r="G1255" s="309"/>
      <c r="H1255" s="309"/>
    </row>
    <row r="1256" spans="2:8" ht="24.95" customHeight="1" x14ac:dyDescent="0.25">
      <c r="B1256" s="472"/>
      <c r="C1256" s="557"/>
      <c r="D1256" s="567"/>
      <c r="E1256" s="132"/>
      <c r="F1256" s="472"/>
      <c r="G1256" s="309"/>
      <c r="H1256" s="309"/>
    </row>
    <row r="1257" spans="2:8" ht="24.95" customHeight="1" x14ac:dyDescent="0.25">
      <c r="B1257" s="472"/>
      <c r="C1257" s="557"/>
      <c r="D1257" s="567"/>
      <c r="E1257" s="132"/>
      <c r="F1257" s="472"/>
      <c r="G1257" s="309"/>
      <c r="H1257" s="309"/>
    </row>
    <row r="1258" spans="2:8" ht="24.95" customHeight="1" x14ac:dyDescent="0.25">
      <c r="B1258" s="472"/>
      <c r="C1258" s="557"/>
      <c r="D1258" s="567"/>
      <c r="E1258" s="132"/>
      <c r="F1258" s="472"/>
      <c r="G1258" s="309"/>
      <c r="H1258" s="309"/>
    </row>
    <row r="1259" spans="2:8" ht="24.95" customHeight="1" x14ac:dyDescent="0.25">
      <c r="B1259" s="472"/>
      <c r="C1259" s="557"/>
      <c r="D1259" s="567"/>
      <c r="E1259" s="132"/>
      <c r="F1259" s="472"/>
      <c r="G1259" s="309"/>
      <c r="H1259" s="309"/>
    </row>
    <row r="1260" spans="2:8" ht="24.95" customHeight="1" x14ac:dyDescent="0.25">
      <c r="B1260" s="472"/>
      <c r="C1260" s="557"/>
      <c r="D1260" s="567"/>
      <c r="E1260" s="132"/>
      <c r="F1260" s="472"/>
      <c r="G1260" s="309"/>
      <c r="H1260" s="309"/>
    </row>
    <row r="1261" spans="2:8" ht="24.95" customHeight="1" x14ac:dyDescent="0.25">
      <c r="B1261" s="472"/>
      <c r="C1261" s="557"/>
      <c r="D1261" s="567"/>
      <c r="E1261" s="132"/>
      <c r="F1261" s="472"/>
      <c r="G1261" s="309"/>
      <c r="H1261" s="309"/>
    </row>
    <row r="1262" spans="2:8" ht="24.95" customHeight="1" x14ac:dyDescent="0.25">
      <c r="B1262" s="472"/>
      <c r="C1262" s="557"/>
      <c r="D1262" s="567"/>
      <c r="E1262" s="132"/>
      <c r="F1262" s="472"/>
      <c r="G1262" s="309"/>
      <c r="H1262" s="309"/>
    </row>
    <row r="1263" spans="2:8" ht="24.95" customHeight="1" x14ac:dyDescent="0.25">
      <c r="B1263" s="472"/>
      <c r="C1263" s="557"/>
      <c r="D1263" s="567"/>
      <c r="E1263" s="132"/>
      <c r="F1263" s="472"/>
      <c r="G1263" s="309"/>
      <c r="H1263" s="309"/>
    </row>
    <row r="1264" spans="2:8" ht="24.95" customHeight="1" x14ac:dyDescent="0.25">
      <c r="B1264" s="472"/>
      <c r="C1264" s="557"/>
      <c r="D1264" s="567"/>
      <c r="E1264" s="132"/>
      <c r="F1264" s="472"/>
      <c r="G1264" s="309"/>
      <c r="H1264" s="309"/>
    </row>
    <row r="1265" spans="2:8" ht="24.95" customHeight="1" x14ac:dyDescent="0.25">
      <c r="B1265" s="472"/>
      <c r="C1265" s="557"/>
      <c r="D1265" s="567"/>
      <c r="E1265" s="132"/>
      <c r="F1265" s="472"/>
      <c r="G1265" s="309"/>
      <c r="H1265" s="309"/>
    </row>
    <row r="1266" spans="2:8" ht="24.95" customHeight="1" x14ac:dyDescent="0.25">
      <c r="B1266" s="472"/>
      <c r="C1266" s="557"/>
      <c r="D1266" s="567"/>
      <c r="E1266" s="132"/>
      <c r="F1266" s="472"/>
      <c r="G1266" s="309"/>
      <c r="H1266" s="309"/>
    </row>
    <row r="1267" spans="2:8" ht="24.95" customHeight="1" x14ac:dyDescent="0.25">
      <c r="B1267" s="472"/>
      <c r="C1267" s="557"/>
      <c r="D1267" s="567"/>
      <c r="E1267" s="132"/>
      <c r="F1267" s="472"/>
      <c r="G1267" s="309"/>
      <c r="H1267" s="309"/>
    </row>
    <row r="1268" spans="2:8" ht="24.95" customHeight="1" x14ac:dyDescent="0.25">
      <c r="B1268" s="472"/>
      <c r="C1268" s="557"/>
      <c r="D1268" s="567"/>
      <c r="E1268" s="132"/>
      <c r="F1268" s="472"/>
      <c r="G1268" s="309"/>
      <c r="H1268" s="309"/>
    </row>
    <row r="1269" spans="2:8" ht="24.95" customHeight="1" x14ac:dyDescent="0.25">
      <c r="B1269" s="472"/>
      <c r="C1269" s="557"/>
      <c r="D1269" s="567"/>
      <c r="E1269" s="132"/>
      <c r="F1269" s="472"/>
      <c r="G1269" s="309"/>
      <c r="H1269" s="309"/>
    </row>
    <row r="1270" spans="2:8" ht="24.95" customHeight="1" x14ac:dyDescent="0.25">
      <c r="B1270" s="472"/>
      <c r="C1270" s="557"/>
      <c r="D1270" s="567"/>
      <c r="E1270" s="132"/>
      <c r="F1270" s="472"/>
      <c r="G1270" s="309"/>
      <c r="H1270" s="309"/>
    </row>
    <row r="1271" spans="2:8" ht="24.95" customHeight="1" x14ac:dyDescent="0.25">
      <c r="B1271" s="472"/>
      <c r="C1271" s="557"/>
      <c r="D1271" s="567"/>
      <c r="E1271" s="132"/>
      <c r="F1271" s="472"/>
      <c r="G1271" s="309"/>
      <c r="H1271" s="309"/>
    </row>
    <row r="1272" spans="2:8" ht="24.95" customHeight="1" x14ac:dyDescent="0.25">
      <c r="B1272" s="472"/>
      <c r="C1272" s="557"/>
      <c r="D1272" s="567"/>
      <c r="E1272" s="132"/>
      <c r="F1272" s="472"/>
      <c r="G1272" s="309"/>
      <c r="H1272" s="309"/>
    </row>
    <row r="1273" spans="2:8" ht="24.95" customHeight="1" x14ac:dyDescent="0.25">
      <c r="B1273" s="472"/>
      <c r="C1273" s="557"/>
      <c r="D1273" s="567"/>
      <c r="E1273" s="132"/>
      <c r="F1273" s="472"/>
      <c r="G1273" s="309"/>
      <c r="H1273" s="309"/>
    </row>
    <row r="1274" spans="2:8" ht="24.95" customHeight="1" x14ac:dyDescent="0.25">
      <c r="B1274" s="472"/>
      <c r="C1274" s="557"/>
      <c r="D1274" s="567"/>
      <c r="E1274" s="132"/>
      <c r="F1274" s="472"/>
      <c r="G1274" s="309"/>
      <c r="H1274" s="309"/>
    </row>
    <row r="1275" spans="2:8" ht="24.95" customHeight="1" x14ac:dyDescent="0.25">
      <c r="B1275" s="472"/>
      <c r="C1275" s="557"/>
      <c r="D1275" s="567"/>
      <c r="E1275" s="132"/>
      <c r="F1275" s="472"/>
      <c r="G1275" s="309"/>
      <c r="H1275" s="309"/>
    </row>
    <row r="1276" spans="2:8" ht="24.95" customHeight="1" x14ac:dyDescent="0.25">
      <c r="B1276" s="472"/>
      <c r="C1276" s="557"/>
      <c r="D1276" s="567"/>
      <c r="E1276" s="132"/>
      <c r="F1276" s="472"/>
      <c r="G1276" s="309"/>
      <c r="H1276" s="309"/>
    </row>
    <row r="1277" spans="2:8" ht="24.95" customHeight="1" x14ac:dyDescent="0.25">
      <c r="B1277" s="472"/>
      <c r="C1277" s="557"/>
      <c r="D1277" s="567"/>
      <c r="E1277" s="132"/>
      <c r="F1277" s="472"/>
      <c r="G1277" s="309"/>
      <c r="H1277" s="309"/>
    </row>
    <row r="1278" spans="2:8" ht="24.95" customHeight="1" x14ac:dyDescent="0.25">
      <c r="B1278" s="472"/>
      <c r="C1278" s="557"/>
      <c r="D1278" s="567"/>
      <c r="E1278" s="132"/>
      <c r="F1278" s="472"/>
      <c r="G1278" s="309"/>
      <c r="H1278" s="309"/>
    </row>
    <row r="1279" spans="2:8" ht="24.95" customHeight="1" x14ac:dyDescent="0.25">
      <c r="B1279" s="472"/>
      <c r="C1279" s="557"/>
      <c r="D1279" s="567"/>
      <c r="E1279" s="132"/>
      <c r="F1279" s="472"/>
      <c r="G1279" s="309"/>
      <c r="H1279" s="309"/>
    </row>
    <row r="1280" spans="2:8" ht="24.95" customHeight="1" x14ac:dyDescent="0.25">
      <c r="B1280" s="472"/>
      <c r="C1280" s="557"/>
      <c r="D1280" s="567"/>
      <c r="E1280" s="132"/>
      <c r="F1280" s="472"/>
      <c r="G1280" s="309"/>
      <c r="H1280" s="309"/>
    </row>
    <row r="1281" spans="2:8" ht="24.95" customHeight="1" x14ac:dyDescent="0.25">
      <c r="B1281" s="472"/>
      <c r="C1281" s="557"/>
      <c r="D1281" s="567"/>
      <c r="E1281" s="132"/>
      <c r="F1281" s="472"/>
      <c r="G1281" s="309"/>
      <c r="H1281" s="309"/>
    </row>
    <row r="1282" spans="2:8" ht="24.95" customHeight="1" x14ac:dyDescent="0.25">
      <c r="B1282" s="472"/>
      <c r="C1282" s="557"/>
      <c r="D1282" s="567"/>
      <c r="E1282" s="132"/>
      <c r="F1282" s="472"/>
      <c r="G1282" s="309"/>
      <c r="H1282" s="309"/>
    </row>
    <row r="1283" spans="2:8" ht="24.95" customHeight="1" x14ac:dyDescent="0.25">
      <c r="B1283" s="472"/>
      <c r="C1283" s="557"/>
      <c r="D1283" s="567"/>
      <c r="E1283" s="132"/>
      <c r="F1283" s="472"/>
      <c r="G1283" s="309"/>
      <c r="H1283" s="309"/>
    </row>
    <row r="1284" spans="2:8" ht="24.95" customHeight="1" x14ac:dyDescent="0.25">
      <c r="B1284" s="472"/>
      <c r="C1284" s="557"/>
      <c r="D1284" s="567"/>
      <c r="E1284" s="132"/>
      <c r="F1284" s="472"/>
      <c r="G1284" s="309"/>
      <c r="H1284" s="309"/>
    </row>
    <row r="1285" spans="2:8" ht="24.95" customHeight="1" x14ac:dyDescent="0.25">
      <c r="B1285" s="472"/>
      <c r="C1285" s="557"/>
      <c r="D1285" s="567"/>
      <c r="E1285" s="132"/>
      <c r="F1285" s="472"/>
      <c r="G1285" s="309"/>
      <c r="H1285" s="309"/>
    </row>
    <row r="1286" spans="2:8" ht="24.95" customHeight="1" x14ac:dyDescent="0.25">
      <c r="B1286" s="472"/>
      <c r="C1286" s="557"/>
      <c r="D1286" s="567"/>
      <c r="E1286" s="132"/>
      <c r="F1286" s="472"/>
      <c r="G1286" s="309"/>
      <c r="H1286" s="309"/>
    </row>
    <row r="1287" spans="2:8" ht="24.95" customHeight="1" x14ac:dyDescent="0.25">
      <c r="B1287" s="472"/>
      <c r="C1287" s="557"/>
      <c r="D1287" s="567"/>
      <c r="E1287" s="132"/>
      <c r="F1287" s="472"/>
      <c r="G1287" s="309"/>
      <c r="H1287" s="309"/>
    </row>
    <row r="1288" spans="2:8" ht="24.95" customHeight="1" x14ac:dyDescent="0.25">
      <c r="B1288" s="472"/>
      <c r="C1288" s="557"/>
      <c r="D1288" s="567"/>
      <c r="E1288" s="132"/>
      <c r="F1288" s="472"/>
      <c r="G1288" s="309"/>
      <c r="H1288" s="309"/>
    </row>
    <row r="1289" spans="2:8" ht="24.95" customHeight="1" x14ac:dyDescent="0.25">
      <c r="B1289" s="472"/>
      <c r="C1289" s="557"/>
      <c r="D1289" s="567"/>
      <c r="E1289" s="132"/>
      <c r="F1289" s="472"/>
      <c r="G1289" s="309"/>
      <c r="H1289" s="309"/>
    </row>
    <row r="1290" spans="2:8" ht="24.95" customHeight="1" x14ac:dyDescent="0.25">
      <c r="B1290" s="472"/>
      <c r="C1290" s="557"/>
      <c r="D1290" s="567"/>
      <c r="E1290" s="132"/>
      <c r="F1290" s="472"/>
      <c r="G1290" s="309"/>
      <c r="H1290" s="309"/>
    </row>
    <row r="1291" spans="2:8" ht="24.95" customHeight="1" x14ac:dyDescent="0.25">
      <c r="B1291" s="472"/>
      <c r="C1291" s="557"/>
      <c r="D1291" s="567"/>
      <c r="E1291" s="132"/>
      <c r="F1291" s="472"/>
      <c r="G1291" s="309"/>
      <c r="H1291" s="309"/>
    </row>
    <row r="1292" spans="2:8" ht="24.95" customHeight="1" x14ac:dyDescent="0.25">
      <c r="B1292" s="472"/>
      <c r="C1292" s="557"/>
      <c r="D1292" s="567"/>
      <c r="E1292" s="132"/>
      <c r="F1292" s="472"/>
      <c r="G1292" s="309"/>
      <c r="H1292" s="309"/>
    </row>
    <row r="1293" spans="2:8" ht="24.95" customHeight="1" x14ac:dyDescent="0.25">
      <c r="B1293" s="472"/>
      <c r="C1293" s="557"/>
      <c r="D1293" s="567"/>
      <c r="E1293" s="132"/>
      <c r="F1293" s="472"/>
      <c r="G1293" s="309"/>
      <c r="H1293" s="309"/>
    </row>
    <row r="1294" spans="2:8" ht="24.95" customHeight="1" x14ac:dyDescent="0.25">
      <c r="B1294" s="472"/>
      <c r="C1294" s="557"/>
      <c r="D1294" s="567"/>
      <c r="E1294" s="132"/>
      <c r="F1294" s="472"/>
      <c r="G1294" s="309"/>
      <c r="H1294" s="309"/>
    </row>
    <row r="1295" spans="2:8" ht="24.95" customHeight="1" x14ac:dyDescent="0.25">
      <c r="B1295" s="472"/>
      <c r="C1295" s="557"/>
      <c r="D1295" s="567"/>
      <c r="E1295" s="132"/>
      <c r="F1295" s="472"/>
      <c r="G1295" s="309"/>
      <c r="H1295" s="309"/>
    </row>
    <row r="1296" spans="2:8" ht="24.95" customHeight="1" x14ac:dyDescent="0.25">
      <c r="B1296" s="472"/>
      <c r="C1296" s="557"/>
      <c r="D1296" s="567"/>
      <c r="E1296" s="132"/>
      <c r="F1296" s="472"/>
      <c r="G1296" s="309"/>
      <c r="H1296" s="309"/>
    </row>
    <row r="1297" spans="2:8" ht="24.95" customHeight="1" x14ac:dyDescent="0.25">
      <c r="B1297" s="472"/>
      <c r="C1297" s="557"/>
      <c r="D1297" s="567"/>
      <c r="E1297" s="132"/>
      <c r="F1297" s="472"/>
      <c r="G1297" s="309"/>
      <c r="H1297" s="309"/>
    </row>
    <row r="1298" spans="2:8" ht="24.95" customHeight="1" x14ac:dyDescent="0.25">
      <c r="B1298" s="472"/>
      <c r="C1298" s="557"/>
      <c r="D1298" s="567"/>
      <c r="E1298" s="132"/>
      <c r="F1298" s="472"/>
      <c r="G1298" s="309"/>
      <c r="H1298" s="309"/>
    </row>
    <row r="1299" spans="2:8" ht="24.95" customHeight="1" x14ac:dyDescent="0.25">
      <c r="B1299" s="472"/>
      <c r="C1299" s="557"/>
      <c r="D1299" s="567"/>
      <c r="E1299" s="132"/>
      <c r="F1299" s="472"/>
      <c r="G1299" s="309"/>
      <c r="H1299" s="309"/>
    </row>
    <row r="1300" spans="2:8" ht="24.95" customHeight="1" x14ac:dyDescent="0.25">
      <c r="B1300" s="472"/>
      <c r="C1300" s="557"/>
      <c r="D1300" s="567"/>
      <c r="E1300" s="132"/>
      <c r="F1300" s="472"/>
      <c r="G1300" s="309"/>
      <c r="H1300" s="309"/>
    </row>
    <row r="1301" spans="2:8" ht="24.95" customHeight="1" x14ac:dyDescent="0.25">
      <c r="B1301" s="472"/>
      <c r="C1301" s="557"/>
      <c r="D1301" s="567"/>
      <c r="E1301" s="132"/>
      <c r="F1301" s="472"/>
      <c r="G1301" s="309"/>
      <c r="H1301" s="309"/>
    </row>
    <row r="1302" spans="2:8" ht="24.95" customHeight="1" x14ac:dyDescent="0.25">
      <c r="B1302" s="472"/>
      <c r="C1302" s="557"/>
      <c r="D1302" s="567"/>
      <c r="E1302" s="132"/>
      <c r="F1302" s="472"/>
      <c r="G1302" s="309"/>
      <c r="H1302" s="309"/>
    </row>
    <row r="1303" spans="2:8" ht="24.95" customHeight="1" x14ac:dyDescent="0.25">
      <c r="B1303" s="472"/>
      <c r="C1303" s="557"/>
      <c r="D1303" s="567"/>
      <c r="E1303" s="132"/>
      <c r="F1303" s="472"/>
      <c r="G1303" s="309"/>
      <c r="H1303" s="309"/>
    </row>
    <row r="1304" spans="2:8" ht="24.95" customHeight="1" x14ac:dyDescent="0.25">
      <c r="B1304" s="472"/>
      <c r="C1304" s="557"/>
      <c r="D1304" s="567"/>
      <c r="E1304" s="132"/>
      <c r="F1304" s="472"/>
      <c r="G1304" s="309"/>
      <c r="H1304" s="309"/>
    </row>
    <row r="1305" spans="2:8" ht="24.95" customHeight="1" x14ac:dyDescent="0.25">
      <c r="B1305" s="472"/>
      <c r="C1305" s="557"/>
      <c r="D1305" s="567"/>
      <c r="E1305" s="132"/>
      <c r="F1305" s="472"/>
      <c r="G1305" s="309"/>
      <c r="H1305" s="309"/>
    </row>
    <row r="1306" spans="2:8" ht="24.95" customHeight="1" x14ac:dyDescent="0.25">
      <c r="B1306" s="472"/>
      <c r="C1306" s="557"/>
      <c r="D1306" s="567"/>
      <c r="E1306" s="132"/>
      <c r="F1306" s="472"/>
      <c r="G1306" s="309"/>
      <c r="H1306" s="309"/>
    </row>
    <row r="1307" spans="2:8" ht="24.95" customHeight="1" x14ac:dyDescent="0.25">
      <c r="B1307" s="472"/>
      <c r="C1307" s="557"/>
      <c r="D1307" s="567"/>
      <c r="E1307" s="132"/>
      <c r="F1307" s="472"/>
      <c r="G1307" s="309"/>
      <c r="H1307" s="309"/>
    </row>
    <row r="1308" spans="2:8" ht="24.95" customHeight="1" x14ac:dyDescent="0.25">
      <c r="B1308" s="472"/>
      <c r="C1308" s="557"/>
      <c r="D1308" s="567"/>
      <c r="E1308" s="132"/>
      <c r="F1308" s="472"/>
      <c r="G1308" s="309"/>
      <c r="H1308" s="309"/>
    </row>
    <row r="1309" spans="2:8" ht="24.95" customHeight="1" x14ac:dyDescent="0.25">
      <c r="B1309" s="472"/>
      <c r="C1309" s="557"/>
      <c r="D1309" s="567"/>
      <c r="E1309" s="132"/>
      <c r="F1309" s="472"/>
      <c r="G1309" s="309"/>
      <c r="H1309" s="309"/>
    </row>
    <row r="1310" spans="2:8" ht="24.95" customHeight="1" x14ac:dyDescent="0.25">
      <c r="B1310" s="472"/>
      <c r="C1310" s="557"/>
      <c r="D1310" s="567"/>
      <c r="E1310" s="132"/>
      <c r="F1310" s="472"/>
      <c r="G1310" s="309"/>
      <c r="H1310" s="309"/>
    </row>
    <row r="1311" spans="2:8" ht="24.95" customHeight="1" x14ac:dyDescent="0.25">
      <c r="B1311" s="472"/>
      <c r="C1311" s="557"/>
      <c r="D1311" s="567"/>
      <c r="E1311" s="132"/>
      <c r="F1311" s="472"/>
      <c r="G1311" s="309"/>
      <c r="H1311" s="309"/>
    </row>
    <row r="1312" spans="2:8" ht="24.95" customHeight="1" x14ac:dyDescent="0.25">
      <c r="B1312" s="472"/>
      <c r="C1312" s="557"/>
      <c r="D1312" s="567"/>
      <c r="E1312" s="132"/>
      <c r="F1312" s="472"/>
      <c r="G1312" s="309"/>
      <c r="H1312" s="309"/>
    </row>
    <row r="1313" spans="2:8" ht="24.95" customHeight="1" x14ac:dyDescent="0.25">
      <c r="B1313" s="472"/>
      <c r="C1313" s="557"/>
      <c r="D1313" s="567"/>
      <c r="E1313" s="132"/>
      <c r="F1313" s="472"/>
      <c r="G1313" s="309"/>
      <c r="H1313" s="309"/>
    </row>
    <row r="1314" spans="2:8" ht="24.95" customHeight="1" x14ac:dyDescent="0.25">
      <c r="B1314" s="472"/>
      <c r="C1314" s="557"/>
      <c r="D1314" s="567"/>
      <c r="E1314" s="132"/>
      <c r="F1314" s="472"/>
      <c r="G1314" s="309"/>
      <c r="H1314" s="309"/>
    </row>
    <row r="1315" spans="2:8" ht="24.95" customHeight="1" x14ac:dyDescent="0.25">
      <c r="B1315" s="472"/>
      <c r="C1315" s="557"/>
      <c r="D1315" s="567"/>
      <c r="E1315" s="132"/>
      <c r="F1315" s="472"/>
      <c r="G1315" s="309"/>
      <c r="H1315" s="309"/>
    </row>
    <row r="1316" spans="2:8" ht="24.95" customHeight="1" x14ac:dyDescent="0.25">
      <c r="B1316" s="472"/>
      <c r="C1316" s="557"/>
      <c r="D1316" s="567"/>
      <c r="E1316" s="132"/>
      <c r="F1316" s="472"/>
      <c r="G1316" s="309"/>
      <c r="H1316" s="309"/>
    </row>
    <row r="1317" spans="2:8" ht="24.95" customHeight="1" x14ac:dyDescent="0.25">
      <c r="B1317" s="472"/>
      <c r="C1317" s="557"/>
      <c r="D1317" s="567"/>
      <c r="E1317" s="132"/>
      <c r="F1317" s="472"/>
      <c r="G1317" s="309"/>
      <c r="H1317" s="309"/>
    </row>
    <row r="1318" spans="2:8" ht="24.95" customHeight="1" x14ac:dyDescent="0.25">
      <c r="B1318" s="472"/>
      <c r="C1318" s="557"/>
      <c r="D1318" s="567"/>
      <c r="E1318" s="132"/>
      <c r="F1318" s="472"/>
      <c r="G1318" s="309"/>
      <c r="H1318" s="309"/>
    </row>
    <row r="1319" spans="2:8" ht="24.95" customHeight="1" x14ac:dyDescent="0.25">
      <c r="B1319" s="472"/>
      <c r="C1319" s="557"/>
      <c r="D1319" s="567"/>
      <c r="E1319" s="132"/>
      <c r="F1319" s="472"/>
      <c r="G1319" s="309"/>
      <c r="H1319" s="309"/>
    </row>
    <row r="1320" spans="2:8" ht="24.95" customHeight="1" x14ac:dyDescent="0.25">
      <c r="B1320" s="472"/>
      <c r="C1320" s="557"/>
      <c r="D1320" s="567"/>
      <c r="E1320" s="132"/>
      <c r="F1320" s="472"/>
      <c r="G1320" s="309"/>
      <c r="H1320" s="309"/>
    </row>
    <row r="1321" spans="2:8" ht="24.95" customHeight="1" x14ac:dyDescent="0.25">
      <c r="B1321" s="472"/>
      <c r="C1321" s="557"/>
      <c r="D1321" s="567"/>
      <c r="E1321" s="132"/>
      <c r="F1321" s="472"/>
      <c r="G1321" s="309"/>
      <c r="H1321" s="309"/>
    </row>
    <row r="1322" spans="2:8" ht="24.95" customHeight="1" x14ac:dyDescent="0.25">
      <c r="B1322" s="472"/>
      <c r="C1322" s="557"/>
      <c r="D1322" s="567"/>
      <c r="E1322" s="132"/>
      <c r="F1322" s="472"/>
      <c r="G1322" s="309"/>
      <c r="H1322" s="309"/>
    </row>
    <row r="1323" spans="2:8" ht="24.95" customHeight="1" x14ac:dyDescent="0.25">
      <c r="B1323" s="472"/>
      <c r="C1323" s="557"/>
      <c r="D1323" s="567"/>
      <c r="E1323" s="132"/>
      <c r="F1323" s="472"/>
      <c r="G1323" s="309"/>
      <c r="H1323" s="309"/>
    </row>
    <row r="1324" spans="2:8" ht="24.95" customHeight="1" x14ac:dyDescent="0.25">
      <c r="B1324" s="472"/>
      <c r="C1324" s="557"/>
      <c r="D1324" s="567"/>
      <c r="E1324" s="132"/>
      <c r="F1324" s="472"/>
      <c r="G1324" s="309"/>
      <c r="H1324" s="309"/>
    </row>
    <row r="1325" spans="2:8" ht="24.95" customHeight="1" x14ac:dyDescent="0.25">
      <c r="B1325" s="472"/>
      <c r="C1325" s="557"/>
      <c r="D1325" s="567"/>
      <c r="E1325" s="132"/>
      <c r="F1325" s="472"/>
      <c r="G1325" s="309"/>
      <c r="H1325" s="309"/>
    </row>
    <row r="1326" spans="2:8" ht="24.95" customHeight="1" x14ac:dyDescent="0.25">
      <c r="B1326" s="472"/>
      <c r="C1326" s="557"/>
      <c r="D1326" s="567"/>
      <c r="E1326" s="132"/>
      <c r="F1326" s="472"/>
      <c r="G1326" s="309"/>
      <c r="H1326" s="309"/>
    </row>
    <row r="1327" spans="2:8" ht="24.95" customHeight="1" x14ac:dyDescent="0.25">
      <c r="B1327" s="472"/>
      <c r="C1327" s="557"/>
      <c r="D1327" s="567"/>
      <c r="E1327" s="132"/>
      <c r="F1327" s="472"/>
      <c r="G1327" s="309"/>
      <c r="H1327" s="309"/>
    </row>
    <row r="1328" spans="2:8" ht="24.95" customHeight="1" x14ac:dyDescent="0.25">
      <c r="B1328" s="472"/>
      <c r="C1328" s="557"/>
      <c r="D1328" s="567"/>
      <c r="E1328" s="132"/>
      <c r="F1328" s="472"/>
      <c r="G1328" s="309"/>
      <c r="H1328" s="309"/>
    </row>
    <row r="1329" spans="2:8" ht="24.95" customHeight="1" x14ac:dyDescent="0.25">
      <c r="B1329" s="472"/>
      <c r="C1329" s="557"/>
      <c r="D1329" s="567"/>
      <c r="E1329" s="132"/>
      <c r="F1329" s="472"/>
      <c r="G1329" s="309"/>
      <c r="H1329" s="309"/>
    </row>
    <row r="1330" spans="2:8" ht="24.95" customHeight="1" x14ac:dyDescent="0.25">
      <c r="B1330" s="472"/>
      <c r="C1330" s="557"/>
      <c r="D1330" s="567"/>
      <c r="E1330" s="132"/>
      <c r="F1330" s="472"/>
      <c r="G1330" s="309"/>
      <c r="H1330" s="309"/>
    </row>
    <row r="1331" spans="2:8" ht="24.95" customHeight="1" x14ac:dyDescent="0.25">
      <c r="B1331" s="472"/>
      <c r="C1331" s="557"/>
      <c r="D1331" s="567"/>
      <c r="E1331" s="132"/>
      <c r="F1331" s="472"/>
      <c r="G1331" s="309"/>
      <c r="H1331" s="309"/>
    </row>
    <row r="1332" spans="2:8" ht="24.95" customHeight="1" x14ac:dyDescent="0.25">
      <c r="B1332" s="472"/>
      <c r="C1332" s="557"/>
      <c r="D1332" s="567"/>
      <c r="E1332" s="132"/>
      <c r="F1332" s="472"/>
      <c r="G1332" s="309"/>
      <c r="H1332" s="309"/>
    </row>
    <row r="1333" spans="2:8" ht="24.95" customHeight="1" x14ac:dyDescent="0.25">
      <c r="B1333" s="472"/>
      <c r="C1333" s="557"/>
      <c r="D1333" s="567"/>
      <c r="E1333" s="132"/>
      <c r="F1333" s="472"/>
      <c r="G1333" s="309"/>
      <c r="H1333" s="309"/>
    </row>
    <row r="1334" spans="2:8" ht="24.95" customHeight="1" x14ac:dyDescent="0.25">
      <c r="B1334" s="472"/>
      <c r="C1334" s="557"/>
      <c r="D1334" s="567"/>
      <c r="E1334" s="132"/>
      <c r="F1334" s="472"/>
      <c r="G1334" s="309"/>
      <c r="H1334" s="309"/>
    </row>
    <row r="1335" spans="2:8" ht="24.95" customHeight="1" x14ac:dyDescent="0.25">
      <c r="B1335" s="472"/>
      <c r="C1335" s="557"/>
      <c r="D1335" s="567"/>
      <c r="E1335" s="132"/>
      <c r="F1335" s="472"/>
      <c r="G1335" s="309"/>
      <c r="H1335" s="309"/>
    </row>
    <row r="1336" spans="2:8" ht="24.95" customHeight="1" x14ac:dyDescent="0.25">
      <c r="B1336" s="472"/>
      <c r="C1336" s="557"/>
      <c r="D1336" s="567"/>
      <c r="E1336" s="132"/>
      <c r="F1336" s="472"/>
      <c r="G1336" s="309"/>
      <c r="H1336" s="309"/>
    </row>
    <row r="1337" spans="2:8" ht="24.95" customHeight="1" x14ac:dyDescent="0.25">
      <c r="B1337" s="472"/>
      <c r="C1337" s="557"/>
      <c r="D1337" s="567"/>
      <c r="E1337" s="132"/>
      <c r="F1337" s="472"/>
      <c r="G1337" s="309"/>
      <c r="H1337" s="309"/>
    </row>
    <row r="1338" spans="2:8" ht="24.95" customHeight="1" x14ac:dyDescent="0.25">
      <c r="B1338" s="472"/>
      <c r="C1338" s="557"/>
      <c r="D1338" s="567"/>
      <c r="E1338" s="132"/>
      <c r="F1338" s="472"/>
      <c r="G1338" s="309"/>
      <c r="H1338" s="309"/>
    </row>
    <row r="1339" spans="2:8" ht="24.95" customHeight="1" x14ac:dyDescent="0.25">
      <c r="B1339" s="472"/>
      <c r="C1339" s="557"/>
      <c r="D1339" s="567"/>
      <c r="E1339" s="132"/>
      <c r="F1339" s="472"/>
      <c r="G1339" s="309"/>
      <c r="H1339" s="309"/>
    </row>
    <row r="1340" spans="2:8" ht="24.95" customHeight="1" x14ac:dyDescent="0.25">
      <c r="B1340" s="472"/>
      <c r="C1340" s="557"/>
      <c r="D1340" s="567"/>
      <c r="E1340" s="132"/>
      <c r="F1340" s="472"/>
      <c r="G1340" s="309"/>
      <c r="H1340" s="309"/>
    </row>
    <row r="1341" spans="2:8" ht="24.95" customHeight="1" x14ac:dyDescent="0.25">
      <c r="B1341" s="472"/>
      <c r="C1341" s="557"/>
      <c r="D1341" s="567"/>
      <c r="E1341" s="132"/>
      <c r="F1341" s="472"/>
      <c r="G1341" s="309"/>
      <c r="H1341" s="309"/>
    </row>
    <row r="1342" spans="2:8" ht="24.95" customHeight="1" x14ac:dyDescent="0.25">
      <c r="B1342" s="472"/>
      <c r="C1342" s="557"/>
      <c r="D1342" s="567"/>
      <c r="E1342" s="132"/>
      <c r="F1342" s="472"/>
      <c r="G1342" s="309"/>
      <c r="H1342" s="309"/>
    </row>
    <row r="1343" spans="2:8" ht="24.95" customHeight="1" x14ac:dyDescent="0.25">
      <c r="B1343" s="472"/>
      <c r="C1343" s="557"/>
      <c r="D1343" s="567"/>
      <c r="E1343" s="132"/>
      <c r="F1343" s="472"/>
      <c r="G1343" s="309"/>
      <c r="H1343" s="309"/>
    </row>
    <row r="1344" spans="2:8" ht="24.95" customHeight="1" x14ac:dyDescent="0.25">
      <c r="B1344" s="472"/>
      <c r="C1344" s="557"/>
      <c r="D1344" s="567"/>
      <c r="E1344" s="132"/>
      <c r="F1344" s="472"/>
      <c r="G1344" s="309"/>
      <c r="H1344" s="309"/>
    </row>
    <row r="1345" spans="2:8" ht="24.95" customHeight="1" x14ac:dyDescent="0.25">
      <c r="B1345" s="472"/>
      <c r="C1345" s="557"/>
      <c r="D1345" s="567"/>
      <c r="E1345" s="132"/>
      <c r="F1345" s="472"/>
      <c r="G1345" s="309"/>
      <c r="H1345" s="309"/>
    </row>
    <row r="1346" spans="2:8" ht="24.95" customHeight="1" x14ac:dyDescent="0.25">
      <c r="B1346" s="472"/>
      <c r="C1346" s="557"/>
      <c r="D1346" s="567"/>
      <c r="E1346" s="132"/>
      <c r="F1346" s="472"/>
      <c r="G1346" s="309"/>
      <c r="H1346" s="309"/>
    </row>
    <row r="1347" spans="2:8" ht="24.95" customHeight="1" x14ac:dyDescent="0.25">
      <c r="B1347" s="472"/>
      <c r="C1347" s="557"/>
      <c r="D1347" s="567"/>
      <c r="E1347" s="132"/>
      <c r="F1347" s="472"/>
      <c r="G1347" s="309"/>
      <c r="H1347" s="309"/>
    </row>
    <row r="1348" spans="2:8" ht="24.95" customHeight="1" x14ac:dyDescent="0.25">
      <c r="B1348" s="472"/>
      <c r="C1348" s="557"/>
      <c r="D1348" s="567"/>
      <c r="E1348" s="132"/>
      <c r="F1348" s="472"/>
      <c r="G1348" s="309"/>
      <c r="H1348" s="309"/>
    </row>
    <row r="1349" spans="2:8" ht="24.95" customHeight="1" x14ac:dyDescent="0.25">
      <c r="B1349" s="472"/>
      <c r="C1349" s="557"/>
      <c r="D1349" s="567"/>
      <c r="E1349" s="132"/>
      <c r="F1349" s="472"/>
      <c r="G1349" s="309"/>
      <c r="H1349" s="309"/>
    </row>
    <row r="1350" spans="2:8" ht="24.95" customHeight="1" x14ac:dyDescent="0.25">
      <c r="B1350" s="472"/>
      <c r="C1350" s="557"/>
      <c r="D1350" s="567"/>
      <c r="E1350" s="132"/>
      <c r="F1350" s="472"/>
      <c r="G1350" s="309"/>
    </row>
    <row r="1351" spans="2:8" ht="24.95" customHeight="1" x14ac:dyDescent="0.25">
      <c r="B1351" s="472"/>
      <c r="C1351" s="557"/>
      <c r="D1351" s="567"/>
      <c r="E1351" s="132"/>
      <c r="F1351" s="472"/>
      <c r="G1351" s="309"/>
    </row>
    <row r="1352" spans="2:8" ht="24.95" customHeight="1" x14ac:dyDescent="0.25">
      <c r="B1352" s="472"/>
      <c r="C1352" s="557"/>
      <c r="D1352" s="567"/>
      <c r="E1352" s="132"/>
      <c r="F1352" s="472"/>
      <c r="G1352" s="309"/>
    </row>
    <row r="1353" spans="2:8" ht="24.95" customHeight="1" x14ac:dyDescent="0.25">
      <c r="B1353" s="472"/>
      <c r="C1353" s="557"/>
      <c r="D1353" s="567"/>
      <c r="E1353" s="132"/>
      <c r="F1353" s="472"/>
      <c r="G1353" s="309"/>
    </row>
    <row r="1354" spans="2:8" ht="24.95" customHeight="1" x14ac:dyDescent="0.25">
      <c r="B1354" s="472"/>
      <c r="C1354" s="557"/>
      <c r="D1354" s="567"/>
      <c r="E1354" s="132"/>
      <c r="F1354" s="472"/>
      <c r="G1354" s="309"/>
    </row>
    <row r="1355" spans="2:8" ht="24.95" customHeight="1" x14ac:dyDescent="0.25">
      <c r="B1355" s="472"/>
      <c r="C1355" s="557"/>
      <c r="D1355" s="567"/>
      <c r="E1355" s="132"/>
      <c r="F1355" s="472"/>
      <c r="G1355" s="309"/>
    </row>
    <row r="1356" spans="2:8" ht="24.95" customHeight="1" x14ac:dyDescent="0.25">
      <c r="B1356" s="472"/>
      <c r="C1356" s="557"/>
      <c r="D1356" s="567"/>
      <c r="E1356" s="132"/>
      <c r="F1356" s="472"/>
      <c r="G1356" s="309"/>
    </row>
    <row r="1357" spans="2:8" ht="24.95" customHeight="1" x14ac:dyDescent="0.25">
      <c r="B1357" s="472"/>
      <c r="C1357" s="557"/>
      <c r="D1357" s="567"/>
      <c r="E1357" s="132"/>
      <c r="F1357" s="472"/>
      <c r="G1357" s="309"/>
    </row>
    <row r="1358" spans="2:8" ht="24.95" customHeight="1" x14ac:dyDescent="0.25">
      <c r="B1358" s="472"/>
      <c r="C1358" s="557"/>
      <c r="D1358" s="567"/>
      <c r="E1358" s="132"/>
      <c r="F1358" s="472"/>
      <c r="G1358" s="309"/>
    </row>
    <row r="1359" spans="2:8" ht="24.95" customHeight="1" x14ac:dyDescent="0.25">
      <c r="B1359" s="472"/>
      <c r="C1359" s="557"/>
      <c r="D1359" s="567"/>
      <c r="E1359" s="132"/>
      <c r="F1359" s="472"/>
      <c r="G1359" s="309"/>
    </row>
    <row r="1360" spans="2:8" ht="24.95" customHeight="1" x14ac:dyDescent="0.25">
      <c r="B1360" s="472"/>
      <c r="C1360" s="557"/>
      <c r="D1360" s="567"/>
      <c r="E1360" s="132"/>
      <c r="F1360" s="472"/>
      <c r="G1360" s="309"/>
    </row>
    <row r="1361" spans="2:7" ht="24.95" customHeight="1" x14ac:dyDescent="0.25">
      <c r="B1361" s="472"/>
      <c r="C1361" s="557"/>
      <c r="D1361" s="567"/>
      <c r="E1361" s="132"/>
      <c r="F1361" s="472"/>
      <c r="G1361" s="309"/>
    </row>
    <row r="1362" spans="2:7" ht="24.95" customHeight="1" x14ac:dyDescent="0.25">
      <c r="B1362" s="472"/>
      <c r="C1362" s="557"/>
      <c r="D1362" s="567"/>
      <c r="E1362" s="132"/>
      <c r="F1362" s="472"/>
      <c r="G1362" s="309"/>
    </row>
    <row r="1363" spans="2:7" ht="24.95" customHeight="1" x14ac:dyDescent="0.25">
      <c r="B1363" s="472"/>
      <c r="C1363" s="557"/>
      <c r="D1363" s="567"/>
      <c r="E1363" s="132"/>
      <c r="F1363" s="472"/>
      <c r="G1363" s="309"/>
    </row>
    <row r="1364" spans="2:7" ht="24.95" customHeight="1" x14ac:dyDescent="0.25">
      <c r="B1364" s="472"/>
      <c r="C1364" s="557"/>
      <c r="D1364" s="567"/>
      <c r="E1364" s="132"/>
      <c r="F1364" s="472"/>
      <c r="G1364" s="309"/>
    </row>
    <row r="1365" spans="2:7" ht="24.95" customHeight="1" x14ac:dyDescent="0.25">
      <c r="B1365" s="472"/>
      <c r="C1365" s="557"/>
      <c r="D1365" s="567"/>
      <c r="E1365" s="132"/>
      <c r="F1365" s="472"/>
      <c r="G1365" s="309"/>
    </row>
    <row r="1366" spans="2:7" ht="24.95" customHeight="1" x14ac:dyDescent="0.25">
      <c r="B1366" s="472"/>
      <c r="C1366" s="557"/>
      <c r="D1366" s="567"/>
      <c r="E1366" s="132"/>
      <c r="F1366" s="472"/>
      <c r="G1366" s="309"/>
    </row>
    <row r="1367" spans="2:7" ht="24.95" customHeight="1" x14ac:dyDescent="0.25">
      <c r="B1367" s="472"/>
      <c r="C1367" s="557"/>
      <c r="D1367" s="567"/>
      <c r="E1367" s="132"/>
      <c r="F1367" s="472"/>
      <c r="G1367" s="309"/>
    </row>
    <row r="1368" spans="2:7" ht="24.95" customHeight="1" x14ac:dyDescent="0.25">
      <c r="B1368" s="472"/>
      <c r="C1368" s="557"/>
      <c r="D1368" s="567"/>
      <c r="E1368" s="132"/>
      <c r="F1368" s="472"/>
      <c r="G1368" s="309"/>
    </row>
    <row r="1369" spans="2:7" ht="24.95" customHeight="1" x14ac:dyDescent="0.25">
      <c r="B1369" s="472"/>
      <c r="C1369" s="557"/>
      <c r="D1369" s="567"/>
      <c r="E1369" s="132"/>
      <c r="F1369" s="472"/>
      <c r="G1369" s="309"/>
    </row>
    <row r="1370" spans="2:7" ht="24.95" customHeight="1" x14ac:dyDescent="0.25">
      <c r="B1370" s="472"/>
      <c r="C1370" s="557"/>
      <c r="D1370" s="567"/>
      <c r="E1370" s="132"/>
      <c r="F1370" s="472"/>
      <c r="G1370" s="309"/>
    </row>
    <row r="1371" spans="2:7" ht="24.95" customHeight="1" x14ac:dyDescent="0.25">
      <c r="B1371" s="472"/>
      <c r="C1371" s="557"/>
      <c r="D1371" s="567"/>
      <c r="E1371" s="132"/>
      <c r="F1371" s="472"/>
      <c r="G1371" s="309"/>
    </row>
    <row r="1372" spans="2:7" ht="24.95" customHeight="1" x14ac:dyDescent="0.25">
      <c r="B1372" s="472"/>
      <c r="C1372" s="557"/>
      <c r="D1372" s="567"/>
      <c r="E1372" s="132"/>
      <c r="F1372" s="472"/>
      <c r="G1372" s="309"/>
    </row>
    <row r="1373" spans="2:7" ht="24.95" customHeight="1" x14ac:dyDescent="0.25">
      <c r="B1373" s="472"/>
      <c r="C1373" s="557"/>
      <c r="D1373" s="567"/>
      <c r="E1373" s="132"/>
      <c r="F1373" s="472"/>
      <c r="G1373" s="309"/>
    </row>
    <row r="1374" spans="2:7" ht="24.95" customHeight="1" x14ac:dyDescent="0.25">
      <c r="B1374" s="472"/>
      <c r="C1374" s="557"/>
      <c r="D1374" s="567"/>
      <c r="E1374" s="132"/>
      <c r="F1374" s="472"/>
      <c r="G1374" s="309"/>
    </row>
    <row r="1375" spans="2:7" ht="24.95" customHeight="1" x14ac:dyDescent="0.25">
      <c r="B1375" s="472"/>
      <c r="C1375" s="557"/>
      <c r="D1375" s="567"/>
      <c r="E1375" s="132"/>
      <c r="F1375" s="472"/>
      <c r="G1375" s="309"/>
    </row>
    <row r="1376" spans="2:7" ht="24.95" customHeight="1" x14ac:dyDescent="0.25">
      <c r="B1376" s="472"/>
      <c r="C1376" s="557"/>
      <c r="D1376" s="567"/>
      <c r="E1376" s="132"/>
      <c r="F1376" s="472"/>
      <c r="G1376" s="309"/>
    </row>
    <row r="1377" spans="2:7" ht="24.95" customHeight="1" x14ac:dyDescent="0.25">
      <c r="B1377" s="472"/>
      <c r="C1377" s="557"/>
      <c r="D1377" s="567"/>
      <c r="E1377" s="132"/>
      <c r="F1377" s="472"/>
      <c r="G1377" s="309"/>
    </row>
    <row r="1378" spans="2:7" ht="24.95" customHeight="1" x14ac:dyDescent="0.25">
      <c r="B1378" s="472"/>
      <c r="C1378" s="557"/>
      <c r="D1378" s="567"/>
      <c r="E1378" s="132"/>
      <c r="F1378" s="472"/>
      <c r="G1378" s="309"/>
    </row>
    <row r="1379" spans="2:7" ht="24.95" customHeight="1" x14ac:dyDescent="0.25">
      <c r="B1379" s="472"/>
      <c r="C1379" s="557"/>
      <c r="D1379" s="567"/>
      <c r="E1379" s="132"/>
      <c r="F1379" s="472"/>
      <c r="G1379" s="309"/>
    </row>
    <row r="1380" spans="2:7" ht="24.95" customHeight="1" x14ac:dyDescent="0.25">
      <c r="B1380" s="472"/>
      <c r="C1380" s="557"/>
      <c r="D1380" s="567"/>
      <c r="E1380" s="132"/>
      <c r="F1380" s="472"/>
      <c r="G1380" s="309"/>
    </row>
    <row r="1381" spans="2:7" ht="24.95" customHeight="1" x14ac:dyDescent="0.25">
      <c r="B1381" s="472"/>
      <c r="C1381" s="557"/>
      <c r="D1381" s="567"/>
      <c r="E1381" s="132"/>
      <c r="F1381" s="472"/>
      <c r="G1381" s="309"/>
    </row>
    <row r="1382" spans="2:7" ht="24.95" customHeight="1" x14ac:dyDescent="0.25">
      <c r="B1382" s="472"/>
      <c r="C1382" s="557"/>
      <c r="D1382" s="567"/>
      <c r="E1382" s="132"/>
      <c r="F1382" s="472"/>
      <c r="G1382" s="309"/>
    </row>
    <row r="1383" spans="2:7" ht="24.95" customHeight="1" x14ac:dyDescent="0.25">
      <c r="B1383" s="472"/>
      <c r="C1383" s="557"/>
      <c r="D1383" s="567"/>
      <c r="E1383" s="132"/>
      <c r="F1383" s="472"/>
      <c r="G1383" s="309"/>
    </row>
    <row r="1384" spans="2:7" ht="24.95" customHeight="1" x14ac:dyDescent="0.25">
      <c r="B1384" s="472"/>
      <c r="C1384" s="557"/>
      <c r="D1384" s="567"/>
      <c r="E1384" s="132"/>
      <c r="F1384" s="472"/>
      <c r="G1384" s="309"/>
    </row>
    <row r="1385" spans="2:7" ht="24.95" customHeight="1" x14ac:dyDescent="0.25">
      <c r="B1385" s="472"/>
      <c r="C1385" s="557"/>
      <c r="D1385" s="567"/>
      <c r="E1385" s="132"/>
      <c r="F1385" s="472"/>
      <c r="G1385" s="309"/>
    </row>
    <row r="1386" spans="2:7" ht="24.95" customHeight="1" x14ac:dyDescent="0.25">
      <c r="B1386" s="472"/>
      <c r="C1386" s="557"/>
      <c r="D1386" s="567"/>
      <c r="E1386" s="132"/>
      <c r="F1386" s="472"/>
      <c r="G1386" s="309"/>
    </row>
    <row r="1387" spans="2:7" ht="24.95" customHeight="1" x14ac:dyDescent="0.25">
      <c r="B1387" s="472"/>
      <c r="C1387" s="557"/>
      <c r="D1387" s="567"/>
      <c r="E1387" s="132"/>
      <c r="F1387" s="472"/>
      <c r="G1387" s="309"/>
    </row>
    <row r="1388" spans="2:7" ht="24.95" customHeight="1" x14ac:dyDescent="0.25">
      <c r="B1388" s="472"/>
      <c r="C1388" s="557"/>
      <c r="D1388" s="567"/>
      <c r="E1388" s="132"/>
      <c r="F1388" s="472"/>
      <c r="G1388" s="309"/>
    </row>
    <row r="1389" spans="2:7" ht="24.95" customHeight="1" x14ac:dyDescent="0.25">
      <c r="B1389" s="472"/>
      <c r="C1389" s="557"/>
      <c r="D1389" s="567"/>
      <c r="E1389" s="132"/>
      <c r="F1389" s="472"/>
      <c r="G1389" s="309"/>
    </row>
    <row r="1390" spans="2:7" ht="24.95" customHeight="1" x14ac:dyDescent="0.25">
      <c r="B1390" s="472"/>
      <c r="C1390" s="557"/>
      <c r="D1390" s="567"/>
      <c r="E1390" s="132"/>
      <c r="F1390" s="472"/>
      <c r="G1390" s="309"/>
    </row>
    <row r="1391" spans="2:7" ht="24.95" customHeight="1" x14ac:dyDescent="0.25">
      <c r="B1391" s="472"/>
      <c r="C1391" s="557"/>
      <c r="D1391" s="567"/>
      <c r="E1391" s="132"/>
      <c r="F1391" s="472"/>
      <c r="G1391" s="309"/>
    </row>
    <row r="1392" spans="2:7" ht="24.95" customHeight="1" x14ac:dyDescent="0.25">
      <c r="B1392" s="472"/>
      <c r="C1392" s="557"/>
      <c r="D1392" s="567"/>
      <c r="E1392" s="132"/>
      <c r="F1392" s="472"/>
      <c r="G1392" s="309"/>
    </row>
    <row r="1393" spans="2:7" ht="24.95" customHeight="1" x14ac:dyDescent="0.25">
      <c r="B1393" s="472"/>
      <c r="C1393" s="557"/>
      <c r="D1393" s="567"/>
      <c r="E1393" s="132"/>
      <c r="F1393" s="472"/>
      <c r="G1393" s="309"/>
    </row>
    <row r="1394" spans="2:7" ht="24.95" customHeight="1" x14ac:dyDescent="0.25">
      <c r="B1394" s="472"/>
      <c r="C1394" s="557"/>
      <c r="D1394" s="567"/>
      <c r="E1394" s="132"/>
      <c r="F1394" s="472"/>
      <c r="G1394" s="309"/>
    </row>
    <row r="1395" spans="2:7" ht="24.95" customHeight="1" x14ac:dyDescent="0.25">
      <c r="B1395" s="472"/>
      <c r="C1395" s="557"/>
      <c r="D1395" s="567"/>
      <c r="E1395" s="132"/>
      <c r="F1395" s="472"/>
      <c r="G1395" s="309"/>
    </row>
    <row r="1396" spans="2:7" ht="24.95" customHeight="1" x14ac:dyDescent="0.25">
      <c r="B1396" s="472"/>
      <c r="C1396" s="557"/>
      <c r="D1396" s="567"/>
      <c r="E1396" s="132"/>
      <c r="F1396" s="472"/>
      <c r="G1396" s="309"/>
    </row>
    <row r="1397" spans="2:7" ht="24.95" customHeight="1" x14ac:dyDescent="0.25">
      <c r="B1397" s="472"/>
      <c r="C1397" s="557"/>
      <c r="D1397" s="567"/>
      <c r="E1397" s="132"/>
      <c r="F1397" s="472"/>
      <c r="G1397" s="309"/>
    </row>
    <row r="1398" spans="2:7" ht="24.95" customHeight="1" x14ac:dyDescent="0.25">
      <c r="B1398" s="472"/>
      <c r="C1398" s="557"/>
      <c r="D1398" s="567"/>
      <c r="E1398" s="132"/>
      <c r="F1398" s="472"/>
      <c r="G1398" s="309"/>
    </row>
    <row r="1399" spans="2:7" ht="24.95" customHeight="1" x14ac:dyDescent="0.25">
      <c r="B1399" s="472"/>
      <c r="C1399" s="557"/>
      <c r="D1399" s="567"/>
      <c r="E1399" s="132"/>
      <c r="F1399" s="472"/>
      <c r="G1399" s="309"/>
    </row>
    <row r="1400" spans="2:7" ht="24.95" customHeight="1" x14ac:dyDescent="0.25">
      <c r="B1400" s="472"/>
      <c r="C1400" s="557"/>
      <c r="D1400" s="567"/>
      <c r="E1400" s="132"/>
      <c r="F1400" s="472"/>
      <c r="G1400" s="309"/>
    </row>
    <row r="1401" spans="2:7" ht="24.95" customHeight="1" x14ac:dyDescent="0.25">
      <c r="B1401" s="472"/>
      <c r="C1401" s="557"/>
      <c r="D1401" s="567"/>
      <c r="E1401" s="132"/>
      <c r="F1401" s="472"/>
      <c r="G1401" s="309"/>
    </row>
    <row r="1402" spans="2:7" ht="24.95" customHeight="1" x14ac:dyDescent="0.25">
      <c r="B1402" s="472"/>
      <c r="C1402" s="557"/>
      <c r="D1402" s="567"/>
      <c r="E1402" s="132"/>
      <c r="F1402" s="472"/>
      <c r="G1402" s="309"/>
    </row>
    <row r="1403" spans="2:7" ht="24.95" customHeight="1" x14ac:dyDescent="0.25">
      <c r="B1403" s="472"/>
      <c r="C1403" s="557"/>
      <c r="D1403" s="567"/>
      <c r="E1403" s="132"/>
      <c r="F1403" s="472"/>
      <c r="G1403" s="309"/>
    </row>
    <row r="1404" spans="2:7" ht="24.95" customHeight="1" x14ac:dyDescent="0.25">
      <c r="B1404" s="472"/>
      <c r="C1404" s="557"/>
      <c r="D1404" s="567"/>
      <c r="E1404" s="132"/>
      <c r="F1404" s="472"/>
      <c r="G1404" s="309"/>
    </row>
    <row r="1405" spans="2:7" ht="24.95" customHeight="1" x14ac:dyDescent="0.25">
      <c r="B1405" s="472"/>
      <c r="C1405" s="557"/>
      <c r="D1405" s="567"/>
      <c r="E1405" s="132"/>
      <c r="F1405" s="472"/>
      <c r="G1405" s="309"/>
    </row>
    <row r="1406" spans="2:7" ht="24.95" customHeight="1" x14ac:dyDescent="0.25">
      <c r="B1406" s="472"/>
      <c r="C1406" s="557"/>
      <c r="D1406" s="567"/>
      <c r="E1406" s="132"/>
      <c r="F1406" s="472"/>
      <c r="G1406" s="309"/>
    </row>
    <row r="1407" spans="2:7" ht="24.95" customHeight="1" x14ac:dyDescent="0.25">
      <c r="B1407" s="472"/>
      <c r="C1407" s="557"/>
      <c r="D1407" s="567"/>
      <c r="E1407" s="132"/>
      <c r="F1407" s="472"/>
      <c r="G1407" s="309"/>
    </row>
    <row r="1408" spans="2:7" ht="24.95" customHeight="1" x14ac:dyDescent="0.25">
      <c r="B1408" s="472"/>
      <c r="C1408" s="557"/>
      <c r="D1408" s="567"/>
      <c r="E1408" s="132"/>
      <c r="F1408" s="472"/>
      <c r="G1408" s="309"/>
    </row>
    <row r="1409" spans="2:7" ht="24.95" customHeight="1" x14ac:dyDescent="0.25">
      <c r="B1409" s="472"/>
      <c r="C1409" s="557"/>
      <c r="D1409" s="567"/>
      <c r="E1409" s="132"/>
      <c r="F1409" s="472"/>
      <c r="G1409" s="309"/>
    </row>
    <row r="1410" spans="2:7" ht="24.95" customHeight="1" x14ac:dyDescent="0.25">
      <c r="B1410" s="472"/>
      <c r="C1410" s="557"/>
      <c r="D1410" s="567"/>
      <c r="E1410" s="132"/>
      <c r="F1410" s="472"/>
      <c r="G1410" s="309"/>
    </row>
    <row r="1411" spans="2:7" ht="24.95" customHeight="1" x14ac:dyDescent="0.25">
      <c r="B1411" s="472"/>
      <c r="C1411" s="557"/>
      <c r="D1411" s="567"/>
      <c r="E1411" s="132"/>
      <c r="F1411" s="472"/>
      <c r="G1411" s="309"/>
    </row>
    <row r="1412" spans="2:7" ht="24.95" customHeight="1" x14ac:dyDescent="0.25">
      <c r="B1412" s="472"/>
      <c r="C1412" s="557"/>
      <c r="D1412" s="567"/>
      <c r="E1412" s="132"/>
      <c r="F1412" s="472"/>
      <c r="G1412" s="309"/>
    </row>
    <row r="1413" spans="2:7" ht="24.95" customHeight="1" x14ac:dyDescent="0.25">
      <c r="B1413" s="472"/>
      <c r="C1413" s="557"/>
      <c r="D1413" s="567"/>
      <c r="E1413" s="132"/>
      <c r="F1413" s="472"/>
      <c r="G1413" s="309"/>
    </row>
    <row r="1414" spans="2:7" ht="24.95" customHeight="1" x14ac:dyDescent="0.25">
      <c r="B1414" s="472"/>
      <c r="C1414" s="557"/>
      <c r="D1414" s="567"/>
      <c r="E1414" s="132"/>
      <c r="F1414" s="472"/>
      <c r="G1414" s="309"/>
    </row>
    <row r="1415" spans="2:7" ht="24.95" customHeight="1" x14ac:dyDescent="0.25">
      <c r="B1415" s="472"/>
      <c r="C1415" s="557"/>
      <c r="D1415" s="567"/>
      <c r="E1415" s="132"/>
      <c r="F1415" s="472"/>
      <c r="G1415" s="309"/>
    </row>
    <row r="1416" spans="2:7" ht="24.95" customHeight="1" x14ac:dyDescent="0.25">
      <c r="B1416" s="472"/>
      <c r="C1416" s="557"/>
      <c r="D1416" s="567"/>
      <c r="E1416" s="132"/>
      <c r="F1416" s="472"/>
      <c r="G1416" s="309"/>
    </row>
    <row r="1417" spans="2:7" ht="24.95" customHeight="1" x14ac:dyDescent="0.25">
      <c r="B1417" s="472"/>
      <c r="C1417" s="557"/>
      <c r="D1417" s="567"/>
      <c r="E1417" s="132"/>
      <c r="F1417" s="472"/>
      <c r="G1417" s="309"/>
    </row>
    <row r="1418" spans="2:7" ht="24.95" customHeight="1" x14ac:dyDescent="0.25">
      <c r="B1418" s="472"/>
      <c r="C1418" s="557"/>
      <c r="D1418" s="567"/>
      <c r="E1418" s="132"/>
      <c r="F1418" s="472"/>
      <c r="G1418" s="309"/>
    </row>
    <row r="1419" spans="2:7" ht="24.95" customHeight="1" x14ac:dyDescent="0.25">
      <c r="B1419" s="472"/>
      <c r="C1419" s="557"/>
      <c r="D1419" s="567"/>
      <c r="E1419" s="132"/>
      <c r="F1419" s="472"/>
      <c r="G1419" s="309"/>
    </row>
    <row r="1420" spans="2:7" ht="24.95" customHeight="1" x14ac:dyDescent="0.25">
      <c r="B1420" s="472"/>
      <c r="C1420" s="557"/>
      <c r="D1420" s="567"/>
      <c r="E1420" s="132"/>
      <c r="F1420" s="472"/>
      <c r="G1420" s="309"/>
    </row>
    <row r="1421" spans="2:7" ht="24.95" customHeight="1" x14ac:dyDescent="0.25">
      <c r="B1421" s="472"/>
      <c r="C1421" s="557"/>
      <c r="D1421" s="567"/>
      <c r="E1421" s="132"/>
      <c r="F1421" s="472"/>
      <c r="G1421" s="309"/>
    </row>
    <row r="1422" spans="2:7" ht="24.95" customHeight="1" x14ac:dyDescent="0.25">
      <c r="B1422" s="472"/>
      <c r="C1422" s="557"/>
      <c r="D1422" s="567"/>
      <c r="E1422" s="132"/>
      <c r="F1422" s="472"/>
      <c r="G1422" s="309"/>
    </row>
    <row r="1423" spans="2:7" ht="24.95" customHeight="1" x14ac:dyDescent="0.25">
      <c r="B1423" s="472"/>
      <c r="C1423" s="557"/>
      <c r="D1423" s="567"/>
      <c r="E1423" s="132"/>
      <c r="F1423" s="472"/>
      <c r="G1423" s="309"/>
    </row>
    <row r="1424" spans="2:7" ht="24.95" customHeight="1" x14ac:dyDescent="0.25">
      <c r="B1424" s="472"/>
      <c r="C1424" s="557"/>
      <c r="D1424" s="567"/>
      <c r="E1424" s="132"/>
      <c r="F1424" s="472"/>
      <c r="G1424" s="309"/>
    </row>
    <row r="1425" spans="2:7" ht="24.95" customHeight="1" x14ac:dyDescent="0.25">
      <c r="B1425" s="472"/>
      <c r="C1425" s="557"/>
      <c r="D1425" s="567"/>
      <c r="E1425" s="132"/>
      <c r="F1425" s="472"/>
      <c r="G1425" s="309"/>
    </row>
    <row r="1426" spans="2:7" ht="24.95" customHeight="1" x14ac:dyDescent="0.25">
      <c r="B1426" s="472"/>
      <c r="C1426" s="557"/>
      <c r="D1426" s="567"/>
      <c r="E1426" s="132"/>
      <c r="F1426" s="472"/>
      <c r="G1426" s="309"/>
    </row>
    <row r="1427" spans="2:7" ht="24.95" customHeight="1" x14ac:dyDescent="0.25">
      <c r="B1427" s="472"/>
      <c r="C1427" s="557"/>
      <c r="D1427" s="567"/>
      <c r="E1427" s="132"/>
      <c r="F1427" s="472"/>
      <c r="G1427" s="309"/>
    </row>
    <row r="1428" spans="2:7" ht="24.95" customHeight="1" x14ac:dyDescent="0.25">
      <c r="B1428" s="472"/>
      <c r="C1428" s="557"/>
      <c r="D1428" s="567"/>
      <c r="E1428" s="132"/>
      <c r="F1428" s="472"/>
      <c r="G1428" s="309"/>
    </row>
    <row r="1429" spans="2:7" ht="24.95" customHeight="1" x14ac:dyDescent="0.25">
      <c r="B1429" s="472"/>
      <c r="C1429" s="557"/>
      <c r="D1429" s="567"/>
      <c r="E1429" s="132"/>
      <c r="F1429" s="472"/>
      <c r="G1429" s="309"/>
    </row>
    <row r="1430" spans="2:7" ht="24.95" customHeight="1" x14ac:dyDescent="0.25">
      <c r="B1430" s="472"/>
      <c r="C1430" s="557"/>
      <c r="D1430" s="567"/>
      <c r="E1430" s="132"/>
      <c r="F1430" s="472"/>
      <c r="G1430" s="309"/>
    </row>
    <row r="1431" spans="2:7" ht="24.95" customHeight="1" x14ac:dyDescent="0.25">
      <c r="B1431" s="472"/>
      <c r="C1431" s="557"/>
      <c r="D1431" s="567"/>
      <c r="E1431" s="132"/>
      <c r="F1431" s="472"/>
      <c r="G1431" s="309"/>
    </row>
    <row r="1432" spans="2:7" ht="24.95" customHeight="1" x14ac:dyDescent="0.25">
      <c r="B1432" s="472"/>
      <c r="C1432" s="557"/>
      <c r="D1432" s="567"/>
      <c r="E1432" s="132"/>
      <c r="F1432" s="472"/>
      <c r="G1432" s="309"/>
    </row>
    <row r="1433" spans="2:7" ht="24.95" customHeight="1" x14ac:dyDescent="0.25">
      <c r="B1433" s="472"/>
      <c r="C1433" s="557"/>
      <c r="D1433" s="567"/>
      <c r="E1433" s="132"/>
      <c r="F1433" s="472"/>
      <c r="G1433" s="309"/>
    </row>
    <row r="1434" spans="2:7" ht="24.95" customHeight="1" x14ac:dyDescent="0.25">
      <c r="B1434" s="472"/>
      <c r="C1434" s="557"/>
      <c r="D1434" s="567"/>
      <c r="E1434" s="132"/>
      <c r="F1434" s="472"/>
      <c r="G1434" s="309"/>
    </row>
    <row r="1435" spans="2:7" ht="24.95" customHeight="1" x14ac:dyDescent="0.25">
      <c r="B1435" s="472"/>
      <c r="C1435" s="557"/>
      <c r="D1435" s="567"/>
      <c r="E1435" s="132"/>
      <c r="F1435" s="472"/>
      <c r="G1435" s="309"/>
    </row>
    <row r="1436" spans="2:7" ht="24.95" customHeight="1" x14ac:dyDescent="0.25">
      <c r="B1436" s="472"/>
      <c r="C1436" s="557"/>
      <c r="D1436" s="567"/>
      <c r="E1436" s="132"/>
      <c r="F1436" s="472"/>
      <c r="G1436" s="309"/>
    </row>
    <row r="1437" spans="2:7" ht="24.95" customHeight="1" x14ac:dyDescent="0.25">
      <c r="B1437" s="472"/>
      <c r="C1437" s="557"/>
      <c r="D1437" s="567"/>
      <c r="E1437" s="132"/>
      <c r="F1437" s="472"/>
      <c r="G1437" s="309"/>
    </row>
    <row r="1438" spans="2:7" ht="24.95" customHeight="1" x14ac:dyDescent="0.25">
      <c r="B1438" s="472"/>
      <c r="C1438" s="557"/>
      <c r="D1438" s="567"/>
      <c r="E1438" s="132"/>
      <c r="F1438" s="472"/>
      <c r="G1438" s="309"/>
    </row>
    <row r="1439" spans="2:7" ht="24.95" customHeight="1" x14ac:dyDescent="0.25">
      <c r="B1439" s="472"/>
      <c r="C1439" s="557"/>
      <c r="D1439" s="567"/>
      <c r="E1439" s="132"/>
      <c r="F1439" s="472"/>
      <c r="G1439" s="309"/>
    </row>
    <row r="1440" spans="2:7" ht="24.95" customHeight="1" x14ac:dyDescent="0.25">
      <c r="B1440" s="472"/>
      <c r="C1440" s="557"/>
      <c r="D1440" s="567"/>
      <c r="E1440" s="132"/>
      <c r="F1440" s="472"/>
      <c r="G1440" s="309"/>
    </row>
    <row r="1441" spans="2:7" ht="24.95" customHeight="1" x14ac:dyDescent="0.25">
      <c r="B1441" s="472"/>
      <c r="C1441" s="557"/>
      <c r="D1441" s="567"/>
      <c r="E1441" s="132"/>
      <c r="F1441" s="472"/>
      <c r="G1441" s="309"/>
    </row>
    <row r="1442" spans="2:7" ht="24.95" customHeight="1" x14ac:dyDescent="0.25">
      <c r="B1442" s="472"/>
      <c r="C1442" s="557"/>
      <c r="D1442" s="567"/>
      <c r="E1442" s="132"/>
      <c r="F1442" s="472"/>
      <c r="G1442" s="309"/>
    </row>
    <row r="1443" spans="2:7" ht="24.95" customHeight="1" x14ac:dyDescent="0.25">
      <c r="B1443" s="472"/>
      <c r="C1443" s="557"/>
      <c r="D1443" s="567"/>
      <c r="E1443" s="132"/>
      <c r="F1443" s="472"/>
      <c r="G1443" s="309"/>
    </row>
    <row r="1444" spans="2:7" ht="24.95" customHeight="1" x14ac:dyDescent="0.25">
      <c r="B1444" s="472"/>
      <c r="C1444" s="557"/>
      <c r="D1444" s="567"/>
      <c r="E1444" s="132"/>
      <c r="F1444" s="472"/>
      <c r="G1444" s="309"/>
    </row>
    <row r="1445" spans="2:7" ht="24.95" customHeight="1" x14ac:dyDescent="0.25">
      <c r="B1445" s="472"/>
      <c r="C1445" s="557"/>
      <c r="D1445" s="567"/>
      <c r="E1445" s="132"/>
      <c r="F1445" s="472"/>
      <c r="G1445" s="309"/>
    </row>
    <row r="1446" spans="2:7" ht="24.95" customHeight="1" x14ac:dyDescent="0.25">
      <c r="B1446" s="472"/>
      <c r="C1446" s="557"/>
      <c r="D1446" s="567"/>
      <c r="E1446" s="132"/>
      <c r="F1446" s="472"/>
      <c r="G1446" s="309"/>
    </row>
    <row r="1447" spans="2:7" ht="24.95" customHeight="1" x14ac:dyDescent="0.25">
      <c r="B1447" s="472"/>
      <c r="C1447" s="557"/>
      <c r="D1447" s="567"/>
      <c r="E1447" s="132"/>
      <c r="F1447" s="472"/>
      <c r="G1447" s="309"/>
    </row>
    <row r="1448" spans="2:7" ht="24.95" customHeight="1" x14ac:dyDescent="0.25">
      <c r="B1448" s="472"/>
      <c r="C1448" s="557"/>
      <c r="D1448" s="567"/>
      <c r="E1448" s="132"/>
      <c r="F1448" s="472"/>
      <c r="G1448" s="309"/>
    </row>
    <row r="1449" spans="2:7" ht="24.95" customHeight="1" x14ac:dyDescent="0.25">
      <c r="B1449" s="472"/>
      <c r="C1449" s="557"/>
      <c r="D1449" s="567"/>
      <c r="E1449" s="132"/>
      <c r="F1449" s="472"/>
      <c r="G1449" s="309"/>
    </row>
    <row r="1450" spans="2:7" ht="24.95" customHeight="1" x14ac:dyDescent="0.25">
      <c r="B1450" s="472"/>
      <c r="C1450" s="557"/>
      <c r="D1450" s="567"/>
      <c r="E1450" s="132"/>
      <c r="F1450" s="472"/>
      <c r="G1450" s="309"/>
    </row>
    <row r="1451" spans="2:7" ht="24.95" customHeight="1" x14ac:dyDescent="0.25">
      <c r="B1451" s="472"/>
      <c r="C1451" s="557"/>
      <c r="D1451" s="567"/>
      <c r="E1451" s="132"/>
      <c r="F1451" s="472"/>
      <c r="G1451" s="309"/>
    </row>
    <row r="1452" spans="2:7" ht="24.95" customHeight="1" x14ac:dyDescent="0.25">
      <c r="B1452" s="472"/>
      <c r="C1452" s="557"/>
      <c r="D1452" s="567"/>
      <c r="E1452" s="132"/>
      <c r="F1452" s="472"/>
      <c r="G1452" s="309"/>
    </row>
    <row r="1453" spans="2:7" ht="24.95" customHeight="1" x14ac:dyDescent="0.25">
      <c r="B1453" s="472"/>
      <c r="C1453" s="557"/>
      <c r="D1453" s="567"/>
      <c r="E1453" s="132"/>
      <c r="F1453" s="472"/>
      <c r="G1453" s="309"/>
    </row>
    <row r="1454" spans="2:7" ht="24.95" customHeight="1" x14ac:dyDescent="0.25">
      <c r="B1454" s="472"/>
      <c r="C1454" s="557"/>
      <c r="D1454" s="567"/>
      <c r="E1454" s="132"/>
      <c r="F1454" s="472"/>
      <c r="G1454" s="309"/>
    </row>
    <row r="1455" spans="2:7" ht="24.95" customHeight="1" x14ac:dyDescent="0.25">
      <c r="B1455" s="472"/>
      <c r="C1455" s="557"/>
      <c r="D1455" s="567"/>
      <c r="E1455" s="132"/>
      <c r="F1455" s="472"/>
      <c r="G1455" s="309"/>
    </row>
    <row r="1456" spans="2:7" ht="24.95" customHeight="1" x14ac:dyDescent="0.25">
      <c r="B1456" s="472"/>
      <c r="C1456" s="557"/>
      <c r="D1456" s="567"/>
      <c r="E1456" s="132"/>
      <c r="F1456" s="472"/>
      <c r="G1456" s="309"/>
    </row>
    <row r="1457" spans="2:7" ht="24.95" customHeight="1" x14ac:dyDescent="0.25">
      <c r="B1457" s="472"/>
      <c r="C1457" s="557"/>
      <c r="D1457" s="567"/>
      <c r="E1457" s="132"/>
      <c r="F1457" s="472"/>
      <c r="G1457" s="309"/>
    </row>
    <row r="1458" spans="2:7" ht="24.95" customHeight="1" x14ac:dyDescent="0.25">
      <c r="B1458" s="472"/>
      <c r="C1458" s="557"/>
      <c r="D1458" s="567"/>
      <c r="E1458" s="132"/>
      <c r="F1458" s="472"/>
      <c r="G1458" s="309"/>
    </row>
    <row r="1459" spans="2:7" ht="24.95" customHeight="1" x14ac:dyDescent="0.25">
      <c r="B1459" s="472"/>
      <c r="C1459" s="557"/>
      <c r="D1459" s="567"/>
      <c r="E1459" s="132"/>
      <c r="F1459" s="472"/>
      <c r="G1459" s="309"/>
    </row>
    <row r="1460" spans="2:7" ht="24.95" customHeight="1" x14ac:dyDescent="0.25">
      <c r="B1460" s="472"/>
      <c r="C1460" s="557"/>
      <c r="D1460" s="567"/>
      <c r="E1460" s="132"/>
      <c r="F1460" s="472"/>
      <c r="G1460" s="309"/>
    </row>
    <row r="1461" spans="2:7" ht="24.95" customHeight="1" x14ac:dyDescent="0.25">
      <c r="B1461" s="472"/>
      <c r="C1461" s="557"/>
      <c r="D1461" s="567"/>
      <c r="E1461" s="132"/>
      <c r="F1461" s="472"/>
      <c r="G1461" s="309"/>
    </row>
    <row r="1462" spans="2:7" ht="24.95" customHeight="1" x14ac:dyDescent="0.25">
      <c r="B1462" s="472"/>
      <c r="C1462" s="557"/>
      <c r="D1462" s="567"/>
      <c r="E1462" s="132"/>
      <c r="F1462" s="472"/>
      <c r="G1462" s="309"/>
    </row>
    <row r="1463" spans="2:7" ht="24.95" customHeight="1" x14ac:dyDescent="0.25">
      <c r="B1463" s="472"/>
      <c r="C1463" s="557"/>
      <c r="D1463" s="567"/>
      <c r="E1463" s="132"/>
      <c r="F1463" s="472"/>
      <c r="G1463" s="309"/>
    </row>
    <row r="1464" spans="2:7" ht="24.95" customHeight="1" x14ac:dyDescent="0.25">
      <c r="B1464" s="472"/>
      <c r="C1464" s="557"/>
      <c r="D1464" s="567"/>
      <c r="E1464" s="132"/>
      <c r="F1464" s="472"/>
      <c r="G1464" s="309"/>
    </row>
    <row r="1465" spans="2:7" ht="24.95" customHeight="1" x14ac:dyDescent="0.25">
      <c r="B1465" s="472"/>
      <c r="C1465" s="557"/>
      <c r="D1465" s="567"/>
      <c r="E1465" s="132"/>
      <c r="F1465" s="472"/>
      <c r="G1465" s="309"/>
    </row>
    <row r="1466" spans="2:7" ht="24.95" customHeight="1" x14ac:dyDescent="0.25">
      <c r="B1466" s="472"/>
      <c r="C1466" s="557"/>
      <c r="D1466" s="567"/>
      <c r="E1466" s="132"/>
      <c r="F1466" s="472"/>
      <c r="G1466" s="309"/>
    </row>
    <row r="1467" spans="2:7" ht="24.95" customHeight="1" x14ac:dyDescent="0.25">
      <c r="B1467" s="472"/>
      <c r="C1467" s="557"/>
      <c r="D1467" s="567"/>
      <c r="E1467" s="132"/>
      <c r="F1467" s="472"/>
      <c r="G1467" s="309"/>
    </row>
    <row r="1468" spans="2:7" ht="24.95" customHeight="1" x14ac:dyDescent="0.25">
      <c r="B1468" s="472"/>
      <c r="C1468" s="557"/>
      <c r="D1468" s="567"/>
      <c r="E1468" s="132"/>
      <c r="F1468" s="472"/>
      <c r="G1468" s="309"/>
    </row>
    <row r="1469" spans="2:7" ht="24.95" customHeight="1" x14ac:dyDescent="0.25">
      <c r="B1469" s="472"/>
      <c r="C1469" s="557"/>
      <c r="D1469" s="567"/>
      <c r="E1469" s="132"/>
      <c r="F1469" s="472"/>
      <c r="G1469" s="309"/>
    </row>
    <row r="1470" spans="2:7" ht="24.95" customHeight="1" x14ac:dyDescent="0.25">
      <c r="B1470" s="472"/>
      <c r="C1470" s="557"/>
      <c r="D1470" s="567"/>
      <c r="E1470" s="132"/>
      <c r="F1470" s="472"/>
      <c r="G1470" s="309"/>
    </row>
    <row r="1471" spans="2:7" ht="24.95" customHeight="1" x14ac:dyDescent="0.25">
      <c r="B1471" s="472"/>
      <c r="C1471" s="557"/>
      <c r="D1471" s="567"/>
      <c r="E1471" s="132"/>
      <c r="F1471" s="472"/>
      <c r="G1471" s="309"/>
    </row>
    <row r="1472" spans="2:7" ht="24.95" customHeight="1" x14ac:dyDescent="0.25">
      <c r="B1472" s="472"/>
      <c r="C1472" s="557"/>
      <c r="D1472" s="567"/>
      <c r="E1472" s="132"/>
      <c r="F1472" s="472"/>
      <c r="G1472" s="309"/>
    </row>
    <row r="1473" spans="2:7" ht="24.95" customHeight="1" x14ac:dyDescent="0.25">
      <c r="B1473" s="472"/>
      <c r="C1473" s="557"/>
      <c r="D1473" s="567"/>
      <c r="E1473" s="132"/>
      <c r="F1473" s="472"/>
      <c r="G1473" s="309"/>
    </row>
    <row r="1474" spans="2:7" ht="24.95" customHeight="1" x14ac:dyDescent="0.25">
      <c r="B1474" s="472"/>
      <c r="C1474" s="557"/>
      <c r="D1474" s="567"/>
      <c r="E1474" s="132"/>
      <c r="F1474" s="472"/>
      <c r="G1474" s="309"/>
    </row>
    <row r="1475" spans="2:7" ht="24.95" customHeight="1" x14ac:dyDescent="0.25">
      <c r="B1475" s="472"/>
      <c r="C1475" s="557"/>
      <c r="D1475" s="567"/>
      <c r="E1475" s="132"/>
      <c r="F1475" s="472"/>
      <c r="G1475" s="309"/>
    </row>
    <row r="1476" spans="2:7" ht="24.95" customHeight="1" x14ac:dyDescent="0.25">
      <c r="B1476" s="472"/>
      <c r="C1476" s="557"/>
      <c r="D1476" s="567"/>
      <c r="E1476" s="132"/>
      <c r="F1476" s="472"/>
      <c r="G1476" s="309"/>
    </row>
    <row r="1477" spans="2:7" ht="24.95" customHeight="1" x14ac:dyDescent="0.25">
      <c r="B1477" s="472"/>
      <c r="C1477" s="557"/>
      <c r="D1477" s="567"/>
      <c r="E1477" s="132"/>
      <c r="F1477" s="472"/>
      <c r="G1477" s="309"/>
    </row>
    <row r="1478" spans="2:7" ht="24.95" customHeight="1" x14ac:dyDescent="0.25">
      <c r="B1478" s="472"/>
      <c r="C1478" s="557"/>
      <c r="D1478" s="567"/>
      <c r="E1478" s="132"/>
      <c r="F1478" s="472"/>
      <c r="G1478" s="309"/>
    </row>
    <row r="1479" spans="2:7" ht="24.95" customHeight="1" x14ac:dyDescent="0.25">
      <c r="B1479" s="472"/>
      <c r="C1479" s="557"/>
      <c r="D1479" s="567"/>
      <c r="E1479" s="132"/>
      <c r="F1479" s="472"/>
      <c r="G1479" s="309"/>
    </row>
    <row r="1480" spans="2:7" ht="24.95" customHeight="1" x14ac:dyDescent="0.25">
      <c r="B1480" s="472"/>
      <c r="C1480" s="557"/>
      <c r="D1480" s="567"/>
      <c r="E1480" s="132"/>
      <c r="F1480" s="472"/>
      <c r="G1480" s="309"/>
    </row>
    <row r="1481" spans="2:7" ht="24.95" customHeight="1" x14ac:dyDescent="0.25">
      <c r="B1481" s="472"/>
      <c r="C1481" s="557"/>
      <c r="D1481" s="567"/>
      <c r="E1481" s="132"/>
      <c r="F1481" s="472"/>
      <c r="G1481" s="309"/>
    </row>
    <row r="1482" spans="2:7" ht="24.95" customHeight="1" x14ac:dyDescent="0.25">
      <c r="B1482" s="472"/>
      <c r="C1482" s="557"/>
      <c r="D1482" s="567"/>
      <c r="E1482" s="132"/>
      <c r="F1482" s="472"/>
      <c r="G1482" s="309"/>
    </row>
    <row r="1483" spans="2:7" ht="24.95" customHeight="1" x14ac:dyDescent="0.25">
      <c r="B1483" s="472"/>
      <c r="C1483" s="557"/>
      <c r="D1483" s="567"/>
      <c r="E1483" s="132"/>
      <c r="F1483" s="472"/>
      <c r="G1483" s="309"/>
    </row>
    <row r="1484" spans="2:7" ht="24.95" customHeight="1" x14ac:dyDescent="0.25">
      <c r="B1484" s="472"/>
      <c r="C1484" s="557"/>
      <c r="D1484" s="567"/>
      <c r="E1484" s="132"/>
      <c r="F1484" s="472"/>
      <c r="G1484" s="309"/>
    </row>
    <row r="1485" spans="2:7" ht="24.95" customHeight="1" x14ac:dyDescent="0.25">
      <c r="B1485" s="472"/>
      <c r="C1485" s="557"/>
      <c r="D1485" s="567"/>
      <c r="E1485" s="132"/>
      <c r="F1485" s="472"/>
      <c r="G1485" s="309"/>
    </row>
    <row r="1486" spans="2:7" ht="24.95" customHeight="1" x14ac:dyDescent="0.25">
      <c r="B1486" s="472"/>
      <c r="C1486" s="557"/>
      <c r="D1486" s="567"/>
      <c r="E1486" s="132"/>
      <c r="F1486" s="472"/>
      <c r="G1486" s="309"/>
    </row>
    <row r="1487" spans="2:7" ht="24.95" customHeight="1" x14ac:dyDescent="0.25">
      <c r="B1487" s="472"/>
      <c r="C1487" s="557"/>
      <c r="D1487" s="567"/>
      <c r="E1487" s="132"/>
      <c r="F1487" s="472"/>
      <c r="G1487" s="309"/>
    </row>
    <row r="1488" spans="2:7" ht="24.95" customHeight="1" x14ac:dyDescent="0.25">
      <c r="B1488" s="472"/>
      <c r="C1488" s="557"/>
      <c r="D1488" s="567"/>
      <c r="E1488" s="132"/>
      <c r="F1488" s="472"/>
      <c r="G1488" s="309"/>
    </row>
    <row r="1489" spans="2:7" ht="24.95" customHeight="1" x14ac:dyDescent="0.25">
      <c r="B1489" s="472"/>
      <c r="C1489" s="557"/>
      <c r="D1489" s="567"/>
      <c r="E1489" s="132"/>
      <c r="F1489" s="472"/>
      <c r="G1489" s="309"/>
    </row>
    <row r="1490" spans="2:7" ht="24.95" customHeight="1" x14ac:dyDescent="0.25">
      <c r="B1490" s="472"/>
      <c r="C1490" s="557"/>
      <c r="D1490" s="567"/>
      <c r="E1490" s="132"/>
      <c r="F1490" s="472"/>
      <c r="G1490" s="309"/>
    </row>
    <row r="1491" spans="2:7" ht="24.95" customHeight="1" x14ac:dyDescent="0.25">
      <c r="B1491" s="472"/>
      <c r="C1491" s="557"/>
      <c r="D1491" s="567"/>
      <c r="E1491" s="132"/>
      <c r="F1491" s="472"/>
      <c r="G1491" s="309"/>
    </row>
    <row r="1492" spans="2:7" ht="24.95" customHeight="1" x14ac:dyDescent="0.25">
      <c r="B1492" s="472"/>
      <c r="C1492" s="557"/>
      <c r="D1492" s="567"/>
      <c r="E1492" s="132"/>
      <c r="F1492" s="472"/>
      <c r="G1492" s="309"/>
    </row>
    <row r="1493" spans="2:7" ht="24.95" customHeight="1" x14ac:dyDescent="0.25">
      <c r="B1493" s="472"/>
      <c r="C1493" s="557"/>
      <c r="D1493" s="567"/>
      <c r="E1493" s="132"/>
      <c r="F1493" s="472"/>
      <c r="G1493" s="309"/>
    </row>
    <row r="1494" spans="2:7" ht="24.95" customHeight="1" x14ac:dyDescent="0.25">
      <c r="B1494" s="472"/>
      <c r="C1494" s="557"/>
      <c r="D1494" s="567"/>
      <c r="E1494" s="132"/>
      <c r="F1494" s="472"/>
      <c r="G1494" s="309"/>
    </row>
    <row r="1495" spans="2:7" ht="24.95" customHeight="1" x14ac:dyDescent="0.25">
      <c r="B1495" s="472"/>
      <c r="C1495" s="557"/>
      <c r="D1495" s="567"/>
      <c r="E1495" s="132"/>
      <c r="F1495" s="472"/>
      <c r="G1495" s="309"/>
    </row>
    <row r="1496" spans="2:7" ht="24.95" customHeight="1" x14ac:dyDescent="0.25">
      <c r="B1496" s="472"/>
      <c r="C1496" s="557"/>
      <c r="D1496" s="567"/>
      <c r="E1496" s="132"/>
      <c r="F1496" s="472"/>
      <c r="G1496" s="309"/>
    </row>
    <row r="1497" spans="2:7" ht="24.95" customHeight="1" x14ac:dyDescent="0.25">
      <c r="B1497" s="472"/>
      <c r="C1497" s="557"/>
      <c r="D1497" s="567"/>
      <c r="E1497" s="132"/>
      <c r="F1497" s="472"/>
      <c r="G1497" s="309"/>
    </row>
    <row r="1498" spans="2:7" ht="24.95" customHeight="1" x14ac:dyDescent="0.25">
      <c r="B1498" s="472"/>
      <c r="C1498" s="557"/>
      <c r="D1498" s="567"/>
      <c r="E1498" s="132"/>
      <c r="F1498" s="472"/>
      <c r="G1498" s="309"/>
    </row>
    <row r="1499" spans="2:7" ht="24.95" customHeight="1" x14ac:dyDescent="0.25">
      <c r="B1499" s="472"/>
      <c r="C1499" s="557"/>
      <c r="D1499" s="567"/>
      <c r="E1499" s="132"/>
      <c r="F1499" s="472"/>
      <c r="G1499" s="309"/>
    </row>
    <row r="1500" spans="2:7" ht="24.95" customHeight="1" x14ac:dyDescent="0.25">
      <c r="B1500" s="472"/>
      <c r="C1500" s="557"/>
      <c r="D1500" s="567"/>
      <c r="E1500" s="132"/>
      <c r="F1500" s="472"/>
      <c r="G1500" s="309"/>
    </row>
    <row r="1501" spans="2:7" ht="24.95" customHeight="1" x14ac:dyDescent="0.25">
      <c r="B1501" s="472"/>
      <c r="C1501" s="557"/>
      <c r="D1501" s="567"/>
      <c r="E1501" s="132"/>
      <c r="F1501" s="472"/>
      <c r="G1501" s="309"/>
    </row>
    <row r="1502" spans="2:7" ht="24.95" customHeight="1" x14ac:dyDescent="0.25">
      <c r="B1502" s="472"/>
      <c r="C1502" s="557"/>
      <c r="D1502" s="567"/>
      <c r="E1502" s="132"/>
      <c r="F1502" s="472"/>
      <c r="G1502" s="309"/>
    </row>
    <row r="1503" spans="2:7" ht="24.95" customHeight="1" x14ac:dyDescent="0.25">
      <c r="B1503" s="472"/>
      <c r="C1503" s="557"/>
      <c r="D1503" s="567"/>
      <c r="E1503" s="132"/>
      <c r="F1503" s="472"/>
      <c r="G1503" s="309"/>
    </row>
    <row r="1504" spans="2:7" ht="24.95" customHeight="1" x14ac:dyDescent="0.25">
      <c r="B1504" s="472"/>
      <c r="C1504" s="557"/>
      <c r="D1504" s="567"/>
      <c r="E1504" s="132"/>
      <c r="F1504" s="472"/>
      <c r="G1504" s="309"/>
    </row>
    <row r="1505" spans="2:7" ht="24.95" customHeight="1" x14ac:dyDescent="0.25">
      <c r="B1505" s="472"/>
      <c r="C1505" s="557"/>
      <c r="D1505" s="567"/>
      <c r="E1505" s="132"/>
      <c r="F1505" s="472"/>
      <c r="G1505" s="309"/>
    </row>
    <row r="1506" spans="2:7" ht="24.95" customHeight="1" x14ac:dyDescent="0.25">
      <c r="B1506" s="472"/>
      <c r="C1506" s="557"/>
      <c r="D1506" s="567"/>
      <c r="E1506" s="132"/>
      <c r="F1506" s="472"/>
      <c r="G1506" s="309"/>
    </row>
    <row r="1507" spans="2:7" ht="24.95" customHeight="1" x14ac:dyDescent="0.25">
      <c r="B1507" s="472"/>
      <c r="C1507" s="557"/>
      <c r="D1507" s="567"/>
      <c r="E1507" s="132"/>
      <c r="F1507" s="472"/>
      <c r="G1507" s="309"/>
    </row>
    <row r="1508" spans="2:7" ht="24.95" customHeight="1" x14ac:dyDescent="0.25">
      <c r="B1508" s="472"/>
      <c r="C1508" s="557"/>
      <c r="D1508" s="567"/>
      <c r="E1508" s="132"/>
      <c r="F1508" s="472"/>
      <c r="G1508" s="309"/>
    </row>
    <row r="1509" spans="2:7" ht="24.95" customHeight="1" x14ac:dyDescent="0.25">
      <c r="B1509" s="472"/>
      <c r="C1509" s="557"/>
      <c r="D1509" s="567"/>
      <c r="E1509" s="132"/>
      <c r="F1509" s="472"/>
      <c r="G1509" s="309"/>
    </row>
    <row r="1510" spans="2:7" ht="24.95" customHeight="1" x14ac:dyDescent="0.25">
      <c r="B1510" s="472"/>
      <c r="C1510" s="557"/>
      <c r="D1510" s="567"/>
      <c r="E1510" s="132"/>
      <c r="F1510" s="472"/>
      <c r="G1510" s="309"/>
    </row>
    <row r="1511" spans="2:7" ht="24.95" customHeight="1" x14ac:dyDescent="0.25">
      <c r="B1511" s="472"/>
      <c r="C1511" s="557"/>
      <c r="D1511" s="567"/>
      <c r="E1511" s="132"/>
      <c r="F1511" s="472"/>
      <c r="G1511" s="309"/>
    </row>
    <row r="1512" spans="2:7" ht="24.95" customHeight="1" x14ac:dyDescent="0.25">
      <c r="B1512" s="472"/>
      <c r="C1512" s="557"/>
      <c r="D1512" s="567"/>
      <c r="E1512" s="132"/>
      <c r="F1512" s="472"/>
      <c r="G1512" s="309"/>
    </row>
    <row r="1513" spans="2:7" ht="24.95" customHeight="1" x14ac:dyDescent="0.25">
      <c r="B1513" s="472"/>
      <c r="C1513" s="557"/>
      <c r="D1513" s="567"/>
      <c r="E1513" s="132"/>
      <c r="F1513" s="472"/>
      <c r="G1513" s="309"/>
    </row>
    <row r="1514" spans="2:7" ht="24.95" customHeight="1" x14ac:dyDescent="0.25">
      <c r="B1514" s="472"/>
      <c r="C1514" s="557"/>
      <c r="D1514" s="567"/>
      <c r="E1514" s="132"/>
      <c r="F1514" s="472"/>
      <c r="G1514" s="309"/>
    </row>
    <row r="1515" spans="2:7" ht="24.95" customHeight="1" x14ac:dyDescent="0.25">
      <c r="B1515" s="472"/>
      <c r="C1515" s="557"/>
      <c r="D1515" s="567"/>
      <c r="E1515" s="132"/>
      <c r="F1515" s="472"/>
      <c r="G1515" s="309"/>
    </row>
    <row r="1516" spans="2:7" ht="24.95" customHeight="1" x14ac:dyDescent="0.25">
      <c r="B1516" s="472"/>
      <c r="C1516" s="557"/>
      <c r="D1516" s="567"/>
      <c r="E1516" s="132"/>
      <c r="F1516" s="472"/>
      <c r="G1516" s="309"/>
    </row>
    <row r="1517" spans="2:7" ht="24.95" customHeight="1" x14ac:dyDescent="0.25">
      <c r="B1517" s="472"/>
      <c r="C1517" s="557"/>
      <c r="D1517" s="567"/>
      <c r="E1517" s="132"/>
      <c r="F1517" s="472"/>
      <c r="G1517" s="309"/>
    </row>
    <row r="1518" spans="2:7" ht="24.95" customHeight="1" x14ac:dyDescent="0.25">
      <c r="B1518" s="472"/>
      <c r="C1518" s="557"/>
      <c r="D1518" s="567"/>
      <c r="E1518" s="132"/>
      <c r="F1518" s="472"/>
      <c r="G1518" s="309"/>
    </row>
    <row r="1519" spans="2:7" ht="24.95" customHeight="1" x14ac:dyDescent="0.25">
      <c r="B1519" s="472"/>
      <c r="C1519" s="557"/>
      <c r="D1519" s="567"/>
      <c r="E1519" s="132"/>
      <c r="F1519" s="472"/>
      <c r="G1519" s="309"/>
    </row>
    <row r="1520" spans="2:7" ht="24.95" customHeight="1" x14ac:dyDescent="0.25">
      <c r="B1520" s="472"/>
      <c r="C1520" s="557"/>
      <c r="D1520" s="567"/>
      <c r="E1520" s="132"/>
      <c r="F1520" s="472"/>
      <c r="G1520" s="309"/>
    </row>
    <row r="1521" spans="2:7" ht="24.95" customHeight="1" x14ac:dyDescent="0.25">
      <c r="B1521" s="472"/>
      <c r="C1521" s="557"/>
      <c r="D1521" s="567"/>
      <c r="E1521" s="132"/>
      <c r="F1521" s="472"/>
      <c r="G1521" s="309"/>
    </row>
    <row r="1522" spans="2:7" ht="24.95" customHeight="1" x14ac:dyDescent="0.25">
      <c r="B1522" s="472"/>
      <c r="C1522" s="557"/>
      <c r="D1522" s="567"/>
      <c r="E1522" s="132"/>
      <c r="F1522" s="472"/>
      <c r="G1522" s="309"/>
    </row>
    <row r="1523" spans="2:7" ht="24.95" customHeight="1" x14ac:dyDescent="0.25">
      <c r="B1523" s="472"/>
      <c r="C1523" s="557"/>
      <c r="D1523" s="567"/>
      <c r="E1523" s="132"/>
      <c r="F1523" s="472"/>
      <c r="G1523" s="309"/>
    </row>
    <row r="1524" spans="2:7" ht="24.95" customHeight="1" x14ac:dyDescent="0.25">
      <c r="B1524" s="472"/>
      <c r="C1524" s="557"/>
      <c r="D1524" s="567"/>
      <c r="E1524" s="132"/>
      <c r="F1524" s="472"/>
      <c r="G1524" s="309"/>
    </row>
    <row r="1525" spans="2:7" ht="24.95" customHeight="1" x14ac:dyDescent="0.25">
      <c r="B1525" s="472"/>
      <c r="C1525" s="557"/>
      <c r="D1525" s="567"/>
      <c r="E1525" s="132"/>
      <c r="F1525" s="472"/>
      <c r="G1525" s="309"/>
    </row>
    <row r="1526" spans="2:7" ht="24.95" customHeight="1" x14ac:dyDescent="0.25">
      <c r="B1526" s="472"/>
      <c r="C1526" s="557"/>
      <c r="D1526" s="567"/>
      <c r="E1526" s="132"/>
      <c r="F1526" s="472"/>
      <c r="G1526" s="309"/>
    </row>
    <row r="1527" spans="2:7" ht="24.95" customHeight="1" x14ac:dyDescent="0.25">
      <c r="B1527" s="472"/>
      <c r="C1527" s="557"/>
      <c r="D1527" s="567"/>
      <c r="E1527" s="132"/>
      <c r="F1527" s="472"/>
      <c r="G1527" s="309"/>
    </row>
    <row r="1528" spans="2:7" ht="24.95" customHeight="1" x14ac:dyDescent="0.25">
      <c r="B1528" s="472"/>
      <c r="C1528" s="557"/>
      <c r="D1528" s="567"/>
      <c r="E1528" s="132"/>
      <c r="F1528" s="472"/>
      <c r="G1528" s="309"/>
    </row>
    <row r="1529" spans="2:7" ht="24.95" customHeight="1" x14ac:dyDescent="0.25">
      <c r="B1529" s="472"/>
      <c r="C1529" s="557"/>
      <c r="D1529" s="567"/>
      <c r="E1529" s="132"/>
      <c r="F1529" s="472"/>
      <c r="G1529" s="309"/>
    </row>
    <row r="1530" spans="2:7" ht="24.95" customHeight="1" x14ac:dyDescent="0.25">
      <c r="B1530" s="472"/>
      <c r="C1530" s="557"/>
      <c r="D1530" s="567"/>
      <c r="E1530" s="132"/>
      <c r="F1530" s="472"/>
      <c r="G1530" s="309"/>
    </row>
    <row r="1531" spans="2:7" ht="24.95" customHeight="1" x14ac:dyDescent="0.25">
      <c r="B1531" s="472"/>
      <c r="C1531" s="557"/>
      <c r="D1531" s="567"/>
      <c r="E1531" s="132"/>
      <c r="F1531" s="472"/>
      <c r="G1531" s="309"/>
    </row>
    <row r="1532" spans="2:7" ht="24.95" customHeight="1" x14ac:dyDescent="0.25">
      <c r="B1532" s="472"/>
      <c r="C1532" s="557"/>
      <c r="D1532" s="567"/>
      <c r="E1532" s="132"/>
      <c r="F1532" s="472"/>
      <c r="G1532" s="309"/>
    </row>
    <row r="1533" spans="2:7" ht="24.95" customHeight="1" x14ac:dyDescent="0.25">
      <c r="B1533" s="472"/>
      <c r="C1533" s="557"/>
      <c r="D1533" s="567"/>
      <c r="E1533" s="132"/>
      <c r="F1533" s="472"/>
      <c r="G1533" s="309"/>
    </row>
    <row r="1534" spans="2:7" ht="24.95" customHeight="1" x14ac:dyDescent="0.25">
      <c r="B1534" s="472"/>
      <c r="C1534" s="557"/>
      <c r="D1534" s="567"/>
      <c r="E1534" s="132"/>
      <c r="F1534" s="472"/>
      <c r="G1534" s="309"/>
    </row>
    <row r="1535" spans="2:7" ht="24.95" customHeight="1" x14ac:dyDescent="0.25">
      <c r="B1535" s="472"/>
      <c r="C1535" s="557"/>
      <c r="D1535" s="567"/>
      <c r="E1535" s="132"/>
      <c r="F1535" s="472"/>
      <c r="G1535" s="309"/>
    </row>
    <row r="1536" spans="2:7" ht="24.95" customHeight="1" x14ac:dyDescent="0.25">
      <c r="B1536" s="472"/>
      <c r="C1536" s="557"/>
      <c r="D1536" s="567"/>
      <c r="E1536" s="132"/>
      <c r="F1536" s="472"/>
      <c r="G1536" s="309"/>
    </row>
    <row r="1537" spans="2:7" ht="24.95" customHeight="1" x14ac:dyDescent="0.25">
      <c r="B1537" s="472"/>
      <c r="C1537" s="557"/>
      <c r="D1537" s="567"/>
      <c r="E1537" s="132"/>
      <c r="F1537" s="472"/>
      <c r="G1537" s="309"/>
    </row>
    <row r="1538" spans="2:7" ht="24.95" customHeight="1" x14ac:dyDescent="0.25">
      <c r="B1538" s="472"/>
      <c r="C1538" s="557"/>
      <c r="D1538" s="567"/>
      <c r="E1538" s="132"/>
      <c r="F1538" s="472"/>
      <c r="G1538" s="309"/>
    </row>
    <row r="1539" spans="2:7" ht="24.95" customHeight="1" x14ac:dyDescent="0.25">
      <c r="B1539" s="472"/>
      <c r="C1539" s="557"/>
      <c r="D1539" s="567"/>
      <c r="E1539" s="132"/>
      <c r="F1539" s="472"/>
      <c r="G1539" s="309"/>
    </row>
    <row r="1540" spans="2:7" ht="24.95" customHeight="1" x14ac:dyDescent="0.25">
      <c r="B1540" s="472"/>
      <c r="C1540" s="557"/>
      <c r="D1540" s="567"/>
      <c r="E1540" s="132"/>
      <c r="F1540" s="472"/>
      <c r="G1540" s="309"/>
    </row>
    <row r="1541" spans="2:7" ht="24.95" customHeight="1" x14ac:dyDescent="0.25">
      <c r="B1541" s="472"/>
      <c r="C1541" s="557"/>
      <c r="D1541" s="567"/>
      <c r="E1541" s="132"/>
      <c r="F1541" s="472"/>
      <c r="G1541" s="309"/>
    </row>
    <row r="1542" spans="2:7" ht="24.95" customHeight="1" x14ac:dyDescent="0.25">
      <c r="B1542" s="472"/>
      <c r="C1542" s="557"/>
      <c r="D1542" s="567"/>
      <c r="E1542" s="132"/>
      <c r="F1542" s="472"/>
      <c r="G1542" s="309"/>
    </row>
    <row r="1543" spans="2:7" ht="24.95" customHeight="1" x14ac:dyDescent="0.25">
      <c r="B1543" s="472"/>
      <c r="C1543" s="557"/>
      <c r="D1543" s="567"/>
      <c r="E1543" s="132"/>
      <c r="F1543" s="472"/>
      <c r="G1543" s="309"/>
    </row>
    <row r="1544" spans="2:7" ht="24.95" customHeight="1" x14ac:dyDescent="0.25">
      <c r="B1544" s="472"/>
      <c r="C1544" s="557"/>
      <c r="D1544" s="567"/>
      <c r="E1544" s="132"/>
      <c r="F1544" s="472"/>
      <c r="G1544" s="309"/>
    </row>
    <row r="1545" spans="2:7" ht="24.95" customHeight="1" x14ac:dyDescent="0.25">
      <c r="B1545" s="472"/>
      <c r="C1545" s="557"/>
      <c r="D1545" s="567"/>
      <c r="E1545" s="132"/>
      <c r="F1545" s="472"/>
      <c r="G1545" s="309"/>
    </row>
    <row r="1546" spans="2:7" ht="24.95" customHeight="1" x14ac:dyDescent="0.25">
      <c r="B1546" s="472"/>
      <c r="C1546" s="557"/>
      <c r="D1546" s="567"/>
      <c r="E1546" s="132"/>
      <c r="F1546" s="472"/>
      <c r="G1546" s="309"/>
    </row>
    <row r="1547" spans="2:7" ht="24.95" customHeight="1" x14ac:dyDescent="0.25">
      <c r="B1547" s="472"/>
      <c r="C1547" s="557"/>
      <c r="D1547" s="567"/>
      <c r="E1547" s="132"/>
      <c r="F1547" s="472"/>
      <c r="G1547" s="309"/>
    </row>
    <row r="1548" spans="2:7" ht="24.95" customHeight="1" x14ac:dyDescent="0.25">
      <c r="B1548" s="472"/>
      <c r="C1548" s="557"/>
      <c r="D1548" s="567"/>
      <c r="E1548" s="132"/>
      <c r="F1548" s="472"/>
      <c r="G1548" s="309"/>
    </row>
    <row r="1549" spans="2:7" ht="24.95" customHeight="1" x14ac:dyDescent="0.25">
      <c r="B1549" s="472"/>
      <c r="C1549" s="557"/>
      <c r="D1549" s="567"/>
      <c r="E1549" s="132"/>
      <c r="F1549" s="472"/>
      <c r="G1549" s="309"/>
    </row>
    <row r="1550" spans="2:7" ht="24.95" customHeight="1" x14ac:dyDescent="0.25">
      <c r="B1550" s="472"/>
      <c r="C1550" s="557"/>
      <c r="D1550" s="567"/>
      <c r="E1550" s="132"/>
      <c r="F1550" s="472"/>
      <c r="G1550" s="309"/>
    </row>
    <row r="1551" spans="2:7" ht="24.95" customHeight="1" x14ac:dyDescent="0.25">
      <c r="B1551" s="472"/>
      <c r="C1551" s="557"/>
      <c r="D1551" s="567"/>
      <c r="E1551" s="132"/>
      <c r="F1551" s="472"/>
      <c r="G1551" s="309"/>
    </row>
    <row r="1552" spans="2:7" ht="24.95" customHeight="1" x14ac:dyDescent="0.25">
      <c r="B1552" s="472"/>
      <c r="C1552" s="557"/>
      <c r="D1552" s="567"/>
      <c r="E1552" s="132"/>
      <c r="F1552" s="472"/>
      <c r="G1552" s="309"/>
    </row>
    <row r="1553" spans="2:7" ht="24.95" customHeight="1" x14ac:dyDescent="0.25">
      <c r="B1553" s="472"/>
      <c r="C1553" s="557"/>
      <c r="D1553" s="567"/>
      <c r="E1553" s="132"/>
      <c r="F1553" s="472"/>
      <c r="G1553" s="309"/>
    </row>
    <row r="1554" spans="2:7" ht="24.95" customHeight="1" x14ac:dyDescent="0.25">
      <c r="B1554" s="472"/>
      <c r="C1554" s="557"/>
      <c r="D1554" s="567"/>
      <c r="E1554" s="132"/>
      <c r="F1554" s="472"/>
      <c r="G1554" s="309"/>
    </row>
    <row r="1555" spans="2:7" ht="24.95" customHeight="1" x14ac:dyDescent="0.25">
      <c r="B1555" s="472"/>
      <c r="C1555" s="557"/>
      <c r="D1555" s="567"/>
      <c r="E1555" s="132"/>
      <c r="F1555" s="472"/>
      <c r="G1555" s="309"/>
    </row>
    <row r="1556" spans="2:7" ht="24.95" customHeight="1" x14ac:dyDescent="0.25">
      <c r="B1556" s="472"/>
      <c r="C1556" s="557"/>
      <c r="D1556" s="567"/>
      <c r="E1556" s="132"/>
      <c r="F1556" s="472"/>
      <c r="G1556" s="309"/>
    </row>
    <row r="1557" spans="2:7" ht="24.95" customHeight="1" x14ac:dyDescent="0.25">
      <c r="B1557" s="472"/>
      <c r="C1557" s="557"/>
      <c r="D1557" s="567"/>
      <c r="E1557" s="132"/>
      <c r="F1557" s="472"/>
      <c r="G1557" s="309"/>
    </row>
    <row r="1558" spans="2:7" ht="24.95" customHeight="1" x14ac:dyDescent="0.25">
      <c r="B1558" s="472"/>
      <c r="C1558" s="557"/>
      <c r="D1558" s="567"/>
      <c r="E1558" s="132"/>
      <c r="F1558" s="472"/>
      <c r="G1558" s="309"/>
    </row>
    <row r="1559" spans="2:7" ht="24.95" customHeight="1" x14ac:dyDescent="0.25">
      <c r="B1559" s="472"/>
      <c r="C1559" s="557"/>
      <c r="D1559" s="567"/>
      <c r="E1559" s="132"/>
      <c r="F1559" s="472"/>
      <c r="G1559" s="309"/>
    </row>
    <row r="1560" spans="2:7" ht="24.95" customHeight="1" x14ac:dyDescent="0.25">
      <c r="B1560" s="472"/>
      <c r="C1560" s="557"/>
      <c r="D1560" s="567"/>
      <c r="E1560" s="132"/>
      <c r="F1560" s="472"/>
      <c r="G1560" s="309"/>
    </row>
    <row r="1561" spans="2:7" ht="24.95" customHeight="1" x14ac:dyDescent="0.25">
      <c r="B1561" s="472"/>
      <c r="C1561" s="557"/>
      <c r="D1561" s="567"/>
      <c r="E1561" s="132"/>
      <c r="F1561" s="472"/>
      <c r="G1561" s="309"/>
    </row>
    <row r="1562" spans="2:7" ht="24.95" customHeight="1" x14ac:dyDescent="0.25">
      <c r="B1562" s="472"/>
      <c r="C1562" s="557"/>
      <c r="D1562" s="567"/>
      <c r="E1562" s="132"/>
      <c r="F1562" s="472"/>
      <c r="G1562" s="309"/>
    </row>
    <row r="1563" spans="2:7" ht="24.95" customHeight="1" x14ac:dyDescent="0.25">
      <c r="B1563" s="472"/>
      <c r="C1563" s="557"/>
      <c r="D1563" s="567"/>
      <c r="E1563" s="132"/>
      <c r="F1563" s="472"/>
      <c r="G1563" s="309"/>
    </row>
    <row r="1564" spans="2:7" ht="24.95" customHeight="1" x14ac:dyDescent="0.25">
      <c r="B1564" s="472"/>
      <c r="C1564" s="557"/>
      <c r="D1564" s="567"/>
      <c r="E1564" s="132"/>
      <c r="F1564" s="472"/>
      <c r="G1564" s="309"/>
    </row>
    <row r="1565" spans="2:7" ht="24.95" customHeight="1" x14ac:dyDescent="0.25">
      <c r="B1565" s="472"/>
      <c r="C1565" s="557"/>
      <c r="D1565" s="567"/>
      <c r="E1565" s="132"/>
      <c r="F1565" s="472"/>
      <c r="G1565" s="309"/>
    </row>
    <row r="1566" spans="2:7" ht="24.95" customHeight="1" x14ac:dyDescent="0.25">
      <c r="B1566" s="472"/>
      <c r="C1566" s="557"/>
      <c r="D1566" s="567"/>
      <c r="E1566" s="132"/>
      <c r="F1566" s="472"/>
      <c r="G1566" s="309"/>
    </row>
    <row r="1567" spans="2:7" ht="24.95" customHeight="1" x14ac:dyDescent="0.25">
      <c r="B1567" s="472"/>
      <c r="C1567" s="557"/>
      <c r="D1567" s="567"/>
      <c r="E1567" s="132"/>
      <c r="F1567" s="472"/>
      <c r="G1567" s="309"/>
    </row>
    <row r="1568" spans="2:7" ht="24.95" customHeight="1" x14ac:dyDescent="0.25">
      <c r="B1568" s="472"/>
      <c r="C1568" s="557"/>
      <c r="D1568" s="567"/>
      <c r="E1568" s="132"/>
      <c r="F1568" s="472"/>
      <c r="G1568" s="309"/>
    </row>
    <row r="1569" spans="2:7" ht="24.95" customHeight="1" x14ac:dyDescent="0.25">
      <c r="B1569" s="472"/>
      <c r="C1569" s="557"/>
      <c r="D1569" s="567"/>
      <c r="E1569" s="132"/>
      <c r="F1569" s="472"/>
      <c r="G1569" s="309"/>
    </row>
    <row r="1570" spans="2:7" ht="24.95" customHeight="1" x14ac:dyDescent="0.25">
      <c r="B1570" s="472"/>
      <c r="C1570" s="557"/>
      <c r="D1570" s="567"/>
      <c r="E1570" s="132"/>
      <c r="F1570" s="472"/>
      <c r="G1570" s="309"/>
    </row>
    <row r="1571" spans="2:7" ht="24.95" customHeight="1" x14ac:dyDescent="0.25">
      <c r="B1571" s="472"/>
      <c r="C1571" s="557"/>
      <c r="D1571" s="567"/>
      <c r="E1571" s="132"/>
      <c r="F1571" s="472"/>
      <c r="G1571" s="309"/>
    </row>
    <row r="1572" spans="2:7" ht="24.95" customHeight="1" x14ac:dyDescent="0.25">
      <c r="B1572" s="472"/>
      <c r="C1572" s="557"/>
      <c r="D1572" s="567"/>
      <c r="E1572" s="132"/>
      <c r="F1572" s="472"/>
      <c r="G1572" s="309"/>
    </row>
    <row r="1573" spans="2:7" ht="24.95" customHeight="1" x14ac:dyDescent="0.25">
      <c r="B1573" s="472"/>
      <c r="C1573" s="557"/>
      <c r="D1573" s="567"/>
      <c r="E1573" s="132"/>
      <c r="F1573" s="472"/>
      <c r="G1573" s="309"/>
    </row>
    <row r="1574" spans="2:7" ht="24.95" customHeight="1" x14ac:dyDescent="0.25">
      <c r="B1574" s="472"/>
      <c r="C1574" s="557"/>
      <c r="D1574" s="567"/>
      <c r="E1574" s="132"/>
      <c r="F1574" s="472"/>
      <c r="G1574" s="309"/>
    </row>
    <row r="1575" spans="2:7" ht="24.95" customHeight="1" x14ac:dyDescent="0.25">
      <c r="B1575" s="472"/>
      <c r="C1575" s="557"/>
      <c r="D1575" s="567"/>
      <c r="E1575" s="132"/>
      <c r="F1575" s="472"/>
      <c r="G1575" s="309"/>
    </row>
    <row r="1576" spans="2:7" ht="24.95" customHeight="1" x14ac:dyDescent="0.25">
      <c r="B1576" s="472"/>
      <c r="C1576" s="557"/>
      <c r="D1576" s="567"/>
      <c r="E1576" s="132"/>
      <c r="F1576" s="472"/>
      <c r="G1576" s="309"/>
    </row>
    <row r="1577" spans="2:7" ht="24.95" customHeight="1" x14ac:dyDescent="0.25">
      <c r="B1577" s="472"/>
      <c r="C1577" s="557"/>
      <c r="D1577" s="567"/>
      <c r="E1577" s="132"/>
      <c r="F1577" s="472"/>
      <c r="G1577" s="309"/>
    </row>
    <row r="1578" spans="2:7" ht="24.95" customHeight="1" x14ac:dyDescent="0.25">
      <c r="B1578" s="472"/>
      <c r="C1578" s="557"/>
      <c r="D1578" s="567"/>
      <c r="E1578" s="132"/>
      <c r="F1578" s="472"/>
      <c r="G1578" s="309"/>
    </row>
    <row r="1579" spans="2:7" ht="24.95" customHeight="1" x14ac:dyDescent="0.25">
      <c r="B1579" s="472"/>
      <c r="C1579" s="557"/>
      <c r="D1579" s="567"/>
      <c r="E1579" s="132"/>
      <c r="F1579" s="472"/>
      <c r="G1579" s="309"/>
    </row>
    <row r="1580" spans="2:7" ht="24.95" customHeight="1" x14ac:dyDescent="0.25">
      <c r="B1580" s="472"/>
      <c r="C1580" s="557"/>
      <c r="D1580" s="567"/>
      <c r="E1580" s="132"/>
      <c r="F1580" s="472"/>
      <c r="G1580" s="309"/>
    </row>
    <row r="1581" spans="2:7" ht="24.95" customHeight="1" x14ac:dyDescent="0.25">
      <c r="B1581" s="472"/>
      <c r="C1581" s="557"/>
      <c r="D1581" s="567"/>
      <c r="E1581" s="132"/>
      <c r="F1581" s="472"/>
      <c r="G1581" s="309"/>
    </row>
    <row r="1582" spans="2:7" ht="24.95" customHeight="1" x14ac:dyDescent="0.25">
      <c r="B1582" s="472"/>
      <c r="C1582" s="557"/>
      <c r="D1582" s="567"/>
      <c r="E1582" s="132"/>
      <c r="F1582" s="472"/>
      <c r="G1582" s="309"/>
    </row>
    <row r="1583" spans="2:7" ht="24.95" customHeight="1" x14ac:dyDescent="0.25">
      <c r="B1583" s="472"/>
      <c r="C1583" s="557"/>
      <c r="D1583" s="567"/>
      <c r="E1583" s="132"/>
      <c r="F1583" s="472"/>
      <c r="G1583" s="309"/>
    </row>
    <row r="1584" spans="2:7" ht="24.95" customHeight="1" x14ac:dyDescent="0.25">
      <c r="B1584" s="472"/>
      <c r="C1584" s="557"/>
      <c r="D1584" s="567"/>
      <c r="E1584" s="132"/>
      <c r="F1584" s="472"/>
      <c r="G1584" s="309"/>
    </row>
    <row r="1585" spans="2:7" ht="24.95" customHeight="1" x14ac:dyDescent="0.25">
      <c r="B1585" s="472"/>
      <c r="C1585" s="557"/>
      <c r="D1585" s="567"/>
      <c r="E1585" s="132"/>
      <c r="F1585" s="472"/>
      <c r="G1585" s="309"/>
    </row>
    <row r="1586" spans="2:7" ht="24.95" customHeight="1" x14ac:dyDescent="0.25">
      <c r="B1586" s="472"/>
      <c r="C1586" s="557"/>
      <c r="D1586" s="567"/>
      <c r="E1586" s="132"/>
      <c r="F1586" s="472"/>
      <c r="G1586" s="309"/>
    </row>
    <row r="1587" spans="2:7" ht="24.95" customHeight="1" x14ac:dyDescent="0.25">
      <c r="B1587" s="472"/>
      <c r="C1587" s="557"/>
      <c r="D1587" s="567"/>
      <c r="E1587" s="132"/>
      <c r="F1587" s="472"/>
      <c r="G1587" s="309"/>
    </row>
    <row r="1588" spans="2:7" ht="24.95" customHeight="1" x14ac:dyDescent="0.25">
      <c r="B1588" s="472"/>
      <c r="C1588" s="557"/>
      <c r="D1588" s="567"/>
      <c r="E1588" s="132"/>
      <c r="F1588" s="472"/>
      <c r="G1588" s="309"/>
    </row>
    <row r="1589" spans="2:7" ht="24.95" customHeight="1" x14ac:dyDescent="0.25">
      <c r="B1589" s="472"/>
      <c r="C1589" s="557"/>
      <c r="D1589" s="567"/>
      <c r="E1589" s="132"/>
      <c r="F1589" s="472"/>
      <c r="G1589" s="309"/>
    </row>
    <row r="1590" spans="2:7" ht="24.95" customHeight="1" x14ac:dyDescent="0.25">
      <c r="B1590" s="472"/>
      <c r="C1590" s="557"/>
      <c r="D1590" s="567"/>
      <c r="E1590" s="132"/>
      <c r="F1590" s="472"/>
      <c r="G1590" s="309"/>
    </row>
    <row r="1591" spans="2:7" ht="24.95" customHeight="1" x14ac:dyDescent="0.25">
      <c r="B1591" s="472"/>
      <c r="C1591" s="557"/>
      <c r="D1591" s="567"/>
      <c r="E1591" s="132"/>
      <c r="F1591" s="472"/>
      <c r="G1591" s="309"/>
    </row>
    <row r="1592" spans="2:7" ht="24.95" customHeight="1" x14ac:dyDescent="0.25">
      <c r="B1592" s="472"/>
      <c r="C1592" s="557"/>
      <c r="D1592" s="567"/>
      <c r="E1592" s="132"/>
      <c r="F1592" s="472"/>
      <c r="G1592" s="309"/>
    </row>
    <row r="1593" spans="2:7" ht="24.95" customHeight="1" x14ac:dyDescent="0.25">
      <c r="B1593" s="472"/>
      <c r="C1593" s="557"/>
      <c r="D1593" s="567"/>
      <c r="E1593" s="132"/>
      <c r="F1593" s="472"/>
      <c r="G1593" s="309"/>
    </row>
    <row r="1594" spans="2:7" ht="24.95" customHeight="1" x14ac:dyDescent="0.25">
      <c r="B1594" s="472"/>
      <c r="C1594" s="557"/>
      <c r="D1594" s="567"/>
      <c r="E1594" s="132"/>
      <c r="F1594" s="472"/>
      <c r="G1594" s="309"/>
    </row>
    <row r="1595" spans="2:7" ht="24.95" customHeight="1" x14ac:dyDescent="0.25">
      <c r="B1595" s="472"/>
      <c r="C1595" s="557"/>
      <c r="D1595" s="567"/>
      <c r="E1595" s="132"/>
      <c r="F1595" s="472"/>
      <c r="G1595" s="309"/>
    </row>
    <row r="1596" spans="2:7" ht="24.95" customHeight="1" x14ac:dyDescent="0.25">
      <c r="B1596" s="472"/>
      <c r="C1596" s="557"/>
      <c r="D1596" s="567"/>
      <c r="E1596" s="132"/>
      <c r="F1596" s="472"/>
      <c r="G1596" s="309"/>
    </row>
    <row r="1597" spans="2:7" ht="24.95" customHeight="1" x14ac:dyDescent="0.25">
      <c r="B1597" s="472"/>
      <c r="C1597" s="557"/>
      <c r="D1597" s="567"/>
      <c r="E1597" s="132"/>
      <c r="F1597" s="472"/>
      <c r="G1597" s="309"/>
    </row>
    <row r="1598" spans="2:7" ht="24.95" customHeight="1" x14ac:dyDescent="0.25">
      <c r="B1598" s="472"/>
      <c r="C1598" s="557"/>
      <c r="D1598" s="567"/>
      <c r="E1598" s="132"/>
      <c r="F1598" s="472"/>
      <c r="G1598" s="309"/>
    </row>
    <row r="1599" spans="2:7" ht="24.95" customHeight="1" x14ac:dyDescent="0.25">
      <c r="B1599" s="472"/>
      <c r="C1599" s="557"/>
      <c r="D1599" s="567"/>
      <c r="E1599" s="132"/>
      <c r="F1599" s="472"/>
      <c r="G1599" s="309"/>
    </row>
    <row r="1600" spans="2:7" ht="24.95" customHeight="1" x14ac:dyDescent="0.25">
      <c r="B1600" s="472"/>
      <c r="C1600" s="557"/>
      <c r="D1600" s="567"/>
      <c r="E1600" s="132"/>
      <c r="F1600" s="472"/>
      <c r="G1600" s="309"/>
    </row>
    <row r="1601" spans="2:7" ht="24.95" customHeight="1" x14ac:dyDescent="0.25">
      <c r="B1601" s="472"/>
      <c r="C1601" s="557"/>
      <c r="D1601" s="567"/>
      <c r="E1601" s="132"/>
      <c r="F1601" s="472"/>
      <c r="G1601" s="309"/>
    </row>
    <row r="1602" spans="2:7" ht="24.95" customHeight="1" x14ac:dyDescent="0.25">
      <c r="B1602" s="472"/>
      <c r="C1602" s="557"/>
      <c r="D1602" s="567"/>
      <c r="E1602" s="132"/>
      <c r="F1602" s="472"/>
      <c r="G1602" s="309"/>
    </row>
    <row r="1603" spans="2:7" ht="24.95" customHeight="1" x14ac:dyDescent="0.25">
      <c r="B1603" s="472"/>
      <c r="C1603" s="557"/>
      <c r="D1603" s="567"/>
      <c r="E1603" s="132"/>
      <c r="F1603" s="472"/>
      <c r="G1603" s="309"/>
    </row>
    <row r="1604" spans="2:7" ht="24.95" customHeight="1" x14ac:dyDescent="0.25">
      <c r="B1604" s="472"/>
      <c r="C1604" s="557"/>
      <c r="D1604" s="567"/>
      <c r="E1604" s="132"/>
      <c r="F1604" s="472"/>
      <c r="G1604" s="309"/>
    </row>
    <row r="1605" spans="2:7" ht="24.95" customHeight="1" x14ac:dyDescent="0.25">
      <c r="B1605" s="472"/>
      <c r="C1605" s="557"/>
      <c r="D1605" s="567"/>
      <c r="E1605" s="132"/>
      <c r="F1605" s="472"/>
      <c r="G1605" s="309"/>
    </row>
    <row r="1606" spans="2:7" ht="24.95" customHeight="1" x14ac:dyDescent="0.25">
      <c r="B1606" s="472"/>
      <c r="C1606" s="557"/>
      <c r="D1606" s="567"/>
      <c r="E1606" s="132"/>
      <c r="F1606" s="472"/>
      <c r="G1606" s="309"/>
    </row>
    <row r="1607" spans="2:7" ht="24.95" customHeight="1" x14ac:dyDescent="0.25">
      <c r="B1607" s="472"/>
      <c r="C1607" s="557"/>
      <c r="D1607" s="567"/>
      <c r="E1607" s="132"/>
      <c r="F1607" s="472"/>
      <c r="G1607" s="309"/>
    </row>
    <row r="1608" spans="2:7" ht="24.95" customHeight="1" x14ac:dyDescent="0.25">
      <c r="B1608" s="472"/>
      <c r="C1608" s="557"/>
      <c r="D1608" s="567"/>
      <c r="E1608" s="132"/>
      <c r="F1608" s="472"/>
      <c r="G1608" s="309"/>
    </row>
    <row r="1609" spans="2:7" ht="24.95" customHeight="1" x14ac:dyDescent="0.25">
      <c r="B1609" s="472"/>
      <c r="C1609" s="557"/>
      <c r="D1609" s="567"/>
      <c r="E1609" s="132"/>
      <c r="F1609" s="472"/>
      <c r="G1609" s="309"/>
    </row>
    <row r="1610" spans="2:7" ht="24.95" customHeight="1" x14ac:dyDescent="0.25">
      <c r="B1610" s="472"/>
      <c r="C1610" s="557"/>
      <c r="D1610" s="567"/>
      <c r="E1610" s="132"/>
      <c r="F1610" s="472"/>
      <c r="G1610" s="309"/>
    </row>
    <row r="1611" spans="2:7" ht="24.95" customHeight="1" x14ac:dyDescent="0.25">
      <c r="B1611" s="472"/>
      <c r="C1611" s="557"/>
      <c r="D1611" s="567"/>
      <c r="E1611" s="132"/>
      <c r="F1611" s="472"/>
      <c r="G1611" s="309"/>
    </row>
    <row r="1612" spans="2:7" ht="24.95" customHeight="1" x14ac:dyDescent="0.25">
      <c r="B1612" s="472"/>
      <c r="C1612" s="557"/>
      <c r="D1612" s="567"/>
      <c r="E1612" s="132"/>
      <c r="F1612" s="472"/>
      <c r="G1612" s="309"/>
    </row>
    <row r="1613" spans="2:7" ht="24.95" customHeight="1" x14ac:dyDescent="0.25">
      <c r="B1613" s="472"/>
      <c r="C1613" s="557"/>
      <c r="D1613" s="567"/>
      <c r="E1613" s="132"/>
      <c r="F1613" s="472"/>
      <c r="G1613" s="309"/>
    </row>
    <row r="1614" spans="2:7" ht="24.95" customHeight="1" x14ac:dyDescent="0.25">
      <c r="B1614" s="472"/>
      <c r="C1614" s="557"/>
      <c r="D1614" s="567"/>
      <c r="E1614" s="132"/>
      <c r="F1614" s="472"/>
      <c r="G1614" s="309"/>
    </row>
    <row r="1615" spans="2:7" ht="24.95" customHeight="1" x14ac:dyDescent="0.25">
      <c r="B1615" s="472"/>
      <c r="C1615" s="557"/>
      <c r="D1615" s="567"/>
      <c r="E1615" s="132"/>
      <c r="F1615" s="472"/>
      <c r="G1615" s="309"/>
    </row>
    <row r="1616" spans="2:7" ht="24.95" customHeight="1" x14ac:dyDescent="0.25">
      <c r="B1616" s="472"/>
      <c r="C1616" s="557"/>
      <c r="D1616" s="567"/>
      <c r="E1616" s="132"/>
      <c r="F1616" s="472"/>
      <c r="G1616" s="309"/>
    </row>
    <row r="1617" spans="2:7" ht="24.95" customHeight="1" x14ac:dyDescent="0.25">
      <c r="B1617" s="472"/>
      <c r="C1617" s="557"/>
      <c r="D1617" s="567"/>
      <c r="E1617" s="132"/>
      <c r="F1617" s="472"/>
      <c r="G1617" s="309"/>
    </row>
    <row r="1618" spans="2:7" ht="24.95" customHeight="1" x14ac:dyDescent="0.25">
      <c r="B1618" s="472"/>
      <c r="C1618" s="557"/>
      <c r="D1618" s="567"/>
      <c r="E1618" s="132"/>
      <c r="F1618" s="472"/>
      <c r="G1618" s="309"/>
    </row>
    <row r="1619" spans="2:7" ht="24.95" customHeight="1" x14ac:dyDescent="0.25">
      <c r="B1619" s="472"/>
      <c r="C1619" s="557"/>
      <c r="D1619" s="567"/>
      <c r="E1619" s="132"/>
      <c r="F1619" s="472"/>
      <c r="G1619" s="309"/>
    </row>
    <row r="1620" spans="2:7" ht="24.95" customHeight="1" x14ac:dyDescent="0.25">
      <c r="C1620" s="557"/>
    </row>
    <row r="1621" spans="2:7" ht="24.95" customHeight="1" x14ac:dyDescent="0.25">
      <c r="C1621" s="557"/>
    </row>
    <row r="1622" spans="2:7" ht="24.95" customHeight="1" x14ac:dyDescent="0.25">
      <c r="C1622" s="557"/>
    </row>
    <row r="1623" spans="2:7" ht="24.95" customHeight="1" x14ac:dyDescent="0.25">
      <c r="C1623" s="557"/>
    </row>
    <row r="1624" spans="2:7" ht="24.95" customHeight="1" x14ac:dyDescent="0.25">
      <c r="C1624" s="557"/>
    </row>
    <row r="1625" spans="2:7" ht="24.95" customHeight="1" x14ac:dyDescent="0.25">
      <c r="C1625" s="557"/>
    </row>
    <row r="1626" spans="2:7" ht="24.95" customHeight="1" x14ac:dyDescent="0.25">
      <c r="C1626" s="557"/>
    </row>
    <row r="1627" spans="2:7" ht="24.95" customHeight="1" x14ac:dyDescent="0.25">
      <c r="C1627" s="557"/>
    </row>
    <row r="1628" spans="2:7" ht="24.95" customHeight="1" x14ac:dyDescent="0.25">
      <c r="C1628" s="557"/>
    </row>
    <row r="1629" spans="2:7" ht="24.95" customHeight="1" x14ac:dyDescent="0.25">
      <c r="C1629" s="557"/>
    </row>
    <row r="1630" spans="2:7" ht="24.95" customHeight="1" x14ac:dyDescent="0.25">
      <c r="C1630" s="557"/>
    </row>
    <row r="1631" spans="2:7" ht="24.95" customHeight="1" x14ac:dyDescent="0.25">
      <c r="C1631" s="557"/>
    </row>
    <row r="1632" spans="2:7" ht="24.95" customHeight="1" x14ac:dyDescent="0.25">
      <c r="C1632" s="557"/>
    </row>
    <row r="1633" spans="3:3" ht="24.95" customHeight="1" x14ac:dyDescent="0.25">
      <c r="C1633" s="557"/>
    </row>
    <row r="1634" spans="3:3" ht="24.95" customHeight="1" x14ac:dyDescent="0.25">
      <c r="C1634" s="557"/>
    </row>
    <row r="1635" spans="3:3" ht="24.95" customHeight="1" x14ac:dyDescent="0.25">
      <c r="C1635" s="557"/>
    </row>
    <row r="1636" spans="3:3" ht="24.95" customHeight="1" x14ac:dyDescent="0.25">
      <c r="C1636" s="557"/>
    </row>
    <row r="1637" spans="3:3" ht="24.95" customHeight="1" x14ac:dyDescent="0.25">
      <c r="C1637" s="557"/>
    </row>
    <row r="1638" spans="3:3" ht="24.95" customHeight="1" x14ac:dyDescent="0.25">
      <c r="C1638" s="557"/>
    </row>
    <row r="1639" spans="3:3" ht="24.95" customHeight="1" x14ac:dyDescent="0.25">
      <c r="C1639" s="557"/>
    </row>
    <row r="1640" spans="3:3" ht="24.95" customHeight="1" x14ac:dyDescent="0.25">
      <c r="C1640" s="557"/>
    </row>
    <row r="1641" spans="3:3" ht="24.95" customHeight="1" x14ac:dyDescent="0.25">
      <c r="C1641" s="557"/>
    </row>
    <row r="1642" spans="3:3" ht="24.95" customHeight="1" x14ac:dyDescent="0.25">
      <c r="C1642" s="557"/>
    </row>
    <row r="1643" spans="3:3" ht="24.95" customHeight="1" x14ac:dyDescent="0.25">
      <c r="C1643" s="557"/>
    </row>
    <row r="1644" spans="3:3" ht="24.95" customHeight="1" x14ac:dyDescent="0.25">
      <c r="C1644" s="557"/>
    </row>
    <row r="1645" spans="3:3" ht="24.95" customHeight="1" x14ac:dyDescent="0.25">
      <c r="C1645" s="557"/>
    </row>
    <row r="1646" spans="3:3" ht="24.95" customHeight="1" x14ac:dyDescent="0.25">
      <c r="C1646" s="557"/>
    </row>
    <row r="1647" spans="3:3" ht="24.95" customHeight="1" x14ac:dyDescent="0.25">
      <c r="C1647" s="557"/>
    </row>
    <row r="1648" spans="3:3" ht="24.95" customHeight="1" x14ac:dyDescent="0.25">
      <c r="C1648" s="557"/>
    </row>
    <row r="1649" spans="3:3" ht="24.95" customHeight="1" x14ac:dyDescent="0.25">
      <c r="C1649" s="557"/>
    </row>
    <row r="1650" spans="3:3" ht="24.95" customHeight="1" x14ac:dyDescent="0.25">
      <c r="C1650" s="557"/>
    </row>
    <row r="1651" spans="3:3" ht="24.95" customHeight="1" x14ac:dyDescent="0.25">
      <c r="C1651" s="557"/>
    </row>
    <row r="1048567" spans="5:5" ht="24.95" customHeight="1" x14ac:dyDescent="0.25">
      <c r="E1048567" s="473"/>
    </row>
  </sheetData>
  <sheetProtection formatCells="0" formatColumns="0" formatRows="0" insertHyperlinks="0" sort="0" autoFilter="0" pivotTables="0"/>
  <autoFilter ref="B1:H367">
    <sortState ref="B2:H333">
      <sortCondition ref="E1:E333"/>
    </sortState>
  </autoFilter>
  <conditionalFormatting sqref="B126:B132 B135:B140 B142:B171 B173:B324 B333:B1619 D323:D1619 C333:C1651 H321:H1349 E135:G1619">
    <cfRule type="expression" dxfId="193" priority="300">
      <formula>$C126="ABONO"</formula>
    </cfRule>
  </conditionalFormatting>
  <conditionalFormatting sqref="B126:B132 B135:B140 B142:B171 B173:B324 B333:B1619 D323:D1619 C333:C1651 H321:H1349 E135:G1619">
    <cfRule type="expression" dxfId="192" priority="293">
      <formula>$C126="ANEXO A CREDITO"</formula>
    </cfRule>
    <cfRule type="expression" dxfId="191" priority="294">
      <formula>$C126="CIERRE DE CREDITO"</formula>
    </cfRule>
    <cfRule type="expression" dxfId="190" priority="295">
      <formula>$C126="APERTURA DE CREDITO"</formula>
    </cfRule>
  </conditionalFormatting>
  <conditionalFormatting sqref="E126:E132">
    <cfRule type="expression" dxfId="189" priority="280">
      <formula>$C126="ABONO"</formula>
    </cfRule>
  </conditionalFormatting>
  <conditionalFormatting sqref="E126:E132">
    <cfRule type="expression" dxfId="188" priority="277">
      <formula>$C126="ANEXO A CREDITO"</formula>
    </cfRule>
    <cfRule type="expression" dxfId="187" priority="278">
      <formula>$C126="CIERRE DE CREDITO"</formula>
    </cfRule>
    <cfRule type="expression" dxfId="186" priority="279">
      <formula>$C126="APERTURA DE CREDITO"</formula>
    </cfRule>
  </conditionalFormatting>
  <conditionalFormatting sqref="F126:F132">
    <cfRule type="expression" dxfId="185" priority="276">
      <formula>$C126="ABONO"</formula>
    </cfRule>
  </conditionalFormatting>
  <conditionalFormatting sqref="F126:F132">
    <cfRule type="expression" dxfId="184" priority="273">
      <formula>$C126="ANEXO A CREDITO"</formula>
    </cfRule>
    <cfRule type="expression" dxfId="183" priority="274">
      <formula>$C126="CIERRE DE CREDITO"</formula>
    </cfRule>
    <cfRule type="expression" dxfId="182" priority="275">
      <formula>$C126="APERTURA DE CREDITO"</formula>
    </cfRule>
  </conditionalFormatting>
  <conditionalFormatting sqref="G126:G132">
    <cfRule type="expression" dxfId="181" priority="272">
      <formula>$C126="ABONO"</formula>
    </cfRule>
  </conditionalFormatting>
  <conditionalFormatting sqref="G126:G132">
    <cfRule type="expression" dxfId="180" priority="269">
      <formula>$C126="ANEXO A CREDITO"</formula>
    </cfRule>
    <cfRule type="expression" dxfId="179" priority="270">
      <formula>$C126="CIERRE DE CREDITO"</formula>
    </cfRule>
    <cfRule type="expression" dxfId="178" priority="271">
      <formula>$C126="APERTURA DE CREDITO"</formula>
    </cfRule>
  </conditionalFormatting>
  <conditionalFormatting sqref="F134">
    <cfRule type="expression" dxfId="177" priority="196">
      <formula>$C134="ABONO"</formula>
    </cfRule>
  </conditionalFormatting>
  <conditionalFormatting sqref="F134">
    <cfRule type="expression" dxfId="176" priority="193">
      <formula>$C134="ANEXO A CREDITO"</formula>
    </cfRule>
    <cfRule type="expression" dxfId="175" priority="194">
      <formula>$C134="CIERRE DE CREDITO"</formula>
    </cfRule>
    <cfRule type="expression" dxfId="174" priority="195">
      <formula>$C134="APERTURA DE CREDITO"</formula>
    </cfRule>
  </conditionalFormatting>
  <conditionalFormatting sqref="B104:B125 E104:G125">
    <cfRule type="expression" dxfId="173" priority="244">
      <formula>$C104="ABONO"</formula>
    </cfRule>
  </conditionalFormatting>
  <conditionalFormatting sqref="B104:B125 E104:G125">
    <cfRule type="expression" dxfId="172" priority="241">
      <formula>$C104="ANEXO A CREDITO"</formula>
    </cfRule>
    <cfRule type="expression" dxfId="171" priority="242">
      <formula>$C104="CIERRE DE CREDITO"</formula>
    </cfRule>
    <cfRule type="expression" dxfId="170" priority="243">
      <formula>$C104="APERTURA DE CREDITO"</formula>
    </cfRule>
  </conditionalFormatting>
  <conditionalFormatting sqref="C2:G2 E3:G103 B78:B81 B85:B103 B3:B74">
    <cfRule type="expression" dxfId="169" priority="240">
      <formula>$C2="ABONO"</formula>
    </cfRule>
  </conditionalFormatting>
  <conditionalFormatting sqref="C2:G2 E3:G103 B78:B81 B85:B103 B3:B74">
    <cfRule type="expression" dxfId="168" priority="237">
      <formula>$C2="ANEXO A CREDITO"</formula>
    </cfRule>
    <cfRule type="expression" dxfId="167" priority="238">
      <formula>$C2="CIERRE DE CREDITO"</formula>
    </cfRule>
    <cfRule type="expression" dxfId="166" priority="239">
      <formula>$C2="APERTURA DE CREDITO"</formula>
    </cfRule>
  </conditionalFormatting>
  <conditionalFormatting sqref="B133">
    <cfRule type="expression" dxfId="165" priority="224">
      <formula>$C133="ABONO"</formula>
    </cfRule>
  </conditionalFormatting>
  <conditionalFormatting sqref="B133">
    <cfRule type="expression" dxfId="164" priority="221">
      <formula>$C133="ANEXO A CREDITO"</formula>
    </cfRule>
    <cfRule type="expression" dxfId="163" priority="222">
      <formula>$C133="CIERRE DE CREDITO"</formula>
    </cfRule>
    <cfRule type="expression" dxfId="162" priority="223">
      <formula>$C133="APERTURA DE CREDITO"</formula>
    </cfRule>
  </conditionalFormatting>
  <conditionalFormatting sqref="E133">
    <cfRule type="expression" dxfId="161" priority="220">
      <formula>$C133="ABONO"</formula>
    </cfRule>
  </conditionalFormatting>
  <conditionalFormatting sqref="E133">
    <cfRule type="expression" dxfId="160" priority="217">
      <formula>$C133="ANEXO A CREDITO"</formula>
    </cfRule>
    <cfRule type="expression" dxfId="159" priority="218">
      <formula>$C133="CIERRE DE CREDITO"</formula>
    </cfRule>
    <cfRule type="expression" dxfId="158" priority="219">
      <formula>$C133="APERTURA DE CREDITO"</formula>
    </cfRule>
  </conditionalFormatting>
  <conditionalFormatting sqref="F133">
    <cfRule type="expression" dxfId="157" priority="216">
      <formula>$C133="ABONO"</formula>
    </cfRule>
  </conditionalFormatting>
  <conditionalFormatting sqref="F133">
    <cfRule type="expression" dxfId="156" priority="213">
      <formula>$C133="ANEXO A CREDITO"</formula>
    </cfRule>
    <cfRule type="expression" dxfId="155" priority="214">
      <formula>$C133="CIERRE DE CREDITO"</formula>
    </cfRule>
    <cfRule type="expression" dxfId="154" priority="215">
      <formula>$C133="APERTURA DE CREDITO"</formula>
    </cfRule>
  </conditionalFormatting>
  <conditionalFormatting sqref="G133">
    <cfRule type="expression" dxfId="153" priority="212">
      <formula>$C133="ABONO"</formula>
    </cfRule>
  </conditionalFormatting>
  <conditionalFormatting sqref="G133">
    <cfRule type="expression" dxfId="152" priority="209">
      <formula>$C133="ANEXO A CREDITO"</formula>
    </cfRule>
    <cfRule type="expression" dxfId="151" priority="210">
      <formula>$C133="CIERRE DE CREDITO"</formula>
    </cfRule>
    <cfRule type="expression" dxfId="150" priority="211">
      <formula>$C133="APERTURA DE CREDITO"</formula>
    </cfRule>
  </conditionalFormatting>
  <conditionalFormatting sqref="B2">
    <cfRule type="expression" dxfId="149" priority="88">
      <formula>$C2="ABONO"</formula>
    </cfRule>
  </conditionalFormatting>
  <conditionalFormatting sqref="B2">
    <cfRule type="expression" dxfId="148" priority="85">
      <formula>$C2="ANEXO A CREDITO"</formula>
    </cfRule>
    <cfRule type="expression" dxfId="147" priority="86">
      <formula>$C2="CIERRE DE CREDITO"</formula>
    </cfRule>
    <cfRule type="expression" dxfId="146" priority="87">
      <formula>$C2="APERTURA DE CREDITO"</formula>
    </cfRule>
  </conditionalFormatting>
  <conditionalFormatting sqref="E134">
    <cfRule type="expression" dxfId="145" priority="200">
      <formula>$C134="ABONO"</formula>
    </cfRule>
  </conditionalFormatting>
  <conditionalFormatting sqref="E134">
    <cfRule type="expression" dxfId="144" priority="197">
      <formula>$C134="ANEXO A CREDITO"</formula>
    </cfRule>
    <cfRule type="expression" dxfId="143" priority="198">
      <formula>$C134="CIERRE DE CREDITO"</formula>
    </cfRule>
    <cfRule type="expression" dxfId="142" priority="199">
      <formula>$C134="APERTURA DE CREDITO"</formula>
    </cfRule>
  </conditionalFormatting>
  <conditionalFormatting sqref="G134">
    <cfRule type="expression" dxfId="141" priority="192">
      <formula>$C134="ABONO"</formula>
    </cfRule>
  </conditionalFormatting>
  <conditionalFormatting sqref="G134">
    <cfRule type="expression" dxfId="140" priority="189">
      <formula>$C134="ANEXO A CREDITO"</formula>
    </cfRule>
    <cfRule type="expression" dxfId="139" priority="190">
      <formula>$C134="CIERRE DE CREDITO"</formula>
    </cfRule>
    <cfRule type="expression" dxfId="138" priority="191">
      <formula>$C134="APERTURA DE CREDITO"</formula>
    </cfRule>
  </conditionalFormatting>
  <conditionalFormatting sqref="H320">
    <cfRule type="expression" dxfId="137" priority="120">
      <formula>$C320="ABONO"</formula>
    </cfRule>
  </conditionalFormatting>
  <conditionalFormatting sqref="H320">
    <cfRule type="expression" dxfId="136" priority="117">
      <formula>$C320="ANEXO A CREDITO"</formula>
    </cfRule>
    <cfRule type="expression" dxfId="135" priority="118">
      <formula>$C320="CIERRE DE CREDITO"</formula>
    </cfRule>
    <cfRule type="expression" dxfId="134" priority="119">
      <formula>$C320="APERTURA DE CREDITO"</formula>
    </cfRule>
  </conditionalFormatting>
  <conditionalFormatting sqref="D3:D322">
    <cfRule type="expression" dxfId="133" priority="184">
      <formula>$C3="ABONO"</formula>
    </cfRule>
  </conditionalFormatting>
  <conditionalFormatting sqref="D3:D322">
    <cfRule type="expression" dxfId="132" priority="181">
      <formula>$C3="ANEXO A CREDITO"</formula>
    </cfRule>
    <cfRule type="expression" dxfId="131" priority="182">
      <formula>$C3="CIERRE DE CREDITO"</formula>
    </cfRule>
    <cfRule type="expression" dxfId="130" priority="183">
      <formula>$C3="APERTURA DE CREDITO"</formula>
    </cfRule>
  </conditionalFormatting>
  <conditionalFormatting sqref="B329">
    <cfRule type="expression" dxfId="129" priority="32">
      <formula>$C329="ABONO"</formula>
    </cfRule>
  </conditionalFormatting>
  <conditionalFormatting sqref="B329">
    <cfRule type="expression" dxfId="128" priority="29">
      <formula>$C329="ANEXO A CREDITO"</formula>
    </cfRule>
    <cfRule type="expression" dxfId="127" priority="30">
      <formula>$C329="CIERRE DE CREDITO"</formula>
    </cfRule>
    <cfRule type="expression" dxfId="126" priority="31">
      <formula>$C329="APERTURA DE CREDITO"</formula>
    </cfRule>
  </conditionalFormatting>
  <conditionalFormatting sqref="C329">
    <cfRule type="expression" dxfId="125" priority="28">
      <formula>$C329="ABONO"</formula>
    </cfRule>
  </conditionalFormatting>
  <conditionalFormatting sqref="C329">
    <cfRule type="expression" dxfId="124" priority="25">
      <formula>$C329="ANEXO A CREDITO"</formula>
    </cfRule>
    <cfRule type="expression" dxfId="123" priority="26">
      <formula>$C329="CIERRE DE CREDITO"</formula>
    </cfRule>
    <cfRule type="expression" dxfId="122" priority="27">
      <formula>$C329="APERTURA DE CREDITO"</formula>
    </cfRule>
  </conditionalFormatting>
  <conditionalFormatting sqref="H9">
    <cfRule type="expression" dxfId="121" priority="128">
      <formula>$C9="ABONO"</formula>
    </cfRule>
  </conditionalFormatting>
  <conditionalFormatting sqref="H9">
    <cfRule type="expression" dxfId="120" priority="125">
      <formula>$C9="ANEXO A CREDITO"</formula>
    </cfRule>
    <cfRule type="expression" dxfId="119" priority="126">
      <formula>$C9="CIERRE DE CREDITO"</formula>
    </cfRule>
    <cfRule type="expression" dxfId="118" priority="127">
      <formula>$C9="APERTURA DE CREDITO"</formula>
    </cfRule>
  </conditionalFormatting>
  <conditionalFormatting sqref="I5">
    <cfRule type="expression" dxfId="117" priority="132">
      <formula>$C5="ABONO"</formula>
    </cfRule>
  </conditionalFormatting>
  <conditionalFormatting sqref="I5">
    <cfRule type="expression" dxfId="116" priority="129">
      <formula>$C5="ANEXO A CREDITO"</formula>
    </cfRule>
    <cfRule type="expression" dxfId="115" priority="130">
      <formula>$C5="CIERRE DE CREDITO"</formula>
    </cfRule>
    <cfRule type="expression" dxfId="114" priority="131">
      <formula>$C5="APERTURA DE CREDITO"</formula>
    </cfRule>
  </conditionalFormatting>
  <conditionalFormatting sqref="H2:H8 H10:H277 H279:H319">
    <cfRule type="expression" dxfId="113" priority="136">
      <formula>$C2="ABONO"</formula>
    </cfRule>
  </conditionalFormatting>
  <conditionalFormatting sqref="H2:H8 H10:H277 H279:H319">
    <cfRule type="expression" dxfId="112" priority="133">
      <formula>$C2="ANEXO A CREDITO"</formula>
    </cfRule>
    <cfRule type="expression" dxfId="111" priority="134">
      <formula>$C2="CIERRE DE CREDITO"</formula>
    </cfRule>
    <cfRule type="expression" dxfId="110" priority="135">
      <formula>$C2="APERTURA DE CREDITO"</formula>
    </cfRule>
  </conditionalFormatting>
  <conditionalFormatting sqref="H278">
    <cfRule type="expression" dxfId="109" priority="124">
      <formula>$C278="ABONO"</formula>
    </cfRule>
  </conditionalFormatting>
  <conditionalFormatting sqref="H278">
    <cfRule type="expression" dxfId="108" priority="121">
      <formula>$C278="ANEXO A CREDITO"</formula>
    </cfRule>
    <cfRule type="expression" dxfId="107" priority="122">
      <formula>$C278="CIERRE DE CREDITO"</formula>
    </cfRule>
    <cfRule type="expression" dxfId="106" priority="123">
      <formula>$C278="APERTURA DE CREDITO"</formula>
    </cfRule>
  </conditionalFormatting>
  <conditionalFormatting sqref="B134">
    <cfRule type="expression" dxfId="105" priority="116">
      <formula>$C134="ABONO"</formula>
    </cfRule>
  </conditionalFormatting>
  <conditionalFormatting sqref="B134">
    <cfRule type="expression" dxfId="104" priority="113">
      <formula>$C134="ANEXO A CREDITO"</formula>
    </cfRule>
    <cfRule type="expression" dxfId="103" priority="114">
      <formula>$C134="CIERRE DE CREDITO"</formula>
    </cfRule>
    <cfRule type="expression" dxfId="102" priority="115">
      <formula>$C134="APERTURA DE CREDITO"</formula>
    </cfRule>
  </conditionalFormatting>
  <conditionalFormatting sqref="B75">
    <cfRule type="expression" dxfId="101" priority="112">
      <formula>$C75="ABONO"</formula>
    </cfRule>
  </conditionalFormatting>
  <conditionalFormatting sqref="B75">
    <cfRule type="expression" dxfId="100" priority="109">
      <formula>$C75="ANEXO A CREDITO"</formula>
    </cfRule>
    <cfRule type="expression" dxfId="99" priority="110">
      <formula>$C75="CIERRE DE CREDITO"</formula>
    </cfRule>
    <cfRule type="expression" dxfId="98" priority="111">
      <formula>$C75="APERTURA DE CREDITO"</formula>
    </cfRule>
  </conditionalFormatting>
  <conditionalFormatting sqref="B76">
    <cfRule type="expression" dxfId="97" priority="108">
      <formula>$C76="ABONO"</formula>
    </cfRule>
  </conditionalFormatting>
  <conditionalFormatting sqref="B76">
    <cfRule type="expression" dxfId="96" priority="105">
      <formula>$C76="ANEXO A CREDITO"</formula>
    </cfRule>
    <cfRule type="expression" dxfId="95" priority="106">
      <formula>$C76="CIERRE DE CREDITO"</formula>
    </cfRule>
    <cfRule type="expression" dxfId="94" priority="107">
      <formula>$C76="APERTURA DE CREDITO"</formula>
    </cfRule>
  </conditionalFormatting>
  <conditionalFormatting sqref="B77">
    <cfRule type="expression" dxfId="93" priority="104">
      <formula>$C77="ABONO"</formula>
    </cfRule>
  </conditionalFormatting>
  <conditionalFormatting sqref="B77">
    <cfRule type="expression" dxfId="92" priority="101">
      <formula>$C77="ANEXO A CREDITO"</formula>
    </cfRule>
    <cfRule type="expression" dxfId="91" priority="102">
      <formula>$C77="CIERRE DE CREDITO"</formula>
    </cfRule>
    <cfRule type="expression" dxfId="90" priority="103">
      <formula>$C77="APERTURA DE CREDITO"</formula>
    </cfRule>
  </conditionalFormatting>
  <conditionalFormatting sqref="B82">
    <cfRule type="expression" dxfId="89" priority="100">
      <formula>$C82="ABONO"</formula>
    </cfRule>
  </conditionalFormatting>
  <conditionalFormatting sqref="B82">
    <cfRule type="expression" dxfId="88" priority="97">
      <formula>$C82="ANEXO A CREDITO"</formula>
    </cfRule>
    <cfRule type="expression" dxfId="87" priority="98">
      <formula>$C82="CIERRE DE CREDITO"</formula>
    </cfRule>
    <cfRule type="expression" dxfId="86" priority="99">
      <formula>$C82="APERTURA DE CREDITO"</formula>
    </cfRule>
  </conditionalFormatting>
  <conditionalFormatting sqref="B83">
    <cfRule type="expression" dxfId="85" priority="96">
      <formula>$C83="ABONO"</formula>
    </cfRule>
  </conditionalFormatting>
  <conditionalFormatting sqref="B83">
    <cfRule type="expression" dxfId="84" priority="93">
      <formula>$C83="ANEXO A CREDITO"</formula>
    </cfRule>
    <cfRule type="expression" dxfId="83" priority="94">
      <formula>$C83="CIERRE DE CREDITO"</formula>
    </cfRule>
    <cfRule type="expression" dxfId="82" priority="95">
      <formula>$C83="APERTURA DE CREDITO"</formula>
    </cfRule>
  </conditionalFormatting>
  <conditionalFormatting sqref="B84">
    <cfRule type="expression" dxfId="81" priority="92">
      <formula>$C84="ABONO"</formula>
    </cfRule>
  </conditionalFormatting>
  <conditionalFormatting sqref="B84">
    <cfRule type="expression" dxfId="80" priority="89">
      <formula>$C84="ANEXO A CREDITO"</formula>
    </cfRule>
    <cfRule type="expression" dxfId="79" priority="90">
      <formula>$C84="CIERRE DE CREDITO"</formula>
    </cfRule>
    <cfRule type="expression" dxfId="78" priority="91">
      <formula>$C84="APERTURA DE CREDITO"</formula>
    </cfRule>
  </conditionalFormatting>
  <conditionalFormatting sqref="B141">
    <cfRule type="expression" dxfId="77" priority="84">
      <formula>$C141="ABONO"</formula>
    </cfRule>
  </conditionalFormatting>
  <conditionalFormatting sqref="B141">
    <cfRule type="expression" dxfId="76" priority="81">
      <formula>$C141="ANEXO A CREDITO"</formula>
    </cfRule>
    <cfRule type="expression" dxfId="75" priority="82">
      <formula>$C141="CIERRE DE CREDITO"</formula>
    </cfRule>
    <cfRule type="expression" dxfId="74" priority="83">
      <formula>$C141="APERTURA DE CREDITO"</formula>
    </cfRule>
  </conditionalFormatting>
  <conditionalFormatting sqref="B172">
    <cfRule type="expression" dxfId="73" priority="80">
      <formula>$C172="ABONO"</formula>
    </cfRule>
  </conditionalFormatting>
  <conditionalFormatting sqref="B172">
    <cfRule type="expression" dxfId="72" priority="77">
      <formula>$C172="ANEXO A CREDITO"</formula>
    </cfRule>
    <cfRule type="expression" dxfId="71" priority="78">
      <formula>$C172="CIERRE DE CREDITO"</formula>
    </cfRule>
    <cfRule type="expression" dxfId="70" priority="79">
      <formula>$C172="APERTURA DE CREDITO"</formula>
    </cfRule>
  </conditionalFormatting>
  <conditionalFormatting sqref="C3 C6:C324">
    <cfRule type="expression" dxfId="69" priority="76">
      <formula>$C3="ABONO"</formula>
    </cfRule>
  </conditionalFormatting>
  <conditionalFormatting sqref="C3 C6:C324">
    <cfRule type="expression" dxfId="68" priority="73">
      <formula>$C3="ANEXO A CREDITO"</formula>
    </cfRule>
    <cfRule type="expression" dxfId="67" priority="74">
      <formula>$C3="CIERRE DE CREDITO"</formula>
    </cfRule>
    <cfRule type="expression" dxfId="66" priority="75">
      <formula>$C3="APERTURA DE CREDITO"</formula>
    </cfRule>
  </conditionalFormatting>
  <conditionalFormatting sqref="C5">
    <cfRule type="expression" dxfId="65" priority="72">
      <formula>$C5="ABONO"</formula>
    </cfRule>
  </conditionalFormatting>
  <conditionalFormatting sqref="C5">
    <cfRule type="expression" dxfId="64" priority="69">
      <formula>$C5="ANEXO A CREDITO"</formula>
    </cfRule>
    <cfRule type="expression" dxfId="63" priority="70">
      <formula>$C5="CIERRE DE CREDITO"</formula>
    </cfRule>
    <cfRule type="expression" dxfId="62" priority="71">
      <formula>$C5="APERTURA DE CREDITO"</formula>
    </cfRule>
  </conditionalFormatting>
  <conditionalFormatting sqref="C4">
    <cfRule type="expression" dxfId="61" priority="68">
      <formula>$C4="ABONO"</formula>
    </cfRule>
  </conditionalFormatting>
  <conditionalFormatting sqref="C4">
    <cfRule type="expression" dxfId="60" priority="65">
      <formula>$C4="ANEXO A CREDITO"</formula>
    </cfRule>
    <cfRule type="expression" dxfId="59" priority="66">
      <formula>$C4="CIERRE DE CREDITO"</formula>
    </cfRule>
    <cfRule type="expression" dxfId="58" priority="67">
      <formula>$C4="APERTURA DE CREDITO"</formula>
    </cfRule>
  </conditionalFormatting>
  <conditionalFormatting sqref="B325">
    <cfRule type="expression" dxfId="57" priority="64">
      <formula>$C325="ABONO"</formula>
    </cfRule>
  </conditionalFormatting>
  <conditionalFormatting sqref="B325">
    <cfRule type="expression" dxfId="56" priority="61">
      <formula>$C325="ANEXO A CREDITO"</formula>
    </cfRule>
    <cfRule type="expression" dxfId="55" priority="62">
      <formula>$C325="CIERRE DE CREDITO"</formula>
    </cfRule>
    <cfRule type="expression" dxfId="54" priority="63">
      <formula>$C325="APERTURA DE CREDITO"</formula>
    </cfRule>
  </conditionalFormatting>
  <conditionalFormatting sqref="C325">
    <cfRule type="expression" dxfId="53" priority="60">
      <formula>$C325="ABONO"</formula>
    </cfRule>
  </conditionalFormatting>
  <conditionalFormatting sqref="C325">
    <cfRule type="expression" dxfId="52" priority="57">
      <formula>$C325="ANEXO A CREDITO"</formula>
    </cfRule>
    <cfRule type="expression" dxfId="51" priority="58">
      <formula>$C325="CIERRE DE CREDITO"</formula>
    </cfRule>
    <cfRule type="expression" dxfId="50" priority="59">
      <formula>$C325="APERTURA DE CREDITO"</formula>
    </cfRule>
  </conditionalFormatting>
  <conditionalFormatting sqref="B326">
    <cfRule type="expression" dxfId="49" priority="56">
      <formula>$C326="ABONO"</formula>
    </cfRule>
  </conditionalFormatting>
  <conditionalFormatting sqref="B326">
    <cfRule type="expression" dxfId="48" priority="53">
      <formula>$C326="ANEXO A CREDITO"</formula>
    </cfRule>
    <cfRule type="expression" dxfId="47" priority="54">
      <formula>$C326="CIERRE DE CREDITO"</formula>
    </cfRule>
    <cfRule type="expression" dxfId="46" priority="55">
      <formula>$C326="APERTURA DE CREDITO"</formula>
    </cfRule>
  </conditionalFormatting>
  <conditionalFormatting sqref="C326">
    <cfRule type="expression" dxfId="45" priority="52">
      <formula>$C326="ABONO"</formula>
    </cfRule>
  </conditionalFormatting>
  <conditionalFormatting sqref="C326">
    <cfRule type="expression" dxfId="44" priority="49">
      <formula>$C326="ANEXO A CREDITO"</formula>
    </cfRule>
    <cfRule type="expression" dxfId="43" priority="50">
      <formula>$C326="CIERRE DE CREDITO"</formula>
    </cfRule>
    <cfRule type="expression" dxfId="42" priority="51">
      <formula>$C326="APERTURA DE CREDITO"</formula>
    </cfRule>
  </conditionalFormatting>
  <conditionalFormatting sqref="B327">
    <cfRule type="expression" dxfId="41" priority="48">
      <formula>$C327="ABONO"</formula>
    </cfRule>
  </conditionalFormatting>
  <conditionalFormatting sqref="B327">
    <cfRule type="expression" dxfId="40" priority="45">
      <formula>$C327="ANEXO A CREDITO"</formula>
    </cfRule>
    <cfRule type="expression" dxfId="39" priority="46">
      <formula>$C327="CIERRE DE CREDITO"</formula>
    </cfRule>
    <cfRule type="expression" dxfId="38" priority="47">
      <formula>$C327="APERTURA DE CREDITO"</formula>
    </cfRule>
  </conditionalFormatting>
  <conditionalFormatting sqref="C327">
    <cfRule type="expression" dxfId="37" priority="44">
      <formula>$C327="ABONO"</formula>
    </cfRule>
  </conditionalFormatting>
  <conditionalFormatting sqref="C327">
    <cfRule type="expression" dxfId="36" priority="41">
      <formula>$C327="ANEXO A CREDITO"</formula>
    </cfRule>
    <cfRule type="expression" dxfId="35" priority="42">
      <formula>$C327="CIERRE DE CREDITO"</formula>
    </cfRule>
    <cfRule type="expression" dxfId="34" priority="43">
      <formula>$C327="APERTURA DE CREDITO"</formula>
    </cfRule>
  </conditionalFormatting>
  <conditionalFormatting sqref="C332">
    <cfRule type="expression" dxfId="33" priority="1">
      <formula>$C332="ANEXO A CREDITO"</formula>
    </cfRule>
    <cfRule type="expression" dxfId="32" priority="2">
      <formula>$C332="CIERRE DE CREDITO"</formula>
    </cfRule>
    <cfRule type="expression" dxfId="31" priority="3">
      <formula>$C332="APERTURA DE CREDITO"</formula>
    </cfRule>
  </conditionalFormatting>
  <conditionalFormatting sqref="B328">
    <cfRule type="expression" dxfId="30" priority="40">
      <formula>$C328="ABONO"</formula>
    </cfRule>
  </conditionalFormatting>
  <conditionalFormatting sqref="B328">
    <cfRule type="expression" dxfId="29" priority="37">
      <formula>$C328="ANEXO A CREDITO"</formula>
    </cfRule>
    <cfRule type="expression" dxfId="28" priority="38">
      <formula>$C328="CIERRE DE CREDITO"</formula>
    </cfRule>
    <cfRule type="expression" dxfId="27" priority="39">
      <formula>$C328="APERTURA DE CREDITO"</formula>
    </cfRule>
  </conditionalFormatting>
  <conditionalFormatting sqref="C328">
    <cfRule type="expression" dxfId="26" priority="36">
      <formula>$C328="ABONO"</formula>
    </cfRule>
  </conditionalFormatting>
  <conditionalFormatting sqref="C328">
    <cfRule type="expression" dxfId="25" priority="33">
      <formula>$C328="ANEXO A CREDITO"</formula>
    </cfRule>
    <cfRule type="expression" dxfId="24" priority="34">
      <formula>$C328="CIERRE DE CREDITO"</formula>
    </cfRule>
    <cfRule type="expression" dxfId="23" priority="35">
      <formula>$C328="APERTURA DE CREDITO"</formula>
    </cfRule>
  </conditionalFormatting>
  <conditionalFormatting sqref="B330">
    <cfRule type="expression" dxfId="22" priority="24">
      <formula>$C330="ABONO"</formula>
    </cfRule>
  </conditionalFormatting>
  <conditionalFormatting sqref="B330">
    <cfRule type="expression" dxfId="21" priority="21">
      <formula>$C330="ANEXO A CREDITO"</formula>
    </cfRule>
    <cfRule type="expression" dxfId="20" priority="22">
      <formula>$C330="CIERRE DE CREDITO"</formula>
    </cfRule>
    <cfRule type="expression" dxfId="19" priority="23">
      <formula>$C330="APERTURA DE CREDITO"</formula>
    </cfRule>
  </conditionalFormatting>
  <conditionalFormatting sqref="C330">
    <cfRule type="expression" dxfId="18" priority="20">
      <formula>$C330="ABONO"</formula>
    </cfRule>
  </conditionalFormatting>
  <conditionalFormatting sqref="C330">
    <cfRule type="expression" dxfId="17" priority="17">
      <formula>$C330="ANEXO A CREDITO"</formula>
    </cfRule>
    <cfRule type="expression" dxfId="16" priority="18">
      <formula>$C330="CIERRE DE CREDITO"</formula>
    </cfRule>
    <cfRule type="expression" dxfId="15" priority="19">
      <formula>$C330="APERTURA DE CREDITO"</formula>
    </cfRule>
  </conditionalFormatting>
  <conditionalFormatting sqref="B331">
    <cfRule type="expression" dxfId="14" priority="16">
      <formula>$C331="ABONO"</formula>
    </cfRule>
  </conditionalFormatting>
  <conditionalFormatting sqref="B331">
    <cfRule type="expression" dxfId="13" priority="13">
      <formula>$C331="ANEXO A CREDITO"</formula>
    </cfRule>
    <cfRule type="expression" dxfId="12" priority="14">
      <formula>$C331="CIERRE DE CREDITO"</formula>
    </cfRule>
    <cfRule type="expression" dxfId="11" priority="15">
      <formula>$C331="APERTURA DE CREDITO"</formula>
    </cfRule>
  </conditionalFormatting>
  <conditionalFormatting sqref="C331">
    <cfRule type="expression" dxfId="10" priority="12">
      <formula>$C331="ABONO"</formula>
    </cfRule>
  </conditionalFormatting>
  <conditionalFormatting sqref="C331">
    <cfRule type="expression" dxfId="9" priority="9">
      <formula>$C331="ANEXO A CREDITO"</formula>
    </cfRule>
    <cfRule type="expression" dxfId="8" priority="10">
      <formula>$C331="CIERRE DE CREDITO"</formula>
    </cfRule>
    <cfRule type="expression" dxfId="7" priority="11">
      <formula>$C331="APERTURA DE CREDITO"</formula>
    </cfRule>
  </conditionalFormatting>
  <conditionalFormatting sqref="B332">
    <cfRule type="expression" dxfId="6" priority="8">
      <formula>$C332="ABONO"</formula>
    </cfRule>
  </conditionalFormatting>
  <conditionalFormatting sqref="B332">
    <cfRule type="expression" dxfId="5" priority="5">
      <formula>$C332="ANEXO A CREDITO"</formula>
    </cfRule>
    <cfRule type="expression" dxfId="4" priority="6">
      <formula>$C332="CIERRE DE CREDITO"</formula>
    </cfRule>
    <cfRule type="expression" dxfId="3" priority="7">
      <formula>$C332="APERTURA DE CREDITO"</formula>
    </cfRule>
  </conditionalFormatting>
  <conditionalFormatting sqref="C332">
    <cfRule type="expression" dxfId="2" priority="4">
      <formula>$C332="ABONO"</formula>
    </cfRule>
  </conditionalFormatting>
  <dataValidations count="2">
    <dataValidation type="list" allowBlank="1" showInputMessage="1" showErrorMessage="1" sqref="C2:C322">
      <formula1>$Q$2:$Q$5</formula1>
    </dataValidation>
    <dataValidation type="list" allowBlank="1" showInputMessage="1" showErrorMessage="1" sqref="C323:C1619">
      <formula1>"ABONO,APERTURA DE CREDITO,CIERRE DE CREDITO, ANEXO A CREDITO"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M724"/>
  <sheetViews>
    <sheetView zoomScale="90" zoomScaleNormal="90" workbookViewId="0">
      <pane xSplit="3" ySplit="2" topLeftCell="D20" activePane="bottomRight" state="frozen"/>
      <selection pane="topRight" activeCell="D1" sqref="D1"/>
      <selection pane="bottomLeft" activeCell="A3" sqref="A3"/>
      <selection pane="bottomRight" activeCell="K49" sqref="K49"/>
    </sheetView>
  </sheetViews>
  <sheetFormatPr baseColWidth="10" defaultRowHeight="15" x14ac:dyDescent="0.25"/>
  <cols>
    <col min="1" max="1" width="17.140625" style="547" customWidth="1"/>
    <col min="2" max="2" width="45.140625" style="547" customWidth="1"/>
    <col min="3" max="3" width="22.28515625" style="547" customWidth="1"/>
    <col min="4" max="4" width="14.7109375" style="547" customWidth="1"/>
    <col min="5" max="6" width="14.7109375" style="587" customWidth="1"/>
    <col min="7" max="7" width="14.7109375" customWidth="1"/>
    <col min="8" max="9" width="11.42578125" customWidth="1"/>
    <col min="10" max="10" width="11.42578125" style="466"/>
    <col min="11" max="11" width="13.42578125" style="411" customWidth="1"/>
    <col min="12" max="12" width="16" customWidth="1"/>
    <col min="13" max="13" width="16.5703125" customWidth="1"/>
  </cols>
  <sheetData>
    <row r="1" spans="1:13" x14ac:dyDescent="0.25">
      <c r="A1" s="849" t="s">
        <v>356</v>
      </c>
      <c r="B1" s="850" t="s">
        <v>191</v>
      </c>
      <c r="C1" s="850" t="s">
        <v>352</v>
      </c>
      <c r="D1" s="851" t="s">
        <v>354</v>
      </c>
      <c r="E1" s="852"/>
      <c r="F1" s="852"/>
      <c r="G1" s="853"/>
      <c r="H1" s="862" t="s">
        <v>192</v>
      </c>
      <c r="I1" s="862" t="s">
        <v>303</v>
      </c>
      <c r="J1" s="862" t="s">
        <v>355</v>
      </c>
      <c r="K1" s="573" t="s">
        <v>358</v>
      </c>
      <c r="L1" s="569" t="s">
        <v>775</v>
      </c>
      <c r="M1" s="569" t="s">
        <v>776</v>
      </c>
    </row>
    <row r="2" spans="1:13" x14ac:dyDescent="0.25">
      <c r="A2" s="849"/>
      <c r="B2" s="850"/>
      <c r="C2" s="850"/>
      <c r="D2" s="576" t="s">
        <v>353</v>
      </c>
      <c r="E2" s="574" t="s">
        <v>297</v>
      </c>
      <c r="F2" s="576" t="s">
        <v>192</v>
      </c>
      <c r="G2" s="571" t="s">
        <v>773</v>
      </c>
      <c r="H2" s="863"/>
      <c r="I2" s="863"/>
      <c r="J2" s="863"/>
      <c r="K2" s="573"/>
      <c r="L2" s="570">
        <f ca="1">TODAY()</f>
        <v>45325</v>
      </c>
      <c r="M2" s="569">
        <v>15</v>
      </c>
    </row>
    <row r="3" spans="1:13" s="487" customFormat="1" x14ac:dyDescent="0.25">
      <c r="A3" s="854" t="s">
        <v>278</v>
      </c>
      <c r="B3" s="855" t="s">
        <v>502</v>
      </c>
      <c r="C3" s="837"/>
      <c r="D3" s="577"/>
      <c r="E3" s="578">
        <v>44819</v>
      </c>
      <c r="F3" s="579">
        <f>'NOTAS DE CREDITOS'!H80</f>
        <v>297</v>
      </c>
      <c r="G3" s="565" t="str">
        <f t="shared" ref="G3:G30" ca="1" si="0">IF(E3="","",IF(E3+$M$2&lt;$L$2,"VENCIDA","VIGENTE"))</f>
        <v>VENCIDA</v>
      </c>
      <c r="H3" s="831">
        <f>SUM(F3:F5)</f>
        <v>1167</v>
      </c>
      <c r="I3" s="834">
        <f>439.25+297+'DETALLE DE CREDITOS'!F52+'DETALLE DE CREDITOS'!F185</f>
        <v>910.25</v>
      </c>
      <c r="J3" s="877">
        <f>H3-I3</f>
        <v>256.75</v>
      </c>
      <c r="K3" s="880" t="s">
        <v>496</v>
      </c>
    </row>
    <row r="4" spans="1:13" s="364" customFormat="1" x14ac:dyDescent="0.25">
      <c r="A4" s="854"/>
      <c r="B4" s="856"/>
      <c r="C4" s="856"/>
      <c r="D4" s="580"/>
      <c r="E4" s="581">
        <v>44828</v>
      </c>
      <c r="F4" s="543">
        <f>'NOTAS DE CREDITOS'!H96</f>
        <v>291</v>
      </c>
      <c r="G4" s="565" t="str">
        <f t="shared" ca="1" si="0"/>
        <v>VENCIDA</v>
      </c>
      <c r="H4" s="832"/>
      <c r="I4" s="835"/>
      <c r="J4" s="878"/>
      <c r="K4" s="880"/>
    </row>
    <row r="5" spans="1:13" s="364" customFormat="1" x14ac:dyDescent="0.25">
      <c r="A5" s="854"/>
      <c r="B5" s="838"/>
      <c r="C5" s="838"/>
      <c r="D5" s="582"/>
      <c r="E5" s="581">
        <v>44802</v>
      </c>
      <c r="F5" s="543">
        <f>'NOTAS DE CREDITOS'!H112</f>
        <v>579</v>
      </c>
      <c r="G5" s="565" t="str">
        <f t="shared" ca="1" si="0"/>
        <v>VENCIDA</v>
      </c>
      <c r="H5" s="833"/>
      <c r="I5" s="836"/>
      <c r="J5" s="879"/>
      <c r="K5" s="880"/>
    </row>
    <row r="6" spans="1:13" x14ac:dyDescent="0.25">
      <c r="A6" s="839" t="s">
        <v>357</v>
      </c>
      <c r="B6" s="839" t="s">
        <v>292</v>
      </c>
      <c r="C6" s="841"/>
      <c r="D6" s="583"/>
      <c r="E6" s="578">
        <v>44844</v>
      </c>
      <c r="F6" s="543">
        <f>'NOTAS DE CREDITOS'!H48</f>
        <v>260</v>
      </c>
      <c r="G6" s="565" t="str">
        <f t="shared" ca="1" si="0"/>
        <v>VENCIDA</v>
      </c>
      <c r="H6" s="667">
        <f>SUM(F6:F10)</f>
        <v>484</v>
      </c>
      <c r="I6" s="844">
        <f>'DETALLE DE CREDITOS'!F222</f>
        <v>110</v>
      </c>
      <c r="J6" s="875">
        <f>H6-I6</f>
        <v>374</v>
      </c>
      <c r="K6" s="872" t="s">
        <v>496</v>
      </c>
      <c r="M6" s="564"/>
    </row>
    <row r="7" spans="1:13" x14ac:dyDescent="0.25">
      <c r="A7" s="840"/>
      <c r="B7" s="840"/>
      <c r="C7" s="842"/>
      <c r="D7" s="584">
        <f>'DETALLE DE CREDITOS'!D234</f>
        <v>5494</v>
      </c>
      <c r="E7" s="581">
        <f>'DETALLE DE CREDITOS'!E234</f>
        <v>45218</v>
      </c>
      <c r="F7" s="543">
        <f>'DETALLE DE CREDITOS'!F234</f>
        <v>63</v>
      </c>
      <c r="G7" s="565" t="str">
        <f t="shared" ca="1" si="0"/>
        <v>VENCIDA</v>
      </c>
      <c r="H7" s="843"/>
      <c r="I7" s="845"/>
      <c r="J7" s="876"/>
      <c r="K7" s="873"/>
      <c r="M7" s="564"/>
    </row>
    <row r="8" spans="1:13" x14ac:dyDescent="0.25">
      <c r="A8" s="840"/>
      <c r="B8" s="840"/>
      <c r="C8" s="842"/>
      <c r="D8" s="584">
        <f>'DETALLE DE CREDITOS'!D251</f>
        <v>5817</v>
      </c>
      <c r="E8" s="581">
        <f>'DETALLE DE CREDITOS'!E251</f>
        <v>45232</v>
      </c>
      <c r="F8" s="543">
        <f>'DETALLE DE CREDITOS'!F251</f>
        <v>7</v>
      </c>
      <c r="G8" s="565" t="str">
        <f t="shared" ca="1" si="0"/>
        <v>VENCIDA</v>
      </c>
      <c r="H8" s="843"/>
      <c r="I8" s="845"/>
      <c r="J8" s="876"/>
      <c r="K8" s="873"/>
    </row>
    <row r="9" spans="1:13" x14ac:dyDescent="0.25">
      <c r="A9" s="840"/>
      <c r="B9" s="840"/>
      <c r="C9" s="842"/>
      <c r="D9" s="584">
        <f>'DETALLE DE CREDITOS'!D252</f>
        <v>5820</v>
      </c>
      <c r="E9" s="581">
        <f>'DETALLE DE CREDITOS'!E252</f>
        <v>45232</v>
      </c>
      <c r="F9" s="543">
        <f>'DETALLE DE CREDITOS'!F252</f>
        <v>4</v>
      </c>
      <c r="G9" s="565" t="str">
        <f t="shared" ca="1" si="0"/>
        <v>VENCIDA</v>
      </c>
      <c r="H9" s="843"/>
      <c r="I9" s="845"/>
      <c r="J9" s="876"/>
      <c r="K9" s="873"/>
    </row>
    <row r="10" spans="1:13" x14ac:dyDescent="0.25">
      <c r="A10" s="840"/>
      <c r="B10" s="840"/>
      <c r="C10" s="842"/>
      <c r="D10" s="584"/>
      <c r="E10" s="581">
        <v>44841</v>
      </c>
      <c r="F10" s="543">
        <f>'NOTAS DE CREDITOS'!H64</f>
        <v>150</v>
      </c>
      <c r="G10" s="565" t="str">
        <f t="shared" ca="1" si="0"/>
        <v>VENCIDA</v>
      </c>
      <c r="H10" s="843"/>
      <c r="I10" s="845"/>
      <c r="J10" s="876"/>
      <c r="K10" s="873"/>
    </row>
    <row r="11" spans="1:13" x14ac:dyDescent="0.25">
      <c r="A11" s="846"/>
      <c r="B11" s="847" t="s">
        <v>278</v>
      </c>
      <c r="C11" s="848"/>
      <c r="D11" s="543">
        <f>'DETALLE DE CREDITOS'!D25</f>
        <v>1589</v>
      </c>
      <c r="E11" s="585">
        <f>'DETALLE DE CREDITOS'!E25</f>
        <v>44998</v>
      </c>
      <c r="F11" s="543">
        <f>'DETALLE DE CREDITOS'!F25</f>
        <v>29</v>
      </c>
      <c r="G11" s="565" t="str">
        <f t="shared" ca="1" si="0"/>
        <v>VENCIDA</v>
      </c>
      <c r="H11" s="857">
        <f>SUM(F11:F18)</f>
        <v>635</v>
      </c>
      <c r="I11" s="709">
        <v>0</v>
      </c>
      <c r="J11" s="874">
        <f>H11-I11</f>
        <v>635</v>
      </c>
      <c r="K11" s="817" t="s">
        <v>496</v>
      </c>
    </row>
    <row r="12" spans="1:13" x14ac:dyDescent="0.25">
      <c r="A12" s="846"/>
      <c r="B12" s="847"/>
      <c r="C12" s="848"/>
      <c r="D12" s="543">
        <f>'DETALLE DE CREDITOS'!D31</f>
        <v>1811</v>
      </c>
      <c r="E12" s="585">
        <f>'DETALLE DE CREDITOS'!E31</f>
        <v>45012</v>
      </c>
      <c r="F12" s="543">
        <f>'DETALLE DE CREDITOS'!F31</f>
        <v>125</v>
      </c>
      <c r="G12" s="565" t="str">
        <f t="shared" ca="1" si="0"/>
        <v>VENCIDA</v>
      </c>
      <c r="H12" s="857"/>
      <c r="I12" s="709"/>
      <c r="J12" s="874"/>
      <c r="K12" s="817"/>
    </row>
    <row r="13" spans="1:13" x14ac:dyDescent="0.25">
      <c r="A13" s="846"/>
      <c r="B13" s="847"/>
      <c r="C13" s="848"/>
      <c r="D13" s="543">
        <f>'DETALLE DE CREDITOS'!D69</f>
        <v>2867</v>
      </c>
      <c r="E13" s="585">
        <f>'DETALLE DE CREDITOS'!E69</f>
        <v>45069</v>
      </c>
      <c r="F13" s="543">
        <f>'DETALLE DE CREDITOS'!F69</f>
        <v>150</v>
      </c>
      <c r="G13" s="565" t="str">
        <f t="shared" ca="1" si="0"/>
        <v>VENCIDA</v>
      </c>
      <c r="H13" s="857"/>
      <c r="I13" s="709"/>
      <c r="J13" s="874"/>
      <c r="K13" s="817"/>
    </row>
    <row r="14" spans="1:13" x14ac:dyDescent="0.25">
      <c r="A14" s="846"/>
      <c r="B14" s="847"/>
      <c r="C14" s="848"/>
      <c r="D14" s="540">
        <f>'DETALLE DE CREDITOS'!D130</f>
        <v>3805</v>
      </c>
      <c r="E14" s="553">
        <f>'DETALLE DE CREDITOS'!E130</f>
        <v>45122</v>
      </c>
      <c r="F14" s="540">
        <f>'DETALLE DE CREDITOS'!F130</f>
        <v>178</v>
      </c>
      <c r="G14" s="565" t="str">
        <f t="shared" ca="1" si="0"/>
        <v>VENCIDA</v>
      </c>
      <c r="H14" s="857"/>
      <c r="I14" s="709"/>
      <c r="J14" s="874"/>
      <c r="K14" s="817"/>
    </row>
    <row r="15" spans="1:13" x14ac:dyDescent="0.25">
      <c r="A15" s="846"/>
      <c r="B15" s="847"/>
      <c r="C15" s="848"/>
      <c r="D15" s="540">
        <f>'DETALLE DE CREDITOS'!D139</f>
        <v>3864</v>
      </c>
      <c r="E15" s="553">
        <f>'DETALLE DE CREDITOS'!E139</f>
        <v>45126</v>
      </c>
      <c r="F15" s="540">
        <f>'DETALLE DE CREDITOS'!F139</f>
        <v>28</v>
      </c>
      <c r="G15" s="565" t="str">
        <f t="shared" ca="1" si="0"/>
        <v>VENCIDA</v>
      </c>
      <c r="H15" s="857"/>
      <c r="I15" s="709"/>
      <c r="J15" s="874"/>
      <c r="K15" s="817"/>
    </row>
    <row r="16" spans="1:13" x14ac:dyDescent="0.25">
      <c r="A16" s="846"/>
      <c r="B16" s="847"/>
      <c r="C16" s="848"/>
      <c r="D16" s="540">
        <f>'DETALLE DE CREDITOS'!D151</f>
        <v>4104</v>
      </c>
      <c r="E16" s="553">
        <f>'DETALLE DE CREDITOS'!E151</f>
        <v>45141</v>
      </c>
      <c r="F16" s="540">
        <f>'DETALLE DE CREDITOS'!F151</f>
        <v>80</v>
      </c>
      <c r="G16" s="565" t="str">
        <f t="shared" ca="1" si="0"/>
        <v>VENCIDA</v>
      </c>
      <c r="H16" s="857"/>
      <c r="I16" s="709"/>
      <c r="J16" s="874"/>
      <c r="K16" s="817"/>
    </row>
    <row r="17" spans="1:11" x14ac:dyDescent="0.25">
      <c r="A17" s="846"/>
      <c r="B17" s="847"/>
      <c r="C17" s="848"/>
      <c r="D17" s="540">
        <f>'DETALLE DE CREDITOS'!D182</f>
        <v>4406</v>
      </c>
      <c r="E17" s="553">
        <f>'DETALLE DE CREDITOS'!E182</f>
        <v>45163</v>
      </c>
      <c r="F17" s="540">
        <f>'DETALLE DE CREDITOS'!F182</f>
        <v>25</v>
      </c>
      <c r="G17" s="565" t="str">
        <f t="shared" ca="1" si="0"/>
        <v>VENCIDA</v>
      </c>
      <c r="H17" s="857"/>
      <c r="I17" s="709"/>
      <c r="J17" s="874"/>
      <c r="K17" s="817"/>
    </row>
    <row r="18" spans="1:11" x14ac:dyDescent="0.25">
      <c r="A18" s="846"/>
      <c r="B18" s="847"/>
      <c r="C18" s="848"/>
      <c r="D18" s="540">
        <f>'DETALLE DE CREDITOS'!D229</f>
        <v>5346</v>
      </c>
      <c r="E18" s="553">
        <f>'DETALLE DE CREDITOS'!E229</f>
        <v>45211</v>
      </c>
      <c r="F18" s="540">
        <f>'DETALLE DE CREDITOS'!F229</f>
        <v>20</v>
      </c>
      <c r="G18" s="565" t="str">
        <f t="shared" ca="1" si="0"/>
        <v>VENCIDA</v>
      </c>
      <c r="H18" s="857"/>
      <c r="I18" s="709"/>
      <c r="J18" s="874"/>
      <c r="K18" s="817"/>
    </row>
    <row r="19" spans="1:11" x14ac:dyDescent="0.25">
      <c r="A19" s="540" t="s">
        <v>509</v>
      </c>
      <c r="B19" s="540" t="s">
        <v>569</v>
      </c>
      <c r="C19" s="540"/>
      <c r="D19" s="540">
        <f>'DETALLE DE CREDITOS'!D95</f>
        <v>2078</v>
      </c>
      <c r="E19" s="553">
        <f>'DETALLE DE CREDITOS'!E95</f>
        <v>45085</v>
      </c>
      <c r="F19" s="540">
        <f>'DETALLE DE CREDITOS'!F95</f>
        <v>104</v>
      </c>
      <c r="G19" s="565" t="str">
        <f t="shared" ca="1" si="0"/>
        <v>VENCIDA</v>
      </c>
      <c r="H19" s="556">
        <f>SUM(F19)</f>
        <v>104</v>
      </c>
      <c r="I19" s="556">
        <v>0</v>
      </c>
      <c r="J19" s="557">
        <f>H19-I19</f>
        <v>104</v>
      </c>
      <c r="K19" s="558" t="s">
        <v>496</v>
      </c>
    </row>
    <row r="20" spans="1:11" x14ac:dyDescent="0.25">
      <c r="A20" s="826" t="s">
        <v>357</v>
      </c>
      <c r="B20" s="826" t="s">
        <v>357</v>
      </c>
      <c r="C20" s="826"/>
      <c r="D20" s="540">
        <f>'DETALLE DE CREDITOS'!D119</f>
        <v>3746</v>
      </c>
      <c r="E20" s="553">
        <f>'DETALLE DE CREDITOS'!E119</f>
        <v>45118</v>
      </c>
      <c r="F20" s="540">
        <f>'DETALLE DE CREDITOS'!F119</f>
        <v>152</v>
      </c>
      <c r="G20" s="565" t="str">
        <f t="shared" ca="1" si="0"/>
        <v>VENCIDA</v>
      </c>
      <c r="H20" s="828">
        <f>SUM(F20:F30)</f>
        <v>2259</v>
      </c>
      <c r="I20" s="828">
        <f>+'DETALLE DE CREDITOS'!F391</f>
        <v>200</v>
      </c>
      <c r="J20" s="830">
        <f>+H20-I20</f>
        <v>2059</v>
      </c>
      <c r="K20" s="860" t="s">
        <v>496</v>
      </c>
    </row>
    <row r="21" spans="1:11" x14ac:dyDescent="0.25">
      <c r="A21" s="858"/>
      <c r="B21" s="858"/>
      <c r="C21" s="858"/>
      <c r="D21" s="540">
        <f>'DETALLE DE CREDITOS'!D120</f>
        <v>3753</v>
      </c>
      <c r="E21" s="553">
        <f>'DETALLE DE CREDITOS'!E120</f>
        <v>45118</v>
      </c>
      <c r="F21" s="540">
        <f>'DETALLE DE CREDITOS'!F120</f>
        <v>389</v>
      </c>
      <c r="G21" s="565" t="str">
        <f t="shared" ca="1" si="0"/>
        <v>VENCIDA</v>
      </c>
      <c r="H21" s="859"/>
      <c r="I21" s="859"/>
      <c r="J21" s="871"/>
      <c r="K21" s="870"/>
    </row>
    <row r="22" spans="1:11" x14ac:dyDescent="0.25">
      <c r="A22" s="858"/>
      <c r="B22" s="858"/>
      <c r="C22" s="858"/>
      <c r="D22" s="540">
        <f>'DETALLE DE CREDITOS'!D121</f>
        <v>3754</v>
      </c>
      <c r="E22" s="553">
        <f>'DETALLE DE CREDITOS'!E121</f>
        <v>45118</v>
      </c>
      <c r="F22" s="540">
        <f>'DETALLE DE CREDITOS'!F121</f>
        <v>203</v>
      </c>
      <c r="G22" s="565" t="str">
        <f t="shared" ca="1" si="0"/>
        <v>VENCIDA</v>
      </c>
      <c r="H22" s="859"/>
      <c r="I22" s="859"/>
      <c r="J22" s="871"/>
      <c r="K22" s="870"/>
    </row>
    <row r="23" spans="1:11" x14ac:dyDescent="0.25">
      <c r="A23" s="858"/>
      <c r="B23" s="858"/>
      <c r="C23" s="858"/>
      <c r="D23" s="540">
        <f>'DETALLE DE CREDITOS'!D122</f>
        <v>3780</v>
      </c>
      <c r="E23" s="553">
        <f>'DETALLE DE CREDITOS'!E122</f>
        <v>45119</v>
      </c>
      <c r="F23" s="540">
        <f>'DETALLE DE CREDITOS'!F122</f>
        <v>93</v>
      </c>
      <c r="G23" s="565" t="str">
        <f t="shared" ca="1" si="0"/>
        <v>VENCIDA</v>
      </c>
      <c r="H23" s="859"/>
      <c r="I23" s="859"/>
      <c r="J23" s="871"/>
      <c r="K23" s="870"/>
    </row>
    <row r="24" spans="1:11" x14ac:dyDescent="0.25">
      <c r="A24" s="858"/>
      <c r="B24" s="858"/>
      <c r="C24" s="858"/>
      <c r="D24" s="540">
        <f>'DETALLE DE CREDITOS'!D124</f>
        <v>3786</v>
      </c>
      <c r="E24" s="553">
        <f>'DETALLE DE CREDITOS'!E124</f>
        <v>45120</v>
      </c>
      <c r="F24" s="540">
        <f>'DETALLE DE CREDITOS'!F124</f>
        <v>283</v>
      </c>
      <c r="G24" s="565" t="str">
        <f t="shared" ca="1" si="0"/>
        <v>VENCIDA</v>
      </c>
      <c r="H24" s="859"/>
      <c r="I24" s="859"/>
      <c r="J24" s="871"/>
      <c r="K24" s="870"/>
    </row>
    <row r="25" spans="1:11" x14ac:dyDescent="0.25">
      <c r="A25" s="858"/>
      <c r="B25" s="858"/>
      <c r="C25" s="858"/>
      <c r="D25" s="540">
        <f>'DETALLE DE CREDITOS'!D123</f>
        <v>3790</v>
      </c>
      <c r="E25" s="553">
        <f>'DETALLE DE CREDITOS'!E123</f>
        <v>45120</v>
      </c>
      <c r="F25" s="540">
        <f>'DETALLE DE CREDITOS'!F123</f>
        <v>55</v>
      </c>
      <c r="G25" s="565" t="str">
        <f t="shared" ca="1" si="0"/>
        <v>VENCIDA</v>
      </c>
      <c r="H25" s="859"/>
      <c r="I25" s="859"/>
      <c r="J25" s="871"/>
      <c r="K25" s="870"/>
    </row>
    <row r="26" spans="1:11" x14ac:dyDescent="0.25">
      <c r="A26" s="858"/>
      <c r="B26" s="858"/>
      <c r="C26" s="858"/>
      <c r="D26" s="540">
        <f>'DETALLE DE CREDITOS'!D141</f>
        <v>3865</v>
      </c>
      <c r="E26" s="553">
        <f>'DETALLE DE CREDITOS'!E141</f>
        <v>45126</v>
      </c>
      <c r="F26" s="540">
        <f>'DETALLE DE CREDITOS'!F141</f>
        <v>375</v>
      </c>
      <c r="G26" s="565" t="str">
        <f t="shared" ca="1" si="0"/>
        <v>VENCIDA</v>
      </c>
      <c r="H26" s="859"/>
      <c r="I26" s="859"/>
      <c r="J26" s="871"/>
      <c r="K26" s="870"/>
    </row>
    <row r="27" spans="1:11" x14ac:dyDescent="0.25">
      <c r="A27" s="858"/>
      <c r="B27" s="858"/>
      <c r="C27" s="858"/>
      <c r="D27" s="540">
        <f>'DETALLE DE CREDITOS'!D129</f>
        <v>3803</v>
      </c>
      <c r="E27" s="553">
        <f>'DETALLE DE CREDITOS'!E129</f>
        <v>45121</v>
      </c>
      <c r="F27" s="540">
        <f>'DETALLE DE CREDITOS'!F129</f>
        <v>375</v>
      </c>
      <c r="G27" s="565" t="str">
        <f t="shared" ca="1" si="0"/>
        <v>VENCIDA</v>
      </c>
      <c r="H27" s="859"/>
      <c r="I27" s="859"/>
      <c r="J27" s="871"/>
      <c r="K27" s="870"/>
    </row>
    <row r="28" spans="1:11" x14ac:dyDescent="0.25">
      <c r="A28" s="858"/>
      <c r="B28" s="858"/>
      <c r="C28" s="858"/>
      <c r="D28" s="540">
        <f>'DETALLE DE CREDITOS'!D132</f>
        <v>3816</v>
      </c>
      <c r="E28" s="553">
        <f>'DETALLE DE CREDITOS'!E132</f>
        <v>45122</v>
      </c>
      <c r="F28" s="540">
        <f>'DETALLE DE CREDITOS'!F132</f>
        <v>55</v>
      </c>
      <c r="G28" s="565" t="str">
        <f t="shared" ca="1" si="0"/>
        <v>VENCIDA</v>
      </c>
      <c r="H28" s="859"/>
      <c r="I28" s="859"/>
      <c r="J28" s="871"/>
      <c r="K28" s="870"/>
    </row>
    <row r="29" spans="1:11" x14ac:dyDescent="0.25">
      <c r="A29" s="858"/>
      <c r="B29" s="858"/>
      <c r="C29" s="858"/>
      <c r="D29" s="540">
        <f>'DETALLE DE CREDITOS'!D133</f>
        <v>3815</v>
      </c>
      <c r="E29" s="553">
        <f>'DETALLE DE CREDITOS'!E133</f>
        <v>45122</v>
      </c>
      <c r="F29" s="540">
        <f>'DETALLE DE CREDITOS'!F133</f>
        <v>165</v>
      </c>
      <c r="G29" s="565" t="str">
        <f t="shared" ca="1" si="0"/>
        <v>VENCIDA</v>
      </c>
      <c r="H29" s="859"/>
      <c r="I29" s="859"/>
      <c r="J29" s="871"/>
      <c r="K29" s="870"/>
    </row>
    <row r="30" spans="1:11" x14ac:dyDescent="0.25">
      <c r="A30" s="827"/>
      <c r="B30" s="827"/>
      <c r="C30" s="827"/>
      <c r="D30" s="540">
        <f>'DETALLE DE CREDITOS'!D138</f>
        <v>3842</v>
      </c>
      <c r="E30" s="553">
        <f>'DETALLE DE CREDITOS'!E138</f>
        <v>45125</v>
      </c>
      <c r="F30" s="540">
        <f>'DETALLE DE CREDITOS'!F138</f>
        <v>114</v>
      </c>
      <c r="G30" s="565" t="str">
        <f t="shared" ca="1" si="0"/>
        <v>VENCIDA</v>
      </c>
      <c r="H30" s="829"/>
      <c r="I30" s="829"/>
      <c r="J30" s="629"/>
      <c r="K30" s="861"/>
    </row>
    <row r="31" spans="1:11" x14ac:dyDescent="0.25">
      <c r="A31" s="540" t="s">
        <v>629</v>
      </c>
      <c r="B31" s="540" t="s">
        <v>697</v>
      </c>
      <c r="C31" s="540"/>
      <c r="D31" s="540">
        <f>'DETALLE DE CREDITOS'!D212</f>
        <v>5092</v>
      </c>
      <c r="E31" s="553">
        <f>'DETALLE DE CREDITOS'!E212</f>
        <v>45196</v>
      </c>
      <c r="F31" s="540">
        <f>'DETALLE DE CREDITOS'!F212</f>
        <v>109</v>
      </c>
      <c r="G31" s="565" t="str">
        <f t="shared" ref="G31:G44" ca="1" si="1">IF(E31="","",IF(E31+$M$2&lt;$L$2,"VENCIDA","VIGENTE"))</f>
        <v>VENCIDA</v>
      </c>
      <c r="H31" s="556">
        <f>SUM(F31)</f>
        <v>109</v>
      </c>
      <c r="I31" s="556">
        <v>0</v>
      </c>
      <c r="J31" s="557">
        <f>H31-I31</f>
        <v>109</v>
      </c>
      <c r="K31" s="558" t="s">
        <v>496</v>
      </c>
    </row>
    <row r="32" spans="1:11" s="364" customFormat="1" ht="14.25" customHeight="1" x14ac:dyDescent="0.25">
      <c r="A32" s="837"/>
      <c r="B32" s="837" t="s">
        <v>578</v>
      </c>
      <c r="C32" s="837"/>
      <c r="D32" s="546">
        <f>'DETALLE DE CREDITOS'!D249</f>
        <v>5997</v>
      </c>
      <c r="E32" s="586">
        <f>'DETALLE DE CREDITOS'!E249</f>
        <v>45232</v>
      </c>
      <c r="F32" s="546">
        <f>'DETALLE DE CREDITOS'!F249</f>
        <v>150</v>
      </c>
      <c r="G32" s="565" t="str">
        <f t="shared" ca="1" si="1"/>
        <v>VENCIDA</v>
      </c>
      <c r="H32" s="831">
        <f>+SUM(F32:F34)</f>
        <v>186</v>
      </c>
      <c r="I32" s="831">
        <f>'DETALLE DE CREDITOS'!F274+'DETALLE DE CREDITOS'!F327</f>
        <v>190</v>
      </c>
      <c r="J32" s="864">
        <f>H32-I32</f>
        <v>-4</v>
      </c>
      <c r="K32" s="867" t="s">
        <v>496</v>
      </c>
    </row>
    <row r="33" spans="1:11" s="364" customFormat="1" x14ac:dyDescent="0.25">
      <c r="A33" s="856"/>
      <c r="B33" s="856"/>
      <c r="C33" s="856"/>
      <c r="D33" s="546">
        <f>'DETALLE DE CREDITOS'!D262</f>
        <v>5862</v>
      </c>
      <c r="E33" s="586">
        <f>'DETALLE DE CREDITOS'!E262</f>
        <v>45234</v>
      </c>
      <c r="F33" s="546">
        <f>'DETALLE DE CREDITOS'!F262</f>
        <v>22</v>
      </c>
      <c r="G33" s="565" t="str">
        <f t="shared" ca="1" si="1"/>
        <v>VENCIDA</v>
      </c>
      <c r="H33" s="832"/>
      <c r="I33" s="832"/>
      <c r="J33" s="865"/>
      <c r="K33" s="868"/>
    </row>
    <row r="34" spans="1:11" s="364" customFormat="1" x14ac:dyDescent="0.25">
      <c r="A34" s="838"/>
      <c r="B34" s="838"/>
      <c r="C34" s="838"/>
      <c r="D34" s="546">
        <f>'DETALLE DE CREDITOS'!D291</f>
        <v>6703</v>
      </c>
      <c r="E34" s="586">
        <f>'DETALLE DE CREDITOS'!E291</f>
        <v>45257</v>
      </c>
      <c r="F34" s="546">
        <f>'DETALLE DE CREDITOS'!F291</f>
        <v>14</v>
      </c>
      <c r="G34" s="565" t="str">
        <f t="shared" ca="1" si="1"/>
        <v>VENCIDA</v>
      </c>
      <c r="H34" s="833"/>
      <c r="I34" s="833"/>
      <c r="J34" s="866"/>
      <c r="K34" s="869"/>
    </row>
    <row r="35" spans="1:11" s="364" customFormat="1" x14ac:dyDescent="0.25">
      <c r="A35" s="826" t="s">
        <v>740</v>
      </c>
      <c r="B35" s="826" t="s">
        <v>739</v>
      </c>
      <c r="C35" s="837"/>
      <c r="D35" s="546">
        <f>'DETALLE DE CREDITOS'!D368</f>
        <v>7710</v>
      </c>
      <c r="E35" s="586">
        <f>'DETALLE DE CREDITOS'!E368</f>
        <v>45306</v>
      </c>
      <c r="F35" s="546">
        <f>'DETALLE DE CREDITOS'!F368</f>
        <v>15</v>
      </c>
      <c r="G35" s="565" t="str">
        <f t="shared" ca="1" si="1"/>
        <v>VENCIDA</v>
      </c>
      <c r="H35" s="828">
        <f>SUM(F35:F36)</f>
        <v>111</v>
      </c>
      <c r="I35" s="828">
        <v>0</v>
      </c>
      <c r="J35" s="830">
        <f>H35-I35</f>
        <v>111</v>
      </c>
      <c r="K35" s="598"/>
    </row>
    <row r="36" spans="1:11" x14ac:dyDescent="0.25">
      <c r="A36" s="827"/>
      <c r="B36" s="827"/>
      <c r="C36" s="838"/>
      <c r="D36" s="540">
        <f>'DETALLE DE CREDITOS'!D282</f>
        <v>6396</v>
      </c>
      <c r="E36" s="553">
        <f>'DETALLE DE CREDITOS'!E282</f>
        <v>45246</v>
      </c>
      <c r="F36" s="540">
        <f>'DETALLE DE CREDITOS'!F282</f>
        <v>96</v>
      </c>
      <c r="G36" s="565" t="str">
        <f t="shared" ca="1" si="1"/>
        <v>VENCIDA</v>
      </c>
      <c r="H36" s="829"/>
      <c r="I36" s="829"/>
      <c r="J36" s="629"/>
      <c r="K36" s="558" t="s">
        <v>496</v>
      </c>
    </row>
    <row r="37" spans="1:11" x14ac:dyDescent="0.25">
      <c r="A37" s="540"/>
      <c r="B37" s="540" t="s">
        <v>749</v>
      </c>
      <c r="C37" s="540"/>
      <c r="D37" s="540">
        <f>'DETALLE DE CREDITOS'!D315</f>
        <v>6887</v>
      </c>
      <c r="E37" s="553">
        <f>'DETALLE DE CREDITOS'!E315</f>
        <v>45264</v>
      </c>
      <c r="F37" s="540">
        <f>'DETALLE DE CREDITOS'!F315</f>
        <v>31</v>
      </c>
      <c r="G37" s="565" t="str">
        <f t="shared" ca="1" si="1"/>
        <v>VENCIDA</v>
      </c>
      <c r="H37" s="556">
        <f>SUM(F37)</f>
        <v>31</v>
      </c>
      <c r="I37" s="556">
        <f>'DETALLE DE CREDITOS'!F337</f>
        <v>34</v>
      </c>
      <c r="J37" s="557">
        <f t="shared" ref="J37" si="2">H37-I37</f>
        <v>-3</v>
      </c>
      <c r="K37" s="558" t="s">
        <v>496</v>
      </c>
    </row>
    <row r="38" spans="1:11" x14ac:dyDescent="0.25">
      <c r="A38" s="540" t="s">
        <v>629</v>
      </c>
      <c r="B38" s="540" t="s">
        <v>777</v>
      </c>
      <c r="C38" s="540"/>
      <c r="D38" s="540">
        <f>'DETALLE DE CREDITOS'!D335</f>
        <v>7219</v>
      </c>
      <c r="E38" s="553">
        <f>'DETALLE DE CREDITOS'!E335</f>
        <v>45275</v>
      </c>
      <c r="F38" s="540">
        <f>'DETALLE DE CREDITOS'!F335</f>
        <v>100</v>
      </c>
      <c r="G38" s="565" t="str">
        <f t="shared" ca="1" si="1"/>
        <v>VENCIDA</v>
      </c>
      <c r="H38" s="556">
        <f>SUM(F38)</f>
        <v>100</v>
      </c>
      <c r="I38" s="556">
        <f>'DETALLE DE CREDITOS'!F336</f>
        <v>30</v>
      </c>
      <c r="J38" s="572">
        <f t="shared" ref="J38:J74" si="3">H38-I38</f>
        <v>70</v>
      </c>
      <c r="K38" s="558" t="s">
        <v>496</v>
      </c>
    </row>
    <row r="39" spans="1:11" x14ac:dyDescent="0.25">
      <c r="A39" s="540" t="s">
        <v>791</v>
      </c>
      <c r="B39" s="540" t="s">
        <v>604</v>
      </c>
      <c r="C39" s="540"/>
      <c r="D39" s="540">
        <f>'DETALLE DE CREDITOS'!D341</f>
        <v>7337</v>
      </c>
      <c r="E39" s="553">
        <f>'DETALLE DE CREDITOS'!E341</f>
        <v>45278</v>
      </c>
      <c r="F39" s="540">
        <f>'DETALLE DE CREDITOS'!F341</f>
        <v>96</v>
      </c>
      <c r="G39" s="565" t="str">
        <f t="shared" ca="1" si="1"/>
        <v>VENCIDA</v>
      </c>
      <c r="H39" s="575">
        <f t="shared" ref="H39" si="4">SUM(F39)</f>
        <v>96</v>
      </c>
      <c r="I39" s="575">
        <v>0</v>
      </c>
      <c r="J39" s="572">
        <f t="shared" si="3"/>
        <v>96</v>
      </c>
      <c r="K39" s="558" t="s">
        <v>496</v>
      </c>
    </row>
    <row r="40" spans="1:11" x14ac:dyDescent="0.25">
      <c r="A40" s="826"/>
      <c r="B40" s="826" t="s">
        <v>574</v>
      </c>
      <c r="C40" s="826"/>
      <c r="D40" s="540">
        <f>'DETALLE DE CREDITOS'!D374</f>
        <v>7915</v>
      </c>
      <c r="E40" s="553">
        <f>'DETALLE DE CREDITOS'!E374</f>
        <v>45316</v>
      </c>
      <c r="F40" s="540">
        <f>'DETALLE DE CREDITOS'!F374</f>
        <v>50</v>
      </c>
      <c r="G40" s="565" t="str">
        <f t="shared" ca="1" si="1"/>
        <v>VIGENTE</v>
      </c>
      <c r="H40" s="828">
        <f>SUM(F40:F41)</f>
        <v>150</v>
      </c>
      <c r="I40" s="828">
        <f>+'DETALLE DE CREDITOS'!F381+'DETALLE DE CREDITOS'!F388</f>
        <v>100</v>
      </c>
      <c r="J40" s="830">
        <f>H40-I40</f>
        <v>50</v>
      </c>
      <c r="K40" s="860" t="s">
        <v>496</v>
      </c>
    </row>
    <row r="41" spans="1:11" x14ac:dyDescent="0.25">
      <c r="A41" s="827"/>
      <c r="B41" s="827"/>
      <c r="C41" s="827"/>
      <c r="D41" s="540">
        <f>'DETALLE DE CREDITOS'!D363</f>
        <v>7635</v>
      </c>
      <c r="E41" s="553">
        <f>'DETALLE DE CREDITOS'!E363</f>
        <v>45301</v>
      </c>
      <c r="F41" s="540">
        <f>'DETALLE DE CREDITOS'!F363</f>
        <v>100</v>
      </c>
      <c r="G41" s="565" t="str">
        <f t="shared" ca="1" si="1"/>
        <v>VENCIDA</v>
      </c>
      <c r="H41" s="829"/>
      <c r="I41" s="829"/>
      <c r="J41" s="629"/>
      <c r="K41" s="861"/>
    </row>
    <row r="42" spans="1:11" x14ac:dyDescent="0.25">
      <c r="A42" s="826" t="s">
        <v>791</v>
      </c>
      <c r="B42" s="826" t="s">
        <v>790</v>
      </c>
      <c r="C42" s="826"/>
      <c r="D42" s="540">
        <f>+'DETALLE DE CREDITOS'!D379</f>
        <v>7980</v>
      </c>
      <c r="E42" s="553">
        <f>+'DETALLE DE CREDITOS'!E379</f>
        <v>45320</v>
      </c>
      <c r="F42" s="540">
        <f>+'DETALLE DE CREDITOS'!F379</f>
        <v>50</v>
      </c>
      <c r="G42" s="565" t="str">
        <f t="shared" ca="1" si="1"/>
        <v>VIGENTE</v>
      </c>
      <c r="H42" s="828">
        <f>SUM(F42:F43)</f>
        <v>64</v>
      </c>
      <c r="I42" s="828">
        <v>0</v>
      </c>
      <c r="J42" s="830">
        <f>H42-I42</f>
        <v>64</v>
      </c>
      <c r="K42" s="860" t="s">
        <v>496</v>
      </c>
    </row>
    <row r="43" spans="1:11" ht="16.5" customHeight="1" x14ac:dyDescent="0.25">
      <c r="A43" s="827"/>
      <c r="B43" s="827"/>
      <c r="C43" s="827"/>
      <c r="D43" s="540">
        <f>'DETALLE DE CREDITOS'!D364</f>
        <v>7639</v>
      </c>
      <c r="E43" s="553">
        <f>'DETALLE DE CREDITOS'!E364</f>
        <v>45302</v>
      </c>
      <c r="F43" s="540">
        <f>'DETALLE DE CREDITOS'!F364</f>
        <v>14</v>
      </c>
      <c r="G43" s="565" t="str">
        <f t="shared" ca="1" si="1"/>
        <v>VENCIDA</v>
      </c>
      <c r="H43" s="829"/>
      <c r="I43" s="829"/>
      <c r="J43" s="629"/>
      <c r="K43" s="861"/>
    </row>
    <row r="44" spans="1:11" x14ac:dyDescent="0.25">
      <c r="A44" s="540" t="s">
        <v>794</v>
      </c>
      <c r="B44" s="540" t="s">
        <v>793</v>
      </c>
      <c r="C44" s="540"/>
      <c r="D44" s="540">
        <f>'DETALLE DE CREDITOS'!D367</f>
        <v>7659</v>
      </c>
      <c r="E44" s="553">
        <f>'DETALLE DE CREDITOS'!E367</f>
        <v>45306</v>
      </c>
      <c r="F44" s="540">
        <f>'DETALLE DE CREDITOS'!F367</f>
        <v>26</v>
      </c>
      <c r="G44" s="565" t="str">
        <f t="shared" ca="1" si="1"/>
        <v>VENCIDA</v>
      </c>
      <c r="H44" s="556">
        <f>SUM(F44)</f>
        <v>26</v>
      </c>
      <c r="I44" s="556">
        <v>0</v>
      </c>
      <c r="J44" s="572">
        <f t="shared" si="3"/>
        <v>26</v>
      </c>
      <c r="K44" s="558" t="s">
        <v>496</v>
      </c>
    </row>
    <row r="45" spans="1:11" x14ac:dyDescent="0.25">
      <c r="A45" s="881" t="s">
        <v>791</v>
      </c>
      <c r="B45" s="826" t="s">
        <v>461</v>
      </c>
      <c r="C45" s="826"/>
      <c r="D45" s="540">
        <f>+'DETALLE DE CREDITOS'!D377</f>
        <v>7935</v>
      </c>
      <c r="E45" s="553">
        <f>+'DETALLE DE CREDITOS'!E377</f>
        <v>45317</v>
      </c>
      <c r="F45" s="540">
        <f>+'DETALLE DE CREDITOS'!F377</f>
        <v>255</v>
      </c>
      <c r="G45" s="565" t="str">
        <f t="shared" ref="G45:G74" ca="1" si="5">IF(E45="","",IF(E45+$M$2&lt;$L$2,"VENCIDA","VIGENTE"))</f>
        <v>VIGENTE</v>
      </c>
      <c r="H45" s="828">
        <f>SUM(F45:F46)</f>
        <v>340</v>
      </c>
      <c r="I45" s="828">
        <v>0</v>
      </c>
      <c r="J45" s="830">
        <f>H45-I45</f>
        <v>340</v>
      </c>
      <c r="K45" s="860" t="s">
        <v>496</v>
      </c>
    </row>
    <row r="46" spans="1:11" x14ac:dyDescent="0.25">
      <c r="A46" s="882"/>
      <c r="B46" s="827"/>
      <c r="C46" s="827"/>
      <c r="D46" s="540">
        <f>'DETALLE DE CREDITOS'!D371</f>
        <v>7758</v>
      </c>
      <c r="E46" s="553">
        <f>'DETALLE DE CREDITOS'!E371</f>
        <v>45313</v>
      </c>
      <c r="F46" s="540">
        <f>'DETALLE DE CREDITOS'!F371</f>
        <v>85</v>
      </c>
      <c r="G46" s="565" t="str">
        <f t="shared" ca="1" si="5"/>
        <v>VIGENTE</v>
      </c>
      <c r="H46" s="829"/>
      <c r="I46" s="829"/>
      <c r="J46" s="629"/>
      <c r="K46" s="861"/>
    </row>
    <row r="47" spans="1:11" ht="30" x14ac:dyDescent="0.25">
      <c r="A47" s="540" t="s">
        <v>814</v>
      </c>
      <c r="B47" s="540" t="str">
        <f>+'DETALLE DE CREDITOS'!B383</f>
        <v>DOUGLAS HERNANDEZ</v>
      </c>
      <c r="C47" s="540"/>
      <c r="D47" s="540">
        <f>+'DETALLE DE CREDITOS'!D382</f>
        <v>8012</v>
      </c>
      <c r="E47" s="553">
        <f>+'DETALLE DE CREDITOS'!E382</f>
        <v>45321</v>
      </c>
      <c r="F47" s="540">
        <f>+'DETALLE DE CREDITOS'!F382</f>
        <v>42</v>
      </c>
      <c r="G47" s="565" t="str">
        <f t="shared" ref="G47" ca="1" si="6">IF(E47="","",IF(E47+$M$2&lt;$L$2,"VENCIDA","VIGENTE"))</f>
        <v>VIGENTE</v>
      </c>
      <c r="H47" s="556">
        <f>+'DETALLE DE CREDITOS'!F382</f>
        <v>42</v>
      </c>
      <c r="I47" s="556">
        <f>+'DETALLE DE CREDITOS'!F383</f>
        <v>8.3000000000000007</v>
      </c>
      <c r="J47" s="572">
        <f t="shared" si="3"/>
        <v>33.700000000000003</v>
      </c>
      <c r="K47" s="558" t="s">
        <v>815</v>
      </c>
    </row>
    <row r="48" spans="1:11" x14ac:dyDescent="0.25">
      <c r="A48" s="540" t="s">
        <v>509</v>
      </c>
      <c r="B48" s="540" t="str">
        <f>+'DETALLE DE CREDITOS'!B392</f>
        <v>CONDOMINIO RESIDENCIAS ATLANTIS</v>
      </c>
      <c r="C48" s="540"/>
      <c r="D48" s="540">
        <f>+'DETALLE DE CREDITOS'!D392</f>
        <v>8061</v>
      </c>
      <c r="E48" s="553">
        <f>+'DETALLE DE CREDITOS'!E392</f>
        <v>45323</v>
      </c>
      <c r="F48" s="540">
        <f>+'DETALLE DE CREDITOS'!F392</f>
        <v>5</v>
      </c>
      <c r="G48" s="565" t="str">
        <f t="shared" ca="1" si="5"/>
        <v>VIGENTE</v>
      </c>
      <c r="H48" s="556">
        <f>+'DETALLE DE CREDITOS'!F392</f>
        <v>5</v>
      </c>
      <c r="I48" s="556"/>
      <c r="J48" s="572">
        <f t="shared" si="3"/>
        <v>5</v>
      </c>
      <c r="K48" s="558" t="s">
        <v>496</v>
      </c>
    </row>
    <row r="49" spans="1:11" x14ac:dyDescent="0.25">
      <c r="A49" s="540"/>
      <c r="B49" s="540"/>
      <c r="C49" s="540"/>
      <c r="D49" s="540"/>
      <c r="E49" s="553"/>
      <c r="F49" s="540"/>
      <c r="G49" s="565" t="str">
        <f t="shared" si="5"/>
        <v/>
      </c>
      <c r="H49" s="556"/>
      <c r="I49" s="556"/>
      <c r="J49" s="572">
        <f t="shared" si="3"/>
        <v>0</v>
      </c>
      <c r="K49" s="558"/>
    </row>
    <row r="50" spans="1:11" x14ac:dyDescent="0.25">
      <c r="A50" s="540"/>
      <c r="B50" s="540"/>
      <c r="C50" s="540"/>
      <c r="D50" s="540"/>
      <c r="E50" s="553"/>
      <c r="F50" s="540"/>
      <c r="G50" s="565" t="str">
        <f t="shared" si="5"/>
        <v/>
      </c>
      <c r="H50" s="556"/>
      <c r="I50" s="556"/>
      <c r="J50" s="572">
        <f t="shared" si="3"/>
        <v>0</v>
      </c>
      <c r="K50" s="558"/>
    </row>
    <row r="51" spans="1:11" x14ac:dyDescent="0.25">
      <c r="A51" s="540"/>
      <c r="B51" s="540"/>
      <c r="C51" s="540"/>
      <c r="D51" s="540"/>
      <c r="E51" s="553"/>
      <c r="F51" s="540"/>
      <c r="G51" s="565" t="str">
        <f t="shared" si="5"/>
        <v/>
      </c>
      <c r="H51" s="556"/>
      <c r="I51" s="556"/>
      <c r="J51" s="572">
        <f t="shared" si="3"/>
        <v>0</v>
      </c>
      <c r="K51" s="558"/>
    </row>
    <row r="52" spans="1:11" x14ac:dyDescent="0.25">
      <c r="A52" s="540"/>
      <c r="B52" s="540"/>
      <c r="C52" s="540"/>
      <c r="D52" s="540"/>
      <c r="E52" s="553"/>
      <c r="F52" s="540"/>
      <c r="G52" s="565" t="str">
        <f t="shared" si="5"/>
        <v/>
      </c>
      <c r="H52" s="556"/>
      <c r="I52" s="556"/>
      <c r="J52" s="572">
        <f t="shared" si="3"/>
        <v>0</v>
      </c>
      <c r="K52" s="558"/>
    </row>
    <row r="53" spans="1:11" x14ac:dyDescent="0.25">
      <c r="A53" s="540"/>
      <c r="B53" s="540"/>
      <c r="C53" s="540"/>
      <c r="D53" s="540"/>
      <c r="E53" s="553"/>
      <c r="F53" s="540"/>
      <c r="G53" s="565" t="str">
        <f t="shared" si="5"/>
        <v/>
      </c>
      <c r="H53" s="556"/>
      <c r="I53" s="556"/>
      <c r="J53" s="572">
        <f t="shared" si="3"/>
        <v>0</v>
      </c>
      <c r="K53" s="558"/>
    </row>
    <row r="54" spans="1:11" x14ac:dyDescent="0.25">
      <c r="A54" s="540"/>
      <c r="B54" s="540"/>
      <c r="C54" s="540"/>
      <c r="D54" s="540"/>
      <c r="E54" s="553"/>
      <c r="F54" s="540"/>
      <c r="G54" s="565" t="str">
        <f t="shared" si="5"/>
        <v/>
      </c>
      <c r="H54" s="556"/>
      <c r="I54" s="556"/>
      <c r="J54" s="572">
        <f t="shared" si="3"/>
        <v>0</v>
      </c>
      <c r="K54" s="558"/>
    </row>
    <row r="55" spans="1:11" x14ac:dyDescent="0.25">
      <c r="A55" s="540"/>
      <c r="B55" s="540"/>
      <c r="C55" s="540"/>
      <c r="D55" s="540"/>
      <c r="E55" s="553"/>
      <c r="F55" s="540"/>
      <c r="G55" s="565" t="str">
        <f t="shared" si="5"/>
        <v/>
      </c>
      <c r="H55" s="556"/>
      <c r="I55" s="556"/>
      <c r="J55" s="572">
        <f t="shared" si="3"/>
        <v>0</v>
      </c>
      <c r="K55" s="558"/>
    </row>
    <row r="56" spans="1:11" x14ac:dyDescent="0.25">
      <c r="A56" s="540"/>
      <c r="B56" s="540"/>
      <c r="C56" s="540"/>
      <c r="D56" s="540"/>
      <c r="E56" s="553"/>
      <c r="F56" s="540"/>
      <c r="G56" s="565" t="str">
        <f t="shared" si="5"/>
        <v/>
      </c>
      <c r="H56" s="556"/>
      <c r="I56" s="556"/>
      <c r="J56" s="572">
        <f t="shared" si="3"/>
        <v>0</v>
      </c>
      <c r="K56" s="558"/>
    </row>
    <row r="57" spans="1:11" x14ac:dyDescent="0.25">
      <c r="A57" s="540"/>
      <c r="B57" s="540"/>
      <c r="C57" s="540"/>
      <c r="D57" s="540"/>
      <c r="E57" s="553"/>
      <c r="F57" s="540"/>
      <c r="G57" s="565" t="str">
        <f t="shared" si="5"/>
        <v/>
      </c>
      <c r="H57" s="556"/>
      <c r="I57" s="556"/>
      <c r="J57" s="572">
        <f t="shared" si="3"/>
        <v>0</v>
      </c>
      <c r="K57" s="558"/>
    </row>
    <row r="58" spans="1:11" x14ac:dyDescent="0.25">
      <c r="A58" s="540"/>
      <c r="B58" s="540"/>
      <c r="C58" s="540"/>
      <c r="D58" s="540"/>
      <c r="E58" s="553"/>
      <c r="F58" s="540"/>
      <c r="G58" s="565" t="str">
        <f t="shared" si="5"/>
        <v/>
      </c>
      <c r="H58" s="556"/>
      <c r="I58" s="556"/>
      <c r="J58" s="572">
        <f t="shared" si="3"/>
        <v>0</v>
      </c>
      <c r="K58" s="558"/>
    </row>
    <row r="59" spans="1:11" x14ac:dyDescent="0.25">
      <c r="A59" s="540"/>
      <c r="B59" s="540"/>
      <c r="C59" s="540"/>
      <c r="D59" s="540"/>
      <c r="E59" s="553"/>
      <c r="F59" s="540"/>
      <c r="G59" s="565" t="str">
        <f t="shared" si="5"/>
        <v/>
      </c>
      <c r="H59" s="556"/>
      <c r="I59" s="556"/>
      <c r="J59" s="572">
        <f t="shared" si="3"/>
        <v>0</v>
      </c>
      <c r="K59" s="558"/>
    </row>
    <row r="60" spans="1:11" x14ac:dyDescent="0.25">
      <c r="A60" s="540"/>
      <c r="B60" s="540"/>
      <c r="C60" s="540"/>
      <c r="D60" s="540"/>
      <c r="E60" s="553"/>
      <c r="F60" s="540"/>
      <c r="G60" s="565" t="str">
        <f t="shared" si="5"/>
        <v/>
      </c>
      <c r="H60" s="556"/>
      <c r="I60" s="556"/>
      <c r="J60" s="572">
        <f t="shared" si="3"/>
        <v>0</v>
      </c>
      <c r="K60" s="558"/>
    </row>
    <row r="61" spans="1:11" x14ac:dyDescent="0.25">
      <c r="A61" s="540"/>
      <c r="B61" s="540"/>
      <c r="C61" s="540"/>
      <c r="D61" s="540"/>
      <c r="E61" s="553"/>
      <c r="F61" s="540"/>
      <c r="G61" s="565" t="str">
        <f t="shared" si="5"/>
        <v/>
      </c>
      <c r="H61" s="556"/>
      <c r="I61" s="556"/>
      <c r="J61" s="572">
        <f t="shared" si="3"/>
        <v>0</v>
      </c>
      <c r="K61" s="558"/>
    </row>
    <row r="62" spans="1:11" x14ac:dyDescent="0.25">
      <c r="A62" s="540"/>
      <c r="B62" s="540"/>
      <c r="C62" s="540"/>
      <c r="D62" s="540"/>
      <c r="E62" s="553"/>
      <c r="F62" s="540"/>
      <c r="G62" s="565" t="str">
        <f t="shared" si="5"/>
        <v/>
      </c>
      <c r="H62" s="556"/>
      <c r="I62" s="556"/>
      <c r="J62" s="572">
        <f t="shared" si="3"/>
        <v>0</v>
      </c>
      <c r="K62" s="558"/>
    </row>
    <row r="63" spans="1:11" x14ac:dyDescent="0.25">
      <c r="A63" s="540"/>
      <c r="B63" s="540"/>
      <c r="C63" s="540"/>
      <c r="D63" s="540"/>
      <c r="E63" s="553"/>
      <c r="F63" s="540"/>
      <c r="G63" s="565" t="str">
        <f t="shared" si="5"/>
        <v/>
      </c>
      <c r="H63" s="556"/>
      <c r="I63" s="556"/>
      <c r="J63" s="572">
        <f t="shared" si="3"/>
        <v>0</v>
      </c>
      <c r="K63" s="558"/>
    </row>
    <row r="64" spans="1:11" x14ac:dyDescent="0.25">
      <c r="A64" s="540"/>
      <c r="B64" s="540"/>
      <c r="C64" s="540"/>
      <c r="D64" s="540"/>
      <c r="E64" s="553"/>
      <c r="F64" s="540"/>
      <c r="G64" s="565" t="str">
        <f t="shared" si="5"/>
        <v/>
      </c>
      <c r="H64" s="556"/>
      <c r="I64" s="556"/>
      <c r="J64" s="572">
        <f t="shared" si="3"/>
        <v>0</v>
      </c>
      <c r="K64" s="558"/>
    </row>
    <row r="65" spans="1:11" x14ac:dyDescent="0.25">
      <c r="A65" s="540"/>
      <c r="B65" s="540"/>
      <c r="C65" s="540"/>
      <c r="D65" s="540"/>
      <c r="E65" s="553"/>
      <c r="F65" s="540"/>
      <c r="G65" s="565" t="str">
        <f t="shared" si="5"/>
        <v/>
      </c>
      <c r="H65" s="556"/>
      <c r="I65" s="556"/>
      <c r="J65" s="572">
        <f t="shared" si="3"/>
        <v>0</v>
      </c>
      <c r="K65" s="558"/>
    </row>
    <row r="66" spans="1:11" x14ac:dyDescent="0.25">
      <c r="A66" s="540"/>
      <c r="B66" s="540"/>
      <c r="C66" s="540"/>
      <c r="D66" s="540"/>
      <c r="E66" s="553"/>
      <c r="F66" s="540"/>
      <c r="G66" s="565" t="str">
        <f t="shared" si="5"/>
        <v/>
      </c>
      <c r="H66" s="556"/>
      <c r="I66" s="556"/>
      <c r="J66" s="572">
        <f t="shared" si="3"/>
        <v>0</v>
      </c>
      <c r="K66" s="558"/>
    </row>
    <row r="67" spans="1:11" x14ac:dyDescent="0.25">
      <c r="A67" s="540"/>
      <c r="B67" s="540"/>
      <c r="C67" s="540"/>
      <c r="D67" s="540"/>
      <c r="E67" s="553"/>
      <c r="F67" s="540"/>
      <c r="G67" s="565" t="str">
        <f t="shared" si="5"/>
        <v/>
      </c>
      <c r="H67" s="556"/>
      <c r="I67" s="556"/>
      <c r="J67" s="572">
        <f t="shared" si="3"/>
        <v>0</v>
      </c>
      <c r="K67" s="558"/>
    </row>
    <row r="68" spans="1:11" x14ac:dyDescent="0.25">
      <c r="A68" s="540"/>
      <c r="B68" s="540"/>
      <c r="C68" s="540"/>
      <c r="D68" s="540"/>
      <c r="E68" s="553"/>
      <c r="F68" s="540"/>
      <c r="G68" s="565" t="str">
        <f t="shared" si="5"/>
        <v/>
      </c>
      <c r="H68" s="556"/>
      <c r="I68" s="556"/>
      <c r="J68" s="572">
        <f t="shared" si="3"/>
        <v>0</v>
      </c>
      <c r="K68" s="558"/>
    </row>
    <row r="69" spans="1:11" x14ac:dyDescent="0.25">
      <c r="A69" s="540"/>
      <c r="B69" s="540"/>
      <c r="C69" s="540"/>
      <c r="D69" s="540"/>
      <c r="E69" s="553"/>
      <c r="F69" s="540"/>
      <c r="G69" s="565" t="str">
        <f t="shared" si="5"/>
        <v/>
      </c>
      <c r="H69" s="556"/>
      <c r="I69" s="556"/>
      <c r="J69" s="572">
        <f t="shared" si="3"/>
        <v>0</v>
      </c>
      <c r="K69" s="558"/>
    </row>
    <row r="70" spans="1:11" x14ac:dyDescent="0.25">
      <c r="A70" s="540"/>
      <c r="B70" s="540"/>
      <c r="C70" s="540"/>
      <c r="D70" s="540"/>
      <c r="E70" s="553"/>
      <c r="F70" s="540"/>
      <c r="G70" s="565" t="str">
        <f t="shared" si="5"/>
        <v/>
      </c>
      <c r="H70" s="556"/>
      <c r="I70" s="556"/>
      <c r="J70" s="572">
        <f t="shared" si="3"/>
        <v>0</v>
      </c>
      <c r="K70" s="558"/>
    </row>
    <row r="71" spans="1:11" x14ac:dyDescent="0.25">
      <c r="A71" s="540"/>
      <c r="B71" s="540"/>
      <c r="C71" s="540"/>
      <c r="D71" s="540"/>
      <c r="E71" s="553"/>
      <c r="F71" s="540"/>
      <c r="G71" s="565" t="str">
        <f t="shared" si="5"/>
        <v/>
      </c>
      <c r="H71" s="556"/>
      <c r="I71" s="556"/>
      <c r="J71" s="572">
        <f t="shared" si="3"/>
        <v>0</v>
      </c>
      <c r="K71" s="558"/>
    </row>
    <row r="72" spans="1:11" x14ac:dyDescent="0.25">
      <c r="A72" s="540"/>
      <c r="B72" s="540"/>
      <c r="C72" s="540"/>
      <c r="D72" s="540"/>
      <c r="E72" s="553"/>
      <c r="F72" s="540"/>
      <c r="G72" s="565" t="str">
        <f t="shared" si="5"/>
        <v/>
      </c>
      <c r="H72" s="556"/>
      <c r="I72" s="556"/>
      <c r="J72" s="572">
        <f t="shared" si="3"/>
        <v>0</v>
      </c>
      <c r="K72" s="558"/>
    </row>
    <row r="73" spans="1:11" x14ac:dyDescent="0.25">
      <c r="A73" s="540"/>
      <c r="B73" s="540"/>
      <c r="C73" s="540"/>
      <c r="D73" s="540"/>
      <c r="E73" s="553"/>
      <c r="F73" s="540"/>
      <c r="G73" s="565" t="str">
        <f t="shared" si="5"/>
        <v/>
      </c>
      <c r="H73" s="556"/>
      <c r="I73" s="556"/>
      <c r="J73" s="572">
        <f t="shared" si="3"/>
        <v>0</v>
      </c>
      <c r="K73" s="558"/>
    </row>
    <row r="74" spans="1:11" x14ac:dyDescent="0.25">
      <c r="A74" s="540"/>
      <c r="B74" s="540"/>
      <c r="C74" s="540"/>
      <c r="D74" s="540"/>
      <c r="E74" s="553"/>
      <c r="F74" s="540"/>
      <c r="G74" s="565" t="str">
        <f t="shared" si="5"/>
        <v/>
      </c>
      <c r="H74" s="556"/>
      <c r="I74" s="31"/>
      <c r="J74" s="572">
        <f t="shared" si="3"/>
        <v>0</v>
      </c>
      <c r="K74" s="549"/>
    </row>
    <row r="75" spans="1:11" x14ac:dyDescent="0.25">
      <c r="A75" s="540"/>
      <c r="B75" s="540"/>
      <c r="C75" s="540"/>
      <c r="D75" s="540"/>
      <c r="E75" s="553"/>
      <c r="F75" s="540"/>
      <c r="G75" s="565" t="str">
        <f t="shared" ref="G75:G138" si="7">IF(E75="","",IF(E75+$M$2&lt;$L$2,"VENCIDA","VIGENTE"))</f>
        <v/>
      </c>
      <c r="H75" s="605"/>
      <c r="I75" s="31"/>
      <c r="J75" s="606">
        <f t="shared" ref="J75:J138" si="8">H75-I75</f>
        <v>0</v>
      </c>
      <c r="K75" s="549"/>
    </row>
    <row r="76" spans="1:11" x14ac:dyDescent="0.25">
      <c r="A76" s="540"/>
      <c r="B76" s="540"/>
      <c r="C76" s="540"/>
      <c r="D76" s="540"/>
      <c r="E76" s="553"/>
      <c r="F76" s="540"/>
      <c r="G76" s="565" t="str">
        <f t="shared" si="7"/>
        <v/>
      </c>
      <c r="H76" s="605"/>
      <c r="I76" s="31"/>
      <c r="J76" s="606">
        <f t="shared" si="8"/>
        <v>0</v>
      </c>
      <c r="K76" s="549"/>
    </row>
    <row r="77" spans="1:11" x14ac:dyDescent="0.25">
      <c r="A77" s="540"/>
      <c r="B77" s="540"/>
      <c r="C77" s="540"/>
      <c r="D77" s="540"/>
      <c r="E77" s="553"/>
      <c r="F77" s="540"/>
      <c r="G77" s="565" t="str">
        <f t="shared" si="7"/>
        <v/>
      </c>
      <c r="H77" s="605"/>
      <c r="I77" s="31"/>
      <c r="J77" s="606">
        <f t="shared" si="8"/>
        <v>0</v>
      </c>
      <c r="K77" s="549"/>
    </row>
    <row r="78" spans="1:11" x14ac:dyDescent="0.25">
      <c r="A78" s="540"/>
      <c r="B78" s="540"/>
      <c r="C78" s="540"/>
      <c r="D78" s="540"/>
      <c r="E78" s="553"/>
      <c r="F78" s="540"/>
      <c r="G78" s="565" t="str">
        <f t="shared" si="7"/>
        <v/>
      </c>
      <c r="H78" s="605"/>
      <c r="I78" s="31"/>
      <c r="J78" s="606">
        <f t="shared" si="8"/>
        <v>0</v>
      </c>
      <c r="K78" s="549"/>
    </row>
    <row r="79" spans="1:11" x14ac:dyDescent="0.25">
      <c r="A79" s="540"/>
      <c r="B79" s="540"/>
      <c r="C79" s="540"/>
      <c r="D79" s="540"/>
      <c r="E79" s="553"/>
      <c r="F79" s="540"/>
      <c r="G79" s="565" t="str">
        <f t="shared" si="7"/>
        <v/>
      </c>
      <c r="H79" s="605"/>
      <c r="I79" s="31"/>
      <c r="J79" s="606">
        <f t="shared" si="8"/>
        <v>0</v>
      </c>
      <c r="K79" s="549"/>
    </row>
    <row r="80" spans="1:11" x14ac:dyDescent="0.25">
      <c r="A80" s="540"/>
      <c r="B80" s="540"/>
      <c r="C80" s="540"/>
      <c r="D80" s="540"/>
      <c r="E80" s="553"/>
      <c r="F80" s="540"/>
      <c r="G80" s="565" t="str">
        <f t="shared" si="7"/>
        <v/>
      </c>
      <c r="H80" s="605"/>
      <c r="I80" s="31"/>
      <c r="J80" s="606">
        <f t="shared" si="8"/>
        <v>0</v>
      </c>
      <c r="K80" s="549"/>
    </row>
    <row r="81" spans="1:11" x14ac:dyDescent="0.25">
      <c r="A81" s="540"/>
      <c r="B81" s="540"/>
      <c r="C81" s="540"/>
      <c r="D81" s="540"/>
      <c r="E81" s="553"/>
      <c r="F81" s="540"/>
      <c r="G81" s="565" t="str">
        <f t="shared" si="7"/>
        <v/>
      </c>
      <c r="H81" s="605"/>
      <c r="I81" s="31"/>
      <c r="J81" s="606">
        <f t="shared" si="8"/>
        <v>0</v>
      </c>
      <c r="K81" s="549"/>
    </row>
    <row r="82" spans="1:11" x14ac:dyDescent="0.25">
      <c r="A82" s="540"/>
      <c r="B82" s="540"/>
      <c r="C82" s="540"/>
      <c r="D82" s="540"/>
      <c r="E82" s="553"/>
      <c r="F82" s="540"/>
      <c r="G82" s="565" t="str">
        <f t="shared" si="7"/>
        <v/>
      </c>
      <c r="H82" s="605"/>
      <c r="I82" s="31"/>
      <c r="J82" s="606">
        <f t="shared" si="8"/>
        <v>0</v>
      </c>
      <c r="K82" s="549"/>
    </row>
    <row r="83" spans="1:11" x14ac:dyDescent="0.25">
      <c r="A83" s="540"/>
      <c r="B83" s="540"/>
      <c r="C83" s="540"/>
      <c r="D83" s="540"/>
      <c r="E83" s="553"/>
      <c r="F83" s="540"/>
      <c r="G83" s="565" t="str">
        <f t="shared" si="7"/>
        <v/>
      </c>
      <c r="H83" s="605"/>
      <c r="I83" s="31"/>
      <c r="J83" s="606">
        <f t="shared" si="8"/>
        <v>0</v>
      </c>
      <c r="K83" s="549"/>
    </row>
    <row r="84" spans="1:11" x14ac:dyDescent="0.25">
      <c r="A84" s="540"/>
      <c r="B84" s="540"/>
      <c r="C84" s="540"/>
      <c r="D84" s="540"/>
      <c r="E84" s="553"/>
      <c r="F84" s="540"/>
      <c r="G84" s="565" t="str">
        <f t="shared" si="7"/>
        <v/>
      </c>
      <c r="H84" s="605"/>
      <c r="I84" s="31"/>
      <c r="J84" s="606">
        <f t="shared" si="8"/>
        <v>0</v>
      </c>
      <c r="K84" s="549"/>
    </row>
    <row r="85" spans="1:11" x14ac:dyDescent="0.25">
      <c r="A85" s="540"/>
      <c r="B85" s="540"/>
      <c r="C85" s="540"/>
      <c r="D85" s="540"/>
      <c r="E85" s="553"/>
      <c r="F85" s="540"/>
      <c r="G85" s="565" t="str">
        <f t="shared" si="7"/>
        <v/>
      </c>
      <c r="H85" s="605"/>
      <c r="I85" s="31"/>
      <c r="J85" s="606">
        <f t="shared" si="8"/>
        <v>0</v>
      </c>
      <c r="K85" s="549"/>
    </row>
    <row r="86" spans="1:11" x14ac:dyDescent="0.25">
      <c r="A86" s="540"/>
      <c r="B86" s="540"/>
      <c r="C86" s="540"/>
      <c r="D86" s="540"/>
      <c r="E86" s="553"/>
      <c r="F86" s="540"/>
      <c r="G86" s="565" t="str">
        <f t="shared" si="7"/>
        <v/>
      </c>
      <c r="H86" s="605"/>
      <c r="I86" s="31"/>
      <c r="J86" s="606">
        <f t="shared" si="8"/>
        <v>0</v>
      </c>
      <c r="K86" s="549"/>
    </row>
    <row r="87" spans="1:11" x14ac:dyDescent="0.25">
      <c r="A87" s="540"/>
      <c r="B87" s="540"/>
      <c r="C87" s="540"/>
      <c r="D87" s="540"/>
      <c r="E87" s="553"/>
      <c r="F87" s="540"/>
      <c r="G87" s="565" t="str">
        <f t="shared" si="7"/>
        <v/>
      </c>
      <c r="H87" s="605"/>
      <c r="I87" s="31"/>
      <c r="J87" s="606">
        <f t="shared" si="8"/>
        <v>0</v>
      </c>
      <c r="K87" s="549"/>
    </row>
    <row r="88" spans="1:11" x14ac:dyDescent="0.25">
      <c r="A88" s="540"/>
      <c r="B88" s="540"/>
      <c r="C88" s="540"/>
      <c r="D88" s="540"/>
      <c r="E88" s="553"/>
      <c r="F88" s="540"/>
      <c r="G88" s="565" t="str">
        <f t="shared" si="7"/>
        <v/>
      </c>
      <c r="H88" s="605"/>
      <c r="I88" s="31"/>
      <c r="J88" s="606">
        <f t="shared" si="8"/>
        <v>0</v>
      </c>
      <c r="K88" s="549"/>
    </row>
    <row r="89" spans="1:11" x14ac:dyDescent="0.25">
      <c r="A89" s="540"/>
      <c r="B89" s="540"/>
      <c r="C89" s="540"/>
      <c r="D89" s="540"/>
      <c r="E89" s="553"/>
      <c r="F89" s="540"/>
      <c r="G89" s="565" t="str">
        <f t="shared" si="7"/>
        <v/>
      </c>
      <c r="H89" s="605"/>
      <c r="I89" s="31"/>
      <c r="J89" s="606">
        <f t="shared" si="8"/>
        <v>0</v>
      </c>
      <c r="K89" s="549"/>
    </row>
    <row r="90" spans="1:11" x14ac:dyDescent="0.25">
      <c r="A90" s="540"/>
      <c r="B90" s="540"/>
      <c r="C90" s="540"/>
      <c r="D90" s="540"/>
      <c r="E90" s="553"/>
      <c r="F90" s="540"/>
      <c r="G90" s="565" t="str">
        <f t="shared" si="7"/>
        <v/>
      </c>
      <c r="H90" s="605"/>
      <c r="I90" s="31"/>
      <c r="J90" s="606">
        <f t="shared" si="8"/>
        <v>0</v>
      </c>
      <c r="K90" s="549"/>
    </row>
    <row r="91" spans="1:11" x14ac:dyDescent="0.25">
      <c r="A91" s="540"/>
      <c r="B91" s="540"/>
      <c r="C91" s="540"/>
      <c r="D91" s="540"/>
      <c r="E91" s="553"/>
      <c r="F91" s="540"/>
      <c r="G91" s="565" t="str">
        <f t="shared" si="7"/>
        <v/>
      </c>
      <c r="H91" s="605"/>
      <c r="I91" s="31"/>
      <c r="J91" s="606">
        <f t="shared" si="8"/>
        <v>0</v>
      </c>
      <c r="K91" s="549"/>
    </row>
    <row r="92" spans="1:11" x14ac:dyDescent="0.25">
      <c r="A92" s="540"/>
      <c r="B92" s="540"/>
      <c r="C92" s="540"/>
      <c r="D92" s="540"/>
      <c r="E92" s="553"/>
      <c r="F92" s="540"/>
      <c r="G92" s="565" t="str">
        <f t="shared" si="7"/>
        <v/>
      </c>
      <c r="H92" s="605"/>
      <c r="I92" s="31"/>
      <c r="J92" s="606">
        <f t="shared" si="8"/>
        <v>0</v>
      </c>
      <c r="K92" s="549"/>
    </row>
    <row r="93" spans="1:11" x14ac:dyDescent="0.25">
      <c r="A93" s="540"/>
      <c r="B93" s="540"/>
      <c r="C93" s="540"/>
      <c r="D93" s="540"/>
      <c r="E93" s="553"/>
      <c r="F93" s="540"/>
      <c r="G93" s="565" t="str">
        <f t="shared" si="7"/>
        <v/>
      </c>
      <c r="H93" s="605"/>
      <c r="I93" s="31"/>
      <c r="J93" s="606">
        <f t="shared" si="8"/>
        <v>0</v>
      </c>
      <c r="K93" s="549"/>
    </row>
    <row r="94" spans="1:11" x14ac:dyDescent="0.25">
      <c r="A94" s="540"/>
      <c r="B94" s="540"/>
      <c r="C94" s="540"/>
      <c r="D94" s="540"/>
      <c r="E94" s="553"/>
      <c r="F94" s="540"/>
      <c r="G94" s="565" t="str">
        <f t="shared" si="7"/>
        <v/>
      </c>
      <c r="H94" s="605"/>
      <c r="I94" s="31"/>
      <c r="J94" s="606">
        <f t="shared" si="8"/>
        <v>0</v>
      </c>
      <c r="K94" s="549"/>
    </row>
    <row r="95" spans="1:11" x14ac:dyDescent="0.25">
      <c r="A95" s="540"/>
      <c r="B95" s="540"/>
      <c r="C95" s="540"/>
      <c r="D95" s="540"/>
      <c r="E95" s="553"/>
      <c r="F95" s="540"/>
      <c r="G95" s="565" t="str">
        <f t="shared" si="7"/>
        <v/>
      </c>
      <c r="H95" s="605"/>
      <c r="I95" s="31"/>
      <c r="J95" s="606">
        <f t="shared" si="8"/>
        <v>0</v>
      </c>
      <c r="K95" s="549"/>
    </row>
    <row r="96" spans="1:11" x14ac:dyDescent="0.25">
      <c r="A96" s="540"/>
      <c r="B96" s="540"/>
      <c r="C96" s="540"/>
      <c r="D96" s="540"/>
      <c r="E96" s="553"/>
      <c r="F96" s="540"/>
      <c r="G96" s="565" t="str">
        <f t="shared" si="7"/>
        <v/>
      </c>
      <c r="H96" s="605"/>
      <c r="I96" s="31"/>
      <c r="J96" s="606">
        <f t="shared" si="8"/>
        <v>0</v>
      </c>
      <c r="K96" s="549"/>
    </row>
    <row r="97" spans="1:11" x14ac:dyDescent="0.25">
      <c r="A97" s="540"/>
      <c r="B97" s="540"/>
      <c r="C97" s="540"/>
      <c r="D97" s="540"/>
      <c r="E97" s="553"/>
      <c r="F97" s="540"/>
      <c r="G97" s="565" t="str">
        <f t="shared" si="7"/>
        <v/>
      </c>
      <c r="H97" s="605"/>
      <c r="I97" s="31"/>
      <c r="J97" s="606">
        <f t="shared" si="8"/>
        <v>0</v>
      </c>
      <c r="K97" s="549"/>
    </row>
    <row r="98" spans="1:11" x14ac:dyDescent="0.25">
      <c r="A98" s="540"/>
      <c r="B98" s="540"/>
      <c r="C98" s="540"/>
      <c r="D98" s="540"/>
      <c r="E98" s="553"/>
      <c r="F98" s="540"/>
      <c r="G98" s="565" t="str">
        <f t="shared" si="7"/>
        <v/>
      </c>
      <c r="H98" s="605"/>
      <c r="I98" s="31"/>
      <c r="J98" s="606">
        <f t="shared" si="8"/>
        <v>0</v>
      </c>
      <c r="K98" s="549"/>
    </row>
    <row r="99" spans="1:11" x14ac:dyDescent="0.25">
      <c r="A99" s="540"/>
      <c r="B99" s="540"/>
      <c r="C99" s="540"/>
      <c r="D99" s="540"/>
      <c r="E99" s="553"/>
      <c r="F99" s="540"/>
      <c r="G99" s="565" t="str">
        <f t="shared" si="7"/>
        <v/>
      </c>
      <c r="H99" s="605"/>
      <c r="I99" s="31"/>
      <c r="J99" s="606">
        <f t="shared" si="8"/>
        <v>0</v>
      </c>
      <c r="K99" s="549"/>
    </row>
    <row r="100" spans="1:11" x14ac:dyDescent="0.25">
      <c r="A100" s="540"/>
      <c r="B100" s="540"/>
      <c r="C100" s="540"/>
      <c r="D100" s="540"/>
      <c r="E100" s="553"/>
      <c r="F100" s="540"/>
      <c r="G100" s="565" t="str">
        <f t="shared" si="7"/>
        <v/>
      </c>
      <c r="H100" s="605"/>
      <c r="I100" s="31"/>
      <c r="J100" s="606">
        <f t="shared" si="8"/>
        <v>0</v>
      </c>
      <c r="K100" s="549"/>
    </row>
    <row r="101" spans="1:11" x14ac:dyDescent="0.25">
      <c r="A101" s="540"/>
      <c r="B101" s="540"/>
      <c r="C101" s="540"/>
      <c r="D101" s="540"/>
      <c r="E101" s="553"/>
      <c r="F101" s="540"/>
      <c r="G101" s="565" t="str">
        <f t="shared" si="7"/>
        <v/>
      </c>
      <c r="H101" s="605"/>
      <c r="I101" s="31"/>
      <c r="J101" s="606">
        <f t="shared" si="8"/>
        <v>0</v>
      </c>
      <c r="K101" s="549"/>
    </row>
    <row r="102" spans="1:11" x14ac:dyDescent="0.25">
      <c r="A102" s="540"/>
      <c r="B102" s="540"/>
      <c r="C102" s="540"/>
      <c r="D102" s="540"/>
      <c r="E102" s="553"/>
      <c r="F102" s="540"/>
      <c r="G102" s="565" t="str">
        <f t="shared" si="7"/>
        <v/>
      </c>
      <c r="H102" s="605"/>
      <c r="I102" s="31"/>
      <c r="J102" s="606">
        <f t="shared" si="8"/>
        <v>0</v>
      </c>
      <c r="K102" s="549"/>
    </row>
    <row r="103" spans="1:11" x14ac:dyDescent="0.25">
      <c r="A103" s="540"/>
      <c r="B103" s="540"/>
      <c r="C103" s="540"/>
      <c r="D103" s="540"/>
      <c r="E103" s="553"/>
      <c r="F103" s="540"/>
      <c r="G103" s="565" t="str">
        <f t="shared" si="7"/>
        <v/>
      </c>
      <c r="H103" s="605"/>
      <c r="I103" s="31"/>
      <c r="J103" s="606">
        <f t="shared" si="8"/>
        <v>0</v>
      </c>
      <c r="K103" s="549"/>
    </row>
    <row r="104" spans="1:11" x14ac:dyDescent="0.25">
      <c r="A104" s="540"/>
      <c r="B104" s="540"/>
      <c r="C104" s="540"/>
      <c r="D104" s="540"/>
      <c r="E104" s="553"/>
      <c r="F104" s="540"/>
      <c r="G104" s="565" t="str">
        <f t="shared" si="7"/>
        <v/>
      </c>
      <c r="H104" s="605"/>
      <c r="I104" s="31"/>
      <c r="J104" s="606">
        <f t="shared" si="8"/>
        <v>0</v>
      </c>
      <c r="K104" s="549"/>
    </row>
    <row r="105" spans="1:11" x14ac:dyDescent="0.25">
      <c r="A105" s="540"/>
      <c r="B105" s="540"/>
      <c r="C105" s="540"/>
      <c r="D105" s="540"/>
      <c r="E105" s="553"/>
      <c r="F105" s="540"/>
      <c r="G105" s="565" t="str">
        <f t="shared" si="7"/>
        <v/>
      </c>
      <c r="H105" s="605"/>
      <c r="I105" s="31"/>
      <c r="J105" s="606">
        <f t="shared" si="8"/>
        <v>0</v>
      </c>
      <c r="K105" s="549"/>
    </row>
    <row r="106" spans="1:11" x14ac:dyDescent="0.25">
      <c r="A106" s="540"/>
      <c r="B106" s="540"/>
      <c r="C106" s="540"/>
      <c r="D106" s="540"/>
      <c r="E106" s="553"/>
      <c r="F106" s="540"/>
      <c r="G106" s="565" t="str">
        <f t="shared" si="7"/>
        <v/>
      </c>
      <c r="H106" s="605"/>
      <c r="I106" s="31"/>
      <c r="J106" s="606">
        <f t="shared" si="8"/>
        <v>0</v>
      </c>
      <c r="K106" s="549"/>
    </row>
    <row r="107" spans="1:11" x14ac:dyDescent="0.25">
      <c r="A107" s="540"/>
      <c r="B107" s="540"/>
      <c r="C107" s="540"/>
      <c r="D107" s="540"/>
      <c r="E107" s="553"/>
      <c r="F107" s="540"/>
      <c r="G107" s="565" t="str">
        <f t="shared" si="7"/>
        <v/>
      </c>
      <c r="H107" s="605"/>
      <c r="I107" s="31"/>
      <c r="J107" s="606">
        <f t="shared" si="8"/>
        <v>0</v>
      </c>
      <c r="K107" s="549"/>
    </row>
    <row r="108" spans="1:11" x14ac:dyDescent="0.25">
      <c r="A108" s="540"/>
      <c r="B108" s="540"/>
      <c r="C108" s="540"/>
      <c r="D108" s="540"/>
      <c r="E108" s="553"/>
      <c r="F108" s="540"/>
      <c r="G108" s="565" t="str">
        <f t="shared" si="7"/>
        <v/>
      </c>
      <c r="H108" s="605"/>
      <c r="I108" s="31"/>
      <c r="J108" s="606">
        <f t="shared" si="8"/>
        <v>0</v>
      </c>
      <c r="K108" s="549"/>
    </row>
    <row r="109" spans="1:11" x14ac:dyDescent="0.25">
      <c r="A109" s="540"/>
      <c r="B109" s="540"/>
      <c r="C109" s="540"/>
      <c r="D109" s="540"/>
      <c r="E109" s="553"/>
      <c r="F109" s="540"/>
      <c r="G109" s="565" t="str">
        <f t="shared" si="7"/>
        <v/>
      </c>
      <c r="H109" s="605"/>
      <c r="I109" s="31"/>
      <c r="J109" s="606">
        <f t="shared" si="8"/>
        <v>0</v>
      </c>
      <c r="K109" s="549"/>
    </row>
    <row r="110" spans="1:11" x14ac:dyDescent="0.25">
      <c r="A110" s="540"/>
      <c r="B110" s="540"/>
      <c r="C110" s="540"/>
      <c r="D110" s="540"/>
      <c r="E110" s="553"/>
      <c r="F110" s="540"/>
      <c r="G110" s="565" t="str">
        <f t="shared" si="7"/>
        <v/>
      </c>
      <c r="H110" s="605"/>
      <c r="I110" s="31"/>
      <c r="J110" s="606">
        <f t="shared" si="8"/>
        <v>0</v>
      </c>
      <c r="K110" s="549"/>
    </row>
    <row r="111" spans="1:11" x14ac:dyDescent="0.25">
      <c r="A111" s="540"/>
      <c r="B111" s="540"/>
      <c r="C111" s="540"/>
      <c r="D111" s="540"/>
      <c r="E111" s="553"/>
      <c r="F111" s="540"/>
      <c r="G111" s="565" t="str">
        <f t="shared" si="7"/>
        <v/>
      </c>
      <c r="H111" s="605"/>
      <c r="I111" s="31"/>
      <c r="J111" s="606">
        <f t="shared" si="8"/>
        <v>0</v>
      </c>
      <c r="K111" s="549"/>
    </row>
    <row r="112" spans="1:11" x14ac:dyDescent="0.25">
      <c r="A112" s="540"/>
      <c r="B112" s="540"/>
      <c r="C112" s="540"/>
      <c r="D112" s="540"/>
      <c r="E112" s="553"/>
      <c r="F112" s="540"/>
      <c r="G112" s="565" t="str">
        <f t="shared" si="7"/>
        <v/>
      </c>
      <c r="H112" s="605"/>
      <c r="I112" s="31"/>
      <c r="J112" s="606">
        <f t="shared" si="8"/>
        <v>0</v>
      </c>
      <c r="K112" s="549"/>
    </row>
    <row r="113" spans="1:11" x14ac:dyDescent="0.25">
      <c r="A113" s="540"/>
      <c r="B113" s="540"/>
      <c r="C113" s="540"/>
      <c r="D113" s="540"/>
      <c r="E113" s="553"/>
      <c r="F113" s="540"/>
      <c r="G113" s="565" t="str">
        <f t="shared" si="7"/>
        <v/>
      </c>
      <c r="H113" s="605"/>
      <c r="I113" s="31"/>
      <c r="J113" s="606">
        <f t="shared" si="8"/>
        <v>0</v>
      </c>
      <c r="K113" s="549"/>
    </row>
    <row r="114" spans="1:11" x14ac:dyDescent="0.25">
      <c r="A114" s="540"/>
      <c r="B114" s="540"/>
      <c r="C114" s="540"/>
      <c r="D114" s="540"/>
      <c r="E114" s="553"/>
      <c r="F114" s="540"/>
      <c r="G114" s="565" t="str">
        <f t="shared" si="7"/>
        <v/>
      </c>
      <c r="H114" s="605"/>
      <c r="I114" s="31"/>
      <c r="J114" s="606">
        <f t="shared" si="8"/>
        <v>0</v>
      </c>
      <c r="K114" s="549"/>
    </row>
    <row r="115" spans="1:11" x14ac:dyDescent="0.25">
      <c r="A115" s="540"/>
      <c r="B115" s="540"/>
      <c r="C115" s="540"/>
      <c r="D115" s="540"/>
      <c r="E115" s="553"/>
      <c r="F115" s="540"/>
      <c r="G115" s="565" t="str">
        <f t="shared" si="7"/>
        <v/>
      </c>
      <c r="H115" s="605"/>
      <c r="I115" s="31"/>
      <c r="J115" s="606">
        <f t="shared" si="8"/>
        <v>0</v>
      </c>
      <c r="K115" s="549"/>
    </row>
    <row r="116" spans="1:11" x14ac:dyDescent="0.25">
      <c r="A116" s="540"/>
      <c r="B116" s="540"/>
      <c r="C116" s="540"/>
      <c r="D116" s="540"/>
      <c r="E116" s="553"/>
      <c r="F116" s="540"/>
      <c r="G116" s="565" t="str">
        <f t="shared" si="7"/>
        <v/>
      </c>
      <c r="H116" s="605"/>
      <c r="I116" s="31"/>
      <c r="J116" s="606">
        <f t="shared" si="8"/>
        <v>0</v>
      </c>
      <c r="K116" s="549"/>
    </row>
    <row r="117" spans="1:11" x14ac:dyDescent="0.25">
      <c r="A117" s="540"/>
      <c r="B117" s="540"/>
      <c r="C117" s="540"/>
      <c r="D117" s="540"/>
      <c r="E117" s="553"/>
      <c r="F117" s="540"/>
      <c r="G117" s="565" t="str">
        <f t="shared" si="7"/>
        <v/>
      </c>
      <c r="H117" s="605"/>
      <c r="I117" s="31"/>
      <c r="J117" s="606">
        <f t="shared" si="8"/>
        <v>0</v>
      </c>
      <c r="K117" s="549"/>
    </row>
    <row r="118" spans="1:11" x14ac:dyDescent="0.25">
      <c r="A118" s="540"/>
      <c r="B118" s="540"/>
      <c r="C118" s="540"/>
      <c r="D118" s="540"/>
      <c r="E118" s="553"/>
      <c r="F118" s="540"/>
      <c r="G118" s="565" t="str">
        <f t="shared" si="7"/>
        <v/>
      </c>
      <c r="H118" s="605"/>
      <c r="I118" s="31"/>
      <c r="J118" s="606">
        <f t="shared" si="8"/>
        <v>0</v>
      </c>
      <c r="K118" s="549"/>
    </row>
    <row r="119" spans="1:11" x14ac:dyDescent="0.25">
      <c r="A119" s="540"/>
      <c r="B119" s="540"/>
      <c r="C119" s="540"/>
      <c r="D119" s="540"/>
      <c r="E119" s="553"/>
      <c r="F119" s="540"/>
      <c r="G119" s="565" t="str">
        <f t="shared" si="7"/>
        <v/>
      </c>
      <c r="H119" s="605"/>
      <c r="I119" s="31"/>
      <c r="J119" s="606">
        <f t="shared" si="8"/>
        <v>0</v>
      </c>
      <c r="K119" s="549"/>
    </row>
    <row r="120" spans="1:11" x14ac:dyDescent="0.25">
      <c r="A120" s="540"/>
      <c r="B120" s="540"/>
      <c r="C120" s="540"/>
      <c r="D120" s="540"/>
      <c r="E120" s="553"/>
      <c r="F120" s="540"/>
      <c r="G120" s="565" t="str">
        <f t="shared" si="7"/>
        <v/>
      </c>
      <c r="H120" s="605"/>
      <c r="I120" s="31"/>
      <c r="J120" s="606">
        <f t="shared" si="8"/>
        <v>0</v>
      </c>
      <c r="K120" s="549"/>
    </row>
    <row r="121" spans="1:11" x14ac:dyDescent="0.25">
      <c r="A121" s="540"/>
      <c r="B121" s="540"/>
      <c r="C121" s="540"/>
      <c r="D121" s="540"/>
      <c r="E121" s="553"/>
      <c r="F121" s="540"/>
      <c r="G121" s="565" t="str">
        <f t="shared" si="7"/>
        <v/>
      </c>
      <c r="H121" s="605"/>
      <c r="I121" s="31"/>
      <c r="J121" s="606">
        <f t="shared" si="8"/>
        <v>0</v>
      </c>
      <c r="K121" s="549"/>
    </row>
    <row r="122" spans="1:11" x14ac:dyDescent="0.25">
      <c r="A122" s="540"/>
      <c r="B122" s="540"/>
      <c r="C122" s="540"/>
      <c r="D122" s="540"/>
      <c r="E122" s="553"/>
      <c r="F122" s="540"/>
      <c r="G122" s="565" t="str">
        <f t="shared" si="7"/>
        <v/>
      </c>
      <c r="H122" s="605"/>
      <c r="I122" s="31"/>
      <c r="J122" s="606">
        <f t="shared" si="8"/>
        <v>0</v>
      </c>
      <c r="K122" s="549"/>
    </row>
    <row r="123" spans="1:11" x14ac:dyDescent="0.25">
      <c r="A123" s="540"/>
      <c r="B123" s="540"/>
      <c r="C123" s="540"/>
      <c r="D123" s="540"/>
      <c r="E123" s="553"/>
      <c r="F123" s="540"/>
      <c r="G123" s="565" t="str">
        <f t="shared" si="7"/>
        <v/>
      </c>
      <c r="H123" s="605"/>
      <c r="I123" s="31"/>
      <c r="J123" s="606">
        <f t="shared" si="8"/>
        <v>0</v>
      </c>
      <c r="K123" s="549"/>
    </row>
    <row r="124" spans="1:11" x14ac:dyDescent="0.25">
      <c r="A124" s="540"/>
      <c r="B124" s="540"/>
      <c r="C124" s="540"/>
      <c r="D124" s="540"/>
      <c r="E124" s="553"/>
      <c r="F124" s="540"/>
      <c r="G124" s="565" t="str">
        <f t="shared" si="7"/>
        <v/>
      </c>
      <c r="H124" s="605"/>
      <c r="I124" s="31"/>
      <c r="J124" s="606">
        <f t="shared" si="8"/>
        <v>0</v>
      </c>
      <c r="K124" s="549"/>
    </row>
    <row r="125" spans="1:11" x14ac:dyDescent="0.25">
      <c r="A125" s="540"/>
      <c r="B125" s="540"/>
      <c r="C125" s="540"/>
      <c r="D125" s="540"/>
      <c r="E125" s="553"/>
      <c r="F125" s="540"/>
      <c r="G125" s="565" t="str">
        <f t="shared" si="7"/>
        <v/>
      </c>
      <c r="H125" s="605"/>
      <c r="I125" s="31"/>
      <c r="J125" s="606">
        <f t="shared" si="8"/>
        <v>0</v>
      </c>
      <c r="K125" s="549"/>
    </row>
    <row r="126" spans="1:11" x14ac:dyDescent="0.25">
      <c r="A126" s="540"/>
      <c r="B126" s="540"/>
      <c r="C126" s="540"/>
      <c r="D126" s="540"/>
      <c r="E126" s="553"/>
      <c r="F126" s="540"/>
      <c r="G126" s="565" t="str">
        <f t="shared" si="7"/>
        <v/>
      </c>
      <c r="H126" s="605"/>
      <c r="I126" s="31"/>
      <c r="J126" s="606">
        <f t="shared" si="8"/>
        <v>0</v>
      </c>
      <c r="K126" s="549"/>
    </row>
    <row r="127" spans="1:11" x14ac:dyDescent="0.25">
      <c r="A127" s="540"/>
      <c r="B127" s="540"/>
      <c r="C127" s="540"/>
      <c r="D127" s="540"/>
      <c r="E127" s="553"/>
      <c r="F127" s="540"/>
      <c r="G127" s="565" t="str">
        <f t="shared" si="7"/>
        <v/>
      </c>
      <c r="H127" s="605"/>
      <c r="I127" s="31"/>
      <c r="J127" s="606">
        <f t="shared" si="8"/>
        <v>0</v>
      </c>
      <c r="K127" s="549"/>
    </row>
    <row r="128" spans="1:11" x14ac:dyDescent="0.25">
      <c r="A128" s="540"/>
      <c r="B128" s="540"/>
      <c r="C128" s="540"/>
      <c r="D128" s="540"/>
      <c r="E128" s="553"/>
      <c r="F128" s="540"/>
      <c r="G128" s="565" t="str">
        <f t="shared" si="7"/>
        <v/>
      </c>
      <c r="H128" s="605"/>
      <c r="I128" s="31"/>
      <c r="J128" s="606">
        <f t="shared" si="8"/>
        <v>0</v>
      </c>
      <c r="K128" s="549"/>
    </row>
    <row r="129" spans="1:11" x14ac:dyDescent="0.25">
      <c r="A129" s="540"/>
      <c r="B129" s="540"/>
      <c r="C129" s="540"/>
      <c r="D129" s="540"/>
      <c r="E129" s="553"/>
      <c r="F129" s="540"/>
      <c r="G129" s="565" t="str">
        <f t="shared" si="7"/>
        <v/>
      </c>
      <c r="H129" s="605"/>
      <c r="I129" s="31"/>
      <c r="J129" s="606">
        <f t="shared" si="8"/>
        <v>0</v>
      </c>
      <c r="K129" s="549"/>
    </row>
    <row r="130" spans="1:11" x14ac:dyDescent="0.25">
      <c r="A130" s="540"/>
      <c r="B130" s="540"/>
      <c r="C130" s="540"/>
      <c r="D130" s="540"/>
      <c r="E130" s="553"/>
      <c r="F130" s="540"/>
      <c r="G130" s="565" t="str">
        <f t="shared" si="7"/>
        <v/>
      </c>
      <c r="H130" s="605"/>
      <c r="I130" s="31"/>
      <c r="J130" s="606">
        <f t="shared" si="8"/>
        <v>0</v>
      </c>
      <c r="K130" s="549"/>
    </row>
    <row r="131" spans="1:11" x14ac:dyDescent="0.25">
      <c r="A131" s="540"/>
      <c r="B131" s="540"/>
      <c r="C131" s="540"/>
      <c r="D131" s="540"/>
      <c r="E131" s="553"/>
      <c r="F131" s="540"/>
      <c r="G131" s="565" t="str">
        <f t="shared" si="7"/>
        <v/>
      </c>
      <c r="H131" s="605"/>
      <c r="I131" s="31"/>
      <c r="J131" s="606">
        <f t="shared" si="8"/>
        <v>0</v>
      </c>
      <c r="K131" s="549"/>
    </row>
    <row r="132" spans="1:11" x14ac:dyDescent="0.25">
      <c r="A132" s="540"/>
      <c r="B132" s="540"/>
      <c r="C132" s="540"/>
      <c r="D132" s="540"/>
      <c r="E132" s="553"/>
      <c r="F132" s="540"/>
      <c r="G132" s="565" t="str">
        <f t="shared" si="7"/>
        <v/>
      </c>
      <c r="H132" s="605"/>
      <c r="I132" s="31"/>
      <c r="J132" s="606">
        <f t="shared" si="8"/>
        <v>0</v>
      </c>
      <c r="K132" s="549"/>
    </row>
    <row r="133" spans="1:11" x14ac:dyDescent="0.25">
      <c r="A133" s="540"/>
      <c r="B133" s="540"/>
      <c r="C133" s="540"/>
      <c r="D133" s="540"/>
      <c r="E133" s="553"/>
      <c r="F133" s="540"/>
      <c r="G133" s="565" t="str">
        <f t="shared" si="7"/>
        <v/>
      </c>
      <c r="H133" s="605"/>
      <c r="I133" s="31"/>
      <c r="J133" s="606">
        <f t="shared" si="8"/>
        <v>0</v>
      </c>
      <c r="K133" s="549"/>
    </row>
    <row r="134" spans="1:11" x14ac:dyDescent="0.25">
      <c r="A134" s="540"/>
      <c r="B134" s="540"/>
      <c r="C134" s="540"/>
      <c r="D134" s="540"/>
      <c r="E134" s="553"/>
      <c r="F134" s="540"/>
      <c r="G134" s="565" t="str">
        <f t="shared" si="7"/>
        <v/>
      </c>
      <c r="H134" s="605"/>
      <c r="I134" s="31"/>
      <c r="J134" s="606">
        <f t="shared" si="8"/>
        <v>0</v>
      </c>
      <c r="K134" s="549"/>
    </row>
    <row r="135" spans="1:11" x14ac:dyDescent="0.25">
      <c r="A135" s="540"/>
      <c r="B135" s="540"/>
      <c r="C135" s="540"/>
      <c r="D135" s="540"/>
      <c r="E135" s="553"/>
      <c r="F135" s="540"/>
      <c r="G135" s="565" t="str">
        <f t="shared" si="7"/>
        <v/>
      </c>
      <c r="H135" s="605"/>
      <c r="I135" s="31"/>
      <c r="J135" s="606">
        <f t="shared" si="8"/>
        <v>0</v>
      </c>
      <c r="K135" s="549"/>
    </row>
    <row r="136" spans="1:11" x14ac:dyDescent="0.25">
      <c r="A136" s="540"/>
      <c r="B136" s="540"/>
      <c r="C136" s="540"/>
      <c r="D136" s="540"/>
      <c r="E136" s="553"/>
      <c r="F136" s="540"/>
      <c r="G136" s="565" t="str">
        <f t="shared" si="7"/>
        <v/>
      </c>
      <c r="H136" s="605"/>
      <c r="I136" s="31"/>
      <c r="J136" s="606">
        <f t="shared" si="8"/>
        <v>0</v>
      </c>
      <c r="K136" s="549"/>
    </row>
    <row r="137" spans="1:11" x14ac:dyDescent="0.25">
      <c r="A137" s="540"/>
      <c r="B137" s="540"/>
      <c r="C137" s="540"/>
      <c r="D137" s="540"/>
      <c r="E137" s="553"/>
      <c r="F137" s="540"/>
      <c r="G137" s="565" t="str">
        <f t="shared" si="7"/>
        <v/>
      </c>
      <c r="H137" s="605"/>
      <c r="I137" s="31"/>
      <c r="J137" s="606">
        <f t="shared" si="8"/>
        <v>0</v>
      </c>
      <c r="K137" s="549"/>
    </row>
    <row r="138" spans="1:11" x14ac:dyDescent="0.25">
      <c r="A138" s="540"/>
      <c r="B138" s="540"/>
      <c r="C138" s="540"/>
      <c r="D138" s="540"/>
      <c r="E138" s="553"/>
      <c r="F138" s="540"/>
      <c r="G138" s="565" t="str">
        <f t="shared" si="7"/>
        <v/>
      </c>
      <c r="H138" s="605"/>
      <c r="I138" s="31"/>
      <c r="J138" s="606">
        <f t="shared" si="8"/>
        <v>0</v>
      </c>
      <c r="K138" s="549"/>
    </row>
    <row r="139" spans="1:11" x14ac:dyDescent="0.25">
      <c r="A139" s="540"/>
      <c r="B139" s="540"/>
      <c r="C139" s="540"/>
      <c r="D139" s="540"/>
      <c r="E139" s="553"/>
      <c r="F139" s="540"/>
      <c r="G139" s="565" t="str">
        <f t="shared" ref="G139:G202" si="9">IF(E139="","",IF(E139+$M$2&lt;$L$2,"VENCIDA","VIGENTE"))</f>
        <v/>
      </c>
      <c r="H139" s="605"/>
      <c r="I139" s="31"/>
      <c r="J139" s="606">
        <f t="shared" ref="J139:J202" si="10">H139-I139</f>
        <v>0</v>
      </c>
      <c r="K139" s="549"/>
    </row>
    <row r="140" spans="1:11" x14ac:dyDescent="0.25">
      <c r="A140" s="540"/>
      <c r="B140" s="540"/>
      <c r="C140" s="540"/>
      <c r="D140" s="540"/>
      <c r="E140" s="553"/>
      <c r="F140" s="540"/>
      <c r="G140" s="565" t="str">
        <f t="shared" si="9"/>
        <v/>
      </c>
      <c r="H140" s="605"/>
      <c r="I140" s="31"/>
      <c r="J140" s="606">
        <f t="shared" si="10"/>
        <v>0</v>
      </c>
      <c r="K140" s="549"/>
    </row>
    <row r="141" spans="1:11" x14ac:dyDescent="0.25">
      <c r="A141" s="540"/>
      <c r="B141" s="540"/>
      <c r="C141" s="540"/>
      <c r="D141" s="540"/>
      <c r="E141" s="553"/>
      <c r="F141" s="540"/>
      <c r="G141" s="565" t="str">
        <f t="shared" si="9"/>
        <v/>
      </c>
      <c r="H141" s="605"/>
      <c r="I141" s="31"/>
      <c r="J141" s="606">
        <f t="shared" si="10"/>
        <v>0</v>
      </c>
      <c r="K141" s="549"/>
    </row>
    <row r="142" spans="1:11" x14ac:dyDescent="0.25">
      <c r="A142" s="540"/>
      <c r="B142" s="540"/>
      <c r="C142" s="540"/>
      <c r="D142" s="540"/>
      <c r="E142" s="553"/>
      <c r="F142" s="540"/>
      <c r="G142" s="565" t="str">
        <f t="shared" si="9"/>
        <v/>
      </c>
      <c r="H142" s="605"/>
      <c r="I142" s="31"/>
      <c r="J142" s="606">
        <f t="shared" si="10"/>
        <v>0</v>
      </c>
      <c r="K142" s="549"/>
    </row>
    <row r="143" spans="1:11" x14ac:dyDescent="0.25">
      <c r="A143" s="540"/>
      <c r="B143" s="540"/>
      <c r="C143" s="540"/>
      <c r="D143" s="540"/>
      <c r="E143" s="553"/>
      <c r="F143" s="540"/>
      <c r="G143" s="565" t="str">
        <f t="shared" si="9"/>
        <v/>
      </c>
      <c r="H143" s="605"/>
      <c r="I143" s="31"/>
      <c r="J143" s="606">
        <f t="shared" si="10"/>
        <v>0</v>
      </c>
      <c r="K143" s="549"/>
    </row>
    <row r="144" spans="1:11" x14ac:dyDescent="0.25">
      <c r="A144" s="540"/>
      <c r="B144" s="540"/>
      <c r="C144" s="540"/>
      <c r="D144" s="540"/>
      <c r="E144" s="553"/>
      <c r="F144" s="540"/>
      <c r="G144" s="565" t="str">
        <f t="shared" si="9"/>
        <v/>
      </c>
      <c r="H144" s="605"/>
      <c r="I144" s="31"/>
      <c r="J144" s="606">
        <f t="shared" si="10"/>
        <v>0</v>
      </c>
      <c r="K144" s="549"/>
    </row>
    <row r="145" spans="1:11" x14ac:dyDescent="0.25">
      <c r="A145" s="540"/>
      <c r="B145" s="540"/>
      <c r="C145" s="540"/>
      <c r="D145" s="540"/>
      <c r="E145" s="553"/>
      <c r="F145" s="540"/>
      <c r="G145" s="565" t="str">
        <f t="shared" si="9"/>
        <v/>
      </c>
      <c r="H145" s="605"/>
      <c r="I145" s="31"/>
      <c r="J145" s="606">
        <f t="shared" si="10"/>
        <v>0</v>
      </c>
      <c r="K145" s="549"/>
    </row>
    <row r="146" spans="1:11" x14ac:dyDescent="0.25">
      <c r="A146" s="540"/>
      <c r="B146" s="540"/>
      <c r="C146" s="540"/>
      <c r="D146" s="540"/>
      <c r="E146" s="553"/>
      <c r="F146" s="540"/>
      <c r="G146" s="565" t="str">
        <f t="shared" si="9"/>
        <v/>
      </c>
      <c r="H146" s="605"/>
      <c r="I146" s="31"/>
      <c r="J146" s="606">
        <f t="shared" si="10"/>
        <v>0</v>
      </c>
      <c r="K146" s="549"/>
    </row>
    <row r="147" spans="1:11" x14ac:dyDescent="0.25">
      <c r="A147" s="540"/>
      <c r="B147" s="540"/>
      <c r="C147" s="540"/>
      <c r="D147" s="540"/>
      <c r="E147" s="553"/>
      <c r="F147" s="540"/>
      <c r="G147" s="565" t="str">
        <f t="shared" si="9"/>
        <v/>
      </c>
      <c r="H147" s="605"/>
      <c r="I147" s="31"/>
      <c r="J147" s="606">
        <f t="shared" si="10"/>
        <v>0</v>
      </c>
      <c r="K147" s="549"/>
    </row>
    <row r="148" spans="1:11" x14ac:dyDescent="0.25">
      <c r="A148" s="540"/>
      <c r="B148" s="540"/>
      <c r="C148" s="540"/>
      <c r="D148" s="540"/>
      <c r="E148" s="553"/>
      <c r="F148" s="540"/>
      <c r="G148" s="565" t="str">
        <f t="shared" si="9"/>
        <v/>
      </c>
      <c r="H148" s="605"/>
      <c r="I148" s="31"/>
      <c r="J148" s="606">
        <f t="shared" si="10"/>
        <v>0</v>
      </c>
      <c r="K148" s="549"/>
    </row>
    <row r="149" spans="1:11" x14ac:dyDescent="0.25">
      <c r="A149" s="540"/>
      <c r="B149" s="540"/>
      <c r="C149" s="540"/>
      <c r="D149" s="540"/>
      <c r="E149" s="553"/>
      <c r="F149" s="540"/>
      <c r="G149" s="565" t="str">
        <f t="shared" si="9"/>
        <v/>
      </c>
      <c r="H149" s="605"/>
      <c r="I149" s="31"/>
      <c r="J149" s="606">
        <f t="shared" si="10"/>
        <v>0</v>
      </c>
      <c r="K149" s="549"/>
    </row>
    <row r="150" spans="1:11" x14ac:dyDescent="0.25">
      <c r="A150" s="540"/>
      <c r="B150" s="540"/>
      <c r="C150" s="540"/>
      <c r="D150" s="540"/>
      <c r="E150" s="553"/>
      <c r="F150" s="540"/>
      <c r="G150" s="565" t="str">
        <f t="shared" si="9"/>
        <v/>
      </c>
      <c r="H150" s="605"/>
      <c r="I150" s="31"/>
      <c r="J150" s="606">
        <f t="shared" si="10"/>
        <v>0</v>
      </c>
      <c r="K150" s="549"/>
    </row>
    <row r="151" spans="1:11" x14ac:dyDescent="0.25">
      <c r="A151" s="540"/>
      <c r="B151" s="540"/>
      <c r="C151" s="540"/>
      <c r="D151" s="540"/>
      <c r="E151" s="553"/>
      <c r="F151" s="540"/>
      <c r="G151" s="565" t="str">
        <f t="shared" si="9"/>
        <v/>
      </c>
      <c r="H151" s="605"/>
      <c r="I151" s="31"/>
      <c r="J151" s="606">
        <f t="shared" si="10"/>
        <v>0</v>
      </c>
      <c r="K151" s="549"/>
    </row>
    <row r="152" spans="1:11" x14ac:dyDescent="0.25">
      <c r="A152" s="540"/>
      <c r="B152" s="540"/>
      <c r="C152" s="540"/>
      <c r="D152" s="540"/>
      <c r="E152" s="553"/>
      <c r="F152" s="540"/>
      <c r="G152" s="565" t="str">
        <f t="shared" si="9"/>
        <v/>
      </c>
      <c r="H152" s="605"/>
      <c r="I152" s="31"/>
      <c r="J152" s="606">
        <f t="shared" si="10"/>
        <v>0</v>
      </c>
      <c r="K152" s="549"/>
    </row>
    <row r="153" spans="1:11" x14ac:dyDescent="0.25">
      <c r="A153" s="540"/>
      <c r="B153" s="540"/>
      <c r="C153" s="540"/>
      <c r="D153" s="540"/>
      <c r="E153" s="553"/>
      <c r="F153" s="540"/>
      <c r="G153" s="565" t="str">
        <f t="shared" si="9"/>
        <v/>
      </c>
      <c r="H153" s="605"/>
      <c r="I153" s="31"/>
      <c r="J153" s="606">
        <f t="shared" si="10"/>
        <v>0</v>
      </c>
      <c r="K153" s="549"/>
    </row>
    <row r="154" spans="1:11" x14ac:dyDescent="0.25">
      <c r="A154" s="540"/>
      <c r="B154" s="540"/>
      <c r="C154" s="540"/>
      <c r="D154" s="540"/>
      <c r="E154" s="553"/>
      <c r="F154" s="540"/>
      <c r="G154" s="565" t="str">
        <f t="shared" si="9"/>
        <v/>
      </c>
      <c r="H154" s="605"/>
      <c r="I154" s="31"/>
      <c r="J154" s="606">
        <f t="shared" si="10"/>
        <v>0</v>
      </c>
      <c r="K154" s="549"/>
    </row>
    <row r="155" spans="1:11" x14ac:dyDescent="0.25">
      <c r="A155" s="540"/>
      <c r="B155" s="540"/>
      <c r="C155" s="540"/>
      <c r="D155" s="540"/>
      <c r="E155" s="553"/>
      <c r="F155" s="540"/>
      <c r="G155" s="565" t="str">
        <f t="shared" si="9"/>
        <v/>
      </c>
      <c r="H155" s="605"/>
      <c r="I155" s="31"/>
      <c r="J155" s="606">
        <f t="shared" si="10"/>
        <v>0</v>
      </c>
      <c r="K155" s="549"/>
    </row>
    <row r="156" spans="1:11" x14ac:dyDescent="0.25">
      <c r="A156" s="540"/>
      <c r="B156" s="540"/>
      <c r="C156" s="540"/>
      <c r="D156" s="540"/>
      <c r="E156" s="553"/>
      <c r="F156" s="540"/>
      <c r="G156" s="565" t="str">
        <f t="shared" si="9"/>
        <v/>
      </c>
      <c r="H156" s="605"/>
      <c r="I156" s="31"/>
      <c r="J156" s="606">
        <f t="shared" si="10"/>
        <v>0</v>
      </c>
      <c r="K156" s="549"/>
    </row>
    <row r="157" spans="1:11" x14ac:dyDescent="0.25">
      <c r="A157" s="540"/>
      <c r="B157" s="540"/>
      <c r="C157" s="540"/>
      <c r="D157" s="540"/>
      <c r="E157" s="553"/>
      <c r="F157" s="540"/>
      <c r="G157" s="565" t="str">
        <f t="shared" si="9"/>
        <v/>
      </c>
      <c r="H157" s="605"/>
      <c r="I157" s="31"/>
      <c r="J157" s="606">
        <f t="shared" si="10"/>
        <v>0</v>
      </c>
      <c r="K157" s="549"/>
    </row>
    <row r="158" spans="1:11" x14ac:dyDescent="0.25">
      <c r="A158" s="540"/>
      <c r="B158" s="540"/>
      <c r="C158" s="540"/>
      <c r="D158" s="540"/>
      <c r="E158" s="553"/>
      <c r="F158" s="540"/>
      <c r="G158" s="565" t="str">
        <f t="shared" si="9"/>
        <v/>
      </c>
      <c r="H158" s="605"/>
      <c r="I158" s="31"/>
      <c r="J158" s="606">
        <f t="shared" si="10"/>
        <v>0</v>
      </c>
      <c r="K158" s="549"/>
    </row>
    <row r="159" spans="1:11" x14ac:dyDescent="0.25">
      <c r="A159" s="540"/>
      <c r="B159" s="540"/>
      <c r="C159" s="540"/>
      <c r="D159" s="540"/>
      <c r="E159" s="553"/>
      <c r="F159" s="540"/>
      <c r="G159" s="565" t="str">
        <f t="shared" si="9"/>
        <v/>
      </c>
      <c r="H159" s="605"/>
      <c r="I159" s="31"/>
      <c r="J159" s="606">
        <f t="shared" si="10"/>
        <v>0</v>
      </c>
      <c r="K159" s="549"/>
    </row>
    <row r="160" spans="1:11" x14ac:dyDescent="0.25">
      <c r="A160" s="540"/>
      <c r="B160" s="540"/>
      <c r="C160" s="540"/>
      <c r="D160" s="540"/>
      <c r="E160" s="553"/>
      <c r="F160" s="540"/>
      <c r="G160" s="565" t="str">
        <f t="shared" si="9"/>
        <v/>
      </c>
      <c r="H160" s="605"/>
      <c r="I160" s="31"/>
      <c r="J160" s="606">
        <f t="shared" si="10"/>
        <v>0</v>
      </c>
      <c r="K160" s="549"/>
    </row>
    <row r="161" spans="1:11" x14ac:dyDescent="0.25">
      <c r="A161" s="540"/>
      <c r="B161" s="540"/>
      <c r="C161" s="540"/>
      <c r="D161" s="540"/>
      <c r="E161" s="553"/>
      <c r="F161" s="540"/>
      <c r="G161" s="565" t="str">
        <f t="shared" si="9"/>
        <v/>
      </c>
      <c r="H161" s="605"/>
      <c r="I161" s="31"/>
      <c r="J161" s="606">
        <f t="shared" si="10"/>
        <v>0</v>
      </c>
      <c r="K161" s="549"/>
    </row>
    <row r="162" spans="1:11" x14ac:dyDescent="0.25">
      <c r="A162" s="540"/>
      <c r="B162" s="540"/>
      <c r="C162" s="540"/>
      <c r="D162" s="540"/>
      <c r="E162" s="553"/>
      <c r="F162" s="540"/>
      <c r="G162" s="565" t="str">
        <f t="shared" si="9"/>
        <v/>
      </c>
      <c r="H162" s="605"/>
      <c r="I162" s="31"/>
      <c r="J162" s="606">
        <f t="shared" si="10"/>
        <v>0</v>
      </c>
      <c r="K162" s="549"/>
    </row>
    <row r="163" spans="1:11" x14ac:dyDescent="0.25">
      <c r="A163" s="540"/>
      <c r="B163" s="540"/>
      <c r="C163" s="540"/>
      <c r="D163" s="540"/>
      <c r="E163" s="553"/>
      <c r="F163" s="540"/>
      <c r="G163" s="565" t="str">
        <f t="shared" si="9"/>
        <v/>
      </c>
      <c r="H163" s="605"/>
      <c r="I163" s="31"/>
      <c r="J163" s="606">
        <f t="shared" si="10"/>
        <v>0</v>
      </c>
      <c r="K163" s="549"/>
    </row>
    <row r="164" spans="1:11" x14ac:dyDescent="0.25">
      <c r="A164" s="540"/>
      <c r="B164" s="540"/>
      <c r="C164" s="540"/>
      <c r="D164" s="540"/>
      <c r="E164" s="553"/>
      <c r="F164" s="540"/>
      <c r="G164" s="565" t="str">
        <f t="shared" si="9"/>
        <v/>
      </c>
      <c r="H164" s="605"/>
      <c r="I164" s="31"/>
      <c r="J164" s="606">
        <f t="shared" si="10"/>
        <v>0</v>
      </c>
      <c r="K164" s="549"/>
    </row>
    <row r="165" spans="1:11" x14ac:dyDescent="0.25">
      <c r="A165" s="540"/>
      <c r="B165" s="540"/>
      <c r="C165" s="540"/>
      <c r="D165" s="540"/>
      <c r="E165" s="553"/>
      <c r="F165" s="540"/>
      <c r="G165" s="565" t="str">
        <f t="shared" si="9"/>
        <v/>
      </c>
      <c r="H165" s="605"/>
      <c r="I165" s="31"/>
      <c r="J165" s="606">
        <f t="shared" si="10"/>
        <v>0</v>
      </c>
      <c r="K165" s="549"/>
    </row>
    <row r="166" spans="1:11" x14ac:dyDescent="0.25">
      <c r="A166" s="540"/>
      <c r="B166" s="540"/>
      <c r="C166" s="540"/>
      <c r="D166" s="540"/>
      <c r="E166" s="553"/>
      <c r="F166" s="540"/>
      <c r="G166" s="565" t="str">
        <f t="shared" si="9"/>
        <v/>
      </c>
      <c r="H166" s="605"/>
      <c r="I166" s="31"/>
      <c r="J166" s="606">
        <f t="shared" si="10"/>
        <v>0</v>
      </c>
      <c r="K166" s="549"/>
    </row>
    <row r="167" spans="1:11" x14ac:dyDescent="0.25">
      <c r="A167" s="540"/>
      <c r="B167" s="540"/>
      <c r="C167" s="540"/>
      <c r="D167" s="540"/>
      <c r="E167" s="553"/>
      <c r="F167" s="540"/>
      <c r="G167" s="565" t="str">
        <f t="shared" si="9"/>
        <v/>
      </c>
      <c r="H167" s="605"/>
      <c r="I167" s="31"/>
      <c r="J167" s="606">
        <f t="shared" si="10"/>
        <v>0</v>
      </c>
      <c r="K167" s="549"/>
    </row>
    <row r="168" spans="1:11" x14ac:dyDescent="0.25">
      <c r="A168" s="540"/>
      <c r="B168" s="540"/>
      <c r="C168" s="540"/>
      <c r="D168" s="540"/>
      <c r="E168" s="553"/>
      <c r="F168" s="540"/>
      <c r="G168" s="565" t="str">
        <f t="shared" si="9"/>
        <v/>
      </c>
      <c r="H168" s="605"/>
      <c r="I168" s="31"/>
      <c r="J168" s="606">
        <f t="shared" si="10"/>
        <v>0</v>
      </c>
      <c r="K168" s="549"/>
    </row>
    <row r="169" spans="1:11" x14ac:dyDescent="0.25">
      <c r="A169" s="540"/>
      <c r="B169" s="540"/>
      <c r="C169" s="540"/>
      <c r="D169" s="540"/>
      <c r="E169" s="553"/>
      <c r="F169" s="540"/>
      <c r="G169" s="565" t="str">
        <f t="shared" si="9"/>
        <v/>
      </c>
      <c r="H169" s="605"/>
      <c r="I169" s="31"/>
      <c r="J169" s="606">
        <f t="shared" si="10"/>
        <v>0</v>
      </c>
      <c r="K169" s="549"/>
    </row>
    <row r="170" spans="1:11" x14ac:dyDescent="0.25">
      <c r="A170" s="540"/>
      <c r="B170" s="540"/>
      <c r="C170" s="540"/>
      <c r="D170" s="540"/>
      <c r="E170" s="553"/>
      <c r="F170" s="540"/>
      <c r="G170" s="565" t="str">
        <f t="shared" si="9"/>
        <v/>
      </c>
      <c r="H170" s="605"/>
      <c r="I170" s="31"/>
      <c r="J170" s="606">
        <f t="shared" si="10"/>
        <v>0</v>
      </c>
      <c r="K170" s="549"/>
    </row>
    <row r="171" spans="1:11" x14ac:dyDescent="0.25">
      <c r="A171" s="540"/>
      <c r="B171" s="540"/>
      <c r="C171" s="540"/>
      <c r="D171" s="540"/>
      <c r="E171" s="553"/>
      <c r="F171" s="540"/>
      <c r="G171" s="565" t="str">
        <f t="shared" si="9"/>
        <v/>
      </c>
      <c r="H171" s="605"/>
      <c r="I171" s="31"/>
      <c r="J171" s="606">
        <f t="shared" si="10"/>
        <v>0</v>
      </c>
      <c r="K171" s="549"/>
    </row>
    <row r="172" spans="1:11" x14ac:dyDescent="0.25">
      <c r="A172" s="540"/>
      <c r="B172" s="540"/>
      <c r="C172" s="540"/>
      <c r="D172" s="540"/>
      <c r="E172" s="553"/>
      <c r="F172" s="540"/>
      <c r="G172" s="565" t="str">
        <f t="shared" si="9"/>
        <v/>
      </c>
      <c r="H172" s="605"/>
      <c r="I172" s="31"/>
      <c r="J172" s="606">
        <f t="shared" si="10"/>
        <v>0</v>
      </c>
      <c r="K172" s="549"/>
    </row>
    <row r="173" spans="1:11" x14ac:dyDescent="0.25">
      <c r="A173" s="540"/>
      <c r="B173" s="540"/>
      <c r="C173" s="540"/>
      <c r="D173" s="540"/>
      <c r="E173" s="553"/>
      <c r="F173" s="540"/>
      <c r="G173" s="565" t="str">
        <f t="shared" si="9"/>
        <v/>
      </c>
      <c r="H173" s="605"/>
      <c r="I173" s="31"/>
      <c r="J173" s="606">
        <f t="shared" si="10"/>
        <v>0</v>
      </c>
      <c r="K173" s="549"/>
    </row>
    <row r="174" spans="1:11" x14ac:dyDescent="0.25">
      <c r="A174" s="540"/>
      <c r="B174" s="540"/>
      <c r="C174" s="540"/>
      <c r="D174" s="540"/>
      <c r="E174" s="553"/>
      <c r="F174" s="540"/>
      <c r="G174" s="565" t="str">
        <f t="shared" si="9"/>
        <v/>
      </c>
      <c r="H174" s="605"/>
      <c r="I174" s="31"/>
      <c r="J174" s="606">
        <f t="shared" si="10"/>
        <v>0</v>
      </c>
      <c r="K174" s="549"/>
    </row>
    <row r="175" spans="1:11" x14ac:dyDescent="0.25">
      <c r="A175" s="540"/>
      <c r="B175" s="540"/>
      <c r="C175" s="540"/>
      <c r="D175" s="540"/>
      <c r="E175" s="553"/>
      <c r="F175" s="540"/>
      <c r="G175" s="565" t="str">
        <f t="shared" si="9"/>
        <v/>
      </c>
      <c r="H175" s="605"/>
      <c r="I175" s="31"/>
      <c r="J175" s="606">
        <f t="shared" si="10"/>
        <v>0</v>
      </c>
      <c r="K175" s="549"/>
    </row>
    <row r="176" spans="1:11" x14ac:dyDescent="0.25">
      <c r="A176" s="540"/>
      <c r="B176" s="540"/>
      <c r="C176" s="540"/>
      <c r="D176" s="540"/>
      <c r="E176" s="553"/>
      <c r="F176" s="540"/>
      <c r="G176" s="565" t="str">
        <f t="shared" si="9"/>
        <v/>
      </c>
      <c r="H176" s="605"/>
      <c r="I176" s="31"/>
      <c r="J176" s="606">
        <f t="shared" si="10"/>
        <v>0</v>
      </c>
      <c r="K176" s="549"/>
    </row>
    <row r="177" spans="1:11" x14ac:dyDescent="0.25">
      <c r="A177" s="540"/>
      <c r="B177" s="540"/>
      <c r="C177" s="540"/>
      <c r="D177" s="540"/>
      <c r="E177" s="553"/>
      <c r="F177" s="540"/>
      <c r="G177" s="565" t="str">
        <f t="shared" si="9"/>
        <v/>
      </c>
      <c r="H177" s="605"/>
      <c r="I177" s="31"/>
      <c r="J177" s="606">
        <f t="shared" si="10"/>
        <v>0</v>
      </c>
      <c r="K177" s="549"/>
    </row>
    <row r="178" spans="1:11" x14ac:dyDescent="0.25">
      <c r="A178" s="540"/>
      <c r="B178" s="540"/>
      <c r="C178" s="540"/>
      <c r="D178" s="540"/>
      <c r="E178" s="553"/>
      <c r="F178" s="540"/>
      <c r="G178" s="565" t="str">
        <f t="shared" si="9"/>
        <v/>
      </c>
      <c r="H178" s="605"/>
      <c r="I178" s="31"/>
      <c r="J178" s="606">
        <f t="shared" si="10"/>
        <v>0</v>
      </c>
      <c r="K178" s="549"/>
    </row>
    <row r="179" spans="1:11" x14ac:dyDescent="0.25">
      <c r="A179" s="540"/>
      <c r="B179" s="540"/>
      <c r="C179" s="540"/>
      <c r="D179" s="540"/>
      <c r="E179" s="553"/>
      <c r="F179" s="540"/>
      <c r="G179" s="565" t="str">
        <f t="shared" si="9"/>
        <v/>
      </c>
      <c r="H179" s="605"/>
      <c r="I179" s="31"/>
      <c r="J179" s="606">
        <f t="shared" si="10"/>
        <v>0</v>
      </c>
      <c r="K179" s="549"/>
    </row>
    <row r="180" spans="1:11" x14ac:dyDescent="0.25">
      <c r="A180" s="540"/>
      <c r="B180" s="540"/>
      <c r="C180" s="540"/>
      <c r="D180" s="540"/>
      <c r="E180" s="553"/>
      <c r="F180" s="540"/>
      <c r="G180" s="565" t="str">
        <f t="shared" si="9"/>
        <v/>
      </c>
      <c r="H180" s="605"/>
      <c r="I180" s="31"/>
      <c r="J180" s="606">
        <f t="shared" si="10"/>
        <v>0</v>
      </c>
      <c r="K180" s="549"/>
    </row>
    <row r="181" spans="1:11" x14ac:dyDescent="0.25">
      <c r="A181" s="540"/>
      <c r="B181" s="540"/>
      <c r="C181" s="540"/>
      <c r="D181" s="540"/>
      <c r="E181" s="553"/>
      <c r="F181" s="540"/>
      <c r="G181" s="565" t="str">
        <f t="shared" si="9"/>
        <v/>
      </c>
      <c r="H181" s="605"/>
      <c r="I181" s="31"/>
      <c r="J181" s="606">
        <f t="shared" si="10"/>
        <v>0</v>
      </c>
      <c r="K181" s="549"/>
    </row>
    <row r="182" spans="1:11" x14ac:dyDescent="0.25">
      <c r="A182" s="540"/>
      <c r="B182" s="540"/>
      <c r="C182" s="540"/>
      <c r="D182" s="540"/>
      <c r="E182" s="553"/>
      <c r="F182" s="540"/>
      <c r="G182" s="565" t="str">
        <f t="shared" si="9"/>
        <v/>
      </c>
      <c r="H182" s="605"/>
      <c r="I182" s="31"/>
      <c r="J182" s="606">
        <f t="shared" si="10"/>
        <v>0</v>
      </c>
      <c r="K182" s="549"/>
    </row>
    <row r="183" spans="1:11" x14ac:dyDescent="0.25">
      <c r="A183" s="540"/>
      <c r="B183" s="540"/>
      <c r="C183" s="540"/>
      <c r="D183" s="540"/>
      <c r="E183" s="553"/>
      <c r="F183" s="540"/>
      <c r="G183" s="565" t="str">
        <f t="shared" si="9"/>
        <v/>
      </c>
      <c r="H183" s="605"/>
      <c r="I183" s="31"/>
      <c r="J183" s="606">
        <f t="shared" si="10"/>
        <v>0</v>
      </c>
      <c r="K183" s="549"/>
    </row>
    <row r="184" spans="1:11" x14ac:dyDescent="0.25">
      <c r="A184" s="540"/>
      <c r="B184" s="540"/>
      <c r="C184" s="540"/>
      <c r="D184" s="540"/>
      <c r="E184" s="553"/>
      <c r="F184" s="540"/>
      <c r="G184" s="565" t="str">
        <f t="shared" si="9"/>
        <v/>
      </c>
      <c r="H184" s="605"/>
      <c r="I184" s="31"/>
      <c r="J184" s="606">
        <f t="shared" si="10"/>
        <v>0</v>
      </c>
      <c r="K184" s="549"/>
    </row>
    <row r="185" spans="1:11" x14ac:dyDescent="0.25">
      <c r="A185" s="540"/>
      <c r="B185" s="540"/>
      <c r="C185" s="540"/>
      <c r="D185" s="540"/>
      <c r="E185" s="553"/>
      <c r="F185" s="540"/>
      <c r="G185" s="565" t="str">
        <f t="shared" si="9"/>
        <v/>
      </c>
      <c r="H185" s="605"/>
      <c r="I185" s="31"/>
      <c r="J185" s="606">
        <f t="shared" si="10"/>
        <v>0</v>
      </c>
      <c r="K185" s="549"/>
    </row>
    <row r="186" spans="1:11" x14ac:dyDescent="0.25">
      <c r="A186" s="540"/>
      <c r="B186" s="540"/>
      <c r="C186" s="540"/>
      <c r="D186" s="540"/>
      <c r="E186" s="553"/>
      <c r="F186" s="540"/>
      <c r="G186" s="565" t="str">
        <f t="shared" si="9"/>
        <v/>
      </c>
      <c r="H186" s="605"/>
      <c r="I186" s="31"/>
      <c r="J186" s="606">
        <f t="shared" si="10"/>
        <v>0</v>
      </c>
      <c r="K186" s="549"/>
    </row>
    <row r="187" spans="1:11" x14ac:dyDescent="0.25">
      <c r="A187" s="540"/>
      <c r="B187" s="540"/>
      <c r="C187" s="540"/>
      <c r="D187" s="540"/>
      <c r="E187" s="553"/>
      <c r="F187" s="540"/>
      <c r="G187" s="565" t="str">
        <f t="shared" si="9"/>
        <v/>
      </c>
      <c r="H187" s="605"/>
      <c r="I187" s="31"/>
      <c r="J187" s="606">
        <f t="shared" si="10"/>
        <v>0</v>
      </c>
      <c r="K187" s="549"/>
    </row>
    <row r="188" spans="1:11" x14ac:dyDescent="0.25">
      <c r="A188" s="540"/>
      <c r="B188" s="540"/>
      <c r="C188" s="540"/>
      <c r="D188" s="540"/>
      <c r="E188" s="553"/>
      <c r="F188" s="540"/>
      <c r="G188" s="565" t="str">
        <f t="shared" si="9"/>
        <v/>
      </c>
      <c r="H188" s="605"/>
      <c r="I188" s="31"/>
      <c r="J188" s="606">
        <f t="shared" si="10"/>
        <v>0</v>
      </c>
      <c r="K188" s="549"/>
    </row>
    <row r="189" spans="1:11" x14ac:dyDescent="0.25">
      <c r="A189" s="540"/>
      <c r="B189" s="540"/>
      <c r="C189" s="540"/>
      <c r="D189" s="540"/>
      <c r="E189" s="553"/>
      <c r="F189" s="540"/>
      <c r="G189" s="565" t="str">
        <f t="shared" si="9"/>
        <v/>
      </c>
      <c r="H189" s="605"/>
      <c r="I189" s="31"/>
      <c r="J189" s="606">
        <f t="shared" si="10"/>
        <v>0</v>
      </c>
      <c r="K189" s="549"/>
    </row>
    <row r="190" spans="1:11" x14ac:dyDescent="0.25">
      <c r="A190" s="540"/>
      <c r="B190" s="540"/>
      <c r="C190" s="540"/>
      <c r="D190" s="540"/>
      <c r="E190" s="553"/>
      <c r="F190" s="540"/>
      <c r="G190" s="565" t="str">
        <f t="shared" si="9"/>
        <v/>
      </c>
      <c r="H190" s="605"/>
      <c r="I190" s="31"/>
      <c r="J190" s="606">
        <f t="shared" si="10"/>
        <v>0</v>
      </c>
      <c r="K190" s="549"/>
    </row>
    <row r="191" spans="1:11" x14ac:dyDescent="0.25">
      <c r="A191" s="540"/>
      <c r="B191" s="540"/>
      <c r="C191" s="540"/>
      <c r="D191" s="540"/>
      <c r="E191" s="553"/>
      <c r="F191" s="540"/>
      <c r="G191" s="565" t="str">
        <f t="shared" si="9"/>
        <v/>
      </c>
      <c r="H191" s="605"/>
      <c r="I191" s="31"/>
      <c r="J191" s="606">
        <f t="shared" si="10"/>
        <v>0</v>
      </c>
      <c r="K191" s="549"/>
    </row>
    <row r="192" spans="1:11" x14ac:dyDescent="0.25">
      <c r="A192" s="540"/>
      <c r="B192" s="540"/>
      <c r="C192" s="540"/>
      <c r="D192" s="540"/>
      <c r="E192" s="553"/>
      <c r="F192" s="540"/>
      <c r="G192" s="565" t="str">
        <f t="shared" si="9"/>
        <v/>
      </c>
      <c r="H192" s="605"/>
      <c r="I192" s="31"/>
      <c r="J192" s="606">
        <f t="shared" si="10"/>
        <v>0</v>
      </c>
      <c r="K192" s="549"/>
    </row>
    <row r="193" spans="1:11" x14ac:dyDescent="0.25">
      <c r="A193" s="540"/>
      <c r="B193" s="540"/>
      <c r="C193" s="540"/>
      <c r="D193" s="540"/>
      <c r="E193" s="553"/>
      <c r="F193" s="540"/>
      <c r="G193" s="565" t="str">
        <f t="shared" si="9"/>
        <v/>
      </c>
      <c r="H193" s="605"/>
      <c r="I193" s="31"/>
      <c r="J193" s="606">
        <f t="shared" si="10"/>
        <v>0</v>
      </c>
      <c r="K193" s="549"/>
    </row>
    <row r="194" spans="1:11" x14ac:dyDescent="0.25">
      <c r="A194" s="540"/>
      <c r="B194" s="540"/>
      <c r="C194" s="540"/>
      <c r="D194" s="540"/>
      <c r="E194" s="553"/>
      <c r="F194" s="540"/>
      <c r="G194" s="565" t="str">
        <f t="shared" si="9"/>
        <v/>
      </c>
      <c r="H194" s="605"/>
      <c r="I194" s="31"/>
      <c r="J194" s="606">
        <f t="shared" si="10"/>
        <v>0</v>
      </c>
      <c r="K194" s="549"/>
    </row>
    <row r="195" spans="1:11" x14ac:dyDescent="0.25">
      <c r="A195" s="540"/>
      <c r="B195" s="540"/>
      <c r="C195" s="540"/>
      <c r="D195" s="540"/>
      <c r="E195" s="553"/>
      <c r="F195" s="540"/>
      <c r="G195" s="565" t="str">
        <f t="shared" si="9"/>
        <v/>
      </c>
      <c r="H195" s="605"/>
      <c r="I195" s="31"/>
      <c r="J195" s="606">
        <f t="shared" si="10"/>
        <v>0</v>
      </c>
      <c r="K195" s="549"/>
    </row>
    <row r="196" spans="1:11" x14ac:dyDescent="0.25">
      <c r="A196" s="540"/>
      <c r="B196" s="540"/>
      <c r="C196" s="540"/>
      <c r="D196" s="540"/>
      <c r="E196" s="553"/>
      <c r="F196" s="540"/>
      <c r="G196" s="565" t="str">
        <f t="shared" si="9"/>
        <v/>
      </c>
      <c r="H196" s="605"/>
      <c r="I196" s="31"/>
      <c r="J196" s="606">
        <f t="shared" si="10"/>
        <v>0</v>
      </c>
      <c r="K196" s="549"/>
    </row>
    <row r="197" spans="1:11" x14ac:dyDescent="0.25">
      <c r="A197" s="540"/>
      <c r="B197" s="540"/>
      <c r="C197" s="540"/>
      <c r="D197" s="540"/>
      <c r="E197" s="553"/>
      <c r="F197" s="540"/>
      <c r="G197" s="565" t="str">
        <f t="shared" si="9"/>
        <v/>
      </c>
      <c r="H197" s="605"/>
      <c r="I197" s="31"/>
      <c r="J197" s="606">
        <f t="shared" si="10"/>
        <v>0</v>
      </c>
      <c r="K197" s="549"/>
    </row>
    <row r="198" spans="1:11" x14ac:dyDescent="0.25">
      <c r="A198" s="540"/>
      <c r="B198" s="540"/>
      <c r="C198" s="540"/>
      <c r="D198" s="540"/>
      <c r="E198" s="553"/>
      <c r="F198" s="540"/>
      <c r="G198" s="565" t="str">
        <f t="shared" si="9"/>
        <v/>
      </c>
      <c r="H198" s="605"/>
      <c r="I198" s="31"/>
      <c r="J198" s="606">
        <f t="shared" si="10"/>
        <v>0</v>
      </c>
      <c r="K198" s="549"/>
    </row>
    <row r="199" spans="1:11" x14ac:dyDescent="0.25">
      <c r="A199" s="540"/>
      <c r="B199" s="540"/>
      <c r="C199" s="540"/>
      <c r="D199" s="540"/>
      <c r="E199" s="553"/>
      <c r="F199" s="540"/>
      <c r="G199" s="565" t="str">
        <f t="shared" si="9"/>
        <v/>
      </c>
      <c r="H199" s="605"/>
      <c r="I199" s="31"/>
      <c r="J199" s="606">
        <f t="shared" si="10"/>
        <v>0</v>
      </c>
      <c r="K199" s="549"/>
    </row>
    <row r="200" spans="1:11" x14ac:dyDescent="0.25">
      <c r="A200" s="540"/>
      <c r="B200" s="540"/>
      <c r="C200" s="540"/>
      <c r="D200" s="540"/>
      <c r="E200" s="553"/>
      <c r="F200" s="540"/>
      <c r="G200" s="565" t="str">
        <f t="shared" si="9"/>
        <v/>
      </c>
      <c r="H200" s="605"/>
      <c r="I200" s="31"/>
      <c r="J200" s="606">
        <f t="shared" si="10"/>
        <v>0</v>
      </c>
      <c r="K200" s="549"/>
    </row>
    <row r="201" spans="1:11" x14ac:dyDescent="0.25">
      <c r="A201" s="540"/>
      <c r="B201" s="540"/>
      <c r="C201" s="540"/>
      <c r="D201" s="540"/>
      <c r="E201" s="553"/>
      <c r="F201" s="540"/>
      <c r="G201" s="565" t="str">
        <f t="shared" si="9"/>
        <v/>
      </c>
      <c r="H201" s="605"/>
      <c r="I201" s="31"/>
      <c r="J201" s="606">
        <f t="shared" si="10"/>
        <v>0</v>
      </c>
      <c r="K201" s="549"/>
    </row>
    <row r="202" spans="1:11" x14ac:dyDescent="0.25">
      <c r="A202" s="540"/>
      <c r="B202" s="540"/>
      <c r="C202" s="540"/>
      <c r="D202" s="540"/>
      <c r="E202" s="553"/>
      <c r="F202" s="540"/>
      <c r="G202" s="565" t="str">
        <f t="shared" si="9"/>
        <v/>
      </c>
      <c r="H202" s="605"/>
      <c r="I202" s="31"/>
      <c r="J202" s="606">
        <f t="shared" si="10"/>
        <v>0</v>
      </c>
      <c r="K202" s="549"/>
    </row>
    <row r="203" spans="1:11" x14ac:dyDescent="0.25">
      <c r="A203" s="540"/>
      <c r="B203" s="540"/>
      <c r="C203" s="540"/>
      <c r="D203" s="540"/>
      <c r="E203" s="553"/>
      <c r="F203" s="540"/>
      <c r="G203" s="565" t="str">
        <f t="shared" ref="G203:G266" si="11">IF(E203="","",IF(E203+$M$2&lt;$L$2,"VENCIDA","VIGENTE"))</f>
        <v/>
      </c>
      <c r="H203" s="605"/>
      <c r="I203" s="31"/>
      <c r="J203" s="606">
        <f t="shared" ref="J203:J266" si="12">H203-I203</f>
        <v>0</v>
      </c>
      <c r="K203" s="549"/>
    </row>
    <row r="204" spans="1:11" x14ac:dyDescent="0.25">
      <c r="A204" s="540"/>
      <c r="B204" s="540"/>
      <c r="C204" s="540"/>
      <c r="D204" s="540"/>
      <c r="E204" s="553"/>
      <c r="F204" s="540"/>
      <c r="G204" s="565" t="str">
        <f t="shared" si="11"/>
        <v/>
      </c>
      <c r="H204" s="605"/>
      <c r="I204" s="31"/>
      <c r="J204" s="606">
        <f t="shared" si="12"/>
        <v>0</v>
      </c>
      <c r="K204" s="549"/>
    </row>
    <row r="205" spans="1:11" x14ac:dyDescent="0.25">
      <c r="A205" s="540"/>
      <c r="B205" s="540"/>
      <c r="C205" s="540"/>
      <c r="D205" s="540"/>
      <c r="E205" s="553"/>
      <c r="F205" s="540"/>
      <c r="G205" s="565" t="str">
        <f t="shared" si="11"/>
        <v/>
      </c>
      <c r="H205" s="605"/>
      <c r="I205" s="31"/>
      <c r="J205" s="606">
        <f t="shared" si="12"/>
        <v>0</v>
      </c>
      <c r="K205" s="549"/>
    </row>
    <row r="206" spans="1:11" x14ac:dyDescent="0.25">
      <c r="A206" s="540"/>
      <c r="B206" s="540"/>
      <c r="C206" s="540"/>
      <c r="D206" s="540"/>
      <c r="E206" s="553"/>
      <c r="F206" s="540"/>
      <c r="G206" s="565" t="str">
        <f t="shared" si="11"/>
        <v/>
      </c>
      <c r="H206" s="605"/>
      <c r="I206" s="31"/>
      <c r="J206" s="606">
        <f t="shared" si="12"/>
        <v>0</v>
      </c>
      <c r="K206" s="549"/>
    </row>
    <row r="207" spans="1:11" x14ac:dyDescent="0.25">
      <c r="A207" s="540"/>
      <c r="B207" s="540"/>
      <c r="C207" s="540"/>
      <c r="D207" s="540"/>
      <c r="E207" s="553"/>
      <c r="F207" s="540"/>
      <c r="G207" s="565" t="str">
        <f t="shared" si="11"/>
        <v/>
      </c>
      <c r="H207" s="605"/>
      <c r="I207" s="31"/>
      <c r="J207" s="606">
        <f t="shared" si="12"/>
        <v>0</v>
      </c>
      <c r="K207" s="549"/>
    </row>
    <row r="208" spans="1:11" x14ac:dyDescent="0.25">
      <c r="A208" s="540"/>
      <c r="B208" s="540"/>
      <c r="C208" s="540"/>
      <c r="D208" s="540"/>
      <c r="E208" s="553"/>
      <c r="F208" s="540"/>
      <c r="G208" s="565" t="str">
        <f t="shared" si="11"/>
        <v/>
      </c>
      <c r="H208" s="605"/>
      <c r="I208" s="31"/>
      <c r="J208" s="606">
        <f t="shared" si="12"/>
        <v>0</v>
      </c>
      <c r="K208" s="549"/>
    </row>
    <row r="209" spans="1:11" x14ac:dyDescent="0.25">
      <c r="A209" s="540"/>
      <c r="B209" s="540"/>
      <c r="C209" s="540"/>
      <c r="D209" s="540"/>
      <c r="E209" s="553"/>
      <c r="F209" s="540"/>
      <c r="G209" s="565" t="str">
        <f t="shared" si="11"/>
        <v/>
      </c>
      <c r="H209" s="605"/>
      <c r="I209" s="31"/>
      <c r="J209" s="606">
        <f t="shared" si="12"/>
        <v>0</v>
      </c>
      <c r="K209" s="549"/>
    </row>
    <row r="210" spans="1:11" x14ac:dyDescent="0.25">
      <c r="A210" s="540"/>
      <c r="B210" s="540"/>
      <c r="C210" s="540"/>
      <c r="D210" s="540"/>
      <c r="E210" s="553"/>
      <c r="F210" s="540"/>
      <c r="G210" s="565" t="str">
        <f t="shared" si="11"/>
        <v/>
      </c>
      <c r="H210" s="605"/>
      <c r="I210" s="31"/>
      <c r="J210" s="606">
        <f t="shared" si="12"/>
        <v>0</v>
      </c>
      <c r="K210" s="549"/>
    </row>
    <row r="211" spans="1:11" x14ac:dyDescent="0.25">
      <c r="A211" s="540"/>
      <c r="B211" s="540"/>
      <c r="C211" s="540"/>
      <c r="D211" s="540"/>
      <c r="E211" s="553"/>
      <c r="F211" s="540"/>
      <c r="G211" s="565" t="str">
        <f t="shared" si="11"/>
        <v/>
      </c>
      <c r="H211" s="605"/>
      <c r="I211" s="31"/>
      <c r="J211" s="606">
        <f t="shared" si="12"/>
        <v>0</v>
      </c>
      <c r="K211" s="549"/>
    </row>
    <row r="212" spans="1:11" x14ac:dyDescent="0.25">
      <c r="A212" s="540"/>
      <c r="B212" s="540"/>
      <c r="C212" s="540"/>
      <c r="D212" s="540"/>
      <c r="E212" s="553"/>
      <c r="F212" s="540"/>
      <c r="G212" s="565" t="str">
        <f t="shared" si="11"/>
        <v/>
      </c>
      <c r="H212" s="605"/>
      <c r="I212" s="31"/>
      <c r="J212" s="606">
        <f t="shared" si="12"/>
        <v>0</v>
      </c>
      <c r="K212" s="549"/>
    </row>
    <row r="213" spans="1:11" x14ac:dyDescent="0.25">
      <c r="A213" s="540"/>
      <c r="B213" s="540"/>
      <c r="C213" s="540"/>
      <c r="D213" s="540"/>
      <c r="E213" s="553"/>
      <c r="F213" s="540"/>
      <c r="G213" s="565" t="str">
        <f t="shared" si="11"/>
        <v/>
      </c>
      <c r="H213" s="605"/>
      <c r="I213" s="31"/>
      <c r="J213" s="606">
        <f t="shared" si="12"/>
        <v>0</v>
      </c>
      <c r="K213" s="549"/>
    </row>
    <row r="214" spans="1:11" x14ac:dyDescent="0.25">
      <c r="A214" s="540"/>
      <c r="B214" s="540"/>
      <c r="C214" s="540"/>
      <c r="D214" s="540"/>
      <c r="E214" s="553"/>
      <c r="F214" s="540"/>
      <c r="G214" s="565" t="str">
        <f t="shared" si="11"/>
        <v/>
      </c>
      <c r="H214" s="605"/>
      <c r="I214" s="31"/>
      <c r="J214" s="606">
        <f t="shared" si="12"/>
        <v>0</v>
      </c>
      <c r="K214" s="549"/>
    </row>
    <row r="215" spans="1:11" x14ac:dyDescent="0.25">
      <c r="A215" s="540"/>
      <c r="B215" s="540"/>
      <c r="C215" s="540"/>
      <c r="D215" s="540"/>
      <c r="E215" s="553"/>
      <c r="F215" s="540"/>
      <c r="G215" s="565" t="str">
        <f t="shared" si="11"/>
        <v/>
      </c>
      <c r="H215" s="605"/>
      <c r="I215" s="31"/>
      <c r="J215" s="606">
        <f t="shared" si="12"/>
        <v>0</v>
      </c>
      <c r="K215" s="549"/>
    </row>
    <row r="216" spans="1:11" x14ac:dyDescent="0.25">
      <c r="A216" s="540"/>
      <c r="B216" s="540"/>
      <c r="C216" s="540"/>
      <c r="D216" s="540"/>
      <c r="E216" s="553"/>
      <c r="F216" s="540"/>
      <c r="G216" s="565" t="str">
        <f t="shared" si="11"/>
        <v/>
      </c>
      <c r="H216" s="605"/>
      <c r="I216" s="31"/>
      <c r="J216" s="606">
        <f t="shared" si="12"/>
        <v>0</v>
      </c>
      <c r="K216" s="549"/>
    </row>
    <row r="217" spans="1:11" x14ac:dyDescent="0.25">
      <c r="A217" s="540"/>
      <c r="B217" s="540"/>
      <c r="C217" s="540"/>
      <c r="D217" s="540"/>
      <c r="E217" s="553"/>
      <c r="F217" s="540"/>
      <c r="G217" s="565" t="str">
        <f t="shared" si="11"/>
        <v/>
      </c>
      <c r="H217" s="605"/>
      <c r="I217" s="31"/>
      <c r="J217" s="606">
        <f t="shared" si="12"/>
        <v>0</v>
      </c>
      <c r="K217" s="549"/>
    </row>
    <row r="218" spans="1:11" x14ac:dyDescent="0.25">
      <c r="A218" s="540"/>
      <c r="B218" s="540"/>
      <c r="C218" s="540"/>
      <c r="D218" s="540"/>
      <c r="E218" s="553"/>
      <c r="F218" s="540"/>
      <c r="G218" s="565" t="str">
        <f t="shared" si="11"/>
        <v/>
      </c>
      <c r="H218" s="605"/>
      <c r="I218" s="31"/>
      <c r="J218" s="606">
        <f t="shared" si="12"/>
        <v>0</v>
      </c>
      <c r="K218" s="549"/>
    </row>
    <row r="219" spans="1:11" x14ac:dyDescent="0.25">
      <c r="A219" s="540"/>
      <c r="B219" s="540"/>
      <c r="C219" s="540"/>
      <c r="D219" s="540"/>
      <c r="E219" s="553"/>
      <c r="F219" s="540"/>
      <c r="G219" s="565" t="str">
        <f t="shared" si="11"/>
        <v/>
      </c>
      <c r="H219" s="605"/>
      <c r="I219" s="31"/>
      <c r="J219" s="606">
        <f t="shared" si="12"/>
        <v>0</v>
      </c>
      <c r="K219" s="549"/>
    </row>
    <row r="220" spans="1:11" x14ac:dyDescent="0.25">
      <c r="A220" s="540"/>
      <c r="B220" s="540"/>
      <c r="C220" s="540"/>
      <c r="D220" s="540"/>
      <c r="E220" s="553"/>
      <c r="F220" s="540"/>
      <c r="G220" s="565" t="str">
        <f t="shared" si="11"/>
        <v/>
      </c>
      <c r="H220" s="605"/>
      <c r="I220" s="31"/>
      <c r="J220" s="606">
        <f t="shared" si="12"/>
        <v>0</v>
      </c>
      <c r="K220" s="549"/>
    </row>
    <row r="221" spans="1:11" x14ac:dyDescent="0.25">
      <c r="A221" s="540"/>
      <c r="B221" s="540"/>
      <c r="C221" s="540"/>
      <c r="D221" s="540"/>
      <c r="E221" s="553"/>
      <c r="F221" s="540"/>
      <c r="G221" s="565" t="str">
        <f t="shared" si="11"/>
        <v/>
      </c>
      <c r="H221" s="605"/>
      <c r="I221" s="31"/>
      <c r="J221" s="606">
        <f t="shared" si="12"/>
        <v>0</v>
      </c>
      <c r="K221" s="549"/>
    </row>
    <row r="222" spans="1:11" x14ac:dyDescent="0.25">
      <c r="A222" s="540"/>
      <c r="B222" s="540"/>
      <c r="C222" s="540"/>
      <c r="D222" s="540"/>
      <c r="E222" s="553"/>
      <c r="F222" s="540"/>
      <c r="G222" s="565" t="str">
        <f t="shared" si="11"/>
        <v/>
      </c>
      <c r="H222" s="605"/>
      <c r="I222" s="31"/>
      <c r="J222" s="606">
        <f t="shared" si="12"/>
        <v>0</v>
      </c>
      <c r="K222" s="549"/>
    </row>
    <row r="223" spans="1:11" x14ac:dyDescent="0.25">
      <c r="A223" s="540"/>
      <c r="B223" s="540"/>
      <c r="C223" s="540"/>
      <c r="D223" s="540"/>
      <c r="E223" s="553"/>
      <c r="F223" s="540"/>
      <c r="G223" s="565" t="str">
        <f t="shared" si="11"/>
        <v/>
      </c>
      <c r="H223" s="605"/>
      <c r="I223" s="31"/>
      <c r="J223" s="606">
        <f t="shared" si="12"/>
        <v>0</v>
      </c>
      <c r="K223" s="549"/>
    </row>
    <row r="224" spans="1:11" x14ac:dyDescent="0.25">
      <c r="A224" s="540"/>
      <c r="B224" s="540"/>
      <c r="C224" s="540"/>
      <c r="D224" s="540"/>
      <c r="E224" s="553"/>
      <c r="F224" s="540"/>
      <c r="G224" s="565" t="str">
        <f t="shared" si="11"/>
        <v/>
      </c>
      <c r="H224" s="605"/>
      <c r="I224" s="31"/>
      <c r="J224" s="606">
        <f t="shared" si="12"/>
        <v>0</v>
      </c>
      <c r="K224" s="549"/>
    </row>
    <row r="225" spans="1:11" x14ac:dyDescent="0.25">
      <c r="A225" s="540"/>
      <c r="B225" s="540"/>
      <c r="C225" s="540"/>
      <c r="D225" s="540"/>
      <c r="E225" s="553"/>
      <c r="F225" s="540"/>
      <c r="G225" s="565" t="str">
        <f t="shared" si="11"/>
        <v/>
      </c>
      <c r="H225" s="605"/>
      <c r="I225" s="31"/>
      <c r="J225" s="606">
        <f t="shared" si="12"/>
        <v>0</v>
      </c>
      <c r="K225" s="549"/>
    </row>
    <row r="226" spans="1:11" x14ac:dyDescent="0.25">
      <c r="A226" s="540"/>
      <c r="B226" s="540"/>
      <c r="C226" s="540"/>
      <c r="D226" s="540"/>
      <c r="E226" s="553"/>
      <c r="F226" s="540"/>
      <c r="G226" s="565" t="str">
        <f t="shared" si="11"/>
        <v/>
      </c>
      <c r="H226" s="605"/>
      <c r="I226" s="31"/>
      <c r="J226" s="606">
        <f t="shared" si="12"/>
        <v>0</v>
      </c>
      <c r="K226" s="549"/>
    </row>
    <row r="227" spans="1:11" x14ac:dyDescent="0.25">
      <c r="A227" s="540"/>
      <c r="B227" s="540"/>
      <c r="C227" s="540"/>
      <c r="D227" s="540"/>
      <c r="E227" s="553"/>
      <c r="F227" s="540"/>
      <c r="G227" s="565" t="str">
        <f t="shared" si="11"/>
        <v/>
      </c>
      <c r="H227" s="605"/>
      <c r="I227" s="31"/>
      <c r="J227" s="606">
        <f t="shared" si="12"/>
        <v>0</v>
      </c>
      <c r="K227" s="549"/>
    </row>
    <row r="228" spans="1:11" x14ac:dyDescent="0.25">
      <c r="A228" s="540"/>
      <c r="B228" s="540"/>
      <c r="C228" s="540"/>
      <c r="D228" s="540"/>
      <c r="E228" s="553"/>
      <c r="F228" s="540"/>
      <c r="G228" s="565" t="str">
        <f t="shared" si="11"/>
        <v/>
      </c>
      <c r="H228" s="605"/>
      <c r="I228" s="31"/>
      <c r="J228" s="606">
        <f t="shared" si="12"/>
        <v>0</v>
      </c>
      <c r="K228" s="549"/>
    </row>
    <row r="229" spans="1:11" x14ac:dyDescent="0.25">
      <c r="A229" s="540"/>
      <c r="B229" s="540"/>
      <c r="C229" s="540"/>
      <c r="D229" s="540"/>
      <c r="E229" s="553"/>
      <c r="F229" s="540"/>
      <c r="G229" s="565" t="str">
        <f t="shared" si="11"/>
        <v/>
      </c>
      <c r="H229" s="605"/>
      <c r="I229" s="31"/>
      <c r="J229" s="606">
        <f t="shared" si="12"/>
        <v>0</v>
      </c>
      <c r="K229" s="549"/>
    </row>
    <row r="230" spans="1:11" x14ac:dyDescent="0.25">
      <c r="A230" s="540"/>
      <c r="B230" s="540"/>
      <c r="C230" s="540"/>
      <c r="D230" s="540"/>
      <c r="E230" s="553"/>
      <c r="F230" s="540"/>
      <c r="G230" s="565" t="str">
        <f t="shared" si="11"/>
        <v/>
      </c>
      <c r="H230" s="605"/>
      <c r="I230" s="31"/>
      <c r="J230" s="606">
        <f t="shared" si="12"/>
        <v>0</v>
      </c>
      <c r="K230" s="549"/>
    </row>
    <row r="231" spans="1:11" x14ac:dyDescent="0.25">
      <c r="A231" s="540"/>
      <c r="B231" s="540"/>
      <c r="C231" s="540"/>
      <c r="D231" s="540"/>
      <c r="E231" s="553"/>
      <c r="F231" s="540"/>
      <c r="G231" s="565" t="str">
        <f t="shared" si="11"/>
        <v/>
      </c>
      <c r="H231" s="605"/>
      <c r="I231" s="31"/>
      <c r="J231" s="606">
        <f t="shared" si="12"/>
        <v>0</v>
      </c>
      <c r="K231" s="549"/>
    </row>
    <row r="232" spans="1:11" x14ac:dyDescent="0.25">
      <c r="A232" s="540"/>
      <c r="B232" s="540"/>
      <c r="C232" s="540"/>
      <c r="D232" s="540"/>
      <c r="E232" s="553"/>
      <c r="F232" s="540"/>
      <c r="G232" s="565" t="str">
        <f t="shared" si="11"/>
        <v/>
      </c>
      <c r="H232" s="605"/>
      <c r="I232" s="31"/>
      <c r="J232" s="606">
        <f t="shared" si="12"/>
        <v>0</v>
      </c>
      <c r="K232" s="549"/>
    </row>
    <row r="233" spans="1:11" x14ac:dyDescent="0.25">
      <c r="A233" s="540"/>
      <c r="B233" s="540"/>
      <c r="C233" s="540"/>
      <c r="D233" s="540"/>
      <c r="E233" s="553"/>
      <c r="F233" s="540"/>
      <c r="G233" s="565" t="str">
        <f t="shared" si="11"/>
        <v/>
      </c>
      <c r="H233" s="605"/>
      <c r="I233" s="31"/>
      <c r="J233" s="606">
        <f t="shared" si="12"/>
        <v>0</v>
      </c>
      <c r="K233" s="549"/>
    </row>
    <row r="234" spans="1:11" x14ac:dyDescent="0.25">
      <c r="A234" s="540"/>
      <c r="B234" s="540"/>
      <c r="C234" s="540"/>
      <c r="D234" s="540"/>
      <c r="E234" s="553"/>
      <c r="F234" s="540"/>
      <c r="G234" s="565" t="str">
        <f t="shared" si="11"/>
        <v/>
      </c>
      <c r="H234" s="605"/>
      <c r="I234" s="31"/>
      <c r="J234" s="606">
        <f t="shared" si="12"/>
        <v>0</v>
      </c>
      <c r="K234" s="549"/>
    </row>
    <row r="235" spans="1:11" x14ac:dyDescent="0.25">
      <c r="A235" s="540"/>
      <c r="B235" s="540"/>
      <c r="C235" s="540"/>
      <c r="D235" s="540"/>
      <c r="E235" s="553"/>
      <c r="F235" s="540"/>
      <c r="G235" s="565" t="str">
        <f t="shared" si="11"/>
        <v/>
      </c>
      <c r="H235" s="605"/>
      <c r="I235" s="31"/>
      <c r="J235" s="606">
        <f t="shared" si="12"/>
        <v>0</v>
      </c>
      <c r="K235" s="549"/>
    </row>
    <row r="236" spans="1:11" x14ac:dyDescent="0.25">
      <c r="A236" s="540"/>
      <c r="B236" s="540"/>
      <c r="C236" s="540"/>
      <c r="D236" s="540"/>
      <c r="E236" s="553"/>
      <c r="F236" s="540"/>
      <c r="G236" s="565" t="str">
        <f t="shared" si="11"/>
        <v/>
      </c>
      <c r="H236" s="605"/>
      <c r="I236" s="31"/>
      <c r="J236" s="606">
        <f t="shared" si="12"/>
        <v>0</v>
      </c>
      <c r="K236" s="549"/>
    </row>
    <row r="237" spans="1:11" x14ac:dyDescent="0.25">
      <c r="A237" s="540"/>
      <c r="B237" s="540"/>
      <c r="C237" s="540"/>
      <c r="D237" s="540"/>
      <c r="E237" s="553"/>
      <c r="F237" s="540"/>
      <c r="G237" s="565" t="str">
        <f t="shared" si="11"/>
        <v/>
      </c>
      <c r="H237" s="605"/>
      <c r="I237" s="31"/>
      <c r="J237" s="606">
        <f t="shared" si="12"/>
        <v>0</v>
      </c>
      <c r="K237" s="549"/>
    </row>
    <row r="238" spans="1:11" x14ac:dyDescent="0.25">
      <c r="A238" s="540"/>
      <c r="B238" s="540"/>
      <c r="C238" s="540"/>
      <c r="D238" s="540"/>
      <c r="E238" s="553"/>
      <c r="F238" s="540"/>
      <c r="G238" s="565" t="str">
        <f t="shared" si="11"/>
        <v/>
      </c>
      <c r="H238" s="605"/>
      <c r="I238" s="31"/>
      <c r="J238" s="606">
        <f t="shared" si="12"/>
        <v>0</v>
      </c>
      <c r="K238" s="549"/>
    </row>
    <row r="239" spans="1:11" x14ac:dyDescent="0.25">
      <c r="A239" s="540"/>
      <c r="B239" s="540"/>
      <c r="C239" s="540"/>
      <c r="D239" s="540"/>
      <c r="E239" s="553"/>
      <c r="F239" s="540"/>
      <c r="G239" s="565" t="str">
        <f t="shared" si="11"/>
        <v/>
      </c>
      <c r="H239" s="605"/>
      <c r="I239" s="31"/>
      <c r="J239" s="606">
        <f t="shared" si="12"/>
        <v>0</v>
      </c>
      <c r="K239" s="549"/>
    </row>
    <row r="240" spans="1:11" x14ac:dyDescent="0.25">
      <c r="A240" s="540"/>
      <c r="B240" s="540"/>
      <c r="C240" s="540"/>
      <c r="D240" s="540"/>
      <c r="E240" s="553"/>
      <c r="F240" s="540"/>
      <c r="G240" s="565" t="str">
        <f t="shared" si="11"/>
        <v/>
      </c>
      <c r="H240" s="605"/>
      <c r="I240" s="31"/>
      <c r="J240" s="606">
        <f t="shared" si="12"/>
        <v>0</v>
      </c>
      <c r="K240" s="549"/>
    </row>
    <row r="241" spans="1:11" x14ac:dyDescent="0.25">
      <c r="A241" s="540"/>
      <c r="B241" s="540"/>
      <c r="C241" s="540"/>
      <c r="D241" s="540"/>
      <c r="E241" s="553"/>
      <c r="F241" s="540"/>
      <c r="G241" s="565" t="str">
        <f t="shared" si="11"/>
        <v/>
      </c>
      <c r="H241" s="605"/>
      <c r="I241" s="31"/>
      <c r="J241" s="606">
        <f t="shared" si="12"/>
        <v>0</v>
      </c>
      <c r="K241" s="549"/>
    </row>
    <row r="242" spans="1:11" x14ac:dyDescent="0.25">
      <c r="A242" s="540"/>
      <c r="B242" s="540"/>
      <c r="C242" s="540"/>
      <c r="D242" s="540"/>
      <c r="E242" s="553"/>
      <c r="F242" s="540"/>
      <c r="G242" s="565" t="str">
        <f t="shared" si="11"/>
        <v/>
      </c>
      <c r="H242" s="605"/>
      <c r="I242" s="31"/>
      <c r="J242" s="606">
        <f t="shared" si="12"/>
        <v>0</v>
      </c>
      <c r="K242" s="549"/>
    </row>
    <row r="243" spans="1:11" x14ac:dyDescent="0.25">
      <c r="A243" s="540"/>
      <c r="B243" s="540"/>
      <c r="C243" s="540"/>
      <c r="D243" s="540"/>
      <c r="E243" s="553"/>
      <c r="F243" s="540"/>
      <c r="G243" s="565" t="str">
        <f t="shared" si="11"/>
        <v/>
      </c>
      <c r="H243" s="605"/>
      <c r="I243" s="31"/>
      <c r="J243" s="606">
        <f t="shared" si="12"/>
        <v>0</v>
      </c>
      <c r="K243" s="549"/>
    </row>
    <row r="244" spans="1:11" x14ac:dyDescent="0.25">
      <c r="A244" s="540"/>
      <c r="B244" s="540"/>
      <c r="C244" s="540"/>
      <c r="D244" s="540"/>
      <c r="E244" s="553"/>
      <c r="F244" s="540"/>
      <c r="G244" s="565" t="str">
        <f t="shared" si="11"/>
        <v/>
      </c>
      <c r="H244" s="605"/>
      <c r="I244" s="31"/>
      <c r="J244" s="606">
        <f t="shared" si="12"/>
        <v>0</v>
      </c>
      <c r="K244" s="549"/>
    </row>
    <row r="245" spans="1:11" x14ac:dyDescent="0.25">
      <c r="A245" s="540"/>
      <c r="B245" s="540"/>
      <c r="C245" s="540"/>
      <c r="D245" s="540"/>
      <c r="E245" s="553"/>
      <c r="F245" s="540"/>
      <c r="G245" s="565" t="str">
        <f t="shared" si="11"/>
        <v/>
      </c>
      <c r="H245" s="605"/>
      <c r="I245" s="31"/>
      <c r="J245" s="606">
        <f t="shared" si="12"/>
        <v>0</v>
      </c>
      <c r="K245" s="549"/>
    </row>
    <row r="246" spans="1:11" x14ac:dyDescent="0.25">
      <c r="A246" s="540"/>
      <c r="B246" s="540"/>
      <c r="C246" s="540"/>
      <c r="D246" s="540"/>
      <c r="E246" s="553"/>
      <c r="F246" s="540"/>
      <c r="G246" s="565" t="str">
        <f t="shared" si="11"/>
        <v/>
      </c>
      <c r="H246" s="605"/>
      <c r="I246" s="31"/>
      <c r="J246" s="606">
        <f t="shared" si="12"/>
        <v>0</v>
      </c>
      <c r="K246" s="549"/>
    </row>
    <row r="247" spans="1:11" x14ac:dyDescent="0.25">
      <c r="A247" s="540"/>
      <c r="B247" s="540"/>
      <c r="C247" s="540"/>
      <c r="D247" s="540"/>
      <c r="E247" s="553"/>
      <c r="F247" s="540"/>
      <c r="G247" s="565" t="str">
        <f t="shared" si="11"/>
        <v/>
      </c>
      <c r="H247" s="605"/>
      <c r="I247" s="31"/>
      <c r="J247" s="606">
        <f t="shared" si="12"/>
        <v>0</v>
      </c>
      <c r="K247" s="549"/>
    </row>
    <row r="248" spans="1:11" x14ac:dyDescent="0.25">
      <c r="A248" s="540"/>
      <c r="B248" s="540"/>
      <c r="C248" s="540"/>
      <c r="D248" s="540"/>
      <c r="E248" s="553"/>
      <c r="F248" s="540"/>
      <c r="G248" s="565" t="str">
        <f t="shared" si="11"/>
        <v/>
      </c>
      <c r="H248" s="605"/>
      <c r="I248" s="31"/>
      <c r="J248" s="606">
        <f t="shared" si="12"/>
        <v>0</v>
      </c>
      <c r="K248" s="549"/>
    </row>
    <row r="249" spans="1:11" x14ac:dyDescent="0.25">
      <c r="A249" s="540"/>
      <c r="B249" s="540"/>
      <c r="C249" s="540"/>
      <c r="D249" s="540"/>
      <c r="E249" s="553"/>
      <c r="F249" s="540"/>
      <c r="G249" s="565" t="str">
        <f t="shared" si="11"/>
        <v/>
      </c>
      <c r="H249" s="605"/>
      <c r="I249" s="31"/>
      <c r="J249" s="606">
        <f t="shared" si="12"/>
        <v>0</v>
      </c>
      <c r="K249" s="549"/>
    </row>
    <row r="250" spans="1:11" x14ac:dyDescent="0.25">
      <c r="A250" s="540"/>
      <c r="B250" s="540"/>
      <c r="C250" s="540"/>
      <c r="D250" s="540"/>
      <c r="E250" s="553"/>
      <c r="F250" s="540"/>
      <c r="G250" s="565" t="str">
        <f t="shared" si="11"/>
        <v/>
      </c>
      <c r="H250" s="605"/>
      <c r="I250" s="31"/>
      <c r="J250" s="606">
        <f t="shared" si="12"/>
        <v>0</v>
      </c>
      <c r="K250" s="549"/>
    </row>
    <row r="251" spans="1:11" x14ac:dyDescent="0.25">
      <c r="A251" s="540"/>
      <c r="B251" s="540"/>
      <c r="C251" s="540"/>
      <c r="D251" s="540"/>
      <c r="E251" s="553"/>
      <c r="F251" s="540"/>
      <c r="G251" s="565" t="str">
        <f t="shared" si="11"/>
        <v/>
      </c>
      <c r="H251" s="605"/>
      <c r="I251" s="31"/>
      <c r="J251" s="606">
        <f t="shared" si="12"/>
        <v>0</v>
      </c>
      <c r="K251" s="549"/>
    </row>
    <row r="252" spans="1:11" x14ac:dyDescent="0.25">
      <c r="A252" s="540"/>
      <c r="B252" s="540"/>
      <c r="C252" s="540"/>
      <c r="D252" s="540"/>
      <c r="E252" s="553"/>
      <c r="F252" s="540"/>
      <c r="G252" s="565" t="str">
        <f t="shared" si="11"/>
        <v/>
      </c>
      <c r="H252" s="605"/>
      <c r="I252" s="31"/>
      <c r="J252" s="606">
        <f t="shared" si="12"/>
        <v>0</v>
      </c>
      <c r="K252" s="549"/>
    </row>
    <row r="253" spans="1:11" x14ac:dyDescent="0.25">
      <c r="A253" s="540"/>
      <c r="B253" s="540"/>
      <c r="C253" s="540"/>
      <c r="D253" s="540"/>
      <c r="E253" s="553"/>
      <c r="F253" s="540"/>
      <c r="G253" s="565" t="str">
        <f t="shared" si="11"/>
        <v/>
      </c>
      <c r="H253" s="605"/>
      <c r="I253" s="31"/>
      <c r="J253" s="606">
        <f t="shared" si="12"/>
        <v>0</v>
      </c>
      <c r="K253" s="549"/>
    </row>
    <row r="254" spans="1:11" x14ac:dyDescent="0.25">
      <c r="A254" s="540"/>
      <c r="B254" s="540"/>
      <c r="C254" s="540"/>
      <c r="D254" s="540"/>
      <c r="E254" s="553"/>
      <c r="F254" s="540"/>
      <c r="G254" s="565" t="str">
        <f t="shared" si="11"/>
        <v/>
      </c>
      <c r="H254" s="605"/>
      <c r="I254" s="31"/>
      <c r="J254" s="606">
        <f t="shared" si="12"/>
        <v>0</v>
      </c>
      <c r="K254" s="549"/>
    </row>
    <row r="255" spans="1:11" x14ac:dyDescent="0.25">
      <c r="A255" s="540"/>
      <c r="B255" s="540"/>
      <c r="C255" s="540"/>
      <c r="D255" s="540"/>
      <c r="E255" s="553"/>
      <c r="F255" s="540"/>
      <c r="G255" s="565" t="str">
        <f t="shared" si="11"/>
        <v/>
      </c>
      <c r="H255" s="605"/>
      <c r="I255" s="31"/>
      <c r="J255" s="606">
        <f t="shared" si="12"/>
        <v>0</v>
      </c>
      <c r="K255" s="549"/>
    </row>
    <row r="256" spans="1:11" x14ac:dyDescent="0.25">
      <c r="A256" s="540"/>
      <c r="B256" s="540"/>
      <c r="C256" s="540"/>
      <c r="D256" s="540"/>
      <c r="E256" s="553"/>
      <c r="F256" s="540"/>
      <c r="G256" s="565" t="str">
        <f t="shared" si="11"/>
        <v/>
      </c>
      <c r="H256" s="605"/>
      <c r="I256" s="31"/>
      <c r="J256" s="606">
        <f t="shared" si="12"/>
        <v>0</v>
      </c>
      <c r="K256" s="549"/>
    </row>
    <row r="257" spans="1:11" x14ac:dyDescent="0.25">
      <c r="A257" s="540"/>
      <c r="B257" s="540"/>
      <c r="C257" s="540"/>
      <c r="D257" s="540"/>
      <c r="E257" s="553"/>
      <c r="F257" s="540"/>
      <c r="G257" s="565" t="str">
        <f t="shared" si="11"/>
        <v/>
      </c>
      <c r="H257" s="605"/>
      <c r="I257" s="31"/>
      <c r="J257" s="606">
        <f t="shared" si="12"/>
        <v>0</v>
      </c>
      <c r="K257" s="549"/>
    </row>
    <row r="258" spans="1:11" x14ac:dyDescent="0.25">
      <c r="A258" s="540"/>
      <c r="B258" s="540"/>
      <c r="C258" s="540"/>
      <c r="D258" s="540"/>
      <c r="E258" s="553"/>
      <c r="F258" s="540"/>
      <c r="G258" s="565" t="str">
        <f t="shared" si="11"/>
        <v/>
      </c>
      <c r="H258" s="605"/>
      <c r="I258" s="31"/>
      <c r="J258" s="606">
        <f t="shared" si="12"/>
        <v>0</v>
      </c>
      <c r="K258" s="549"/>
    </row>
    <row r="259" spans="1:11" x14ac:dyDescent="0.25">
      <c r="A259" s="540"/>
      <c r="B259" s="540"/>
      <c r="C259" s="540"/>
      <c r="D259" s="540"/>
      <c r="E259" s="553"/>
      <c r="F259" s="540"/>
      <c r="G259" s="565" t="str">
        <f t="shared" si="11"/>
        <v/>
      </c>
      <c r="H259" s="605"/>
      <c r="I259" s="31"/>
      <c r="J259" s="606">
        <f t="shared" si="12"/>
        <v>0</v>
      </c>
      <c r="K259" s="549"/>
    </row>
    <row r="260" spans="1:11" x14ac:dyDescent="0.25">
      <c r="A260" s="540"/>
      <c r="B260" s="540"/>
      <c r="C260" s="540"/>
      <c r="D260" s="540"/>
      <c r="E260" s="553"/>
      <c r="F260" s="540"/>
      <c r="G260" s="565" t="str">
        <f t="shared" si="11"/>
        <v/>
      </c>
      <c r="H260" s="605"/>
      <c r="I260" s="31"/>
      <c r="J260" s="606">
        <f t="shared" si="12"/>
        <v>0</v>
      </c>
      <c r="K260" s="549"/>
    </row>
    <row r="261" spans="1:11" x14ac:dyDescent="0.25">
      <c r="A261" s="540"/>
      <c r="B261" s="540"/>
      <c r="C261" s="540"/>
      <c r="D261" s="540"/>
      <c r="E261" s="553"/>
      <c r="F261" s="540"/>
      <c r="G261" s="565" t="str">
        <f t="shared" si="11"/>
        <v/>
      </c>
      <c r="H261" s="605"/>
      <c r="I261" s="31"/>
      <c r="J261" s="606">
        <f t="shared" si="12"/>
        <v>0</v>
      </c>
      <c r="K261" s="549"/>
    </row>
    <row r="262" spans="1:11" x14ac:dyDescent="0.25">
      <c r="A262" s="540"/>
      <c r="B262" s="540"/>
      <c r="C262" s="540"/>
      <c r="D262" s="540"/>
      <c r="E262" s="553"/>
      <c r="F262" s="540"/>
      <c r="G262" s="565" t="str">
        <f t="shared" si="11"/>
        <v/>
      </c>
      <c r="H262" s="605"/>
      <c r="I262" s="31"/>
      <c r="J262" s="606">
        <f t="shared" si="12"/>
        <v>0</v>
      </c>
      <c r="K262" s="549"/>
    </row>
    <row r="263" spans="1:11" x14ac:dyDescent="0.25">
      <c r="A263" s="540"/>
      <c r="B263" s="540"/>
      <c r="C263" s="540"/>
      <c r="D263" s="540"/>
      <c r="E263" s="553"/>
      <c r="F263" s="540"/>
      <c r="G263" s="565" t="str">
        <f t="shared" si="11"/>
        <v/>
      </c>
      <c r="H263" s="605"/>
      <c r="I263" s="31"/>
      <c r="J263" s="606">
        <f t="shared" si="12"/>
        <v>0</v>
      </c>
      <c r="K263" s="549"/>
    </row>
    <row r="264" spans="1:11" x14ac:dyDescent="0.25">
      <c r="A264" s="540"/>
      <c r="B264" s="540"/>
      <c r="C264" s="540"/>
      <c r="D264" s="540"/>
      <c r="E264" s="553"/>
      <c r="F264" s="540"/>
      <c r="G264" s="565" t="str">
        <f t="shared" si="11"/>
        <v/>
      </c>
      <c r="H264" s="605"/>
      <c r="I264" s="31"/>
      <c r="J264" s="606">
        <f t="shared" si="12"/>
        <v>0</v>
      </c>
      <c r="K264" s="549"/>
    </row>
    <row r="265" spans="1:11" x14ac:dyDescent="0.25">
      <c r="A265" s="540"/>
      <c r="B265" s="540"/>
      <c r="C265" s="540"/>
      <c r="D265" s="540"/>
      <c r="E265" s="553"/>
      <c r="F265" s="540"/>
      <c r="G265" s="565" t="str">
        <f t="shared" si="11"/>
        <v/>
      </c>
      <c r="H265" s="605"/>
      <c r="I265" s="31"/>
      <c r="J265" s="606">
        <f t="shared" si="12"/>
        <v>0</v>
      </c>
      <c r="K265" s="549"/>
    </row>
    <row r="266" spans="1:11" x14ac:dyDescent="0.25">
      <c r="A266" s="540"/>
      <c r="B266" s="540"/>
      <c r="C266" s="540"/>
      <c r="D266" s="540"/>
      <c r="E266" s="553"/>
      <c r="F266" s="540"/>
      <c r="G266" s="565" t="str">
        <f t="shared" si="11"/>
        <v/>
      </c>
      <c r="H266" s="605"/>
      <c r="I266" s="31"/>
      <c r="J266" s="606">
        <f t="shared" si="12"/>
        <v>0</v>
      </c>
      <c r="K266" s="549"/>
    </row>
    <row r="267" spans="1:11" x14ac:dyDescent="0.25">
      <c r="A267" s="540"/>
      <c r="B267" s="540"/>
      <c r="C267" s="540"/>
      <c r="D267" s="540"/>
      <c r="E267" s="553"/>
      <c r="F267" s="540"/>
      <c r="G267" s="565" t="str">
        <f t="shared" ref="G267:G330" si="13">IF(E267="","",IF(E267+$M$2&lt;$L$2,"VENCIDA","VIGENTE"))</f>
        <v/>
      </c>
      <c r="H267" s="605"/>
      <c r="I267" s="31"/>
      <c r="J267" s="606">
        <f t="shared" ref="J267:J330" si="14">H267-I267</f>
        <v>0</v>
      </c>
      <c r="K267" s="549"/>
    </row>
    <row r="268" spans="1:11" x14ac:dyDescent="0.25">
      <c r="A268" s="540"/>
      <c r="B268" s="540"/>
      <c r="C268" s="540"/>
      <c r="D268" s="540"/>
      <c r="E268" s="553"/>
      <c r="F268" s="540"/>
      <c r="G268" s="565" t="str">
        <f t="shared" si="13"/>
        <v/>
      </c>
      <c r="H268" s="605"/>
      <c r="I268" s="31"/>
      <c r="J268" s="606">
        <f t="shared" si="14"/>
        <v>0</v>
      </c>
      <c r="K268" s="549"/>
    </row>
    <row r="269" spans="1:11" x14ac:dyDescent="0.25">
      <c r="A269" s="540"/>
      <c r="B269" s="540"/>
      <c r="C269" s="540"/>
      <c r="D269" s="540"/>
      <c r="E269" s="553"/>
      <c r="F269" s="540"/>
      <c r="G269" s="565" t="str">
        <f t="shared" si="13"/>
        <v/>
      </c>
      <c r="H269" s="605"/>
      <c r="I269" s="31"/>
      <c r="J269" s="606">
        <f t="shared" si="14"/>
        <v>0</v>
      </c>
      <c r="K269" s="549"/>
    </row>
    <row r="270" spans="1:11" x14ac:dyDescent="0.25">
      <c r="A270" s="540"/>
      <c r="B270" s="540"/>
      <c r="C270" s="540"/>
      <c r="D270" s="540"/>
      <c r="E270" s="553"/>
      <c r="F270" s="540"/>
      <c r="G270" s="565" t="str">
        <f t="shared" si="13"/>
        <v/>
      </c>
      <c r="H270" s="605"/>
      <c r="I270" s="31"/>
      <c r="J270" s="606">
        <f t="shared" si="14"/>
        <v>0</v>
      </c>
      <c r="K270" s="549"/>
    </row>
    <row r="271" spans="1:11" x14ac:dyDescent="0.25">
      <c r="A271" s="540"/>
      <c r="B271" s="540"/>
      <c r="C271" s="540"/>
      <c r="D271" s="540"/>
      <c r="E271" s="553"/>
      <c r="F271" s="540"/>
      <c r="G271" s="565" t="str">
        <f t="shared" si="13"/>
        <v/>
      </c>
      <c r="H271" s="605"/>
      <c r="I271" s="31"/>
      <c r="J271" s="606">
        <f t="shared" si="14"/>
        <v>0</v>
      </c>
      <c r="K271" s="549"/>
    </row>
    <row r="272" spans="1:11" x14ac:dyDescent="0.25">
      <c r="A272" s="540"/>
      <c r="B272" s="540"/>
      <c r="C272" s="540"/>
      <c r="D272" s="540"/>
      <c r="E272" s="553"/>
      <c r="F272" s="540"/>
      <c r="G272" s="565" t="str">
        <f t="shared" si="13"/>
        <v/>
      </c>
      <c r="H272" s="605"/>
      <c r="I272" s="31"/>
      <c r="J272" s="606">
        <f t="shared" si="14"/>
        <v>0</v>
      </c>
      <c r="K272" s="549"/>
    </row>
    <row r="273" spans="1:11" x14ac:dyDescent="0.25">
      <c r="A273" s="540"/>
      <c r="B273" s="540"/>
      <c r="C273" s="540"/>
      <c r="D273" s="540"/>
      <c r="E273" s="553"/>
      <c r="F273" s="540"/>
      <c r="G273" s="565" t="str">
        <f t="shared" si="13"/>
        <v/>
      </c>
      <c r="H273" s="605"/>
      <c r="I273" s="31"/>
      <c r="J273" s="606">
        <f t="shared" si="14"/>
        <v>0</v>
      </c>
      <c r="K273" s="549"/>
    </row>
    <row r="274" spans="1:11" x14ac:dyDescent="0.25">
      <c r="A274" s="540"/>
      <c r="B274" s="540"/>
      <c r="C274" s="540"/>
      <c r="D274" s="540"/>
      <c r="E274" s="553"/>
      <c r="F274" s="540"/>
      <c r="G274" s="565" t="str">
        <f t="shared" si="13"/>
        <v/>
      </c>
      <c r="H274" s="605"/>
      <c r="I274" s="31"/>
      <c r="J274" s="606">
        <f t="shared" si="14"/>
        <v>0</v>
      </c>
      <c r="K274" s="549"/>
    </row>
    <row r="275" spans="1:11" x14ac:dyDescent="0.25">
      <c r="A275" s="540"/>
      <c r="B275" s="540"/>
      <c r="C275" s="540"/>
      <c r="D275" s="540"/>
      <c r="E275" s="553"/>
      <c r="F275" s="540"/>
      <c r="G275" s="565" t="str">
        <f t="shared" si="13"/>
        <v/>
      </c>
      <c r="H275" s="605"/>
      <c r="I275" s="31"/>
      <c r="J275" s="606">
        <f t="shared" si="14"/>
        <v>0</v>
      </c>
      <c r="K275" s="549"/>
    </row>
    <row r="276" spans="1:11" x14ac:dyDescent="0.25">
      <c r="A276" s="540"/>
      <c r="B276" s="540"/>
      <c r="C276" s="540"/>
      <c r="D276" s="540"/>
      <c r="E276" s="553"/>
      <c r="F276" s="540"/>
      <c r="G276" s="565" t="str">
        <f t="shared" si="13"/>
        <v/>
      </c>
      <c r="H276" s="605"/>
      <c r="I276" s="31"/>
      <c r="J276" s="606">
        <f t="shared" si="14"/>
        <v>0</v>
      </c>
      <c r="K276" s="549"/>
    </row>
    <row r="277" spans="1:11" x14ac:dyDescent="0.25">
      <c r="A277" s="540"/>
      <c r="B277" s="540"/>
      <c r="C277" s="540"/>
      <c r="D277" s="540"/>
      <c r="E277" s="553"/>
      <c r="F277" s="540"/>
      <c r="G277" s="565" t="str">
        <f t="shared" si="13"/>
        <v/>
      </c>
      <c r="H277" s="605"/>
      <c r="I277" s="31"/>
      <c r="J277" s="606">
        <f t="shared" si="14"/>
        <v>0</v>
      </c>
      <c r="K277" s="549"/>
    </row>
    <row r="278" spans="1:11" x14ac:dyDescent="0.25">
      <c r="A278" s="540"/>
      <c r="B278" s="540"/>
      <c r="C278" s="540"/>
      <c r="D278" s="540"/>
      <c r="E278" s="553"/>
      <c r="F278" s="540"/>
      <c r="G278" s="565" t="str">
        <f t="shared" si="13"/>
        <v/>
      </c>
      <c r="H278" s="605"/>
      <c r="I278" s="31"/>
      <c r="J278" s="606">
        <f t="shared" si="14"/>
        <v>0</v>
      </c>
      <c r="K278" s="549"/>
    </row>
    <row r="279" spans="1:11" x14ac:dyDescent="0.25">
      <c r="A279" s="540"/>
      <c r="B279" s="540"/>
      <c r="C279" s="540"/>
      <c r="D279" s="540"/>
      <c r="E279" s="553"/>
      <c r="F279" s="540"/>
      <c r="G279" s="565" t="str">
        <f t="shared" si="13"/>
        <v/>
      </c>
      <c r="H279" s="605"/>
      <c r="I279" s="31"/>
      <c r="J279" s="606">
        <f t="shared" si="14"/>
        <v>0</v>
      </c>
      <c r="K279" s="549"/>
    </row>
    <row r="280" spans="1:11" x14ac:dyDescent="0.25">
      <c r="A280" s="540"/>
      <c r="B280" s="540"/>
      <c r="C280" s="540"/>
      <c r="D280" s="540"/>
      <c r="E280" s="553"/>
      <c r="F280" s="540"/>
      <c r="G280" s="565" t="str">
        <f t="shared" si="13"/>
        <v/>
      </c>
      <c r="H280" s="605"/>
      <c r="I280" s="31"/>
      <c r="J280" s="606">
        <f t="shared" si="14"/>
        <v>0</v>
      </c>
      <c r="K280" s="549"/>
    </row>
    <row r="281" spans="1:11" x14ac:dyDescent="0.25">
      <c r="A281" s="540"/>
      <c r="B281" s="540"/>
      <c r="C281" s="540"/>
      <c r="D281" s="540"/>
      <c r="E281" s="553"/>
      <c r="F281" s="540"/>
      <c r="G281" s="565" t="str">
        <f t="shared" si="13"/>
        <v/>
      </c>
      <c r="H281" s="605"/>
      <c r="I281" s="31"/>
      <c r="J281" s="606">
        <f t="shared" si="14"/>
        <v>0</v>
      </c>
      <c r="K281" s="549"/>
    </row>
    <row r="282" spans="1:11" x14ac:dyDescent="0.25">
      <c r="A282" s="540"/>
      <c r="B282" s="540"/>
      <c r="C282" s="540"/>
      <c r="D282" s="540"/>
      <c r="E282" s="553"/>
      <c r="F282" s="540"/>
      <c r="G282" s="565" t="str">
        <f t="shared" si="13"/>
        <v/>
      </c>
      <c r="H282" s="605"/>
      <c r="I282" s="31"/>
      <c r="J282" s="606">
        <f t="shared" si="14"/>
        <v>0</v>
      </c>
      <c r="K282" s="549"/>
    </row>
    <row r="283" spans="1:11" x14ac:dyDescent="0.25">
      <c r="A283" s="540"/>
      <c r="B283" s="540"/>
      <c r="C283" s="540"/>
      <c r="D283" s="540"/>
      <c r="E283" s="553"/>
      <c r="F283" s="540"/>
      <c r="G283" s="565" t="str">
        <f t="shared" si="13"/>
        <v/>
      </c>
      <c r="H283" s="605"/>
      <c r="I283" s="31"/>
      <c r="J283" s="606">
        <f t="shared" si="14"/>
        <v>0</v>
      </c>
      <c r="K283" s="549"/>
    </row>
    <row r="284" spans="1:11" x14ac:dyDescent="0.25">
      <c r="A284" s="540"/>
      <c r="B284" s="540"/>
      <c r="C284" s="540"/>
      <c r="D284" s="540"/>
      <c r="E284" s="553"/>
      <c r="F284" s="540"/>
      <c r="G284" s="565" t="str">
        <f t="shared" si="13"/>
        <v/>
      </c>
      <c r="H284" s="605"/>
      <c r="I284" s="31"/>
      <c r="J284" s="606">
        <f t="shared" si="14"/>
        <v>0</v>
      </c>
      <c r="K284" s="549"/>
    </row>
    <row r="285" spans="1:11" x14ac:dyDescent="0.25">
      <c r="A285" s="540"/>
      <c r="B285" s="540"/>
      <c r="C285" s="540"/>
      <c r="D285" s="540"/>
      <c r="E285" s="553"/>
      <c r="F285" s="540"/>
      <c r="G285" s="565" t="str">
        <f t="shared" si="13"/>
        <v/>
      </c>
      <c r="H285" s="605"/>
      <c r="I285" s="31"/>
      <c r="J285" s="606">
        <f t="shared" si="14"/>
        <v>0</v>
      </c>
      <c r="K285" s="549"/>
    </row>
    <row r="286" spans="1:11" x14ac:dyDescent="0.25">
      <c r="A286" s="540"/>
      <c r="B286" s="540"/>
      <c r="C286" s="540"/>
      <c r="D286" s="540"/>
      <c r="E286" s="553"/>
      <c r="F286" s="540"/>
      <c r="G286" s="565" t="str">
        <f t="shared" si="13"/>
        <v/>
      </c>
      <c r="H286" s="605"/>
      <c r="I286" s="31"/>
      <c r="J286" s="606">
        <f t="shared" si="14"/>
        <v>0</v>
      </c>
      <c r="K286" s="549"/>
    </row>
    <row r="287" spans="1:11" x14ac:dyDescent="0.25">
      <c r="A287" s="540"/>
      <c r="B287" s="540"/>
      <c r="C287" s="540"/>
      <c r="D287" s="540"/>
      <c r="E287" s="553"/>
      <c r="F287" s="540"/>
      <c r="G287" s="565" t="str">
        <f t="shared" si="13"/>
        <v/>
      </c>
      <c r="H287" s="605"/>
      <c r="I287" s="31"/>
      <c r="J287" s="606">
        <f t="shared" si="14"/>
        <v>0</v>
      </c>
      <c r="K287" s="549"/>
    </row>
    <row r="288" spans="1:11" x14ac:dyDescent="0.25">
      <c r="A288" s="540"/>
      <c r="B288" s="540"/>
      <c r="C288" s="540"/>
      <c r="D288" s="540"/>
      <c r="E288" s="553"/>
      <c r="F288" s="540"/>
      <c r="G288" s="565" t="str">
        <f t="shared" si="13"/>
        <v/>
      </c>
      <c r="H288" s="605"/>
      <c r="I288" s="31"/>
      <c r="J288" s="606">
        <f t="shared" si="14"/>
        <v>0</v>
      </c>
      <c r="K288" s="549"/>
    </row>
    <row r="289" spans="1:11" x14ac:dyDescent="0.25">
      <c r="A289" s="540"/>
      <c r="B289" s="540"/>
      <c r="C289" s="540"/>
      <c r="D289" s="540"/>
      <c r="E289" s="553"/>
      <c r="F289" s="540"/>
      <c r="G289" s="565" t="str">
        <f t="shared" si="13"/>
        <v/>
      </c>
      <c r="H289" s="605"/>
      <c r="I289" s="31"/>
      <c r="J289" s="606">
        <f t="shared" si="14"/>
        <v>0</v>
      </c>
      <c r="K289" s="549"/>
    </row>
    <row r="290" spans="1:11" x14ac:dyDescent="0.25">
      <c r="A290" s="540"/>
      <c r="B290" s="540"/>
      <c r="C290" s="540"/>
      <c r="D290" s="540"/>
      <c r="E290" s="553"/>
      <c r="F290" s="540"/>
      <c r="G290" s="565" t="str">
        <f t="shared" si="13"/>
        <v/>
      </c>
      <c r="H290" s="605"/>
      <c r="I290" s="31"/>
      <c r="J290" s="606">
        <f t="shared" si="14"/>
        <v>0</v>
      </c>
      <c r="K290" s="549"/>
    </row>
    <row r="291" spans="1:11" x14ac:dyDescent="0.25">
      <c r="A291" s="540"/>
      <c r="B291" s="540"/>
      <c r="C291" s="540"/>
      <c r="D291" s="540"/>
      <c r="E291" s="553"/>
      <c r="F291" s="540"/>
      <c r="G291" s="565" t="str">
        <f t="shared" si="13"/>
        <v/>
      </c>
      <c r="H291" s="605"/>
      <c r="I291" s="31"/>
      <c r="J291" s="606">
        <f t="shared" si="14"/>
        <v>0</v>
      </c>
      <c r="K291" s="549"/>
    </row>
    <row r="292" spans="1:11" x14ac:dyDescent="0.25">
      <c r="A292" s="540"/>
      <c r="B292" s="540"/>
      <c r="C292" s="540"/>
      <c r="D292" s="540"/>
      <c r="E292" s="553"/>
      <c r="F292" s="540"/>
      <c r="G292" s="565" t="str">
        <f t="shared" si="13"/>
        <v/>
      </c>
      <c r="H292" s="605"/>
      <c r="I292" s="31"/>
      <c r="J292" s="606">
        <f t="shared" si="14"/>
        <v>0</v>
      </c>
      <c r="K292" s="549"/>
    </row>
    <row r="293" spans="1:11" x14ac:dyDescent="0.25">
      <c r="A293" s="540"/>
      <c r="B293" s="540"/>
      <c r="C293" s="540"/>
      <c r="D293" s="540"/>
      <c r="E293" s="553"/>
      <c r="F293" s="540"/>
      <c r="G293" s="565" t="str">
        <f t="shared" si="13"/>
        <v/>
      </c>
      <c r="H293" s="605"/>
      <c r="I293" s="31"/>
      <c r="J293" s="606">
        <f t="shared" si="14"/>
        <v>0</v>
      </c>
      <c r="K293" s="549"/>
    </row>
    <row r="294" spans="1:11" x14ac:dyDescent="0.25">
      <c r="A294" s="540"/>
      <c r="B294" s="540"/>
      <c r="C294" s="540"/>
      <c r="D294" s="540"/>
      <c r="E294" s="553"/>
      <c r="F294" s="540"/>
      <c r="G294" s="565" t="str">
        <f t="shared" si="13"/>
        <v/>
      </c>
      <c r="H294" s="605"/>
      <c r="I294" s="31"/>
      <c r="J294" s="606">
        <f t="shared" si="14"/>
        <v>0</v>
      </c>
      <c r="K294" s="549"/>
    </row>
    <row r="295" spans="1:11" x14ac:dyDescent="0.25">
      <c r="A295" s="540"/>
      <c r="B295" s="540"/>
      <c r="C295" s="540"/>
      <c r="D295" s="540"/>
      <c r="E295" s="553"/>
      <c r="F295" s="540"/>
      <c r="G295" s="565" t="str">
        <f t="shared" si="13"/>
        <v/>
      </c>
      <c r="H295" s="605"/>
      <c r="I295" s="31"/>
      <c r="J295" s="606">
        <f t="shared" si="14"/>
        <v>0</v>
      </c>
      <c r="K295" s="549"/>
    </row>
    <row r="296" spans="1:11" x14ac:dyDescent="0.25">
      <c r="A296" s="540"/>
      <c r="B296" s="540"/>
      <c r="C296" s="540"/>
      <c r="D296" s="540"/>
      <c r="E296" s="553"/>
      <c r="F296" s="540"/>
      <c r="G296" s="565" t="str">
        <f t="shared" si="13"/>
        <v/>
      </c>
      <c r="H296" s="605"/>
      <c r="I296" s="31"/>
      <c r="J296" s="606">
        <f t="shared" si="14"/>
        <v>0</v>
      </c>
      <c r="K296" s="549"/>
    </row>
    <row r="297" spans="1:11" x14ac:dyDescent="0.25">
      <c r="A297" s="540"/>
      <c r="B297" s="540"/>
      <c r="C297" s="540"/>
      <c r="D297" s="540"/>
      <c r="E297" s="553"/>
      <c r="F297" s="540"/>
      <c r="G297" s="565" t="str">
        <f t="shared" si="13"/>
        <v/>
      </c>
      <c r="H297" s="605"/>
      <c r="I297" s="31"/>
      <c r="J297" s="606">
        <f t="shared" si="14"/>
        <v>0</v>
      </c>
      <c r="K297" s="549"/>
    </row>
    <row r="298" spans="1:11" x14ac:dyDescent="0.25">
      <c r="A298" s="540"/>
      <c r="B298" s="540"/>
      <c r="C298" s="540"/>
      <c r="D298" s="540"/>
      <c r="E298" s="553"/>
      <c r="F298" s="540"/>
      <c r="G298" s="565" t="str">
        <f t="shared" si="13"/>
        <v/>
      </c>
      <c r="H298" s="605"/>
      <c r="I298" s="31"/>
      <c r="J298" s="606">
        <f t="shared" si="14"/>
        <v>0</v>
      </c>
      <c r="K298" s="549"/>
    </row>
    <row r="299" spans="1:11" x14ac:dyDescent="0.25">
      <c r="A299" s="540"/>
      <c r="B299" s="540"/>
      <c r="C299" s="540"/>
      <c r="D299" s="540"/>
      <c r="E299" s="553"/>
      <c r="F299" s="540"/>
      <c r="G299" s="565" t="str">
        <f t="shared" si="13"/>
        <v/>
      </c>
      <c r="H299" s="605"/>
      <c r="I299" s="31"/>
      <c r="J299" s="606">
        <f t="shared" si="14"/>
        <v>0</v>
      </c>
      <c r="K299" s="549"/>
    </row>
    <row r="300" spans="1:11" x14ac:dyDescent="0.25">
      <c r="A300" s="540"/>
      <c r="B300" s="540"/>
      <c r="C300" s="540"/>
      <c r="D300" s="540"/>
      <c r="E300" s="553"/>
      <c r="F300" s="540"/>
      <c r="G300" s="565" t="str">
        <f t="shared" si="13"/>
        <v/>
      </c>
      <c r="H300" s="605"/>
      <c r="I300" s="31"/>
      <c r="J300" s="606">
        <f t="shared" si="14"/>
        <v>0</v>
      </c>
      <c r="K300" s="549"/>
    </row>
    <row r="301" spans="1:11" x14ac:dyDescent="0.25">
      <c r="A301" s="540"/>
      <c r="B301" s="540"/>
      <c r="C301" s="540"/>
      <c r="D301" s="540"/>
      <c r="E301" s="553"/>
      <c r="F301" s="540"/>
      <c r="G301" s="565" t="str">
        <f t="shared" si="13"/>
        <v/>
      </c>
      <c r="H301" s="605"/>
      <c r="I301" s="31"/>
      <c r="J301" s="606">
        <f t="shared" si="14"/>
        <v>0</v>
      </c>
      <c r="K301" s="549"/>
    </row>
    <row r="302" spans="1:11" x14ac:dyDescent="0.25">
      <c r="A302" s="540"/>
      <c r="B302" s="540"/>
      <c r="C302" s="540"/>
      <c r="D302" s="540"/>
      <c r="E302" s="553"/>
      <c r="F302" s="540"/>
      <c r="G302" s="565" t="str">
        <f t="shared" si="13"/>
        <v/>
      </c>
      <c r="H302" s="605"/>
      <c r="I302" s="31"/>
      <c r="J302" s="606">
        <f t="shared" si="14"/>
        <v>0</v>
      </c>
      <c r="K302" s="549"/>
    </row>
    <row r="303" spans="1:11" x14ac:dyDescent="0.25">
      <c r="A303" s="540"/>
      <c r="B303" s="540"/>
      <c r="C303" s="540"/>
      <c r="D303" s="540"/>
      <c r="E303" s="553"/>
      <c r="F303" s="540"/>
      <c r="G303" s="565" t="str">
        <f t="shared" si="13"/>
        <v/>
      </c>
      <c r="H303" s="605"/>
      <c r="I303" s="31"/>
      <c r="J303" s="606">
        <f t="shared" si="14"/>
        <v>0</v>
      </c>
      <c r="K303" s="549"/>
    </row>
    <row r="304" spans="1:11" x14ac:dyDescent="0.25">
      <c r="A304" s="540"/>
      <c r="B304" s="540"/>
      <c r="C304" s="540"/>
      <c r="D304" s="540"/>
      <c r="E304" s="553"/>
      <c r="F304" s="540"/>
      <c r="G304" s="565" t="str">
        <f t="shared" si="13"/>
        <v/>
      </c>
      <c r="H304" s="605"/>
      <c r="I304" s="31"/>
      <c r="J304" s="606">
        <f t="shared" si="14"/>
        <v>0</v>
      </c>
      <c r="K304" s="549"/>
    </row>
    <row r="305" spans="1:11" x14ac:dyDescent="0.25">
      <c r="A305" s="540"/>
      <c r="B305" s="540"/>
      <c r="C305" s="540"/>
      <c r="D305" s="540"/>
      <c r="E305" s="553"/>
      <c r="F305" s="540"/>
      <c r="G305" s="565" t="str">
        <f t="shared" si="13"/>
        <v/>
      </c>
      <c r="H305" s="605"/>
      <c r="I305" s="31"/>
      <c r="J305" s="606">
        <f t="shared" si="14"/>
        <v>0</v>
      </c>
      <c r="K305" s="549"/>
    </row>
    <row r="306" spans="1:11" x14ac:dyDescent="0.25">
      <c r="A306" s="540"/>
      <c r="B306" s="540"/>
      <c r="C306" s="540"/>
      <c r="D306" s="540"/>
      <c r="E306" s="553"/>
      <c r="F306" s="540"/>
      <c r="G306" s="565" t="str">
        <f t="shared" si="13"/>
        <v/>
      </c>
      <c r="H306" s="605"/>
      <c r="I306" s="31"/>
      <c r="J306" s="606">
        <f t="shared" si="14"/>
        <v>0</v>
      </c>
      <c r="K306" s="549"/>
    </row>
    <row r="307" spans="1:11" x14ac:dyDescent="0.25">
      <c r="A307" s="540"/>
      <c r="B307" s="540"/>
      <c r="C307" s="540"/>
      <c r="D307" s="540"/>
      <c r="E307" s="553"/>
      <c r="F307" s="540"/>
      <c r="G307" s="565" t="str">
        <f t="shared" si="13"/>
        <v/>
      </c>
      <c r="H307" s="605"/>
      <c r="I307" s="31"/>
      <c r="J307" s="606">
        <f t="shared" si="14"/>
        <v>0</v>
      </c>
      <c r="K307" s="549"/>
    </row>
    <row r="308" spans="1:11" x14ac:dyDescent="0.25">
      <c r="A308" s="540"/>
      <c r="B308" s="540"/>
      <c r="C308" s="540"/>
      <c r="D308" s="540"/>
      <c r="E308" s="553"/>
      <c r="F308" s="540"/>
      <c r="G308" s="565" t="str">
        <f t="shared" si="13"/>
        <v/>
      </c>
      <c r="H308" s="605"/>
      <c r="I308" s="31"/>
      <c r="J308" s="606">
        <f t="shared" si="14"/>
        <v>0</v>
      </c>
      <c r="K308" s="549"/>
    </row>
    <row r="309" spans="1:11" x14ac:dyDescent="0.25">
      <c r="A309" s="540"/>
      <c r="B309" s="540"/>
      <c r="C309" s="540"/>
      <c r="D309" s="540"/>
      <c r="E309" s="553"/>
      <c r="F309" s="540"/>
      <c r="G309" s="565" t="str">
        <f t="shared" si="13"/>
        <v/>
      </c>
      <c r="H309" s="605"/>
      <c r="I309" s="31"/>
      <c r="J309" s="606">
        <f t="shared" si="14"/>
        <v>0</v>
      </c>
      <c r="K309" s="549"/>
    </row>
    <row r="310" spans="1:11" x14ac:dyDescent="0.25">
      <c r="A310" s="540"/>
      <c r="B310" s="540"/>
      <c r="C310" s="540"/>
      <c r="D310" s="540"/>
      <c r="E310" s="553"/>
      <c r="F310" s="540"/>
      <c r="G310" s="565" t="str">
        <f t="shared" si="13"/>
        <v/>
      </c>
      <c r="H310" s="605"/>
      <c r="I310" s="31"/>
      <c r="J310" s="606">
        <f t="shared" si="14"/>
        <v>0</v>
      </c>
      <c r="K310" s="549"/>
    </row>
    <row r="311" spans="1:11" x14ac:dyDescent="0.25">
      <c r="A311" s="540"/>
      <c r="B311" s="540"/>
      <c r="C311" s="540"/>
      <c r="D311" s="540"/>
      <c r="E311" s="553"/>
      <c r="F311" s="540"/>
      <c r="G311" s="565" t="str">
        <f t="shared" si="13"/>
        <v/>
      </c>
      <c r="H311" s="605"/>
      <c r="I311" s="31"/>
      <c r="J311" s="606">
        <f t="shared" si="14"/>
        <v>0</v>
      </c>
      <c r="K311" s="549"/>
    </row>
    <row r="312" spans="1:11" x14ac:dyDescent="0.25">
      <c r="A312" s="540"/>
      <c r="B312" s="540"/>
      <c r="C312" s="540"/>
      <c r="D312" s="540"/>
      <c r="E312" s="553"/>
      <c r="F312" s="540"/>
      <c r="G312" s="565" t="str">
        <f t="shared" si="13"/>
        <v/>
      </c>
      <c r="H312" s="605"/>
      <c r="I312" s="31"/>
      <c r="J312" s="606">
        <f t="shared" si="14"/>
        <v>0</v>
      </c>
      <c r="K312" s="549"/>
    </row>
    <row r="313" spans="1:11" x14ac:dyDescent="0.25">
      <c r="A313" s="540"/>
      <c r="B313" s="540"/>
      <c r="C313" s="540"/>
      <c r="D313" s="540"/>
      <c r="E313" s="553"/>
      <c r="F313" s="540"/>
      <c r="G313" s="565" t="str">
        <f t="shared" si="13"/>
        <v/>
      </c>
      <c r="H313" s="605"/>
      <c r="I313" s="31"/>
      <c r="J313" s="606">
        <f t="shared" si="14"/>
        <v>0</v>
      </c>
      <c r="K313" s="549"/>
    </row>
    <row r="314" spans="1:11" x14ac:dyDescent="0.25">
      <c r="A314" s="540"/>
      <c r="B314" s="540"/>
      <c r="C314" s="540"/>
      <c r="D314" s="540"/>
      <c r="E314" s="553"/>
      <c r="F314" s="540"/>
      <c r="G314" s="565" t="str">
        <f t="shared" si="13"/>
        <v/>
      </c>
      <c r="H314" s="605"/>
      <c r="I314" s="31"/>
      <c r="J314" s="606">
        <f t="shared" si="14"/>
        <v>0</v>
      </c>
      <c r="K314" s="549"/>
    </row>
    <row r="315" spans="1:11" x14ac:dyDescent="0.25">
      <c r="A315" s="540"/>
      <c r="B315" s="540"/>
      <c r="C315" s="540"/>
      <c r="D315" s="540"/>
      <c r="E315" s="553"/>
      <c r="F315" s="540"/>
      <c r="G315" s="565" t="str">
        <f t="shared" si="13"/>
        <v/>
      </c>
      <c r="H315" s="605"/>
      <c r="I315" s="31"/>
      <c r="J315" s="606">
        <f t="shared" si="14"/>
        <v>0</v>
      </c>
      <c r="K315" s="549"/>
    </row>
    <row r="316" spans="1:11" x14ac:dyDescent="0.25">
      <c r="A316" s="540"/>
      <c r="B316" s="540"/>
      <c r="C316" s="540"/>
      <c r="D316" s="540"/>
      <c r="E316" s="553"/>
      <c r="F316" s="540"/>
      <c r="G316" s="565" t="str">
        <f t="shared" si="13"/>
        <v/>
      </c>
      <c r="H316" s="605"/>
      <c r="I316" s="31"/>
      <c r="J316" s="606">
        <f t="shared" si="14"/>
        <v>0</v>
      </c>
      <c r="K316" s="549"/>
    </row>
    <row r="317" spans="1:11" x14ac:dyDescent="0.25">
      <c r="A317" s="540"/>
      <c r="B317" s="540"/>
      <c r="C317" s="540"/>
      <c r="D317" s="540"/>
      <c r="E317" s="553"/>
      <c r="F317" s="540"/>
      <c r="G317" s="565" t="str">
        <f t="shared" si="13"/>
        <v/>
      </c>
      <c r="H317" s="605"/>
      <c r="I317" s="31"/>
      <c r="J317" s="606">
        <f t="shared" si="14"/>
        <v>0</v>
      </c>
      <c r="K317" s="549"/>
    </row>
    <row r="318" spans="1:11" x14ac:dyDescent="0.25">
      <c r="A318" s="540"/>
      <c r="B318" s="540"/>
      <c r="C318" s="540"/>
      <c r="D318" s="540"/>
      <c r="E318" s="553"/>
      <c r="F318" s="540"/>
      <c r="G318" s="565" t="str">
        <f t="shared" si="13"/>
        <v/>
      </c>
      <c r="H318" s="605"/>
      <c r="I318" s="31"/>
      <c r="J318" s="606">
        <f t="shared" si="14"/>
        <v>0</v>
      </c>
      <c r="K318" s="549"/>
    </row>
    <row r="319" spans="1:11" x14ac:dyDescent="0.25">
      <c r="A319" s="540"/>
      <c r="B319" s="540"/>
      <c r="C319" s="540"/>
      <c r="D319" s="540"/>
      <c r="E319" s="553"/>
      <c r="F319" s="540"/>
      <c r="G319" s="565" t="str">
        <f t="shared" si="13"/>
        <v/>
      </c>
      <c r="H319" s="605"/>
      <c r="I319" s="31"/>
      <c r="J319" s="606">
        <f t="shared" si="14"/>
        <v>0</v>
      </c>
      <c r="K319" s="549"/>
    </row>
    <row r="320" spans="1:11" x14ac:dyDescent="0.25">
      <c r="A320" s="540"/>
      <c r="B320" s="540"/>
      <c r="C320" s="540"/>
      <c r="D320" s="540"/>
      <c r="E320" s="553"/>
      <c r="F320" s="540"/>
      <c r="G320" s="565" t="str">
        <f t="shared" si="13"/>
        <v/>
      </c>
      <c r="H320" s="605"/>
      <c r="I320" s="31"/>
      <c r="J320" s="606">
        <f t="shared" si="14"/>
        <v>0</v>
      </c>
      <c r="K320" s="549"/>
    </row>
    <row r="321" spans="1:11" x14ac:dyDescent="0.25">
      <c r="A321" s="540"/>
      <c r="B321" s="540"/>
      <c r="C321" s="540"/>
      <c r="D321" s="540"/>
      <c r="E321" s="553"/>
      <c r="F321" s="540"/>
      <c r="G321" s="565" t="str">
        <f t="shared" si="13"/>
        <v/>
      </c>
      <c r="H321" s="605"/>
      <c r="I321" s="31"/>
      <c r="J321" s="606">
        <f t="shared" si="14"/>
        <v>0</v>
      </c>
      <c r="K321" s="549"/>
    </row>
    <row r="322" spans="1:11" x14ac:dyDescent="0.25">
      <c r="A322" s="540"/>
      <c r="B322" s="540"/>
      <c r="C322" s="540"/>
      <c r="D322" s="540"/>
      <c r="E322" s="553"/>
      <c r="F322" s="540"/>
      <c r="G322" s="565" t="str">
        <f t="shared" si="13"/>
        <v/>
      </c>
      <c r="H322" s="605"/>
      <c r="I322" s="31"/>
      <c r="J322" s="606">
        <f t="shared" si="14"/>
        <v>0</v>
      </c>
      <c r="K322" s="549"/>
    </row>
    <row r="323" spans="1:11" x14ac:dyDescent="0.25">
      <c r="A323" s="540"/>
      <c r="B323" s="540"/>
      <c r="C323" s="540"/>
      <c r="D323" s="540"/>
      <c r="E323" s="553"/>
      <c r="F323" s="540"/>
      <c r="G323" s="565" t="str">
        <f t="shared" si="13"/>
        <v/>
      </c>
      <c r="H323" s="605"/>
      <c r="I323" s="31"/>
      <c r="J323" s="606">
        <f t="shared" si="14"/>
        <v>0</v>
      </c>
      <c r="K323" s="549"/>
    </row>
    <row r="324" spans="1:11" x14ac:dyDescent="0.25">
      <c r="A324" s="540"/>
      <c r="B324" s="540"/>
      <c r="C324" s="540"/>
      <c r="D324" s="540"/>
      <c r="E324" s="553"/>
      <c r="F324" s="540"/>
      <c r="G324" s="565" t="str">
        <f t="shared" si="13"/>
        <v/>
      </c>
      <c r="H324" s="605"/>
      <c r="I324" s="31"/>
      <c r="J324" s="606">
        <f t="shared" si="14"/>
        <v>0</v>
      </c>
      <c r="K324" s="549"/>
    </row>
    <row r="325" spans="1:11" x14ac:dyDescent="0.25">
      <c r="A325" s="540"/>
      <c r="B325" s="540"/>
      <c r="C325" s="540"/>
      <c r="D325" s="540"/>
      <c r="E325" s="553"/>
      <c r="F325" s="540"/>
      <c r="G325" s="565" t="str">
        <f t="shared" si="13"/>
        <v/>
      </c>
      <c r="H325" s="605"/>
      <c r="I325" s="31"/>
      <c r="J325" s="606">
        <f t="shared" si="14"/>
        <v>0</v>
      </c>
      <c r="K325" s="549"/>
    </row>
    <row r="326" spans="1:11" x14ac:dyDescent="0.25">
      <c r="A326" s="540"/>
      <c r="B326" s="540"/>
      <c r="C326" s="540"/>
      <c r="D326" s="540"/>
      <c r="E326" s="553"/>
      <c r="F326" s="540"/>
      <c r="G326" s="565" t="str">
        <f t="shared" si="13"/>
        <v/>
      </c>
      <c r="H326" s="605"/>
      <c r="I326" s="31"/>
      <c r="J326" s="606">
        <f t="shared" si="14"/>
        <v>0</v>
      </c>
      <c r="K326" s="549"/>
    </row>
    <row r="327" spans="1:11" x14ac:dyDescent="0.25">
      <c r="A327" s="540"/>
      <c r="B327" s="540"/>
      <c r="C327" s="540"/>
      <c r="D327" s="540"/>
      <c r="E327" s="553"/>
      <c r="F327" s="540"/>
      <c r="G327" s="565" t="str">
        <f t="shared" si="13"/>
        <v/>
      </c>
      <c r="H327" s="605"/>
      <c r="I327" s="31"/>
      <c r="J327" s="606">
        <f t="shared" si="14"/>
        <v>0</v>
      </c>
      <c r="K327" s="549"/>
    </row>
    <row r="328" spans="1:11" x14ac:dyDescent="0.25">
      <c r="A328" s="540"/>
      <c r="B328" s="540"/>
      <c r="C328" s="540"/>
      <c r="D328" s="540"/>
      <c r="E328" s="553"/>
      <c r="F328" s="540"/>
      <c r="G328" s="565" t="str">
        <f t="shared" si="13"/>
        <v/>
      </c>
      <c r="H328" s="605"/>
      <c r="I328" s="31"/>
      <c r="J328" s="606">
        <f t="shared" si="14"/>
        <v>0</v>
      </c>
      <c r="K328" s="549"/>
    </row>
    <row r="329" spans="1:11" x14ac:dyDescent="0.25">
      <c r="A329" s="540"/>
      <c r="B329" s="540"/>
      <c r="C329" s="540"/>
      <c r="D329" s="540"/>
      <c r="E329" s="553"/>
      <c r="F329" s="540"/>
      <c r="G329" s="565" t="str">
        <f t="shared" si="13"/>
        <v/>
      </c>
      <c r="H329" s="605"/>
      <c r="I329" s="31"/>
      <c r="J329" s="606">
        <f t="shared" si="14"/>
        <v>0</v>
      </c>
      <c r="K329" s="549"/>
    </row>
    <row r="330" spans="1:11" x14ac:dyDescent="0.25">
      <c r="A330" s="540"/>
      <c r="B330" s="540"/>
      <c r="C330" s="540"/>
      <c r="D330" s="540"/>
      <c r="E330" s="553"/>
      <c r="F330" s="540"/>
      <c r="G330" s="565" t="str">
        <f t="shared" si="13"/>
        <v/>
      </c>
      <c r="H330" s="605"/>
      <c r="I330" s="31"/>
      <c r="J330" s="606">
        <f t="shared" si="14"/>
        <v>0</v>
      </c>
      <c r="K330" s="549"/>
    </row>
    <row r="331" spans="1:11" x14ac:dyDescent="0.25">
      <c r="A331" s="540"/>
      <c r="B331" s="540"/>
      <c r="C331" s="540"/>
      <c r="D331" s="540"/>
      <c r="E331" s="553"/>
      <c r="F331" s="540"/>
      <c r="G331" s="565" t="str">
        <f t="shared" ref="G331:G394" si="15">IF(E331="","",IF(E331+$M$2&lt;$L$2,"VENCIDA","VIGENTE"))</f>
        <v/>
      </c>
      <c r="H331" s="605"/>
      <c r="I331" s="31"/>
      <c r="J331" s="606">
        <f t="shared" ref="J331:J394" si="16">H331-I331</f>
        <v>0</v>
      </c>
      <c r="K331" s="549"/>
    </row>
    <row r="332" spans="1:11" x14ac:dyDescent="0.25">
      <c r="A332" s="540"/>
      <c r="B332" s="540"/>
      <c r="C332" s="540"/>
      <c r="D332" s="540"/>
      <c r="E332" s="553"/>
      <c r="F332" s="540"/>
      <c r="G332" s="565" t="str">
        <f t="shared" si="15"/>
        <v/>
      </c>
      <c r="H332" s="605"/>
      <c r="I332" s="31"/>
      <c r="J332" s="606">
        <f t="shared" si="16"/>
        <v>0</v>
      </c>
      <c r="K332" s="549"/>
    </row>
    <row r="333" spans="1:11" x14ac:dyDescent="0.25">
      <c r="A333" s="540"/>
      <c r="B333" s="540"/>
      <c r="C333" s="540"/>
      <c r="D333" s="540"/>
      <c r="E333" s="553"/>
      <c r="F333" s="540"/>
      <c r="G333" s="565" t="str">
        <f t="shared" si="15"/>
        <v/>
      </c>
      <c r="H333" s="605"/>
      <c r="I333" s="31"/>
      <c r="J333" s="606">
        <f t="shared" si="16"/>
        <v>0</v>
      </c>
      <c r="K333" s="549"/>
    </row>
    <row r="334" spans="1:11" x14ac:dyDescent="0.25">
      <c r="A334" s="540"/>
      <c r="B334" s="540"/>
      <c r="C334" s="540"/>
      <c r="D334" s="540"/>
      <c r="E334" s="553"/>
      <c r="F334" s="540"/>
      <c r="G334" s="565" t="str">
        <f t="shared" si="15"/>
        <v/>
      </c>
      <c r="H334" s="605"/>
      <c r="I334" s="31"/>
      <c r="J334" s="606">
        <f t="shared" si="16"/>
        <v>0</v>
      </c>
      <c r="K334" s="549"/>
    </row>
    <row r="335" spans="1:11" x14ac:dyDescent="0.25">
      <c r="A335" s="540"/>
      <c r="B335" s="540"/>
      <c r="C335" s="540"/>
      <c r="D335" s="540"/>
      <c r="E335" s="553"/>
      <c r="F335" s="540"/>
      <c r="G335" s="565" t="str">
        <f t="shared" si="15"/>
        <v/>
      </c>
      <c r="H335" s="605"/>
      <c r="I335" s="31"/>
      <c r="J335" s="606">
        <f t="shared" si="16"/>
        <v>0</v>
      </c>
      <c r="K335" s="549"/>
    </row>
    <row r="336" spans="1:11" x14ac:dyDescent="0.25">
      <c r="A336" s="540"/>
      <c r="B336" s="540"/>
      <c r="C336" s="540"/>
      <c r="D336" s="540"/>
      <c r="E336" s="553"/>
      <c r="F336" s="540"/>
      <c r="G336" s="565" t="str">
        <f t="shared" si="15"/>
        <v/>
      </c>
      <c r="H336" s="605"/>
      <c r="I336" s="31"/>
      <c r="J336" s="606">
        <f t="shared" si="16"/>
        <v>0</v>
      </c>
      <c r="K336" s="549"/>
    </row>
    <row r="337" spans="1:11" x14ac:dyDescent="0.25">
      <c r="A337" s="540"/>
      <c r="B337" s="540"/>
      <c r="C337" s="540"/>
      <c r="D337" s="540"/>
      <c r="E337" s="553"/>
      <c r="F337" s="540"/>
      <c r="G337" s="565" t="str">
        <f t="shared" si="15"/>
        <v/>
      </c>
      <c r="H337" s="605"/>
      <c r="I337" s="31"/>
      <c r="J337" s="606">
        <f t="shared" si="16"/>
        <v>0</v>
      </c>
      <c r="K337" s="549"/>
    </row>
    <row r="338" spans="1:11" x14ac:dyDescent="0.25">
      <c r="A338" s="540"/>
      <c r="B338" s="540"/>
      <c r="C338" s="540"/>
      <c r="D338" s="540"/>
      <c r="E338" s="553"/>
      <c r="F338" s="540"/>
      <c r="G338" s="565" t="str">
        <f t="shared" si="15"/>
        <v/>
      </c>
      <c r="H338" s="605"/>
      <c r="I338" s="31"/>
      <c r="J338" s="606">
        <f t="shared" si="16"/>
        <v>0</v>
      </c>
      <c r="K338" s="549"/>
    </row>
    <row r="339" spans="1:11" x14ac:dyDescent="0.25">
      <c r="A339" s="540"/>
      <c r="B339" s="540"/>
      <c r="C339" s="540"/>
      <c r="D339" s="540"/>
      <c r="E339" s="553"/>
      <c r="F339" s="540"/>
      <c r="G339" s="565" t="str">
        <f t="shared" si="15"/>
        <v/>
      </c>
      <c r="H339" s="605"/>
      <c r="I339" s="31"/>
      <c r="J339" s="606">
        <f t="shared" si="16"/>
        <v>0</v>
      </c>
      <c r="K339" s="549"/>
    </row>
    <row r="340" spans="1:11" x14ac:dyDescent="0.25">
      <c r="A340" s="540"/>
      <c r="B340" s="540"/>
      <c r="C340" s="540"/>
      <c r="D340" s="540"/>
      <c r="E340" s="553"/>
      <c r="F340" s="540"/>
      <c r="G340" s="565" t="str">
        <f t="shared" si="15"/>
        <v/>
      </c>
      <c r="H340" s="605"/>
      <c r="I340" s="31"/>
      <c r="J340" s="606">
        <f t="shared" si="16"/>
        <v>0</v>
      </c>
      <c r="K340" s="549"/>
    </row>
    <row r="341" spans="1:11" x14ac:dyDescent="0.25">
      <c r="A341" s="540"/>
      <c r="B341" s="540"/>
      <c r="C341" s="540"/>
      <c r="D341" s="540"/>
      <c r="E341" s="553"/>
      <c r="F341" s="540"/>
      <c r="G341" s="565" t="str">
        <f t="shared" si="15"/>
        <v/>
      </c>
      <c r="H341" s="605"/>
      <c r="I341" s="31"/>
      <c r="J341" s="606">
        <f t="shared" si="16"/>
        <v>0</v>
      </c>
      <c r="K341" s="549"/>
    </row>
    <row r="342" spans="1:11" x14ac:dyDescent="0.25">
      <c r="A342" s="540"/>
      <c r="B342" s="540"/>
      <c r="C342" s="540"/>
      <c r="D342" s="540"/>
      <c r="E342" s="553"/>
      <c r="F342" s="540"/>
      <c r="G342" s="565" t="str">
        <f t="shared" si="15"/>
        <v/>
      </c>
      <c r="H342" s="605"/>
      <c r="I342" s="31"/>
      <c r="J342" s="606">
        <f t="shared" si="16"/>
        <v>0</v>
      </c>
      <c r="K342" s="549"/>
    </row>
    <row r="343" spans="1:11" x14ac:dyDescent="0.25">
      <c r="A343" s="540"/>
      <c r="B343" s="540"/>
      <c r="C343" s="540"/>
      <c r="D343" s="540"/>
      <c r="E343" s="553"/>
      <c r="F343" s="540"/>
      <c r="G343" s="565" t="str">
        <f t="shared" si="15"/>
        <v/>
      </c>
      <c r="H343" s="605"/>
      <c r="I343" s="31"/>
      <c r="J343" s="606">
        <f t="shared" si="16"/>
        <v>0</v>
      </c>
      <c r="K343" s="549"/>
    </row>
    <row r="344" spans="1:11" x14ac:dyDescent="0.25">
      <c r="A344" s="540"/>
      <c r="B344" s="540"/>
      <c r="C344" s="540"/>
      <c r="D344" s="540"/>
      <c r="E344" s="553"/>
      <c r="F344" s="540"/>
      <c r="G344" s="565" t="str">
        <f t="shared" si="15"/>
        <v/>
      </c>
      <c r="H344" s="605"/>
      <c r="I344" s="31"/>
      <c r="J344" s="606">
        <f t="shared" si="16"/>
        <v>0</v>
      </c>
      <c r="K344" s="549"/>
    </row>
    <row r="345" spans="1:11" x14ac:dyDescent="0.25">
      <c r="A345" s="540"/>
      <c r="B345" s="540"/>
      <c r="C345" s="540"/>
      <c r="D345" s="540"/>
      <c r="E345" s="553"/>
      <c r="F345" s="540"/>
      <c r="G345" s="565" t="str">
        <f t="shared" si="15"/>
        <v/>
      </c>
      <c r="H345" s="605"/>
      <c r="I345" s="31"/>
      <c r="J345" s="606">
        <f t="shared" si="16"/>
        <v>0</v>
      </c>
      <c r="K345" s="549"/>
    </row>
    <row r="346" spans="1:11" x14ac:dyDescent="0.25">
      <c r="A346" s="540"/>
      <c r="B346" s="540"/>
      <c r="C346" s="540"/>
      <c r="D346" s="540"/>
      <c r="E346" s="553"/>
      <c r="F346" s="540"/>
      <c r="G346" s="565" t="str">
        <f t="shared" si="15"/>
        <v/>
      </c>
      <c r="H346" s="605"/>
      <c r="I346" s="31"/>
      <c r="J346" s="606">
        <f t="shared" si="16"/>
        <v>0</v>
      </c>
      <c r="K346" s="549"/>
    </row>
    <row r="347" spans="1:11" x14ac:dyDescent="0.25">
      <c r="A347" s="540"/>
      <c r="B347" s="540"/>
      <c r="C347" s="540"/>
      <c r="D347" s="540"/>
      <c r="E347" s="553"/>
      <c r="F347" s="540"/>
      <c r="G347" s="565" t="str">
        <f t="shared" si="15"/>
        <v/>
      </c>
      <c r="H347" s="605"/>
      <c r="I347" s="31"/>
      <c r="J347" s="606">
        <f t="shared" si="16"/>
        <v>0</v>
      </c>
      <c r="K347" s="549"/>
    </row>
    <row r="348" spans="1:11" x14ac:dyDescent="0.25">
      <c r="A348" s="540"/>
      <c r="B348" s="540"/>
      <c r="C348" s="540"/>
      <c r="D348" s="540"/>
      <c r="E348" s="553"/>
      <c r="F348" s="540"/>
      <c r="G348" s="565" t="str">
        <f t="shared" si="15"/>
        <v/>
      </c>
      <c r="H348" s="605"/>
      <c r="I348" s="31"/>
      <c r="J348" s="606">
        <f t="shared" si="16"/>
        <v>0</v>
      </c>
      <c r="K348" s="549"/>
    </row>
    <row r="349" spans="1:11" x14ac:dyDescent="0.25">
      <c r="A349" s="540"/>
      <c r="B349" s="540"/>
      <c r="C349" s="540"/>
      <c r="D349" s="540"/>
      <c r="E349" s="553"/>
      <c r="F349" s="540"/>
      <c r="G349" s="565" t="str">
        <f t="shared" si="15"/>
        <v/>
      </c>
      <c r="H349" s="605"/>
      <c r="I349" s="31"/>
      <c r="J349" s="606">
        <f t="shared" si="16"/>
        <v>0</v>
      </c>
      <c r="K349" s="549"/>
    </row>
    <row r="350" spans="1:11" x14ac:dyDescent="0.25">
      <c r="A350" s="540"/>
      <c r="B350" s="540"/>
      <c r="C350" s="540"/>
      <c r="D350" s="540"/>
      <c r="E350" s="553"/>
      <c r="F350" s="540"/>
      <c r="G350" s="565" t="str">
        <f t="shared" si="15"/>
        <v/>
      </c>
      <c r="H350" s="605"/>
      <c r="I350" s="31"/>
      <c r="J350" s="606">
        <f t="shared" si="16"/>
        <v>0</v>
      </c>
      <c r="K350" s="549"/>
    </row>
    <row r="351" spans="1:11" x14ac:dyDescent="0.25">
      <c r="A351" s="540"/>
      <c r="B351" s="540"/>
      <c r="C351" s="540"/>
      <c r="D351" s="540"/>
      <c r="E351" s="553"/>
      <c r="F351" s="540"/>
      <c r="G351" s="565" t="str">
        <f t="shared" si="15"/>
        <v/>
      </c>
      <c r="H351" s="605"/>
      <c r="I351" s="31"/>
      <c r="J351" s="606">
        <f t="shared" si="16"/>
        <v>0</v>
      </c>
      <c r="K351" s="549"/>
    </row>
    <row r="352" spans="1:11" x14ac:dyDescent="0.25">
      <c r="A352" s="540"/>
      <c r="B352" s="540"/>
      <c r="C352" s="540"/>
      <c r="D352" s="540"/>
      <c r="E352" s="553"/>
      <c r="F352" s="540"/>
      <c r="G352" s="565" t="str">
        <f t="shared" si="15"/>
        <v/>
      </c>
      <c r="H352" s="605"/>
      <c r="I352" s="31"/>
      <c r="J352" s="606">
        <f t="shared" si="16"/>
        <v>0</v>
      </c>
      <c r="K352" s="549"/>
    </row>
    <row r="353" spans="1:11" x14ac:dyDescent="0.25">
      <c r="A353" s="540"/>
      <c r="B353" s="540"/>
      <c r="C353" s="540"/>
      <c r="D353" s="540"/>
      <c r="E353" s="553"/>
      <c r="F353" s="540"/>
      <c r="G353" s="565" t="str">
        <f t="shared" si="15"/>
        <v/>
      </c>
      <c r="H353" s="605"/>
      <c r="I353" s="31"/>
      <c r="J353" s="606">
        <f t="shared" si="16"/>
        <v>0</v>
      </c>
      <c r="K353" s="549"/>
    </row>
    <row r="354" spans="1:11" x14ac:dyDescent="0.25">
      <c r="A354" s="540"/>
      <c r="B354" s="540"/>
      <c r="C354" s="540"/>
      <c r="D354" s="540"/>
      <c r="E354" s="553"/>
      <c r="F354" s="540"/>
      <c r="G354" s="565" t="str">
        <f t="shared" si="15"/>
        <v/>
      </c>
      <c r="H354" s="605"/>
      <c r="I354" s="31"/>
      <c r="J354" s="606">
        <f t="shared" si="16"/>
        <v>0</v>
      </c>
      <c r="K354" s="549"/>
    </row>
    <row r="355" spans="1:11" x14ac:dyDescent="0.25">
      <c r="A355" s="540"/>
      <c r="B355" s="540"/>
      <c r="C355" s="540"/>
      <c r="D355" s="540"/>
      <c r="E355" s="553"/>
      <c r="F355" s="540"/>
      <c r="G355" s="565" t="str">
        <f t="shared" si="15"/>
        <v/>
      </c>
      <c r="H355" s="605"/>
      <c r="I355" s="31"/>
      <c r="J355" s="606">
        <f t="shared" si="16"/>
        <v>0</v>
      </c>
      <c r="K355" s="549"/>
    </row>
    <row r="356" spans="1:11" x14ac:dyDescent="0.25">
      <c r="A356" s="540"/>
      <c r="B356" s="540"/>
      <c r="C356" s="540"/>
      <c r="D356" s="540"/>
      <c r="E356" s="553"/>
      <c r="F356" s="540"/>
      <c r="G356" s="565" t="str">
        <f t="shared" si="15"/>
        <v/>
      </c>
      <c r="H356" s="605"/>
      <c r="I356" s="31"/>
      <c r="J356" s="606">
        <f t="shared" si="16"/>
        <v>0</v>
      </c>
      <c r="K356" s="549"/>
    </row>
    <row r="357" spans="1:11" x14ac:dyDescent="0.25">
      <c r="A357" s="540"/>
      <c r="B357" s="540"/>
      <c r="C357" s="540"/>
      <c r="D357" s="540"/>
      <c r="E357" s="553"/>
      <c r="F357" s="540"/>
      <c r="G357" s="565" t="str">
        <f t="shared" si="15"/>
        <v/>
      </c>
      <c r="H357" s="605"/>
      <c r="I357" s="31"/>
      <c r="J357" s="606">
        <f t="shared" si="16"/>
        <v>0</v>
      </c>
      <c r="K357" s="549"/>
    </row>
    <row r="358" spans="1:11" x14ac:dyDescent="0.25">
      <c r="A358" s="540"/>
      <c r="B358" s="540"/>
      <c r="C358" s="540"/>
      <c r="D358" s="540"/>
      <c r="E358" s="553"/>
      <c r="F358" s="540"/>
      <c r="G358" s="565" t="str">
        <f t="shared" si="15"/>
        <v/>
      </c>
      <c r="H358" s="605"/>
      <c r="I358" s="31"/>
      <c r="J358" s="606">
        <f t="shared" si="16"/>
        <v>0</v>
      </c>
      <c r="K358" s="549"/>
    </row>
    <row r="359" spans="1:11" x14ac:dyDescent="0.25">
      <c r="A359" s="540"/>
      <c r="B359" s="540"/>
      <c r="C359" s="540"/>
      <c r="D359" s="540"/>
      <c r="E359" s="553"/>
      <c r="F359" s="540"/>
      <c r="G359" s="565" t="str">
        <f t="shared" si="15"/>
        <v/>
      </c>
      <c r="H359" s="605"/>
      <c r="I359" s="31"/>
      <c r="J359" s="606">
        <f t="shared" si="16"/>
        <v>0</v>
      </c>
      <c r="K359" s="549"/>
    </row>
    <row r="360" spans="1:11" x14ac:dyDescent="0.25">
      <c r="A360" s="540"/>
      <c r="B360" s="540"/>
      <c r="C360" s="540"/>
      <c r="D360" s="540"/>
      <c r="E360" s="553"/>
      <c r="F360" s="540"/>
      <c r="G360" s="565" t="str">
        <f t="shared" si="15"/>
        <v/>
      </c>
      <c r="H360" s="605"/>
      <c r="I360" s="31"/>
      <c r="J360" s="606">
        <f t="shared" si="16"/>
        <v>0</v>
      </c>
      <c r="K360" s="549"/>
    </row>
    <row r="361" spans="1:11" x14ac:dyDescent="0.25">
      <c r="A361" s="540"/>
      <c r="B361" s="540"/>
      <c r="C361" s="540"/>
      <c r="D361" s="540"/>
      <c r="E361" s="553"/>
      <c r="F361" s="540"/>
      <c r="G361" s="565" t="str">
        <f t="shared" si="15"/>
        <v/>
      </c>
      <c r="H361" s="605"/>
      <c r="I361" s="31"/>
      <c r="J361" s="606">
        <f t="shared" si="16"/>
        <v>0</v>
      </c>
      <c r="K361" s="549"/>
    </row>
    <row r="362" spans="1:11" x14ac:dyDescent="0.25">
      <c r="A362" s="540"/>
      <c r="B362" s="540"/>
      <c r="C362" s="540"/>
      <c r="D362" s="540"/>
      <c r="E362" s="553"/>
      <c r="F362" s="540"/>
      <c r="G362" s="565" t="str">
        <f t="shared" si="15"/>
        <v/>
      </c>
      <c r="H362" s="605"/>
      <c r="I362" s="31"/>
      <c r="J362" s="606">
        <f t="shared" si="16"/>
        <v>0</v>
      </c>
      <c r="K362" s="549"/>
    </row>
    <row r="363" spans="1:11" x14ac:dyDescent="0.25">
      <c r="A363" s="540"/>
      <c r="B363" s="540"/>
      <c r="C363" s="540"/>
      <c r="D363" s="540"/>
      <c r="E363" s="553"/>
      <c r="F363" s="540"/>
      <c r="G363" s="565" t="str">
        <f t="shared" si="15"/>
        <v/>
      </c>
      <c r="H363" s="605"/>
      <c r="I363" s="31"/>
      <c r="J363" s="606">
        <f t="shared" si="16"/>
        <v>0</v>
      </c>
      <c r="K363" s="549"/>
    </row>
    <row r="364" spans="1:11" x14ac:dyDescent="0.25">
      <c r="A364" s="540"/>
      <c r="B364" s="540"/>
      <c r="C364" s="540"/>
      <c r="D364" s="540"/>
      <c r="E364" s="553"/>
      <c r="F364" s="540"/>
      <c r="G364" s="565" t="str">
        <f t="shared" si="15"/>
        <v/>
      </c>
      <c r="H364" s="605"/>
      <c r="I364" s="31"/>
      <c r="J364" s="606">
        <f t="shared" si="16"/>
        <v>0</v>
      </c>
      <c r="K364" s="549"/>
    </row>
    <row r="365" spans="1:11" x14ac:dyDescent="0.25">
      <c r="A365" s="540"/>
      <c r="B365" s="540"/>
      <c r="C365" s="540"/>
      <c r="D365" s="540"/>
      <c r="E365" s="553"/>
      <c r="F365" s="540"/>
      <c r="G365" s="565" t="str">
        <f t="shared" si="15"/>
        <v/>
      </c>
      <c r="H365" s="605"/>
      <c r="I365" s="31"/>
      <c r="J365" s="606">
        <f t="shared" si="16"/>
        <v>0</v>
      </c>
      <c r="K365" s="549"/>
    </row>
    <row r="366" spans="1:11" x14ac:dyDescent="0.25">
      <c r="A366" s="540"/>
      <c r="B366" s="540"/>
      <c r="C366" s="540"/>
      <c r="D366" s="540"/>
      <c r="E366" s="553"/>
      <c r="F366" s="540"/>
      <c r="G366" s="565" t="str">
        <f t="shared" si="15"/>
        <v/>
      </c>
      <c r="H366" s="605"/>
      <c r="I366" s="31"/>
      <c r="J366" s="606">
        <f t="shared" si="16"/>
        <v>0</v>
      </c>
      <c r="K366" s="549"/>
    </row>
    <row r="367" spans="1:11" x14ac:dyDescent="0.25">
      <c r="A367" s="540"/>
      <c r="B367" s="540"/>
      <c r="C367" s="540"/>
      <c r="D367" s="540"/>
      <c r="E367" s="553"/>
      <c r="F367" s="540"/>
      <c r="G367" s="565" t="str">
        <f t="shared" si="15"/>
        <v/>
      </c>
      <c r="H367" s="605"/>
      <c r="I367" s="31"/>
      <c r="J367" s="606">
        <f t="shared" si="16"/>
        <v>0</v>
      </c>
      <c r="K367" s="549"/>
    </row>
    <row r="368" spans="1:11" x14ac:dyDescent="0.25">
      <c r="A368" s="540"/>
      <c r="B368" s="540"/>
      <c r="C368" s="540"/>
      <c r="D368" s="540"/>
      <c r="E368" s="553"/>
      <c r="F368" s="540"/>
      <c r="G368" s="565" t="str">
        <f t="shared" si="15"/>
        <v/>
      </c>
      <c r="H368" s="605"/>
      <c r="I368" s="31"/>
      <c r="J368" s="606">
        <f t="shared" si="16"/>
        <v>0</v>
      </c>
      <c r="K368" s="549"/>
    </row>
    <row r="369" spans="1:11" x14ac:dyDescent="0.25">
      <c r="A369" s="540"/>
      <c r="B369" s="540"/>
      <c r="C369" s="540"/>
      <c r="D369" s="540"/>
      <c r="E369" s="553"/>
      <c r="F369" s="540"/>
      <c r="G369" s="565" t="str">
        <f t="shared" si="15"/>
        <v/>
      </c>
      <c r="H369" s="605"/>
      <c r="I369" s="31"/>
      <c r="J369" s="606">
        <f t="shared" si="16"/>
        <v>0</v>
      </c>
      <c r="K369" s="549"/>
    </row>
    <row r="370" spans="1:11" x14ac:dyDescent="0.25">
      <c r="A370" s="540"/>
      <c r="B370" s="540"/>
      <c r="C370" s="540"/>
      <c r="D370" s="540"/>
      <c r="E370" s="553"/>
      <c r="F370" s="540"/>
      <c r="G370" s="565" t="str">
        <f t="shared" si="15"/>
        <v/>
      </c>
      <c r="H370" s="605"/>
      <c r="I370" s="31"/>
      <c r="J370" s="606">
        <f t="shared" si="16"/>
        <v>0</v>
      </c>
      <c r="K370" s="549"/>
    </row>
    <row r="371" spans="1:11" x14ac:dyDescent="0.25">
      <c r="A371" s="540"/>
      <c r="B371" s="540"/>
      <c r="C371" s="540"/>
      <c r="D371" s="540"/>
      <c r="E371" s="553"/>
      <c r="F371" s="540"/>
      <c r="G371" s="565" t="str">
        <f t="shared" si="15"/>
        <v/>
      </c>
      <c r="H371" s="605"/>
      <c r="I371" s="31"/>
      <c r="J371" s="606">
        <f t="shared" si="16"/>
        <v>0</v>
      </c>
      <c r="K371" s="549"/>
    </row>
    <row r="372" spans="1:11" x14ac:dyDescent="0.25">
      <c r="A372" s="540"/>
      <c r="B372" s="540"/>
      <c r="C372" s="540"/>
      <c r="D372" s="540"/>
      <c r="E372" s="553"/>
      <c r="F372" s="540"/>
      <c r="G372" s="565" t="str">
        <f t="shared" si="15"/>
        <v/>
      </c>
      <c r="H372" s="605"/>
      <c r="I372" s="31"/>
      <c r="J372" s="606">
        <f t="shared" si="16"/>
        <v>0</v>
      </c>
      <c r="K372" s="549"/>
    </row>
    <row r="373" spans="1:11" x14ac:dyDescent="0.25">
      <c r="A373" s="540"/>
      <c r="B373" s="540"/>
      <c r="C373" s="540"/>
      <c r="D373" s="540"/>
      <c r="E373" s="553"/>
      <c r="F373" s="540"/>
      <c r="G373" s="565" t="str">
        <f t="shared" si="15"/>
        <v/>
      </c>
      <c r="H373" s="605"/>
      <c r="I373" s="31"/>
      <c r="J373" s="606">
        <f t="shared" si="16"/>
        <v>0</v>
      </c>
      <c r="K373" s="549"/>
    </row>
    <row r="374" spans="1:11" x14ac:dyDescent="0.25">
      <c r="A374" s="540"/>
      <c r="B374" s="540"/>
      <c r="C374" s="540"/>
      <c r="D374" s="540"/>
      <c r="E374" s="553"/>
      <c r="F374" s="540"/>
      <c r="G374" s="565" t="str">
        <f t="shared" si="15"/>
        <v/>
      </c>
      <c r="H374" s="605"/>
      <c r="I374" s="31"/>
      <c r="J374" s="606">
        <f t="shared" si="16"/>
        <v>0</v>
      </c>
      <c r="K374" s="549"/>
    </row>
    <row r="375" spans="1:11" x14ac:dyDescent="0.25">
      <c r="A375" s="540"/>
      <c r="B375" s="540"/>
      <c r="C375" s="540"/>
      <c r="D375" s="540"/>
      <c r="E375" s="553"/>
      <c r="F375" s="540"/>
      <c r="G375" s="565" t="str">
        <f t="shared" si="15"/>
        <v/>
      </c>
      <c r="H375" s="605"/>
      <c r="I375" s="31"/>
      <c r="J375" s="606">
        <f t="shared" si="16"/>
        <v>0</v>
      </c>
      <c r="K375" s="549"/>
    </row>
    <row r="376" spans="1:11" x14ac:dyDescent="0.25">
      <c r="A376" s="540"/>
      <c r="B376" s="540"/>
      <c r="C376" s="540"/>
      <c r="D376" s="540"/>
      <c r="E376" s="553"/>
      <c r="F376" s="540"/>
      <c r="G376" s="565" t="str">
        <f t="shared" si="15"/>
        <v/>
      </c>
      <c r="H376" s="605"/>
      <c r="I376" s="31"/>
      <c r="J376" s="606">
        <f t="shared" si="16"/>
        <v>0</v>
      </c>
      <c r="K376" s="549"/>
    </row>
    <row r="377" spans="1:11" x14ac:dyDescent="0.25">
      <c r="A377" s="540"/>
      <c r="B377" s="540"/>
      <c r="C377" s="540"/>
      <c r="D377" s="540"/>
      <c r="E377" s="553"/>
      <c r="F377" s="540"/>
      <c r="G377" s="565" t="str">
        <f t="shared" si="15"/>
        <v/>
      </c>
      <c r="H377" s="605"/>
      <c r="I377" s="31"/>
      <c r="J377" s="606">
        <f t="shared" si="16"/>
        <v>0</v>
      </c>
      <c r="K377" s="549"/>
    </row>
    <row r="378" spans="1:11" x14ac:dyDescent="0.25">
      <c r="A378" s="540"/>
      <c r="B378" s="540"/>
      <c r="C378" s="540"/>
      <c r="D378" s="540"/>
      <c r="E378" s="553"/>
      <c r="F378" s="540"/>
      <c r="G378" s="565" t="str">
        <f t="shared" si="15"/>
        <v/>
      </c>
      <c r="H378" s="605"/>
      <c r="I378" s="31"/>
      <c r="J378" s="606">
        <f t="shared" si="16"/>
        <v>0</v>
      </c>
      <c r="K378" s="549"/>
    </row>
    <row r="379" spans="1:11" x14ac:dyDescent="0.25">
      <c r="A379" s="540"/>
      <c r="B379" s="540"/>
      <c r="C379" s="540"/>
      <c r="D379" s="540"/>
      <c r="E379" s="553"/>
      <c r="F379" s="540"/>
      <c r="G379" s="565" t="str">
        <f t="shared" si="15"/>
        <v/>
      </c>
      <c r="H379" s="605"/>
      <c r="I379" s="31"/>
      <c r="J379" s="606">
        <f t="shared" si="16"/>
        <v>0</v>
      </c>
      <c r="K379" s="549"/>
    </row>
    <row r="380" spans="1:11" x14ac:dyDescent="0.25">
      <c r="A380" s="540"/>
      <c r="B380" s="540"/>
      <c r="C380" s="540"/>
      <c r="D380" s="540"/>
      <c r="E380" s="553"/>
      <c r="F380" s="540"/>
      <c r="G380" s="565" t="str">
        <f t="shared" si="15"/>
        <v/>
      </c>
      <c r="H380" s="605"/>
      <c r="I380" s="31"/>
      <c r="J380" s="606">
        <f t="shared" si="16"/>
        <v>0</v>
      </c>
      <c r="K380" s="549"/>
    </row>
    <row r="381" spans="1:11" x14ac:dyDescent="0.25">
      <c r="A381" s="540"/>
      <c r="B381" s="540"/>
      <c r="C381" s="540"/>
      <c r="D381" s="540"/>
      <c r="E381" s="553"/>
      <c r="F381" s="540"/>
      <c r="G381" s="565" t="str">
        <f t="shared" si="15"/>
        <v/>
      </c>
      <c r="H381" s="605"/>
      <c r="I381" s="31"/>
      <c r="J381" s="606">
        <f t="shared" si="16"/>
        <v>0</v>
      </c>
      <c r="K381" s="549"/>
    </row>
    <row r="382" spans="1:11" x14ac:dyDescent="0.25">
      <c r="A382" s="540"/>
      <c r="B382" s="540"/>
      <c r="C382" s="540"/>
      <c r="D382" s="540"/>
      <c r="E382" s="553"/>
      <c r="F382" s="540"/>
      <c r="G382" s="565" t="str">
        <f t="shared" si="15"/>
        <v/>
      </c>
      <c r="H382" s="605"/>
      <c r="I382" s="31"/>
      <c r="J382" s="606">
        <f t="shared" si="16"/>
        <v>0</v>
      </c>
      <c r="K382" s="549"/>
    </row>
    <row r="383" spans="1:11" x14ac:dyDescent="0.25">
      <c r="A383" s="540"/>
      <c r="B383" s="540"/>
      <c r="C383" s="540"/>
      <c r="D383" s="540"/>
      <c r="E383" s="553"/>
      <c r="F383" s="540"/>
      <c r="G383" s="565" t="str">
        <f t="shared" si="15"/>
        <v/>
      </c>
      <c r="H383" s="605"/>
      <c r="I383" s="31"/>
      <c r="J383" s="606">
        <f t="shared" si="16"/>
        <v>0</v>
      </c>
      <c r="K383" s="549"/>
    </row>
    <row r="384" spans="1:11" x14ac:dyDescent="0.25">
      <c r="A384" s="540"/>
      <c r="B384" s="540"/>
      <c r="C384" s="540"/>
      <c r="D384" s="540"/>
      <c r="E384" s="553"/>
      <c r="F384" s="540"/>
      <c r="G384" s="565" t="str">
        <f t="shared" si="15"/>
        <v/>
      </c>
      <c r="H384" s="605"/>
      <c r="I384" s="31"/>
      <c r="J384" s="606">
        <f t="shared" si="16"/>
        <v>0</v>
      </c>
      <c r="K384" s="549"/>
    </row>
    <row r="385" spans="1:11" x14ac:dyDescent="0.25">
      <c r="A385" s="540"/>
      <c r="B385" s="540"/>
      <c r="C385" s="540"/>
      <c r="D385" s="540"/>
      <c r="E385" s="553"/>
      <c r="F385" s="540"/>
      <c r="G385" s="565" t="str">
        <f t="shared" si="15"/>
        <v/>
      </c>
      <c r="H385" s="605"/>
      <c r="I385" s="31"/>
      <c r="J385" s="606">
        <f t="shared" si="16"/>
        <v>0</v>
      </c>
      <c r="K385" s="549"/>
    </row>
    <row r="386" spans="1:11" x14ac:dyDescent="0.25">
      <c r="A386" s="540"/>
      <c r="B386" s="540"/>
      <c r="C386" s="540"/>
      <c r="D386" s="540"/>
      <c r="E386" s="553"/>
      <c r="F386" s="540"/>
      <c r="G386" s="565" t="str">
        <f t="shared" si="15"/>
        <v/>
      </c>
      <c r="H386" s="605"/>
      <c r="I386" s="31"/>
      <c r="J386" s="606">
        <f t="shared" si="16"/>
        <v>0</v>
      </c>
      <c r="K386" s="549"/>
    </row>
    <row r="387" spans="1:11" x14ac:dyDescent="0.25">
      <c r="A387" s="540"/>
      <c r="B387" s="540"/>
      <c r="C387" s="540"/>
      <c r="D387" s="540"/>
      <c r="E387" s="553"/>
      <c r="F387" s="540"/>
      <c r="G387" s="565" t="str">
        <f t="shared" si="15"/>
        <v/>
      </c>
      <c r="H387" s="605"/>
      <c r="I387" s="31"/>
      <c r="J387" s="606">
        <f t="shared" si="16"/>
        <v>0</v>
      </c>
      <c r="K387" s="549"/>
    </row>
    <row r="388" spans="1:11" x14ac:dyDescent="0.25">
      <c r="A388" s="540"/>
      <c r="B388" s="540"/>
      <c r="C388" s="540"/>
      <c r="D388" s="540"/>
      <c r="E388" s="553"/>
      <c r="F388" s="540"/>
      <c r="G388" s="565" t="str">
        <f t="shared" si="15"/>
        <v/>
      </c>
      <c r="H388" s="605"/>
      <c r="I388" s="31"/>
      <c r="J388" s="606">
        <f t="shared" si="16"/>
        <v>0</v>
      </c>
      <c r="K388" s="549"/>
    </row>
    <row r="389" spans="1:11" x14ac:dyDescent="0.25">
      <c r="A389" s="540"/>
      <c r="B389" s="540"/>
      <c r="C389" s="540"/>
      <c r="D389" s="540"/>
      <c r="E389" s="553"/>
      <c r="F389" s="540"/>
      <c r="G389" s="565" t="str">
        <f t="shared" si="15"/>
        <v/>
      </c>
      <c r="H389" s="605"/>
      <c r="I389" s="31"/>
      <c r="J389" s="606">
        <f t="shared" si="16"/>
        <v>0</v>
      </c>
      <c r="K389" s="549"/>
    </row>
    <row r="390" spans="1:11" x14ac:dyDescent="0.25">
      <c r="A390" s="540"/>
      <c r="B390" s="540"/>
      <c r="C390" s="540"/>
      <c r="D390" s="540"/>
      <c r="E390" s="553"/>
      <c r="F390" s="540"/>
      <c r="G390" s="565" t="str">
        <f t="shared" si="15"/>
        <v/>
      </c>
      <c r="H390" s="605"/>
      <c r="I390" s="31"/>
      <c r="J390" s="606">
        <f t="shared" si="16"/>
        <v>0</v>
      </c>
      <c r="K390" s="549"/>
    </row>
    <row r="391" spans="1:11" x14ac:dyDescent="0.25">
      <c r="A391" s="540"/>
      <c r="B391" s="540"/>
      <c r="C391" s="540"/>
      <c r="D391" s="540"/>
      <c r="E391" s="553"/>
      <c r="F391" s="540"/>
      <c r="G391" s="565" t="str">
        <f t="shared" si="15"/>
        <v/>
      </c>
      <c r="H391" s="605"/>
      <c r="I391" s="31"/>
      <c r="J391" s="606">
        <f t="shared" si="16"/>
        <v>0</v>
      </c>
      <c r="K391" s="549"/>
    </row>
    <row r="392" spans="1:11" x14ac:dyDescent="0.25">
      <c r="A392" s="540"/>
      <c r="B392" s="540"/>
      <c r="C392" s="540"/>
      <c r="D392" s="540"/>
      <c r="E392" s="553"/>
      <c r="F392" s="540"/>
      <c r="G392" s="565" t="str">
        <f t="shared" si="15"/>
        <v/>
      </c>
      <c r="H392" s="605"/>
      <c r="I392" s="31"/>
      <c r="J392" s="606">
        <f t="shared" si="16"/>
        <v>0</v>
      </c>
      <c r="K392" s="549"/>
    </row>
    <row r="393" spans="1:11" x14ac:dyDescent="0.25">
      <c r="A393" s="540"/>
      <c r="B393" s="540"/>
      <c r="C393" s="540"/>
      <c r="D393" s="540"/>
      <c r="E393" s="553"/>
      <c r="F393" s="540"/>
      <c r="G393" s="565" t="str">
        <f t="shared" si="15"/>
        <v/>
      </c>
      <c r="H393" s="605"/>
      <c r="I393" s="31"/>
      <c r="J393" s="606">
        <f t="shared" si="16"/>
        <v>0</v>
      </c>
      <c r="K393" s="549"/>
    </row>
    <row r="394" spans="1:11" x14ac:dyDescent="0.25">
      <c r="A394" s="540"/>
      <c r="B394" s="540"/>
      <c r="C394" s="540"/>
      <c r="D394" s="540"/>
      <c r="E394" s="553"/>
      <c r="F394" s="540"/>
      <c r="G394" s="565" t="str">
        <f t="shared" si="15"/>
        <v/>
      </c>
      <c r="H394" s="605"/>
      <c r="I394" s="31"/>
      <c r="J394" s="606">
        <f t="shared" si="16"/>
        <v>0</v>
      </c>
      <c r="K394" s="549"/>
    </row>
    <row r="395" spans="1:11" x14ac:dyDescent="0.25">
      <c r="A395" s="540"/>
      <c r="B395" s="540"/>
      <c r="C395" s="540"/>
      <c r="D395" s="540"/>
      <c r="E395" s="553"/>
      <c r="F395" s="540"/>
      <c r="G395" s="565" t="str">
        <f t="shared" ref="G395:G458" si="17">IF(E395="","",IF(E395+$M$2&lt;$L$2,"VENCIDA","VIGENTE"))</f>
        <v/>
      </c>
      <c r="H395" s="605"/>
      <c r="I395" s="31"/>
      <c r="J395" s="606">
        <f t="shared" ref="J395:J458" si="18">H395-I395</f>
        <v>0</v>
      </c>
      <c r="K395" s="549"/>
    </row>
    <row r="396" spans="1:11" x14ac:dyDescent="0.25">
      <c r="A396" s="540"/>
      <c r="B396" s="540"/>
      <c r="C396" s="540"/>
      <c r="D396" s="540"/>
      <c r="E396" s="553"/>
      <c r="F396" s="540"/>
      <c r="G396" s="565" t="str">
        <f t="shared" si="17"/>
        <v/>
      </c>
      <c r="H396" s="605"/>
      <c r="I396" s="31"/>
      <c r="J396" s="606">
        <f t="shared" si="18"/>
        <v>0</v>
      </c>
      <c r="K396" s="549"/>
    </row>
    <row r="397" spans="1:11" x14ac:dyDescent="0.25">
      <c r="A397" s="540"/>
      <c r="B397" s="540"/>
      <c r="C397" s="540"/>
      <c r="D397" s="540"/>
      <c r="E397" s="553"/>
      <c r="F397" s="540"/>
      <c r="G397" s="565" t="str">
        <f t="shared" si="17"/>
        <v/>
      </c>
      <c r="H397" s="605"/>
      <c r="I397" s="31"/>
      <c r="J397" s="606">
        <f t="shared" si="18"/>
        <v>0</v>
      </c>
      <c r="K397" s="549"/>
    </row>
    <row r="398" spans="1:11" x14ac:dyDescent="0.25">
      <c r="A398" s="540"/>
      <c r="B398" s="540"/>
      <c r="C398" s="540"/>
      <c r="D398" s="540"/>
      <c r="E398" s="553"/>
      <c r="F398" s="540"/>
      <c r="G398" s="565" t="str">
        <f t="shared" si="17"/>
        <v/>
      </c>
      <c r="H398" s="605"/>
      <c r="I398" s="31"/>
      <c r="J398" s="606">
        <f t="shared" si="18"/>
        <v>0</v>
      </c>
      <c r="K398" s="549"/>
    </row>
    <row r="399" spans="1:11" x14ac:dyDescent="0.25">
      <c r="A399" s="540"/>
      <c r="B399" s="540"/>
      <c r="C399" s="540"/>
      <c r="D399" s="540"/>
      <c r="E399" s="553"/>
      <c r="F399" s="540"/>
      <c r="G399" s="565" t="str">
        <f t="shared" si="17"/>
        <v/>
      </c>
      <c r="H399" s="605"/>
      <c r="I399" s="31"/>
      <c r="J399" s="606">
        <f t="shared" si="18"/>
        <v>0</v>
      </c>
      <c r="K399" s="549"/>
    </row>
    <row r="400" spans="1:11" x14ac:dyDescent="0.25">
      <c r="A400" s="540"/>
      <c r="B400" s="540"/>
      <c r="C400" s="540"/>
      <c r="D400" s="540"/>
      <c r="E400" s="553"/>
      <c r="F400" s="540"/>
      <c r="G400" s="565" t="str">
        <f t="shared" si="17"/>
        <v/>
      </c>
      <c r="H400" s="605"/>
      <c r="I400" s="31"/>
      <c r="J400" s="606">
        <f t="shared" si="18"/>
        <v>0</v>
      </c>
      <c r="K400" s="549"/>
    </row>
    <row r="401" spans="1:11" x14ac:dyDescent="0.25">
      <c r="A401" s="540"/>
      <c r="B401" s="540"/>
      <c r="C401" s="540"/>
      <c r="D401" s="540"/>
      <c r="E401" s="553"/>
      <c r="F401" s="540"/>
      <c r="G401" s="565" t="str">
        <f t="shared" si="17"/>
        <v/>
      </c>
      <c r="H401" s="605"/>
      <c r="I401" s="31"/>
      <c r="J401" s="606">
        <f t="shared" si="18"/>
        <v>0</v>
      </c>
      <c r="K401" s="549"/>
    </row>
    <row r="402" spans="1:11" x14ac:dyDescent="0.25">
      <c r="A402" s="540"/>
      <c r="B402" s="540"/>
      <c r="C402" s="540"/>
      <c r="D402" s="540"/>
      <c r="E402" s="553"/>
      <c r="F402" s="540"/>
      <c r="G402" s="565" t="str">
        <f t="shared" si="17"/>
        <v/>
      </c>
      <c r="H402" s="605"/>
      <c r="I402" s="31"/>
      <c r="J402" s="606">
        <f t="shared" si="18"/>
        <v>0</v>
      </c>
      <c r="K402" s="549"/>
    </row>
    <row r="403" spans="1:11" x14ac:dyDescent="0.25">
      <c r="A403" s="540"/>
      <c r="B403" s="540"/>
      <c r="C403" s="540"/>
      <c r="D403" s="540"/>
      <c r="E403" s="553"/>
      <c r="F403" s="540"/>
      <c r="G403" s="565" t="str">
        <f t="shared" si="17"/>
        <v/>
      </c>
      <c r="H403" s="605"/>
      <c r="I403" s="31"/>
      <c r="J403" s="606">
        <f t="shared" si="18"/>
        <v>0</v>
      </c>
      <c r="K403" s="549"/>
    </row>
    <row r="404" spans="1:11" x14ac:dyDescent="0.25">
      <c r="A404" s="540"/>
      <c r="B404" s="540"/>
      <c r="C404" s="540"/>
      <c r="D404" s="540"/>
      <c r="E404" s="553"/>
      <c r="F404" s="540"/>
      <c r="G404" s="565" t="str">
        <f t="shared" si="17"/>
        <v/>
      </c>
      <c r="H404" s="605"/>
      <c r="I404" s="31"/>
      <c r="J404" s="606">
        <f t="shared" si="18"/>
        <v>0</v>
      </c>
      <c r="K404" s="549"/>
    </row>
    <row r="405" spans="1:11" x14ac:dyDescent="0.25">
      <c r="A405" s="540"/>
      <c r="B405" s="540"/>
      <c r="C405" s="540"/>
      <c r="D405" s="540"/>
      <c r="E405" s="553"/>
      <c r="F405" s="540"/>
      <c r="G405" s="565" t="str">
        <f t="shared" si="17"/>
        <v/>
      </c>
      <c r="H405" s="605"/>
      <c r="I405" s="31"/>
      <c r="J405" s="606">
        <f t="shared" si="18"/>
        <v>0</v>
      </c>
      <c r="K405" s="549"/>
    </row>
    <row r="406" spans="1:11" x14ac:dyDescent="0.25">
      <c r="A406" s="540"/>
      <c r="B406" s="540"/>
      <c r="C406" s="540"/>
      <c r="D406" s="540"/>
      <c r="E406" s="553"/>
      <c r="F406" s="540"/>
      <c r="G406" s="565" t="str">
        <f t="shared" si="17"/>
        <v/>
      </c>
      <c r="H406" s="605"/>
      <c r="I406" s="31"/>
      <c r="J406" s="606">
        <f t="shared" si="18"/>
        <v>0</v>
      </c>
      <c r="K406" s="549"/>
    </row>
    <row r="407" spans="1:11" x14ac:dyDescent="0.25">
      <c r="A407" s="540"/>
      <c r="B407" s="540"/>
      <c r="C407" s="540"/>
      <c r="D407" s="540"/>
      <c r="E407" s="553"/>
      <c r="F407" s="540"/>
      <c r="G407" s="565" t="str">
        <f t="shared" si="17"/>
        <v/>
      </c>
      <c r="H407" s="605"/>
      <c r="I407" s="31"/>
      <c r="J407" s="606">
        <f t="shared" si="18"/>
        <v>0</v>
      </c>
      <c r="K407" s="549"/>
    </row>
    <row r="408" spans="1:11" x14ac:dyDescent="0.25">
      <c r="A408" s="540"/>
      <c r="B408" s="540"/>
      <c r="C408" s="540"/>
      <c r="D408" s="540"/>
      <c r="E408" s="553"/>
      <c r="F408" s="540"/>
      <c r="G408" s="565" t="str">
        <f t="shared" si="17"/>
        <v/>
      </c>
      <c r="H408" s="605"/>
      <c r="I408" s="31"/>
      <c r="J408" s="606">
        <f t="shared" si="18"/>
        <v>0</v>
      </c>
      <c r="K408" s="549"/>
    </row>
    <row r="409" spans="1:11" x14ac:dyDescent="0.25">
      <c r="A409" s="540"/>
      <c r="B409" s="540"/>
      <c r="C409" s="540"/>
      <c r="D409" s="540"/>
      <c r="E409" s="553"/>
      <c r="F409" s="540"/>
      <c r="G409" s="565" t="str">
        <f t="shared" si="17"/>
        <v/>
      </c>
      <c r="H409" s="605"/>
      <c r="I409" s="31"/>
      <c r="J409" s="606">
        <f t="shared" si="18"/>
        <v>0</v>
      </c>
      <c r="K409" s="549"/>
    </row>
    <row r="410" spans="1:11" x14ac:dyDescent="0.25">
      <c r="A410" s="540"/>
      <c r="B410" s="540"/>
      <c r="C410" s="540"/>
      <c r="D410" s="540"/>
      <c r="E410" s="553"/>
      <c r="F410" s="540"/>
      <c r="G410" s="565" t="str">
        <f t="shared" si="17"/>
        <v/>
      </c>
      <c r="H410" s="605"/>
      <c r="I410" s="31"/>
      <c r="J410" s="606">
        <f t="shared" si="18"/>
        <v>0</v>
      </c>
      <c r="K410" s="549"/>
    </row>
    <row r="411" spans="1:11" x14ac:dyDescent="0.25">
      <c r="A411" s="540"/>
      <c r="B411" s="540"/>
      <c r="C411" s="540"/>
      <c r="D411" s="540"/>
      <c r="E411" s="553"/>
      <c r="F411" s="540"/>
      <c r="G411" s="565" t="str">
        <f t="shared" si="17"/>
        <v/>
      </c>
      <c r="H411" s="605"/>
      <c r="I411" s="31"/>
      <c r="J411" s="606">
        <f t="shared" si="18"/>
        <v>0</v>
      </c>
      <c r="K411" s="549"/>
    </row>
    <row r="412" spans="1:11" x14ac:dyDescent="0.25">
      <c r="A412" s="540"/>
      <c r="B412" s="540"/>
      <c r="C412" s="540"/>
      <c r="D412" s="540"/>
      <c r="E412" s="553"/>
      <c r="F412" s="540"/>
      <c r="G412" s="565" t="str">
        <f t="shared" si="17"/>
        <v/>
      </c>
      <c r="H412" s="605"/>
      <c r="I412" s="31"/>
      <c r="J412" s="606">
        <f t="shared" si="18"/>
        <v>0</v>
      </c>
      <c r="K412" s="549"/>
    </row>
    <row r="413" spans="1:11" x14ac:dyDescent="0.25">
      <c r="A413" s="540"/>
      <c r="B413" s="540"/>
      <c r="C413" s="540"/>
      <c r="D413" s="540"/>
      <c r="E413" s="553"/>
      <c r="F413" s="540"/>
      <c r="G413" s="565" t="str">
        <f t="shared" si="17"/>
        <v/>
      </c>
      <c r="H413" s="605"/>
      <c r="I413" s="31"/>
      <c r="J413" s="606">
        <f t="shared" si="18"/>
        <v>0</v>
      </c>
      <c r="K413" s="549"/>
    </row>
    <row r="414" spans="1:11" x14ac:dyDescent="0.25">
      <c r="A414" s="540"/>
      <c r="B414" s="540"/>
      <c r="C414" s="540"/>
      <c r="D414" s="540"/>
      <c r="E414" s="553"/>
      <c r="F414" s="540"/>
      <c r="G414" s="565" t="str">
        <f t="shared" si="17"/>
        <v/>
      </c>
      <c r="H414" s="605"/>
      <c r="I414" s="31"/>
      <c r="J414" s="606">
        <f t="shared" si="18"/>
        <v>0</v>
      </c>
      <c r="K414" s="549"/>
    </row>
    <row r="415" spans="1:11" x14ac:dyDescent="0.25">
      <c r="A415" s="540"/>
      <c r="B415" s="540"/>
      <c r="C415" s="540"/>
      <c r="D415" s="540"/>
      <c r="E415" s="553"/>
      <c r="F415" s="540"/>
      <c r="G415" s="565" t="str">
        <f t="shared" si="17"/>
        <v/>
      </c>
      <c r="H415" s="605"/>
      <c r="I415" s="31"/>
      <c r="J415" s="606">
        <f t="shared" si="18"/>
        <v>0</v>
      </c>
      <c r="K415" s="549"/>
    </row>
    <row r="416" spans="1:11" x14ac:dyDescent="0.25">
      <c r="A416" s="540"/>
      <c r="B416" s="540"/>
      <c r="C416" s="540"/>
      <c r="D416" s="540"/>
      <c r="E416" s="553"/>
      <c r="F416" s="540"/>
      <c r="G416" s="565" t="str">
        <f t="shared" si="17"/>
        <v/>
      </c>
      <c r="H416" s="605"/>
      <c r="I416" s="31"/>
      <c r="J416" s="606">
        <f t="shared" si="18"/>
        <v>0</v>
      </c>
      <c r="K416" s="549"/>
    </row>
    <row r="417" spans="1:11" x14ac:dyDescent="0.25">
      <c r="A417" s="540"/>
      <c r="B417" s="540"/>
      <c r="C417" s="540"/>
      <c r="D417" s="540"/>
      <c r="E417" s="553"/>
      <c r="F417" s="540"/>
      <c r="G417" s="565" t="str">
        <f t="shared" si="17"/>
        <v/>
      </c>
      <c r="H417" s="605"/>
      <c r="I417" s="31"/>
      <c r="J417" s="606">
        <f t="shared" si="18"/>
        <v>0</v>
      </c>
      <c r="K417" s="549"/>
    </row>
    <row r="418" spans="1:11" x14ac:dyDescent="0.25">
      <c r="A418" s="540"/>
      <c r="B418" s="540"/>
      <c r="C418" s="540"/>
      <c r="D418" s="540"/>
      <c r="E418" s="553"/>
      <c r="F418" s="540"/>
      <c r="G418" s="565" t="str">
        <f t="shared" si="17"/>
        <v/>
      </c>
      <c r="H418" s="605"/>
      <c r="I418" s="31"/>
      <c r="J418" s="606">
        <f t="shared" si="18"/>
        <v>0</v>
      </c>
      <c r="K418" s="549"/>
    </row>
    <row r="419" spans="1:11" x14ac:dyDescent="0.25">
      <c r="A419" s="540"/>
      <c r="B419" s="540"/>
      <c r="C419" s="540"/>
      <c r="D419" s="540"/>
      <c r="E419" s="553"/>
      <c r="F419" s="540"/>
      <c r="G419" s="565" t="str">
        <f t="shared" si="17"/>
        <v/>
      </c>
      <c r="H419" s="605"/>
      <c r="I419" s="31"/>
      <c r="J419" s="606">
        <f t="shared" si="18"/>
        <v>0</v>
      </c>
      <c r="K419" s="549"/>
    </row>
    <row r="420" spans="1:11" x14ac:dyDescent="0.25">
      <c r="A420" s="540"/>
      <c r="B420" s="540"/>
      <c r="C420" s="540"/>
      <c r="D420" s="540"/>
      <c r="E420" s="553"/>
      <c r="F420" s="540"/>
      <c r="G420" s="565" t="str">
        <f t="shared" si="17"/>
        <v/>
      </c>
      <c r="H420" s="605"/>
      <c r="I420" s="31"/>
      <c r="J420" s="606">
        <f t="shared" si="18"/>
        <v>0</v>
      </c>
      <c r="K420" s="549"/>
    </row>
    <row r="421" spans="1:11" x14ac:dyDescent="0.25">
      <c r="A421" s="540"/>
      <c r="B421" s="540"/>
      <c r="C421" s="540"/>
      <c r="D421" s="540"/>
      <c r="E421" s="553"/>
      <c r="F421" s="540"/>
      <c r="G421" s="565" t="str">
        <f t="shared" si="17"/>
        <v/>
      </c>
      <c r="H421" s="605"/>
      <c r="I421" s="31"/>
      <c r="J421" s="606">
        <f t="shared" si="18"/>
        <v>0</v>
      </c>
      <c r="K421" s="549"/>
    </row>
    <row r="422" spans="1:11" x14ac:dyDescent="0.25">
      <c r="A422" s="540"/>
      <c r="B422" s="540"/>
      <c r="C422" s="540"/>
      <c r="D422" s="540"/>
      <c r="E422" s="553"/>
      <c r="F422" s="540"/>
      <c r="G422" s="565" t="str">
        <f t="shared" si="17"/>
        <v/>
      </c>
      <c r="H422" s="605"/>
      <c r="I422" s="31"/>
      <c r="J422" s="606">
        <f t="shared" si="18"/>
        <v>0</v>
      </c>
      <c r="K422" s="549"/>
    </row>
    <row r="423" spans="1:11" x14ac:dyDescent="0.25">
      <c r="A423" s="540"/>
      <c r="B423" s="540"/>
      <c r="C423" s="540"/>
      <c r="D423" s="540"/>
      <c r="E423" s="553"/>
      <c r="F423" s="540"/>
      <c r="G423" s="565" t="str">
        <f t="shared" si="17"/>
        <v/>
      </c>
      <c r="H423" s="605"/>
      <c r="I423" s="31"/>
      <c r="J423" s="606">
        <f t="shared" si="18"/>
        <v>0</v>
      </c>
      <c r="K423" s="549"/>
    </row>
    <row r="424" spans="1:11" x14ac:dyDescent="0.25">
      <c r="A424" s="540"/>
      <c r="B424" s="540"/>
      <c r="C424" s="540"/>
      <c r="D424" s="540"/>
      <c r="E424" s="553"/>
      <c r="F424" s="540"/>
      <c r="G424" s="565" t="str">
        <f t="shared" si="17"/>
        <v/>
      </c>
      <c r="H424" s="605"/>
      <c r="I424" s="31"/>
      <c r="J424" s="606">
        <f t="shared" si="18"/>
        <v>0</v>
      </c>
      <c r="K424" s="549"/>
    </row>
    <row r="425" spans="1:11" x14ac:dyDescent="0.25">
      <c r="A425" s="540"/>
      <c r="B425" s="540"/>
      <c r="C425" s="540"/>
      <c r="D425" s="540"/>
      <c r="E425" s="553"/>
      <c r="F425" s="540"/>
      <c r="G425" s="565" t="str">
        <f t="shared" si="17"/>
        <v/>
      </c>
      <c r="H425" s="605"/>
      <c r="I425" s="31"/>
      <c r="J425" s="606">
        <f t="shared" si="18"/>
        <v>0</v>
      </c>
      <c r="K425" s="549"/>
    </row>
    <row r="426" spans="1:11" x14ac:dyDescent="0.25">
      <c r="A426" s="540"/>
      <c r="B426" s="540"/>
      <c r="C426" s="540"/>
      <c r="D426" s="540"/>
      <c r="E426" s="553"/>
      <c r="F426" s="540"/>
      <c r="G426" s="565" t="str">
        <f t="shared" si="17"/>
        <v/>
      </c>
      <c r="H426" s="605"/>
      <c r="I426" s="31"/>
      <c r="J426" s="606">
        <f t="shared" si="18"/>
        <v>0</v>
      </c>
      <c r="K426" s="549"/>
    </row>
    <row r="427" spans="1:11" x14ac:dyDescent="0.25">
      <c r="A427" s="540"/>
      <c r="B427" s="540"/>
      <c r="C427" s="540"/>
      <c r="D427" s="540"/>
      <c r="E427" s="553"/>
      <c r="F427" s="540"/>
      <c r="G427" s="565" t="str">
        <f t="shared" si="17"/>
        <v/>
      </c>
      <c r="H427" s="605"/>
      <c r="I427" s="31"/>
      <c r="J427" s="606">
        <f t="shared" si="18"/>
        <v>0</v>
      </c>
      <c r="K427" s="549"/>
    </row>
    <row r="428" spans="1:11" x14ac:dyDescent="0.25">
      <c r="A428" s="540"/>
      <c r="B428" s="540"/>
      <c r="C428" s="540"/>
      <c r="D428" s="540"/>
      <c r="E428" s="553"/>
      <c r="F428" s="540"/>
      <c r="G428" s="565" t="str">
        <f t="shared" si="17"/>
        <v/>
      </c>
      <c r="H428" s="605"/>
      <c r="I428" s="31"/>
      <c r="J428" s="606">
        <f t="shared" si="18"/>
        <v>0</v>
      </c>
      <c r="K428" s="549"/>
    </row>
    <row r="429" spans="1:11" x14ac:dyDescent="0.25">
      <c r="A429" s="540"/>
      <c r="B429" s="540"/>
      <c r="C429" s="540"/>
      <c r="D429" s="540"/>
      <c r="E429" s="553"/>
      <c r="F429" s="540"/>
      <c r="G429" s="565" t="str">
        <f t="shared" si="17"/>
        <v/>
      </c>
      <c r="H429" s="605"/>
      <c r="I429" s="31"/>
      <c r="J429" s="606">
        <f t="shared" si="18"/>
        <v>0</v>
      </c>
      <c r="K429" s="549"/>
    </row>
    <row r="430" spans="1:11" x14ac:dyDescent="0.25">
      <c r="A430" s="540"/>
      <c r="B430" s="540"/>
      <c r="C430" s="540"/>
      <c r="D430" s="540"/>
      <c r="E430" s="553"/>
      <c r="F430" s="540"/>
      <c r="G430" s="565" t="str">
        <f t="shared" si="17"/>
        <v/>
      </c>
      <c r="H430" s="605"/>
      <c r="I430" s="31"/>
      <c r="J430" s="606">
        <f t="shared" si="18"/>
        <v>0</v>
      </c>
      <c r="K430" s="549"/>
    </row>
    <row r="431" spans="1:11" x14ac:dyDescent="0.25">
      <c r="A431" s="540"/>
      <c r="B431" s="540"/>
      <c r="C431" s="540"/>
      <c r="D431" s="540"/>
      <c r="E431" s="553"/>
      <c r="F431" s="540"/>
      <c r="G431" s="565" t="str">
        <f t="shared" si="17"/>
        <v/>
      </c>
      <c r="H431" s="605"/>
      <c r="I431" s="31"/>
      <c r="J431" s="606">
        <f t="shared" si="18"/>
        <v>0</v>
      </c>
      <c r="K431" s="549"/>
    </row>
    <row r="432" spans="1:11" x14ac:dyDescent="0.25">
      <c r="A432" s="540"/>
      <c r="B432" s="540"/>
      <c r="C432" s="540"/>
      <c r="D432" s="540"/>
      <c r="E432" s="553"/>
      <c r="F432" s="540"/>
      <c r="G432" s="565" t="str">
        <f t="shared" si="17"/>
        <v/>
      </c>
      <c r="H432" s="605"/>
      <c r="I432" s="31"/>
      <c r="J432" s="606">
        <f t="shared" si="18"/>
        <v>0</v>
      </c>
      <c r="K432" s="549"/>
    </row>
    <row r="433" spans="1:11" x14ac:dyDescent="0.25">
      <c r="A433" s="540"/>
      <c r="B433" s="540"/>
      <c r="C433" s="540"/>
      <c r="D433" s="540"/>
      <c r="E433" s="553"/>
      <c r="F433" s="540"/>
      <c r="G433" s="565" t="str">
        <f t="shared" si="17"/>
        <v/>
      </c>
      <c r="H433" s="605"/>
      <c r="I433" s="31"/>
      <c r="J433" s="606">
        <f t="shared" si="18"/>
        <v>0</v>
      </c>
      <c r="K433" s="549"/>
    </row>
    <row r="434" spans="1:11" x14ac:dyDescent="0.25">
      <c r="A434" s="540"/>
      <c r="B434" s="540"/>
      <c r="C434" s="540"/>
      <c r="D434" s="540"/>
      <c r="E434" s="553"/>
      <c r="F434" s="540"/>
      <c r="G434" s="565" t="str">
        <f t="shared" si="17"/>
        <v/>
      </c>
      <c r="H434" s="605"/>
      <c r="I434" s="31"/>
      <c r="J434" s="606">
        <f t="shared" si="18"/>
        <v>0</v>
      </c>
      <c r="K434" s="549"/>
    </row>
    <row r="435" spans="1:11" x14ac:dyDescent="0.25">
      <c r="A435" s="540"/>
      <c r="B435" s="540"/>
      <c r="C435" s="540"/>
      <c r="D435" s="540"/>
      <c r="E435" s="553"/>
      <c r="F435" s="540"/>
      <c r="G435" s="565" t="str">
        <f t="shared" si="17"/>
        <v/>
      </c>
      <c r="H435" s="605"/>
      <c r="I435" s="31"/>
      <c r="J435" s="606">
        <f t="shared" si="18"/>
        <v>0</v>
      </c>
      <c r="K435" s="549"/>
    </row>
    <row r="436" spans="1:11" x14ac:dyDescent="0.25">
      <c r="A436" s="540"/>
      <c r="B436" s="540"/>
      <c r="C436" s="540"/>
      <c r="D436" s="540"/>
      <c r="E436" s="553"/>
      <c r="F436" s="540"/>
      <c r="G436" s="565" t="str">
        <f t="shared" si="17"/>
        <v/>
      </c>
      <c r="H436" s="605"/>
      <c r="I436" s="31"/>
      <c r="J436" s="606">
        <f t="shared" si="18"/>
        <v>0</v>
      </c>
      <c r="K436" s="549"/>
    </row>
    <row r="437" spans="1:11" x14ac:dyDescent="0.25">
      <c r="A437" s="540"/>
      <c r="B437" s="540"/>
      <c r="C437" s="540"/>
      <c r="D437" s="540"/>
      <c r="E437" s="553"/>
      <c r="F437" s="540"/>
      <c r="G437" s="565" t="str">
        <f t="shared" si="17"/>
        <v/>
      </c>
      <c r="H437" s="605"/>
      <c r="I437" s="31"/>
      <c r="J437" s="606">
        <f t="shared" si="18"/>
        <v>0</v>
      </c>
      <c r="K437" s="549"/>
    </row>
    <row r="438" spans="1:11" x14ac:dyDescent="0.25">
      <c r="A438" s="540"/>
      <c r="B438" s="540"/>
      <c r="C438" s="540"/>
      <c r="D438" s="540"/>
      <c r="E438" s="553"/>
      <c r="F438" s="540"/>
      <c r="G438" s="565" t="str">
        <f t="shared" si="17"/>
        <v/>
      </c>
      <c r="H438" s="605"/>
      <c r="I438" s="31"/>
      <c r="J438" s="606">
        <f t="shared" si="18"/>
        <v>0</v>
      </c>
      <c r="K438" s="549"/>
    </row>
    <row r="439" spans="1:11" x14ac:dyDescent="0.25">
      <c r="A439" s="540"/>
      <c r="B439" s="540"/>
      <c r="C439" s="540"/>
      <c r="D439" s="540"/>
      <c r="E439" s="553"/>
      <c r="F439" s="540"/>
      <c r="G439" s="565" t="str">
        <f t="shared" si="17"/>
        <v/>
      </c>
      <c r="H439" s="605"/>
      <c r="I439" s="31"/>
      <c r="J439" s="606">
        <f t="shared" si="18"/>
        <v>0</v>
      </c>
      <c r="K439" s="549"/>
    </row>
    <row r="440" spans="1:11" x14ac:dyDescent="0.25">
      <c r="A440" s="540"/>
      <c r="B440" s="540"/>
      <c r="C440" s="540"/>
      <c r="D440" s="540"/>
      <c r="E440" s="553"/>
      <c r="F440" s="540"/>
      <c r="G440" s="565" t="str">
        <f t="shared" si="17"/>
        <v/>
      </c>
      <c r="H440" s="605"/>
      <c r="I440" s="31"/>
      <c r="J440" s="606">
        <f t="shared" si="18"/>
        <v>0</v>
      </c>
      <c r="K440" s="549"/>
    </row>
    <row r="441" spans="1:11" x14ac:dyDescent="0.25">
      <c r="A441" s="540"/>
      <c r="B441" s="540"/>
      <c r="C441" s="540"/>
      <c r="D441" s="540"/>
      <c r="E441" s="553"/>
      <c r="F441" s="540"/>
      <c r="G441" s="565" t="str">
        <f t="shared" si="17"/>
        <v/>
      </c>
      <c r="H441" s="605"/>
      <c r="I441" s="31"/>
      <c r="J441" s="606">
        <f t="shared" si="18"/>
        <v>0</v>
      </c>
      <c r="K441" s="549"/>
    </row>
    <row r="442" spans="1:11" x14ac:dyDescent="0.25">
      <c r="A442" s="540"/>
      <c r="B442" s="540"/>
      <c r="C442" s="540"/>
      <c r="D442" s="540"/>
      <c r="E442" s="553"/>
      <c r="F442" s="540"/>
      <c r="G442" s="565" t="str">
        <f t="shared" si="17"/>
        <v/>
      </c>
      <c r="H442" s="605"/>
      <c r="I442" s="31"/>
      <c r="J442" s="606">
        <f t="shared" si="18"/>
        <v>0</v>
      </c>
      <c r="K442" s="549"/>
    </row>
    <row r="443" spans="1:11" x14ac:dyDescent="0.25">
      <c r="A443" s="540"/>
      <c r="B443" s="540"/>
      <c r="C443" s="540"/>
      <c r="D443" s="540"/>
      <c r="E443" s="553"/>
      <c r="F443" s="540"/>
      <c r="G443" s="565" t="str">
        <f t="shared" si="17"/>
        <v/>
      </c>
      <c r="H443" s="605"/>
      <c r="I443" s="31"/>
      <c r="J443" s="606">
        <f t="shared" si="18"/>
        <v>0</v>
      </c>
      <c r="K443" s="549"/>
    </row>
    <row r="444" spans="1:11" x14ac:dyDescent="0.25">
      <c r="A444" s="540"/>
      <c r="B444" s="540"/>
      <c r="C444" s="540"/>
      <c r="D444" s="540"/>
      <c r="E444" s="553"/>
      <c r="F444" s="540"/>
      <c r="G444" s="565" t="str">
        <f t="shared" si="17"/>
        <v/>
      </c>
      <c r="H444" s="605"/>
      <c r="I444" s="31"/>
      <c r="J444" s="606">
        <f t="shared" si="18"/>
        <v>0</v>
      </c>
      <c r="K444" s="549"/>
    </row>
    <row r="445" spans="1:11" x14ac:dyDescent="0.25">
      <c r="A445" s="540"/>
      <c r="B445" s="540"/>
      <c r="C445" s="540"/>
      <c r="D445" s="540"/>
      <c r="E445" s="553"/>
      <c r="F445" s="540"/>
      <c r="G445" s="565" t="str">
        <f t="shared" si="17"/>
        <v/>
      </c>
      <c r="H445" s="605"/>
      <c r="I445" s="31"/>
      <c r="J445" s="606">
        <f t="shared" si="18"/>
        <v>0</v>
      </c>
      <c r="K445" s="549"/>
    </row>
    <row r="446" spans="1:11" x14ac:dyDescent="0.25">
      <c r="A446" s="540"/>
      <c r="B446" s="540"/>
      <c r="C446" s="540"/>
      <c r="D446" s="540"/>
      <c r="E446" s="553"/>
      <c r="F446" s="540"/>
      <c r="G446" s="565" t="str">
        <f t="shared" si="17"/>
        <v/>
      </c>
      <c r="H446" s="605"/>
      <c r="I446" s="31"/>
      <c r="J446" s="606">
        <f t="shared" si="18"/>
        <v>0</v>
      </c>
      <c r="K446" s="549"/>
    </row>
    <row r="447" spans="1:11" x14ac:dyDescent="0.25">
      <c r="A447" s="540"/>
      <c r="B447" s="540"/>
      <c r="C447" s="540"/>
      <c r="D447" s="540"/>
      <c r="E447" s="553"/>
      <c r="F447" s="540"/>
      <c r="G447" s="565" t="str">
        <f t="shared" si="17"/>
        <v/>
      </c>
      <c r="H447" s="605"/>
      <c r="I447" s="31"/>
      <c r="J447" s="606">
        <f t="shared" si="18"/>
        <v>0</v>
      </c>
      <c r="K447" s="549"/>
    </row>
    <row r="448" spans="1:11" x14ac:dyDescent="0.25">
      <c r="A448" s="540"/>
      <c r="B448" s="540"/>
      <c r="C448" s="540"/>
      <c r="D448" s="540"/>
      <c r="E448" s="553"/>
      <c r="F448" s="540"/>
      <c r="G448" s="565" t="str">
        <f t="shared" si="17"/>
        <v/>
      </c>
      <c r="H448" s="605"/>
      <c r="I448" s="31"/>
      <c r="J448" s="606">
        <f t="shared" si="18"/>
        <v>0</v>
      </c>
      <c r="K448" s="549"/>
    </row>
    <row r="449" spans="1:11" x14ac:dyDescent="0.25">
      <c r="A449" s="540"/>
      <c r="B449" s="540"/>
      <c r="C449" s="540"/>
      <c r="D449" s="540"/>
      <c r="E449" s="553"/>
      <c r="F449" s="540"/>
      <c r="G449" s="565" t="str">
        <f t="shared" si="17"/>
        <v/>
      </c>
      <c r="H449" s="605"/>
      <c r="I449" s="31"/>
      <c r="J449" s="606">
        <f t="shared" si="18"/>
        <v>0</v>
      </c>
      <c r="K449" s="549"/>
    </row>
    <row r="450" spans="1:11" x14ac:dyDescent="0.25">
      <c r="A450" s="540"/>
      <c r="B450" s="540"/>
      <c r="C450" s="540"/>
      <c r="D450" s="540"/>
      <c r="E450" s="553"/>
      <c r="F450" s="540"/>
      <c r="G450" s="565" t="str">
        <f t="shared" si="17"/>
        <v/>
      </c>
      <c r="H450" s="605"/>
      <c r="I450" s="31"/>
      <c r="J450" s="606">
        <f t="shared" si="18"/>
        <v>0</v>
      </c>
      <c r="K450" s="549"/>
    </row>
    <row r="451" spans="1:11" x14ac:dyDescent="0.25">
      <c r="A451" s="540"/>
      <c r="B451" s="540"/>
      <c r="C451" s="540"/>
      <c r="D451" s="540"/>
      <c r="E451" s="553"/>
      <c r="F451" s="540"/>
      <c r="G451" s="565" t="str">
        <f t="shared" si="17"/>
        <v/>
      </c>
      <c r="H451" s="605"/>
      <c r="I451" s="31"/>
      <c r="J451" s="606">
        <f t="shared" si="18"/>
        <v>0</v>
      </c>
      <c r="K451" s="549"/>
    </row>
    <row r="452" spans="1:11" x14ac:dyDescent="0.25">
      <c r="A452" s="540"/>
      <c r="B452" s="540"/>
      <c r="C452" s="540"/>
      <c r="D452" s="540"/>
      <c r="E452" s="553"/>
      <c r="F452" s="540"/>
      <c r="G452" s="565" t="str">
        <f t="shared" si="17"/>
        <v/>
      </c>
      <c r="H452" s="605"/>
      <c r="I452" s="31"/>
      <c r="J452" s="606">
        <f t="shared" si="18"/>
        <v>0</v>
      </c>
      <c r="K452" s="549"/>
    </row>
    <row r="453" spans="1:11" x14ac:dyDescent="0.25">
      <c r="A453" s="540"/>
      <c r="B453" s="540"/>
      <c r="C453" s="540"/>
      <c r="D453" s="540"/>
      <c r="E453" s="553"/>
      <c r="F453" s="540"/>
      <c r="G453" s="565" t="str">
        <f t="shared" si="17"/>
        <v/>
      </c>
      <c r="H453" s="605"/>
      <c r="I453" s="31"/>
      <c r="J453" s="606">
        <f t="shared" si="18"/>
        <v>0</v>
      </c>
      <c r="K453" s="549"/>
    </row>
    <row r="454" spans="1:11" x14ac:dyDescent="0.25">
      <c r="A454" s="540"/>
      <c r="B454" s="540"/>
      <c r="C454" s="540"/>
      <c r="D454" s="540"/>
      <c r="E454" s="553"/>
      <c r="F454" s="540"/>
      <c r="G454" s="565" t="str">
        <f t="shared" si="17"/>
        <v/>
      </c>
      <c r="H454" s="605"/>
      <c r="I454" s="31"/>
      <c r="J454" s="606">
        <f t="shared" si="18"/>
        <v>0</v>
      </c>
      <c r="K454" s="549"/>
    </row>
    <row r="455" spans="1:11" x14ac:dyDescent="0.25">
      <c r="A455" s="540"/>
      <c r="B455" s="540"/>
      <c r="C455" s="540"/>
      <c r="D455" s="540"/>
      <c r="E455" s="553"/>
      <c r="F455" s="540"/>
      <c r="G455" s="565" t="str">
        <f t="shared" si="17"/>
        <v/>
      </c>
      <c r="H455" s="605"/>
      <c r="I455" s="31"/>
      <c r="J455" s="606">
        <f t="shared" si="18"/>
        <v>0</v>
      </c>
      <c r="K455" s="549"/>
    </row>
    <row r="456" spans="1:11" x14ac:dyDescent="0.25">
      <c r="A456" s="540"/>
      <c r="B456" s="540"/>
      <c r="C456" s="540"/>
      <c r="D456" s="540"/>
      <c r="E456" s="553"/>
      <c r="F456" s="540"/>
      <c r="G456" s="565" t="str">
        <f t="shared" si="17"/>
        <v/>
      </c>
      <c r="H456" s="605"/>
      <c r="I456" s="31"/>
      <c r="J456" s="606">
        <f t="shared" si="18"/>
        <v>0</v>
      </c>
      <c r="K456" s="549"/>
    </row>
    <row r="457" spans="1:11" x14ac:dyDescent="0.25">
      <c r="A457" s="540"/>
      <c r="B457" s="540"/>
      <c r="C457" s="540"/>
      <c r="D457" s="540"/>
      <c r="E457" s="553"/>
      <c r="F457" s="540"/>
      <c r="G457" s="565" t="str">
        <f t="shared" si="17"/>
        <v/>
      </c>
      <c r="H457" s="605"/>
      <c r="I457" s="31"/>
      <c r="J457" s="606">
        <f t="shared" si="18"/>
        <v>0</v>
      </c>
      <c r="K457" s="549"/>
    </row>
    <row r="458" spans="1:11" x14ac:dyDescent="0.25">
      <c r="A458" s="540"/>
      <c r="B458" s="540"/>
      <c r="C458" s="540"/>
      <c r="D458" s="540"/>
      <c r="E458" s="553"/>
      <c r="F458" s="540"/>
      <c r="G458" s="565" t="str">
        <f t="shared" si="17"/>
        <v/>
      </c>
      <c r="H458" s="605"/>
      <c r="I458" s="31"/>
      <c r="J458" s="606">
        <f t="shared" si="18"/>
        <v>0</v>
      </c>
      <c r="K458" s="549"/>
    </row>
    <row r="459" spans="1:11" x14ac:dyDescent="0.25">
      <c r="A459" s="540"/>
      <c r="B459" s="540"/>
      <c r="C459" s="540"/>
      <c r="D459" s="540"/>
      <c r="E459" s="553"/>
      <c r="F459" s="540"/>
      <c r="G459" s="565" t="str">
        <f t="shared" ref="G459:G522" si="19">IF(E459="","",IF(E459+$M$2&lt;$L$2,"VENCIDA","VIGENTE"))</f>
        <v/>
      </c>
      <c r="H459" s="605"/>
      <c r="I459" s="31"/>
      <c r="J459" s="606">
        <f t="shared" ref="J459:J522" si="20">H459-I459</f>
        <v>0</v>
      </c>
      <c r="K459" s="549"/>
    </row>
    <row r="460" spans="1:11" x14ac:dyDescent="0.25">
      <c r="A460" s="540"/>
      <c r="B460" s="540"/>
      <c r="C460" s="540"/>
      <c r="D460" s="540"/>
      <c r="E460" s="553"/>
      <c r="F460" s="540"/>
      <c r="G460" s="565" t="str">
        <f t="shared" si="19"/>
        <v/>
      </c>
      <c r="H460" s="605"/>
      <c r="I460" s="31"/>
      <c r="J460" s="606">
        <f t="shared" si="20"/>
        <v>0</v>
      </c>
      <c r="K460" s="549"/>
    </row>
    <row r="461" spans="1:11" x14ac:dyDescent="0.25">
      <c r="A461" s="540"/>
      <c r="B461" s="540"/>
      <c r="C461" s="540"/>
      <c r="D461" s="540"/>
      <c r="E461" s="553"/>
      <c r="F461" s="540"/>
      <c r="G461" s="565" t="str">
        <f t="shared" si="19"/>
        <v/>
      </c>
      <c r="H461" s="605"/>
      <c r="I461" s="31"/>
      <c r="J461" s="606">
        <f t="shared" si="20"/>
        <v>0</v>
      </c>
      <c r="K461" s="549"/>
    </row>
    <row r="462" spans="1:11" x14ac:dyDescent="0.25">
      <c r="A462" s="540"/>
      <c r="B462" s="540"/>
      <c r="C462" s="540"/>
      <c r="D462" s="540"/>
      <c r="E462" s="553"/>
      <c r="F462" s="540"/>
      <c r="G462" s="565" t="str">
        <f t="shared" si="19"/>
        <v/>
      </c>
      <c r="H462" s="605"/>
      <c r="I462" s="31"/>
      <c r="J462" s="606">
        <f t="shared" si="20"/>
        <v>0</v>
      </c>
      <c r="K462" s="549"/>
    </row>
    <row r="463" spans="1:11" x14ac:dyDescent="0.25">
      <c r="A463" s="540"/>
      <c r="B463" s="540"/>
      <c r="C463" s="540"/>
      <c r="D463" s="540"/>
      <c r="E463" s="553"/>
      <c r="F463" s="540"/>
      <c r="G463" s="565" t="str">
        <f t="shared" si="19"/>
        <v/>
      </c>
      <c r="H463" s="605"/>
      <c r="I463" s="31"/>
      <c r="J463" s="606">
        <f t="shared" si="20"/>
        <v>0</v>
      </c>
      <c r="K463" s="549"/>
    </row>
    <row r="464" spans="1:11" x14ac:dyDescent="0.25">
      <c r="A464" s="540"/>
      <c r="B464" s="540"/>
      <c r="C464" s="540"/>
      <c r="D464" s="540"/>
      <c r="E464" s="553"/>
      <c r="F464" s="540"/>
      <c r="G464" s="565" t="str">
        <f t="shared" si="19"/>
        <v/>
      </c>
      <c r="H464" s="605"/>
      <c r="I464" s="31"/>
      <c r="J464" s="606">
        <f t="shared" si="20"/>
        <v>0</v>
      </c>
      <c r="K464" s="549"/>
    </row>
    <row r="465" spans="1:11" x14ac:dyDescent="0.25">
      <c r="A465" s="540"/>
      <c r="B465" s="540"/>
      <c r="C465" s="540"/>
      <c r="D465" s="540"/>
      <c r="E465" s="553"/>
      <c r="F465" s="540"/>
      <c r="G465" s="565" t="str">
        <f t="shared" si="19"/>
        <v/>
      </c>
      <c r="H465" s="605"/>
      <c r="I465" s="31"/>
      <c r="J465" s="606">
        <f t="shared" si="20"/>
        <v>0</v>
      </c>
      <c r="K465" s="549"/>
    </row>
    <row r="466" spans="1:11" x14ac:dyDescent="0.25">
      <c r="A466" s="540"/>
      <c r="B466" s="540"/>
      <c r="C466" s="540"/>
      <c r="D466" s="540"/>
      <c r="E466" s="553"/>
      <c r="F466" s="540"/>
      <c r="G466" s="565" t="str">
        <f t="shared" si="19"/>
        <v/>
      </c>
      <c r="H466" s="605"/>
      <c r="I466" s="31"/>
      <c r="J466" s="606">
        <f t="shared" si="20"/>
        <v>0</v>
      </c>
      <c r="K466" s="549"/>
    </row>
    <row r="467" spans="1:11" x14ac:dyDescent="0.25">
      <c r="A467" s="540"/>
      <c r="B467" s="540"/>
      <c r="C467" s="540"/>
      <c r="D467" s="540"/>
      <c r="E467" s="553"/>
      <c r="F467" s="540"/>
      <c r="G467" s="565" t="str">
        <f t="shared" si="19"/>
        <v/>
      </c>
      <c r="H467" s="605"/>
      <c r="I467" s="31"/>
      <c r="J467" s="606">
        <f t="shared" si="20"/>
        <v>0</v>
      </c>
      <c r="K467" s="549"/>
    </row>
    <row r="468" spans="1:11" x14ac:dyDescent="0.25">
      <c r="A468" s="540"/>
      <c r="B468" s="540"/>
      <c r="C468" s="540"/>
      <c r="D468" s="540"/>
      <c r="E468" s="553"/>
      <c r="F468" s="540"/>
      <c r="G468" s="565" t="str">
        <f t="shared" si="19"/>
        <v/>
      </c>
      <c r="H468" s="605"/>
      <c r="I468" s="31"/>
      <c r="J468" s="606">
        <f t="shared" si="20"/>
        <v>0</v>
      </c>
      <c r="K468" s="549"/>
    </row>
    <row r="469" spans="1:11" x14ac:dyDescent="0.25">
      <c r="A469" s="540"/>
      <c r="B469" s="540"/>
      <c r="C469" s="540"/>
      <c r="D469" s="540"/>
      <c r="E469" s="553"/>
      <c r="F469" s="540"/>
      <c r="G469" s="565" t="str">
        <f t="shared" si="19"/>
        <v/>
      </c>
      <c r="H469" s="605"/>
      <c r="I469" s="31"/>
      <c r="J469" s="606">
        <f t="shared" si="20"/>
        <v>0</v>
      </c>
      <c r="K469" s="549"/>
    </row>
    <row r="470" spans="1:11" x14ac:dyDescent="0.25">
      <c r="A470" s="540"/>
      <c r="B470" s="540"/>
      <c r="C470" s="540"/>
      <c r="D470" s="540"/>
      <c r="E470" s="553"/>
      <c r="F470" s="540"/>
      <c r="G470" s="565" t="str">
        <f t="shared" si="19"/>
        <v/>
      </c>
      <c r="H470" s="605"/>
      <c r="I470" s="31"/>
      <c r="J470" s="606">
        <f t="shared" si="20"/>
        <v>0</v>
      </c>
      <c r="K470" s="549"/>
    </row>
    <row r="471" spans="1:11" x14ac:dyDescent="0.25">
      <c r="A471" s="540"/>
      <c r="B471" s="540"/>
      <c r="C471" s="540"/>
      <c r="D471" s="540"/>
      <c r="E471" s="553"/>
      <c r="F471" s="540"/>
      <c r="G471" s="565" t="str">
        <f t="shared" si="19"/>
        <v/>
      </c>
      <c r="H471" s="605"/>
      <c r="I471" s="31"/>
      <c r="J471" s="606">
        <f t="shared" si="20"/>
        <v>0</v>
      </c>
      <c r="K471" s="549"/>
    </row>
    <row r="472" spans="1:11" x14ac:dyDescent="0.25">
      <c r="A472" s="540"/>
      <c r="B472" s="540"/>
      <c r="C472" s="540"/>
      <c r="D472" s="540"/>
      <c r="E472" s="553"/>
      <c r="F472" s="540"/>
      <c r="G472" s="565" t="str">
        <f t="shared" si="19"/>
        <v/>
      </c>
      <c r="H472" s="605"/>
      <c r="I472" s="31"/>
      <c r="J472" s="606">
        <f t="shared" si="20"/>
        <v>0</v>
      </c>
      <c r="K472" s="549"/>
    </row>
    <row r="473" spans="1:11" x14ac:dyDescent="0.25">
      <c r="A473" s="540"/>
      <c r="B473" s="540"/>
      <c r="C473" s="540"/>
      <c r="D473" s="540"/>
      <c r="E473" s="553"/>
      <c r="F473" s="540"/>
      <c r="G473" s="565" t="str">
        <f t="shared" si="19"/>
        <v/>
      </c>
      <c r="H473" s="605"/>
      <c r="I473" s="31"/>
      <c r="J473" s="606">
        <f t="shared" si="20"/>
        <v>0</v>
      </c>
      <c r="K473" s="549"/>
    </row>
    <row r="474" spans="1:11" x14ac:dyDescent="0.25">
      <c r="A474" s="540"/>
      <c r="B474" s="540"/>
      <c r="C474" s="540"/>
      <c r="D474" s="540"/>
      <c r="E474" s="553"/>
      <c r="F474" s="540"/>
      <c r="G474" s="565" t="str">
        <f t="shared" si="19"/>
        <v/>
      </c>
      <c r="H474" s="605"/>
      <c r="I474" s="31"/>
      <c r="J474" s="606">
        <f t="shared" si="20"/>
        <v>0</v>
      </c>
      <c r="K474" s="549"/>
    </row>
    <row r="475" spans="1:11" x14ac:dyDescent="0.25">
      <c r="A475" s="540"/>
      <c r="B475" s="540"/>
      <c r="C475" s="540"/>
      <c r="D475" s="540"/>
      <c r="E475" s="553"/>
      <c r="F475" s="540"/>
      <c r="G475" s="565" t="str">
        <f t="shared" si="19"/>
        <v/>
      </c>
      <c r="H475" s="605"/>
      <c r="I475" s="31"/>
      <c r="J475" s="606">
        <f t="shared" si="20"/>
        <v>0</v>
      </c>
      <c r="K475" s="549"/>
    </row>
    <row r="476" spans="1:11" x14ac:dyDescent="0.25">
      <c r="A476" s="540"/>
      <c r="B476" s="540"/>
      <c r="C476" s="540"/>
      <c r="D476" s="540"/>
      <c r="E476" s="553"/>
      <c r="F476" s="540"/>
      <c r="G476" s="565" t="str">
        <f t="shared" si="19"/>
        <v/>
      </c>
      <c r="H476" s="605"/>
      <c r="I476" s="31"/>
      <c r="J476" s="606">
        <f t="shared" si="20"/>
        <v>0</v>
      </c>
      <c r="K476" s="549"/>
    </row>
    <row r="477" spans="1:11" x14ac:dyDescent="0.25">
      <c r="A477" s="540"/>
      <c r="B477" s="540"/>
      <c r="C477" s="540"/>
      <c r="D477" s="540"/>
      <c r="E477" s="553"/>
      <c r="F477" s="540"/>
      <c r="G477" s="565" t="str">
        <f t="shared" si="19"/>
        <v/>
      </c>
      <c r="H477" s="605"/>
      <c r="I477" s="31"/>
      <c r="J477" s="606">
        <f t="shared" si="20"/>
        <v>0</v>
      </c>
      <c r="K477" s="549"/>
    </row>
    <row r="478" spans="1:11" x14ac:dyDescent="0.25">
      <c r="A478" s="540"/>
      <c r="B478" s="540"/>
      <c r="C478" s="540"/>
      <c r="D478" s="540"/>
      <c r="E478" s="553"/>
      <c r="F478" s="540"/>
      <c r="G478" s="565" t="str">
        <f t="shared" si="19"/>
        <v/>
      </c>
      <c r="H478" s="605"/>
      <c r="I478" s="31"/>
      <c r="J478" s="606">
        <f t="shared" si="20"/>
        <v>0</v>
      </c>
      <c r="K478" s="549"/>
    </row>
    <row r="479" spans="1:11" x14ac:dyDescent="0.25">
      <c r="A479" s="540"/>
      <c r="B479" s="540"/>
      <c r="C479" s="540"/>
      <c r="D479" s="540"/>
      <c r="E479" s="553"/>
      <c r="F479" s="540"/>
      <c r="G479" s="565" t="str">
        <f t="shared" si="19"/>
        <v/>
      </c>
      <c r="H479" s="605"/>
      <c r="I479" s="31"/>
      <c r="J479" s="606">
        <f t="shared" si="20"/>
        <v>0</v>
      </c>
      <c r="K479" s="549"/>
    </row>
    <row r="480" spans="1:11" x14ac:dyDescent="0.25">
      <c r="A480" s="540"/>
      <c r="B480" s="540"/>
      <c r="C480" s="540"/>
      <c r="D480" s="540"/>
      <c r="E480" s="553"/>
      <c r="F480" s="540"/>
      <c r="G480" s="565" t="str">
        <f t="shared" si="19"/>
        <v/>
      </c>
      <c r="H480" s="605"/>
      <c r="I480" s="31"/>
      <c r="J480" s="606">
        <f t="shared" si="20"/>
        <v>0</v>
      </c>
      <c r="K480" s="549"/>
    </row>
    <row r="481" spans="1:11" x14ac:dyDescent="0.25">
      <c r="A481" s="540"/>
      <c r="B481" s="540"/>
      <c r="C481" s="540"/>
      <c r="D481" s="540"/>
      <c r="E481" s="553"/>
      <c r="F481" s="540"/>
      <c r="G481" s="565" t="str">
        <f t="shared" si="19"/>
        <v/>
      </c>
      <c r="H481" s="605"/>
      <c r="I481" s="31"/>
      <c r="J481" s="606">
        <f t="shared" si="20"/>
        <v>0</v>
      </c>
      <c r="K481" s="549"/>
    </row>
    <row r="482" spans="1:11" x14ac:dyDescent="0.25">
      <c r="A482" s="540"/>
      <c r="B482" s="540"/>
      <c r="C482" s="540"/>
      <c r="D482" s="540"/>
      <c r="E482" s="553"/>
      <c r="F482" s="540"/>
      <c r="G482" s="565" t="str">
        <f t="shared" si="19"/>
        <v/>
      </c>
      <c r="H482" s="605"/>
      <c r="I482" s="31"/>
      <c r="J482" s="606">
        <f t="shared" si="20"/>
        <v>0</v>
      </c>
      <c r="K482" s="549"/>
    </row>
    <row r="483" spans="1:11" x14ac:dyDescent="0.25">
      <c r="A483" s="540"/>
      <c r="B483" s="540"/>
      <c r="C483" s="540"/>
      <c r="D483" s="540"/>
      <c r="E483" s="553"/>
      <c r="F483" s="540"/>
      <c r="G483" s="565" t="str">
        <f t="shared" si="19"/>
        <v/>
      </c>
      <c r="H483" s="605"/>
      <c r="I483" s="31"/>
      <c r="J483" s="606">
        <f t="shared" si="20"/>
        <v>0</v>
      </c>
      <c r="K483" s="549"/>
    </row>
    <row r="484" spans="1:11" x14ac:dyDescent="0.25">
      <c r="A484" s="540"/>
      <c r="B484" s="540"/>
      <c r="C484" s="540"/>
      <c r="D484" s="540"/>
      <c r="E484" s="553"/>
      <c r="F484" s="540"/>
      <c r="G484" s="565" t="str">
        <f t="shared" si="19"/>
        <v/>
      </c>
      <c r="H484" s="605"/>
      <c r="I484" s="31"/>
      <c r="J484" s="606">
        <f t="shared" si="20"/>
        <v>0</v>
      </c>
      <c r="K484" s="549"/>
    </row>
    <row r="485" spans="1:11" x14ac:dyDescent="0.25">
      <c r="A485" s="540"/>
      <c r="B485" s="540"/>
      <c r="C485" s="540"/>
      <c r="D485" s="540"/>
      <c r="E485" s="553"/>
      <c r="F485" s="540"/>
      <c r="G485" s="565" t="str">
        <f t="shared" si="19"/>
        <v/>
      </c>
      <c r="H485" s="605"/>
      <c r="I485" s="31"/>
      <c r="J485" s="606">
        <f t="shared" si="20"/>
        <v>0</v>
      </c>
      <c r="K485" s="549"/>
    </row>
    <row r="486" spans="1:11" x14ac:dyDescent="0.25">
      <c r="A486" s="540"/>
      <c r="B486" s="540"/>
      <c r="C486" s="540"/>
      <c r="D486" s="540"/>
      <c r="E486" s="553"/>
      <c r="F486" s="540"/>
      <c r="G486" s="565" t="str">
        <f t="shared" si="19"/>
        <v/>
      </c>
      <c r="H486" s="605"/>
      <c r="I486" s="31"/>
      <c r="J486" s="606">
        <f t="shared" si="20"/>
        <v>0</v>
      </c>
      <c r="K486" s="549"/>
    </row>
    <row r="487" spans="1:11" x14ac:dyDescent="0.25">
      <c r="A487" s="540"/>
      <c r="B487" s="540"/>
      <c r="C487" s="540"/>
      <c r="D487" s="540"/>
      <c r="E487" s="553"/>
      <c r="F487" s="540"/>
      <c r="G487" s="565" t="str">
        <f t="shared" si="19"/>
        <v/>
      </c>
      <c r="H487" s="605"/>
      <c r="I487" s="31"/>
      <c r="J487" s="606">
        <f t="shared" si="20"/>
        <v>0</v>
      </c>
      <c r="K487" s="549"/>
    </row>
    <row r="488" spans="1:11" x14ac:dyDescent="0.25">
      <c r="A488" s="540"/>
      <c r="B488" s="540"/>
      <c r="C488" s="540"/>
      <c r="D488" s="540"/>
      <c r="E488" s="553"/>
      <c r="F488" s="540"/>
      <c r="G488" s="565" t="str">
        <f t="shared" si="19"/>
        <v/>
      </c>
      <c r="H488" s="605"/>
      <c r="I488" s="31"/>
      <c r="J488" s="606">
        <f t="shared" si="20"/>
        <v>0</v>
      </c>
      <c r="K488" s="549"/>
    </row>
    <row r="489" spans="1:11" x14ac:dyDescent="0.25">
      <c r="A489" s="540"/>
      <c r="B489" s="540"/>
      <c r="C489" s="540"/>
      <c r="D489" s="540"/>
      <c r="E489" s="553"/>
      <c r="F489" s="540"/>
      <c r="G489" s="565" t="str">
        <f t="shared" si="19"/>
        <v/>
      </c>
      <c r="H489" s="605"/>
      <c r="I489" s="31"/>
      <c r="J489" s="606">
        <f t="shared" si="20"/>
        <v>0</v>
      </c>
      <c r="K489" s="549"/>
    </row>
    <row r="490" spans="1:11" x14ac:dyDescent="0.25">
      <c r="A490" s="540"/>
      <c r="B490" s="540"/>
      <c r="C490" s="540"/>
      <c r="D490" s="540"/>
      <c r="E490" s="553"/>
      <c r="F490" s="540"/>
      <c r="G490" s="565" t="str">
        <f t="shared" si="19"/>
        <v/>
      </c>
      <c r="H490" s="605"/>
      <c r="I490" s="31"/>
      <c r="J490" s="606">
        <f t="shared" si="20"/>
        <v>0</v>
      </c>
      <c r="K490" s="549"/>
    </row>
    <row r="491" spans="1:11" x14ac:dyDescent="0.25">
      <c r="A491" s="540"/>
      <c r="B491" s="540"/>
      <c r="C491" s="540"/>
      <c r="D491" s="540"/>
      <c r="E491" s="553"/>
      <c r="F491" s="540"/>
      <c r="G491" s="565" t="str">
        <f t="shared" si="19"/>
        <v/>
      </c>
      <c r="H491" s="605"/>
      <c r="I491" s="31"/>
      <c r="J491" s="606">
        <f t="shared" si="20"/>
        <v>0</v>
      </c>
      <c r="K491" s="549"/>
    </row>
    <row r="492" spans="1:11" x14ac:dyDescent="0.25">
      <c r="A492" s="540"/>
      <c r="B492" s="540"/>
      <c r="C492" s="540"/>
      <c r="D492" s="540"/>
      <c r="E492" s="553"/>
      <c r="F492" s="540"/>
      <c r="G492" s="565" t="str">
        <f t="shared" si="19"/>
        <v/>
      </c>
      <c r="H492" s="605"/>
      <c r="I492" s="31"/>
      <c r="J492" s="606">
        <f t="shared" si="20"/>
        <v>0</v>
      </c>
      <c r="K492" s="549"/>
    </row>
    <row r="493" spans="1:11" x14ac:dyDescent="0.25">
      <c r="A493" s="540"/>
      <c r="B493" s="540"/>
      <c r="C493" s="540"/>
      <c r="D493" s="540"/>
      <c r="E493" s="553"/>
      <c r="F493" s="540"/>
      <c r="G493" s="565" t="str">
        <f t="shared" si="19"/>
        <v/>
      </c>
      <c r="H493" s="605"/>
      <c r="I493" s="31"/>
      <c r="J493" s="606">
        <f t="shared" si="20"/>
        <v>0</v>
      </c>
      <c r="K493" s="549"/>
    </row>
    <row r="494" spans="1:11" x14ac:dyDescent="0.25">
      <c r="A494" s="540"/>
      <c r="B494" s="540"/>
      <c r="C494" s="540"/>
      <c r="D494" s="540"/>
      <c r="E494" s="553"/>
      <c r="F494" s="540"/>
      <c r="G494" s="565" t="str">
        <f t="shared" si="19"/>
        <v/>
      </c>
      <c r="H494" s="605"/>
      <c r="I494" s="31"/>
      <c r="J494" s="606">
        <f t="shared" si="20"/>
        <v>0</v>
      </c>
      <c r="K494" s="549"/>
    </row>
    <row r="495" spans="1:11" x14ac:dyDescent="0.25">
      <c r="A495" s="540"/>
      <c r="B495" s="540"/>
      <c r="C495" s="540"/>
      <c r="D495" s="540"/>
      <c r="E495" s="553"/>
      <c r="F495" s="540"/>
      <c r="G495" s="565" t="str">
        <f t="shared" si="19"/>
        <v/>
      </c>
      <c r="H495" s="605"/>
      <c r="I495" s="31"/>
      <c r="J495" s="606">
        <f t="shared" si="20"/>
        <v>0</v>
      </c>
      <c r="K495" s="549"/>
    </row>
    <row r="496" spans="1:11" x14ac:dyDescent="0.25">
      <c r="A496" s="540"/>
      <c r="B496" s="540"/>
      <c r="C496" s="540"/>
      <c r="D496" s="540"/>
      <c r="E496" s="553"/>
      <c r="F496" s="540"/>
      <c r="G496" s="565" t="str">
        <f t="shared" si="19"/>
        <v/>
      </c>
      <c r="H496" s="605"/>
      <c r="I496" s="31"/>
      <c r="J496" s="606">
        <f t="shared" si="20"/>
        <v>0</v>
      </c>
      <c r="K496" s="549"/>
    </row>
    <row r="497" spans="1:11" x14ac:dyDescent="0.25">
      <c r="A497" s="540"/>
      <c r="B497" s="540"/>
      <c r="C497" s="540"/>
      <c r="D497" s="540"/>
      <c r="E497" s="553"/>
      <c r="F497" s="540"/>
      <c r="G497" s="565" t="str">
        <f t="shared" si="19"/>
        <v/>
      </c>
      <c r="H497" s="605"/>
      <c r="I497" s="31"/>
      <c r="J497" s="606">
        <f t="shared" si="20"/>
        <v>0</v>
      </c>
      <c r="K497" s="549"/>
    </row>
    <row r="498" spans="1:11" x14ac:dyDescent="0.25">
      <c r="A498" s="540"/>
      <c r="B498" s="540"/>
      <c r="C498" s="540"/>
      <c r="D498" s="540"/>
      <c r="E498" s="553"/>
      <c r="F498" s="540"/>
      <c r="G498" s="565" t="str">
        <f t="shared" si="19"/>
        <v/>
      </c>
      <c r="H498" s="605"/>
      <c r="I498" s="31"/>
      <c r="J498" s="606">
        <f t="shared" si="20"/>
        <v>0</v>
      </c>
      <c r="K498" s="549"/>
    </row>
    <row r="499" spans="1:11" x14ac:dyDescent="0.25">
      <c r="A499" s="540"/>
      <c r="B499" s="540"/>
      <c r="C499" s="540"/>
      <c r="D499" s="540"/>
      <c r="E499" s="553"/>
      <c r="F499" s="540"/>
      <c r="G499" s="565" t="str">
        <f t="shared" si="19"/>
        <v/>
      </c>
      <c r="H499" s="605"/>
      <c r="I499" s="31"/>
      <c r="J499" s="606">
        <f t="shared" si="20"/>
        <v>0</v>
      </c>
      <c r="K499" s="549"/>
    </row>
    <row r="500" spans="1:11" x14ac:dyDescent="0.25">
      <c r="A500" s="540"/>
      <c r="B500" s="540"/>
      <c r="C500" s="540"/>
      <c r="D500" s="540"/>
      <c r="E500" s="553"/>
      <c r="F500" s="540"/>
      <c r="G500" s="565" t="str">
        <f t="shared" si="19"/>
        <v/>
      </c>
      <c r="H500" s="605"/>
      <c r="I500" s="31"/>
      <c r="J500" s="606">
        <f t="shared" si="20"/>
        <v>0</v>
      </c>
      <c r="K500" s="549"/>
    </row>
    <row r="501" spans="1:11" x14ac:dyDescent="0.25">
      <c r="A501" s="540"/>
      <c r="B501" s="540"/>
      <c r="C501" s="540"/>
      <c r="D501" s="540"/>
      <c r="E501" s="553"/>
      <c r="F501" s="540"/>
      <c r="G501" s="565" t="str">
        <f t="shared" si="19"/>
        <v/>
      </c>
      <c r="H501" s="605"/>
      <c r="I501" s="31"/>
      <c r="J501" s="606">
        <f t="shared" si="20"/>
        <v>0</v>
      </c>
      <c r="K501" s="549"/>
    </row>
    <row r="502" spans="1:11" x14ac:dyDescent="0.25">
      <c r="A502" s="540"/>
      <c r="B502" s="540"/>
      <c r="C502" s="540"/>
      <c r="D502" s="540"/>
      <c r="E502" s="553"/>
      <c r="F502" s="540"/>
      <c r="G502" s="565" t="str">
        <f t="shared" si="19"/>
        <v/>
      </c>
      <c r="H502" s="605"/>
      <c r="I502" s="31"/>
      <c r="J502" s="606">
        <f t="shared" si="20"/>
        <v>0</v>
      </c>
      <c r="K502" s="549"/>
    </row>
    <row r="503" spans="1:11" x14ac:dyDescent="0.25">
      <c r="A503" s="540"/>
      <c r="B503" s="540"/>
      <c r="C503" s="540"/>
      <c r="D503" s="540"/>
      <c r="E503" s="553"/>
      <c r="F503" s="540"/>
      <c r="G503" s="565" t="str">
        <f t="shared" si="19"/>
        <v/>
      </c>
      <c r="H503" s="605"/>
      <c r="I503" s="31"/>
      <c r="J503" s="606">
        <f t="shared" si="20"/>
        <v>0</v>
      </c>
      <c r="K503" s="549"/>
    </row>
    <row r="504" spans="1:11" x14ac:dyDescent="0.25">
      <c r="A504" s="540"/>
      <c r="B504" s="540"/>
      <c r="C504" s="540"/>
      <c r="D504" s="540"/>
      <c r="E504" s="553"/>
      <c r="F504" s="540"/>
      <c r="G504" s="565" t="str">
        <f t="shared" si="19"/>
        <v/>
      </c>
      <c r="H504" s="605"/>
      <c r="I504" s="31"/>
      <c r="J504" s="606">
        <f t="shared" si="20"/>
        <v>0</v>
      </c>
      <c r="K504" s="549"/>
    </row>
    <row r="505" spans="1:11" x14ac:dyDescent="0.25">
      <c r="A505" s="540"/>
      <c r="B505" s="540"/>
      <c r="C505" s="540"/>
      <c r="D505" s="540"/>
      <c r="E505" s="553"/>
      <c r="F505" s="540"/>
      <c r="G505" s="565" t="str">
        <f t="shared" si="19"/>
        <v/>
      </c>
      <c r="H505" s="605"/>
      <c r="I505" s="31"/>
      <c r="J505" s="606">
        <f t="shared" si="20"/>
        <v>0</v>
      </c>
      <c r="K505" s="549"/>
    </row>
    <row r="506" spans="1:11" x14ac:dyDescent="0.25">
      <c r="A506" s="540"/>
      <c r="B506" s="540"/>
      <c r="C506" s="540"/>
      <c r="D506" s="540"/>
      <c r="E506" s="553"/>
      <c r="F506" s="540"/>
      <c r="G506" s="565" t="str">
        <f t="shared" si="19"/>
        <v/>
      </c>
      <c r="H506" s="605"/>
      <c r="I506" s="31"/>
      <c r="J506" s="606">
        <f t="shared" si="20"/>
        <v>0</v>
      </c>
      <c r="K506" s="549"/>
    </row>
    <row r="507" spans="1:11" x14ac:dyDescent="0.25">
      <c r="A507" s="540"/>
      <c r="B507" s="540"/>
      <c r="C507" s="540"/>
      <c r="D507" s="540"/>
      <c r="E507" s="553"/>
      <c r="F507" s="540"/>
      <c r="G507" s="565" t="str">
        <f t="shared" si="19"/>
        <v/>
      </c>
      <c r="H507" s="605"/>
      <c r="I507" s="31"/>
      <c r="J507" s="606">
        <f t="shared" si="20"/>
        <v>0</v>
      </c>
      <c r="K507" s="549"/>
    </row>
    <row r="508" spans="1:11" x14ac:dyDescent="0.25">
      <c r="A508" s="540"/>
      <c r="B508" s="540"/>
      <c r="C508" s="540"/>
      <c r="D508" s="540"/>
      <c r="E508" s="553"/>
      <c r="F508" s="540"/>
      <c r="G508" s="565" t="str">
        <f t="shared" si="19"/>
        <v/>
      </c>
      <c r="H508" s="605"/>
      <c r="I508" s="31"/>
      <c r="J508" s="606">
        <f t="shared" si="20"/>
        <v>0</v>
      </c>
      <c r="K508" s="549"/>
    </row>
    <row r="509" spans="1:11" x14ac:dyDescent="0.25">
      <c r="A509" s="540"/>
      <c r="B509" s="540"/>
      <c r="C509" s="540"/>
      <c r="D509" s="540"/>
      <c r="E509" s="553"/>
      <c r="F509" s="540"/>
      <c r="G509" s="565" t="str">
        <f t="shared" si="19"/>
        <v/>
      </c>
      <c r="H509" s="605"/>
      <c r="I509" s="31"/>
      <c r="J509" s="606">
        <f t="shared" si="20"/>
        <v>0</v>
      </c>
      <c r="K509" s="549"/>
    </row>
    <row r="510" spans="1:11" x14ac:dyDescent="0.25">
      <c r="A510" s="540"/>
      <c r="B510" s="540"/>
      <c r="C510" s="540"/>
      <c r="D510" s="540"/>
      <c r="E510" s="553"/>
      <c r="F510" s="540"/>
      <c r="G510" s="565" t="str">
        <f t="shared" si="19"/>
        <v/>
      </c>
      <c r="H510" s="605"/>
      <c r="I510" s="31"/>
      <c r="J510" s="606">
        <f t="shared" si="20"/>
        <v>0</v>
      </c>
      <c r="K510" s="549"/>
    </row>
    <row r="511" spans="1:11" x14ac:dyDescent="0.25">
      <c r="A511" s="540"/>
      <c r="B511" s="540"/>
      <c r="C511" s="540"/>
      <c r="D511" s="540"/>
      <c r="E511" s="553"/>
      <c r="F511" s="540"/>
      <c r="G511" s="565" t="str">
        <f t="shared" si="19"/>
        <v/>
      </c>
      <c r="H511" s="605"/>
      <c r="I511" s="31"/>
      <c r="J511" s="606">
        <f t="shared" si="20"/>
        <v>0</v>
      </c>
      <c r="K511" s="549"/>
    </row>
    <row r="512" spans="1:11" x14ac:dyDescent="0.25">
      <c r="A512" s="540"/>
      <c r="B512" s="540"/>
      <c r="C512" s="540"/>
      <c r="D512" s="540"/>
      <c r="E512" s="553"/>
      <c r="F512" s="540"/>
      <c r="G512" s="565" t="str">
        <f t="shared" si="19"/>
        <v/>
      </c>
      <c r="H512" s="605"/>
      <c r="I512" s="31"/>
      <c r="J512" s="606">
        <f t="shared" si="20"/>
        <v>0</v>
      </c>
      <c r="K512" s="549"/>
    </row>
    <row r="513" spans="1:11" x14ac:dyDescent="0.25">
      <c r="A513" s="540"/>
      <c r="B513" s="540"/>
      <c r="C513" s="540"/>
      <c r="D513" s="540"/>
      <c r="E513" s="553"/>
      <c r="F513" s="540"/>
      <c r="G513" s="565" t="str">
        <f t="shared" si="19"/>
        <v/>
      </c>
      <c r="H513" s="605"/>
      <c r="I513" s="31"/>
      <c r="J513" s="606">
        <f t="shared" si="20"/>
        <v>0</v>
      </c>
      <c r="K513" s="549"/>
    </row>
    <row r="514" spans="1:11" x14ac:dyDescent="0.25">
      <c r="A514" s="540"/>
      <c r="B514" s="540"/>
      <c r="C514" s="540"/>
      <c r="D514" s="540"/>
      <c r="E514" s="553"/>
      <c r="F514" s="540"/>
      <c r="G514" s="565" t="str">
        <f t="shared" si="19"/>
        <v/>
      </c>
      <c r="H514" s="605"/>
      <c r="I514" s="31"/>
      <c r="J514" s="606">
        <f t="shared" si="20"/>
        <v>0</v>
      </c>
      <c r="K514" s="549"/>
    </row>
    <row r="515" spans="1:11" x14ac:dyDescent="0.25">
      <c r="A515" s="540"/>
      <c r="B515" s="540"/>
      <c r="C515" s="540"/>
      <c r="D515" s="540"/>
      <c r="E515" s="553"/>
      <c r="F515" s="540"/>
      <c r="G515" s="565" t="str">
        <f t="shared" si="19"/>
        <v/>
      </c>
      <c r="H515" s="605"/>
      <c r="I515" s="31"/>
      <c r="J515" s="606">
        <f t="shared" si="20"/>
        <v>0</v>
      </c>
      <c r="K515" s="549"/>
    </row>
    <row r="516" spans="1:11" x14ac:dyDescent="0.25">
      <c r="A516" s="540"/>
      <c r="B516" s="540"/>
      <c r="C516" s="540"/>
      <c r="D516" s="540"/>
      <c r="E516" s="553"/>
      <c r="F516" s="540"/>
      <c r="G516" s="565" t="str">
        <f t="shared" si="19"/>
        <v/>
      </c>
      <c r="H516" s="605"/>
      <c r="I516" s="31"/>
      <c r="J516" s="606">
        <f t="shared" si="20"/>
        <v>0</v>
      </c>
      <c r="K516" s="549"/>
    </row>
    <row r="517" spans="1:11" x14ac:dyDescent="0.25">
      <c r="A517" s="540"/>
      <c r="B517" s="540"/>
      <c r="C517" s="540"/>
      <c r="D517" s="540"/>
      <c r="E517" s="553"/>
      <c r="F517" s="540"/>
      <c r="G517" s="565" t="str">
        <f t="shared" si="19"/>
        <v/>
      </c>
      <c r="H517" s="605"/>
      <c r="I517" s="31"/>
      <c r="J517" s="606">
        <f t="shared" si="20"/>
        <v>0</v>
      </c>
      <c r="K517" s="549"/>
    </row>
    <row r="518" spans="1:11" x14ac:dyDescent="0.25">
      <c r="A518" s="540"/>
      <c r="B518" s="540"/>
      <c r="C518" s="540"/>
      <c r="D518" s="540"/>
      <c r="E518" s="553"/>
      <c r="F518" s="540"/>
      <c r="G518" s="565" t="str">
        <f t="shared" si="19"/>
        <v/>
      </c>
      <c r="H518" s="605"/>
      <c r="I518" s="31"/>
      <c r="J518" s="606">
        <f t="shared" si="20"/>
        <v>0</v>
      </c>
      <c r="K518" s="549"/>
    </row>
    <row r="519" spans="1:11" x14ac:dyDescent="0.25">
      <c r="A519" s="540"/>
      <c r="B519" s="540"/>
      <c r="C519" s="540"/>
      <c r="D519" s="540"/>
      <c r="E519" s="553"/>
      <c r="F519" s="540"/>
      <c r="G519" s="565" t="str">
        <f t="shared" si="19"/>
        <v/>
      </c>
      <c r="H519" s="605"/>
      <c r="I519" s="31"/>
      <c r="J519" s="606">
        <f t="shared" si="20"/>
        <v>0</v>
      </c>
      <c r="K519" s="549"/>
    </row>
    <row r="520" spans="1:11" x14ac:dyDescent="0.25">
      <c r="A520" s="540"/>
      <c r="B520" s="540"/>
      <c r="C520" s="540"/>
      <c r="D520" s="540"/>
      <c r="E520" s="553"/>
      <c r="F520" s="540"/>
      <c r="G520" s="565" t="str">
        <f t="shared" si="19"/>
        <v/>
      </c>
      <c r="H520" s="605"/>
      <c r="I520" s="31"/>
      <c r="J520" s="606">
        <f t="shared" si="20"/>
        <v>0</v>
      </c>
      <c r="K520" s="549"/>
    </row>
    <row r="521" spans="1:11" x14ac:dyDescent="0.25">
      <c r="A521" s="540"/>
      <c r="B521" s="540"/>
      <c r="C521" s="540"/>
      <c r="D521" s="540"/>
      <c r="E521" s="553"/>
      <c r="F521" s="540"/>
      <c r="G521" s="565" t="str">
        <f t="shared" si="19"/>
        <v/>
      </c>
      <c r="H521" s="605"/>
      <c r="I521" s="31"/>
      <c r="J521" s="606">
        <f t="shared" si="20"/>
        <v>0</v>
      </c>
      <c r="K521" s="549"/>
    </row>
    <row r="522" spans="1:11" x14ac:dyDescent="0.25">
      <c r="A522" s="540"/>
      <c r="B522" s="540"/>
      <c r="C522" s="540"/>
      <c r="D522" s="540"/>
      <c r="E522" s="553"/>
      <c r="F522" s="540"/>
      <c r="G522" s="565" t="str">
        <f t="shared" si="19"/>
        <v/>
      </c>
      <c r="H522" s="605"/>
      <c r="I522" s="31"/>
      <c r="J522" s="606">
        <f t="shared" si="20"/>
        <v>0</v>
      </c>
      <c r="K522" s="549"/>
    </row>
    <row r="523" spans="1:11" x14ac:dyDescent="0.25">
      <c r="A523" s="540"/>
      <c r="B523" s="540"/>
      <c r="C523" s="540"/>
      <c r="D523" s="540"/>
      <c r="E523" s="553"/>
      <c r="F523" s="540"/>
      <c r="G523" s="565" t="str">
        <f t="shared" ref="G523:G586" si="21">IF(E523="","",IF(E523+$M$2&lt;$L$2,"VENCIDA","VIGENTE"))</f>
        <v/>
      </c>
      <c r="H523" s="605"/>
      <c r="I523" s="31"/>
      <c r="J523" s="606">
        <f t="shared" ref="J523:J586" si="22">H523-I523</f>
        <v>0</v>
      </c>
      <c r="K523" s="549"/>
    </row>
    <row r="524" spans="1:11" x14ac:dyDescent="0.25">
      <c r="A524" s="540"/>
      <c r="B524" s="540"/>
      <c r="C524" s="540"/>
      <c r="D524" s="540"/>
      <c r="E524" s="553"/>
      <c r="F524" s="540"/>
      <c r="G524" s="565" t="str">
        <f t="shared" si="21"/>
        <v/>
      </c>
      <c r="H524" s="605"/>
      <c r="I524" s="31"/>
      <c r="J524" s="606">
        <f t="shared" si="22"/>
        <v>0</v>
      </c>
      <c r="K524" s="549"/>
    </row>
    <row r="525" spans="1:11" x14ac:dyDescent="0.25">
      <c r="A525" s="540"/>
      <c r="B525" s="540"/>
      <c r="C525" s="540"/>
      <c r="D525" s="540"/>
      <c r="E525" s="553"/>
      <c r="F525" s="540"/>
      <c r="G525" s="565" t="str">
        <f t="shared" si="21"/>
        <v/>
      </c>
      <c r="H525" s="605"/>
      <c r="I525" s="31"/>
      <c r="J525" s="606">
        <f t="shared" si="22"/>
        <v>0</v>
      </c>
      <c r="K525" s="549"/>
    </row>
    <row r="526" spans="1:11" x14ac:dyDescent="0.25">
      <c r="A526" s="540"/>
      <c r="B526" s="540"/>
      <c r="C526" s="540"/>
      <c r="D526" s="540"/>
      <c r="E526" s="553"/>
      <c r="F526" s="540"/>
      <c r="G526" s="565" t="str">
        <f t="shared" si="21"/>
        <v/>
      </c>
      <c r="H526" s="605"/>
      <c r="I526" s="31"/>
      <c r="J526" s="606">
        <f t="shared" si="22"/>
        <v>0</v>
      </c>
      <c r="K526" s="549"/>
    </row>
    <row r="527" spans="1:11" x14ac:dyDescent="0.25">
      <c r="A527" s="540"/>
      <c r="B527" s="540"/>
      <c r="C527" s="540"/>
      <c r="D527" s="540"/>
      <c r="E527" s="553"/>
      <c r="F527" s="540"/>
      <c r="G527" s="565" t="str">
        <f t="shared" si="21"/>
        <v/>
      </c>
      <c r="H527" s="605"/>
      <c r="I527" s="31"/>
      <c r="J527" s="606">
        <f t="shared" si="22"/>
        <v>0</v>
      </c>
      <c r="K527" s="549"/>
    </row>
    <row r="528" spans="1:11" x14ac:dyDescent="0.25">
      <c r="A528" s="540"/>
      <c r="B528" s="540"/>
      <c r="C528" s="540"/>
      <c r="D528" s="540"/>
      <c r="E528" s="553"/>
      <c r="F528" s="540"/>
      <c r="G528" s="565" t="str">
        <f t="shared" si="21"/>
        <v/>
      </c>
      <c r="H528" s="605"/>
      <c r="I528" s="31"/>
      <c r="J528" s="606">
        <f t="shared" si="22"/>
        <v>0</v>
      </c>
      <c r="K528" s="549"/>
    </row>
    <row r="529" spans="1:11" x14ac:dyDescent="0.25">
      <c r="A529" s="540"/>
      <c r="B529" s="540"/>
      <c r="C529" s="540"/>
      <c r="D529" s="540"/>
      <c r="E529" s="553"/>
      <c r="F529" s="540"/>
      <c r="G529" s="565" t="str">
        <f t="shared" si="21"/>
        <v/>
      </c>
      <c r="H529" s="605"/>
      <c r="I529" s="31"/>
      <c r="J529" s="606">
        <f t="shared" si="22"/>
        <v>0</v>
      </c>
      <c r="K529" s="549"/>
    </row>
    <row r="530" spans="1:11" x14ac:dyDescent="0.25">
      <c r="A530" s="540"/>
      <c r="B530" s="540"/>
      <c r="C530" s="540"/>
      <c r="D530" s="540"/>
      <c r="E530" s="553"/>
      <c r="F530" s="540"/>
      <c r="G530" s="565" t="str">
        <f t="shared" si="21"/>
        <v/>
      </c>
      <c r="H530" s="605"/>
      <c r="I530" s="31"/>
      <c r="J530" s="606">
        <f t="shared" si="22"/>
        <v>0</v>
      </c>
      <c r="K530" s="549"/>
    </row>
    <row r="531" spans="1:11" x14ac:dyDescent="0.25">
      <c r="A531" s="540"/>
      <c r="B531" s="540"/>
      <c r="C531" s="540"/>
      <c r="D531" s="540"/>
      <c r="E531" s="553"/>
      <c r="F531" s="540"/>
      <c r="G531" s="565" t="str">
        <f t="shared" si="21"/>
        <v/>
      </c>
      <c r="H531" s="605"/>
      <c r="I531" s="31"/>
      <c r="J531" s="606">
        <f t="shared" si="22"/>
        <v>0</v>
      </c>
      <c r="K531" s="549"/>
    </row>
    <row r="532" spans="1:11" x14ac:dyDescent="0.25">
      <c r="A532" s="540"/>
      <c r="B532" s="540"/>
      <c r="C532" s="540"/>
      <c r="D532" s="540"/>
      <c r="E532" s="553"/>
      <c r="F532" s="540"/>
      <c r="G532" s="565" t="str">
        <f t="shared" si="21"/>
        <v/>
      </c>
      <c r="H532" s="605"/>
      <c r="I532" s="31"/>
      <c r="J532" s="606">
        <f t="shared" si="22"/>
        <v>0</v>
      </c>
      <c r="K532" s="549"/>
    </row>
    <row r="533" spans="1:11" x14ac:dyDescent="0.25">
      <c r="A533" s="540"/>
      <c r="B533" s="540"/>
      <c r="C533" s="540"/>
      <c r="D533" s="540"/>
      <c r="E533" s="553"/>
      <c r="F533" s="540"/>
      <c r="G533" s="565" t="str">
        <f t="shared" si="21"/>
        <v/>
      </c>
      <c r="H533" s="605"/>
      <c r="I533" s="31"/>
      <c r="J533" s="606">
        <f t="shared" si="22"/>
        <v>0</v>
      </c>
      <c r="K533" s="549"/>
    </row>
    <row r="534" spans="1:11" x14ac:dyDescent="0.25">
      <c r="A534" s="540"/>
      <c r="B534" s="540"/>
      <c r="C534" s="540"/>
      <c r="D534" s="540"/>
      <c r="E534" s="553"/>
      <c r="F534" s="540"/>
      <c r="G534" s="565" t="str">
        <f t="shared" si="21"/>
        <v/>
      </c>
      <c r="H534" s="605"/>
      <c r="I534" s="31"/>
      <c r="J534" s="606">
        <f t="shared" si="22"/>
        <v>0</v>
      </c>
      <c r="K534" s="549"/>
    </row>
    <row r="535" spans="1:11" x14ac:dyDescent="0.25">
      <c r="A535" s="540"/>
      <c r="B535" s="540"/>
      <c r="C535" s="540"/>
      <c r="D535" s="540"/>
      <c r="E535" s="553"/>
      <c r="F535" s="540"/>
      <c r="G535" s="565" t="str">
        <f t="shared" si="21"/>
        <v/>
      </c>
      <c r="H535" s="605"/>
      <c r="I535" s="31"/>
      <c r="J535" s="606">
        <f t="shared" si="22"/>
        <v>0</v>
      </c>
      <c r="K535" s="549"/>
    </row>
    <row r="536" spans="1:11" x14ac:dyDescent="0.25">
      <c r="A536" s="540"/>
      <c r="B536" s="540"/>
      <c r="C536" s="540"/>
      <c r="D536" s="540"/>
      <c r="E536" s="553"/>
      <c r="F536" s="540"/>
      <c r="G536" s="565" t="str">
        <f t="shared" si="21"/>
        <v/>
      </c>
      <c r="H536" s="605"/>
      <c r="I536" s="31"/>
      <c r="J536" s="606">
        <f t="shared" si="22"/>
        <v>0</v>
      </c>
      <c r="K536" s="549"/>
    </row>
    <row r="537" spans="1:11" x14ac:dyDescent="0.25">
      <c r="A537" s="540"/>
      <c r="B537" s="540"/>
      <c r="C537" s="540"/>
      <c r="D537" s="540"/>
      <c r="E537" s="553"/>
      <c r="F537" s="540"/>
      <c r="G537" s="565" t="str">
        <f t="shared" si="21"/>
        <v/>
      </c>
      <c r="H537" s="605"/>
      <c r="I537" s="31"/>
      <c r="J537" s="606">
        <f t="shared" si="22"/>
        <v>0</v>
      </c>
      <c r="K537" s="549"/>
    </row>
    <row r="538" spans="1:11" x14ac:dyDescent="0.25">
      <c r="A538" s="540"/>
      <c r="B538" s="540"/>
      <c r="C538" s="540"/>
      <c r="D538" s="540"/>
      <c r="E538" s="553"/>
      <c r="F538" s="540"/>
      <c r="G538" s="565" t="str">
        <f t="shared" si="21"/>
        <v/>
      </c>
      <c r="H538" s="605"/>
      <c r="I538" s="31"/>
      <c r="J538" s="606">
        <f t="shared" si="22"/>
        <v>0</v>
      </c>
      <c r="K538" s="549"/>
    </row>
    <row r="539" spans="1:11" x14ac:dyDescent="0.25">
      <c r="A539" s="540"/>
      <c r="B539" s="540"/>
      <c r="C539" s="540"/>
      <c r="D539" s="540"/>
      <c r="E539" s="553"/>
      <c r="F539" s="540"/>
      <c r="G539" s="565" t="str">
        <f t="shared" si="21"/>
        <v/>
      </c>
      <c r="H539" s="605"/>
      <c r="I539" s="31"/>
      <c r="J539" s="606">
        <f t="shared" si="22"/>
        <v>0</v>
      </c>
      <c r="K539" s="549"/>
    </row>
    <row r="540" spans="1:11" x14ac:dyDescent="0.25">
      <c r="A540" s="540"/>
      <c r="B540" s="540"/>
      <c r="C540" s="540"/>
      <c r="D540" s="540"/>
      <c r="E540" s="553"/>
      <c r="F540" s="540"/>
      <c r="G540" s="565" t="str">
        <f t="shared" si="21"/>
        <v/>
      </c>
      <c r="H540" s="605"/>
      <c r="I540" s="31"/>
      <c r="J540" s="606">
        <f t="shared" si="22"/>
        <v>0</v>
      </c>
      <c r="K540" s="549"/>
    </row>
    <row r="541" spans="1:11" x14ac:dyDescent="0.25">
      <c r="A541" s="540"/>
      <c r="B541" s="540"/>
      <c r="C541" s="540"/>
      <c r="D541" s="540"/>
      <c r="E541" s="553"/>
      <c r="F541" s="540"/>
      <c r="G541" s="565" t="str">
        <f t="shared" si="21"/>
        <v/>
      </c>
      <c r="H541" s="605"/>
      <c r="I541" s="31"/>
      <c r="J541" s="606">
        <f t="shared" si="22"/>
        <v>0</v>
      </c>
      <c r="K541" s="549"/>
    </row>
    <row r="542" spans="1:11" x14ac:dyDescent="0.25">
      <c r="A542" s="540"/>
      <c r="B542" s="540"/>
      <c r="C542" s="540"/>
      <c r="D542" s="540"/>
      <c r="E542" s="553"/>
      <c r="F542" s="540"/>
      <c r="G542" s="565" t="str">
        <f t="shared" si="21"/>
        <v/>
      </c>
      <c r="H542" s="605"/>
      <c r="I542" s="31"/>
      <c r="J542" s="606">
        <f t="shared" si="22"/>
        <v>0</v>
      </c>
      <c r="K542" s="549"/>
    </row>
    <row r="543" spans="1:11" x14ac:dyDescent="0.25">
      <c r="A543" s="540"/>
      <c r="B543" s="540"/>
      <c r="C543" s="540"/>
      <c r="D543" s="540"/>
      <c r="E543" s="553"/>
      <c r="F543" s="540"/>
      <c r="G543" s="565" t="str">
        <f t="shared" si="21"/>
        <v/>
      </c>
      <c r="H543" s="605"/>
      <c r="I543" s="31"/>
      <c r="J543" s="606">
        <f t="shared" si="22"/>
        <v>0</v>
      </c>
      <c r="K543" s="549"/>
    </row>
    <row r="544" spans="1:11" x14ac:dyDescent="0.25">
      <c r="A544" s="540"/>
      <c r="B544" s="540"/>
      <c r="C544" s="540"/>
      <c r="D544" s="540"/>
      <c r="E544" s="553"/>
      <c r="F544" s="540"/>
      <c r="G544" s="565" t="str">
        <f t="shared" si="21"/>
        <v/>
      </c>
      <c r="H544" s="605"/>
      <c r="I544" s="31"/>
      <c r="J544" s="606">
        <f t="shared" si="22"/>
        <v>0</v>
      </c>
      <c r="K544" s="549"/>
    </row>
    <row r="545" spans="1:11" x14ac:dyDescent="0.25">
      <c r="A545" s="540"/>
      <c r="B545" s="540"/>
      <c r="C545" s="540"/>
      <c r="D545" s="540"/>
      <c r="E545" s="553"/>
      <c r="F545" s="540"/>
      <c r="G545" s="565" t="str">
        <f t="shared" si="21"/>
        <v/>
      </c>
      <c r="H545" s="605"/>
      <c r="I545" s="31"/>
      <c r="J545" s="606">
        <f t="shared" si="22"/>
        <v>0</v>
      </c>
      <c r="K545" s="549"/>
    </row>
    <row r="546" spans="1:11" x14ac:dyDescent="0.25">
      <c r="A546" s="540"/>
      <c r="B546" s="540"/>
      <c r="C546" s="540"/>
      <c r="D546" s="540"/>
      <c r="E546" s="553"/>
      <c r="F546" s="540"/>
      <c r="G546" s="565" t="str">
        <f t="shared" si="21"/>
        <v/>
      </c>
      <c r="H546" s="605"/>
      <c r="I546" s="31"/>
      <c r="J546" s="606">
        <f t="shared" si="22"/>
        <v>0</v>
      </c>
      <c r="K546" s="549"/>
    </row>
    <row r="547" spans="1:11" x14ac:dyDescent="0.25">
      <c r="A547" s="540"/>
      <c r="B547" s="540"/>
      <c r="C547" s="540"/>
      <c r="D547" s="540"/>
      <c r="E547" s="553"/>
      <c r="F547" s="540"/>
      <c r="G547" s="565" t="str">
        <f t="shared" si="21"/>
        <v/>
      </c>
      <c r="H547" s="605"/>
      <c r="I547" s="31"/>
      <c r="J547" s="606">
        <f t="shared" si="22"/>
        <v>0</v>
      </c>
      <c r="K547" s="549"/>
    </row>
    <row r="548" spans="1:11" x14ac:dyDescent="0.25">
      <c r="A548" s="540"/>
      <c r="B548" s="540"/>
      <c r="C548" s="540"/>
      <c r="D548" s="540"/>
      <c r="E548" s="553"/>
      <c r="F548" s="540"/>
      <c r="G548" s="565" t="str">
        <f t="shared" si="21"/>
        <v/>
      </c>
      <c r="H548" s="605"/>
      <c r="I548" s="31"/>
      <c r="J548" s="606">
        <f t="shared" si="22"/>
        <v>0</v>
      </c>
      <c r="K548" s="549"/>
    </row>
    <row r="549" spans="1:11" x14ac:dyDescent="0.25">
      <c r="A549" s="540"/>
      <c r="B549" s="540"/>
      <c r="C549" s="540"/>
      <c r="D549" s="540"/>
      <c r="E549" s="553"/>
      <c r="F549" s="540"/>
      <c r="G549" s="565" t="str">
        <f t="shared" si="21"/>
        <v/>
      </c>
      <c r="H549" s="605"/>
      <c r="I549" s="31"/>
      <c r="J549" s="606">
        <f t="shared" si="22"/>
        <v>0</v>
      </c>
      <c r="K549" s="549"/>
    </row>
    <row r="550" spans="1:11" x14ac:dyDescent="0.25">
      <c r="A550" s="540"/>
      <c r="B550" s="540"/>
      <c r="C550" s="540"/>
      <c r="D550" s="540"/>
      <c r="E550" s="553"/>
      <c r="F550" s="540"/>
      <c r="G550" s="565" t="str">
        <f t="shared" si="21"/>
        <v/>
      </c>
      <c r="H550" s="605"/>
      <c r="I550" s="31"/>
      <c r="J550" s="606">
        <f t="shared" si="22"/>
        <v>0</v>
      </c>
      <c r="K550" s="549"/>
    </row>
    <row r="551" spans="1:11" x14ac:dyDescent="0.25">
      <c r="A551" s="540"/>
      <c r="B551" s="540"/>
      <c r="C551" s="540"/>
      <c r="D551" s="540"/>
      <c r="E551" s="553"/>
      <c r="F551" s="540"/>
      <c r="G551" s="565" t="str">
        <f t="shared" si="21"/>
        <v/>
      </c>
      <c r="H551" s="605"/>
      <c r="I551" s="31"/>
      <c r="J551" s="606">
        <f t="shared" si="22"/>
        <v>0</v>
      </c>
      <c r="K551" s="549"/>
    </row>
    <row r="552" spans="1:11" x14ac:dyDescent="0.25">
      <c r="A552" s="540"/>
      <c r="B552" s="540"/>
      <c r="C552" s="540"/>
      <c r="D552" s="540"/>
      <c r="E552" s="553"/>
      <c r="F552" s="540"/>
      <c r="G552" s="565" t="str">
        <f t="shared" si="21"/>
        <v/>
      </c>
      <c r="H552" s="605"/>
      <c r="I552" s="31"/>
      <c r="J552" s="606">
        <f t="shared" si="22"/>
        <v>0</v>
      </c>
      <c r="K552" s="549"/>
    </row>
    <row r="553" spans="1:11" x14ac:dyDescent="0.25">
      <c r="A553" s="540"/>
      <c r="B553" s="540"/>
      <c r="C553" s="540"/>
      <c r="D553" s="540"/>
      <c r="E553" s="553"/>
      <c r="F553" s="540"/>
      <c r="G553" s="565" t="str">
        <f t="shared" si="21"/>
        <v/>
      </c>
      <c r="H553" s="605"/>
      <c r="I553" s="31"/>
      <c r="J553" s="606">
        <f t="shared" si="22"/>
        <v>0</v>
      </c>
      <c r="K553" s="549"/>
    </row>
    <row r="554" spans="1:11" x14ac:dyDescent="0.25">
      <c r="A554" s="540"/>
      <c r="B554" s="540"/>
      <c r="C554" s="540"/>
      <c r="D554" s="540"/>
      <c r="E554" s="553"/>
      <c r="F554" s="540"/>
      <c r="G554" s="565" t="str">
        <f t="shared" si="21"/>
        <v/>
      </c>
      <c r="H554" s="605"/>
      <c r="I554" s="31"/>
      <c r="J554" s="606">
        <f t="shared" si="22"/>
        <v>0</v>
      </c>
      <c r="K554" s="549"/>
    </row>
    <row r="555" spans="1:11" x14ac:dyDescent="0.25">
      <c r="A555" s="540"/>
      <c r="B555" s="540"/>
      <c r="C555" s="540"/>
      <c r="D555" s="540"/>
      <c r="E555" s="553"/>
      <c r="F555" s="540"/>
      <c r="G555" s="565" t="str">
        <f t="shared" si="21"/>
        <v/>
      </c>
      <c r="H555" s="605"/>
      <c r="I555" s="31"/>
      <c r="J555" s="606">
        <f t="shared" si="22"/>
        <v>0</v>
      </c>
      <c r="K555" s="549"/>
    </row>
    <row r="556" spans="1:11" x14ac:dyDescent="0.25">
      <c r="A556" s="540"/>
      <c r="B556" s="540"/>
      <c r="C556" s="540"/>
      <c r="D556" s="540"/>
      <c r="E556" s="553"/>
      <c r="F556" s="540"/>
      <c r="G556" s="565" t="str">
        <f t="shared" si="21"/>
        <v/>
      </c>
      <c r="H556" s="605"/>
      <c r="I556" s="31"/>
      <c r="J556" s="606">
        <f t="shared" si="22"/>
        <v>0</v>
      </c>
      <c r="K556" s="549"/>
    </row>
    <row r="557" spans="1:11" x14ac:dyDescent="0.25">
      <c r="A557" s="540"/>
      <c r="B557" s="540"/>
      <c r="C557" s="540"/>
      <c r="D557" s="540"/>
      <c r="E557" s="553"/>
      <c r="F557" s="540"/>
      <c r="G557" s="565" t="str">
        <f t="shared" si="21"/>
        <v/>
      </c>
      <c r="H557" s="605"/>
      <c r="I557" s="31"/>
      <c r="J557" s="606">
        <f t="shared" si="22"/>
        <v>0</v>
      </c>
      <c r="K557" s="549"/>
    </row>
    <row r="558" spans="1:11" x14ac:dyDescent="0.25">
      <c r="A558" s="540"/>
      <c r="B558" s="540"/>
      <c r="C558" s="540"/>
      <c r="D558" s="540"/>
      <c r="E558" s="553"/>
      <c r="F558" s="540"/>
      <c r="G558" s="565" t="str">
        <f t="shared" si="21"/>
        <v/>
      </c>
      <c r="H558" s="605"/>
      <c r="I558" s="31"/>
      <c r="J558" s="606">
        <f t="shared" si="22"/>
        <v>0</v>
      </c>
      <c r="K558" s="549"/>
    </row>
    <row r="559" spans="1:11" x14ac:dyDescent="0.25">
      <c r="A559" s="540"/>
      <c r="B559" s="540"/>
      <c r="C559" s="540"/>
      <c r="D559" s="540"/>
      <c r="E559" s="553"/>
      <c r="F559" s="540"/>
      <c r="G559" s="565" t="str">
        <f t="shared" si="21"/>
        <v/>
      </c>
      <c r="H559" s="605"/>
      <c r="I559" s="31"/>
      <c r="J559" s="606">
        <f t="shared" si="22"/>
        <v>0</v>
      </c>
      <c r="K559" s="549"/>
    </row>
    <row r="560" spans="1:11" x14ac:dyDescent="0.25">
      <c r="A560" s="540"/>
      <c r="B560" s="540"/>
      <c r="C560" s="540"/>
      <c r="D560" s="540"/>
      <c r="E560" s="553"/>
      <c r="F560" s="540"/>
      <c r="G560" s="565" t="str">
        <f t="shared" si="21"/>
        <v/>
      </c>
      <c r="H560" s="605"/>
      <c r="I560" s="31"/>
      <c r="J560" s="606">
        <f t="shared" si="22"/>
        <v>0</v>
      </c>
      <c r="K560" s="549"/>
    </row>
    <row r="561" spans="1:11" x14ac:dyDescent="0.25">
      <c r="A561" s="540"/>
      <c r="B561" s="540"/>
      <c r="C561" s="540"/>
      <c r="D561" s="540"/>
      <c r="E561" s="553"/>
      <c r="F561" s="540"/>
      <c r="G561" s="565" t="str">
        <f t="shared" si="21"/>
        <v/>
      </c>
      <c r="H561" s="605"/>
      <c r="I561" s="31"/>
      <c r="J561" s="606">
        <f t="shared" si="22"/>
        <v>0</v>
      </c>
      <c r="K561" s="549"/>
    </row>
    <row r="562" spans="1:11" x14ac:dyDescent="0.25">
      <c r="A562" s="540"/>
      <c r="B562" s="540"/>
      <c r="C562" s="540"/>
      <c r="D562" s="540"/>
      <c r="E562" s="553"/>
      <c r="F562" s="540"/>
      <c r="G562" s="565" t="str">
        <f t="shared" si="21"/>
        <v/>
      </c>
      <c r="H562" s="605"/>
      <c r="I562" s="31"/>
      <c r="J562" s="606">
        <f t="shared" si="22"/>
        <v>0</v>
      </c>
      <c r="K562" s="549"/>
    </row>
    <row r="563" spans="1:11" x14ac:dyDescent="0.25">
      <c r="A563" s="540"/>
      <c r="B563" s="540"/>
      <c r="C563" s="540"/>
      <c r="D563" s="540"/>
      <c r="E563" s="553"/>
      <c r="F563" s="540"/>
      <c r="G563" s="565" t="str">
        <f t="shared" si="21"/>
        <v/>
      </c>
      <c r="H563" s="605"/>
      <c r="I563" s="31"/>
      <c r="J563" s="606">
        <f t="shared" si="22"/>
        <v>0</v>
      </c>
      <c r="K563" s="549"/>
    </row>
    <row r="564" spans="1:11" x14ac:dyDescent="0.25">
      <c r="A564" s="540"/>
      <c r="B564" s="540"/>
      <c r="C564" s="540"/>
      <c r="D564" s="540"/>
      <c r="E564" s="553"/>
      <c r="F564" s="540"/>
      <c r="G564" s="565" t="str">
        <f t="shared" si="21"/>
        <v/>
      </c>
      <c r="H564" s="605"/>
      <c r="I564" s="31"/>
      <c r="J564" s="606">
        <f t="shared" si="22"/>
        <v>0</v>
      </c>
      <c r="K564" s="549"/>
    </row>
    <row r="565" spans="1:11" x14ac:dyDescent="0.25">
      <c r="A565" s="540"/>
      <c r="B565" s="540"/>
      <c r="C565" s="540"/>
      <c r="D565" s="540"/>
      <c r="E565" s="553"/>
      <c r="F565" s="540"/>
      <c r="G565" s="565" t="str">
        <f t="shared" si="21"/>
        <v/>
      </c>
      <c r="H565" s="605"/>
      <c r="I565" s="31"/>
      <c r="J565" s="606">
        <f t="shared" si="22"/>
        <v>0</v>
      </c>
      <c r="K565" s="549"/>
    </row>
    <row r="566" spans="1:11" x14ac:dyDescent="0.25">
      <c r="A566" s="540"/>
      <c r="B566" s="540"/>
      <c r="C566" s="540"/>
      <c r="D566" s="540"/>
      <c r="E566" s="553"/>
      <c r="F566" s="540"/>
      <c r="G566" s="565" t="str">
        <f t="shared" si="21"/>
        <v/>
      </c>
      <c r="H566" s="605"/>
      <c r="I566" s="31"/>
      <c r="J566" s="606">
        <f t="shared" si="22"/>
        <v>0</v>
      </c>
      <c r="K566" s="549"/>
    </row>
    <row r="567" spans="1:11" x14ac:dyDescent="0.25">
      <c r="A567" s="540"/>
      <c r="B567" s="540"/>
      <c r="C567" s="540"/>
      <c r="D567" s="540"/>
      <c r="E567" s="553"/>
      <c r="F567" s="540"/>
      <c r="G567" s="565" t="str">
        <f t="shared" si="21"/>
        <v/>
      </c>
      <c r="H567" s="605"/>
      <c r="I567" s="31"/>
      <c r="J567" s="606">
        <f t="shared" si="22"/>
        <v>0</v>
      </c>
      <c r="K567" s="549"/>
    </row>
    <row r="568" spans="1:11" x14ac:dyDescent="0.25">
      <c r="A568" s="540"/>
      <c r="B568" s="540"/>
      <c r="C568" s="540"/>
      <c r="D568" s="540"/>
      <c r="E568" s="553"/>
      <c r="F568" s="540"/>
      <c r="G568" s="565" t="str">
        <f t="shared" si="21"/>
        <v/>
      </c>
      <c r="H568" s="605"/>
      <c r="I568" s="31"/>
      <c r="J568" s="606">
        <f t="shared" si="22"/>
        <v>0</v>
      </c>
      <c r="K568" s="549"/>
    </row>
    <row r="569" spans="1:11" x14ac:dyDescent="0.25">
      <c r="A569" s="540"/>
      <c r="B569" s="540"/>
      <c r="C569" s="540"/>
      <c r="D569" s="540"/>
      <c r="E569" s="553"/>
      <c r="F569" s="540"/>
      <c r="G569" s="565" t="str">
        <f t="shared" si="21"/>
        <v/>
      </c>
      <c r="H569" s="605"/>
      <c r="I569" s="31"/>
      <c r="J569" s="606">
        <f t="shared" si="22"/>
        <v>0</v>
      </c>
      <c r="K569" s="549"/>
    </row>
    <row r="570" spans="1:11" x14ac:dyDescent="0.25">
      <c r="A570" s="540"/>
      <c r="B570" s="540"/>
      <c r="C570" s="540"/>
      <c r="D570" s="540"/>
      <c r="E570" s="553"/>
      <c r="F570" s="540"/>
      <c r="G570" s="565" t="str">
        <f t="shared" si="21"/>
        <v/>
      </c>
      <c r="H570" s="605"/>
      <c r="I570" s="31"/>
      <c r="J570" s="606">
        <f t="shared" si="22"/>
        <v>0</v>
      </c>
      <c r="K570" s="549"/>
    </row>
    <row r="571" spans="1:11" x14ac:dyDescent="0.25">
      <c r="A571" s="540"/>
      <c r="B571" s="540"/>
      <c r="C571" s="540"/>
      <c r="D571" s="540"/>
      <c r="E571" s="553"/>
      <c r="F571" s="540"/>
      <c r="G571" s="565" t="str">
        <f t="shared" si="21"/>
        <v/>
      </c>
      <c r="H571" s="605"/>
      <c r="I571" s="31"/>
      <c r="J571" s="606">
        <f t="shared" si="22"/>
        <v>0</v>
      </c>
      <c r="K571" s="549"/>
    </row>
    <row r="572" spans="1:11" x14ac:dyDescent="0.25">
      <c r="A572" s="540"/>
      <c r="B572" s="540"/>
      <c r="C572" s="540"/>
      <c r="D572" s="540"/>
      <c r="E572" s="553"/>
      <c r="F572" s="540"/>
      <c r="G572" s="565" t="str">
        <f t="shared" si="21"/>
        <v/>
      </c>
      <c r="H572" s="605"/>
      <c r="I572" s="31"/>
      <c r="J572" s="606">
        <f t="shared" si="22"/>
        <v>0</v>
      </c>
      <c r="K572" s="549"/>
    </row>
    <row r="573" spans="1:11" x14ac:dyDescent="0.25">
      <c r="A573" s="540"/>
      <c r="B573" s="540"/>
      <c r="C573" s="540"/>
      <c r="D573" s="540"/>
      <c r="E573" s="553"/>
      <c r="F573" s="540"/>
      <c r="G573" s="565" t="str">
        <f t="shared" si="21"/>
        <v/>
      </c>
      <c r="H573" s="605"/>
      <c r="I573" s="31"/>
      <c r="J573" s="606">
        <f t="shared" si="22"/>
        <v>0</v>
      </c>
      <c r="K573" s="549"/>
    </row>
    <row r="574" spans="1:11" x14ac:dyDescent="0.25">
      <c r="A574" s="540"/>
      <c r="B574" s="540"/>
      <c r="C574" s="540"/>
      <c r="D574" s="540"/>
      <c r="E574" s="553"/>
      <c r="F574" s="540"/>
      <c r="G574" s="565" t="str">
        <f t="shared" si="21"/>
        <v/>
      </c>
      <c r="H574" s="605"/>
      <c r="I574" s="31"/>
      <c r="J574" s="606">
        <f t="shared" si="22"/>
        <v>0</v>
      </c>
      <c r="K574" s="549"/>
    </row>
    <row r="575" spans="1:11" x14ac:dyDescent="0.25">
      <c r="A575" s="540"/>
      <c r="B575" s="540"/>
      <c r="C575" s="540"/>
      <c r="D575" s="540"/>
      <c r="E575" s="553"/>
      <c r="F575" s="540"/>
      <c r="G575" s="565" t="str">
        <f t="shared" si="21"/>
        <v/>
      </c>
      <c r="H575" s="605"/>
      <c r="I575" s="31"/>
      <c r="J575" s="606">
        <f t="shared" si="22"/>
        <v>0</v>
      </c>
      <c r="K575" s="549"/>
    </row>
    <row r="576" spans="1:11" x14ac:dyDescent="0.25">
      <c r="A576" s="540"/>
      <c r="B576" s="540"/>
      <c r="C576" s="540"/>
      <c r="D576" s="540"/>
      <c r="E576" s="553"/>
      <c r="F576" s="540"/>
      <c r="G576" s="565" t="str">
        <f t="shared" si="21"/>
        <v/>
      </c>
      <c r="H576" s="605"/>
      <c r="I576" s="31"/>
      <c r="J576" s="606">
        <f t="shared" si="22"/>
        <v>0</v>
      </c>
      <c r="K576" s="549"/>
    </row>
    <row r="577" spans="1:11" x14ac:dyDescent="0.25">
      <c r="A577" s="540"/>
      <c r="B577" s="540"/>
      <c r="C577" s="540"/>
      <c r="D577" s="540"/>
      <c r="E577" s="553"/>
      <c r="F577" s="540"/>
      <c r="G577" s="565" t="str">
        <f t="shared" si="21"/>
        <v/>
      </c>
      <c r="H577" s="605"/>
      <c r="I577" s="31"/>
      <c r="J577" s="606">
        <f t="shared" si="22"/>
        <v>0</v>
      </c>
      <c r="K577" s="549"/>
    </row>
    <row r="578" spans="1:11" x14ac:dyDescent="0.25">
      <c r="A578" s="540"/>
      <c r="B578" s="540"/>
      <c r="C578" s="540"/>
      <c r="D578" s="540"/>
      <c r="E578" s="553"/>
      <c r="F578" s="540"/>
      <c r="G578" s="565" t="str">
        <f t="shared" si="21"/>
        <v/>
      </c>
      <c r="H578" s="605"/>
      <c r="I578" s="31"/>
      <c r="J578" s="606">
        <f t="shared" si="22"/>
        <v>0</v>
      </c>
      <c r="K578" s="549"/>
    </row>
    <row r="579" spans="1:11" x14ac:dyDescent="0.25">
      <c r="A579" s="540"/>
      <c r="B579" s="540"/>
      <c r="C579" s="540"/>
      <c r="D579" s="540"/>
      <c r="E579" s="553"/>
      <c r="F579" s="540"/>
      <c r="G579" s="565" t="str">
        <f t="shared" si="21"/>
        <v/>
      </c>
      <c r="H579" s="605"/>
      <c r="I579" s="31"/>
      <c r="J579" s="606">
        <f t="shared" si="22"/>
        <v>0</v>
      </c>
      <c r="K579" s="549"/>
    </row>
    <row r="580" spans="1:11" x14ac:dyDescent="0.25">
      <c r="A580" s="540"/>
      <c r="B580" s="540"/>
      <c r="C580" s="540"/>
      <c r="D580" s="540"/>
      <c r="E580" s="553"/>
      <c r="F580" s="540"/>
      <c r="G580" s="565" t="str">
        <f t="shared" si="21"/>
        <v/>
      </c>
      <c r="H580" s="605"/>
      <c r="I580" s="31"/>
      <c r="J580" s="606">
        <f t="shared" si="22"/>
        <v>0</v>
      </c>
      <c r="K580" s="549"/>
    </row>
    <row r="581" spans="1:11" x14ac:dyDescent="0.25">
      <c r="A581" s="540"/>
      <c r="B581" s="540"/>
      <c r="C581" s="540"/>
      <c r="D581" s="540"/>
      <c r="E581" s="553"/>
      <c r="F581" s="540"/>
      <c r="G581" s="565" t="str">
        <f t="shared" si="21"/>
        <v/>
      </c>
      <c r="H581" s="605"/>
      <c r="I581" s="31"/>
      <c r="J581" s="606">
        <f t="shared" si="22"/>
        <v>0</v>
      </c>
      <c r="K581" s="549"/>
    </row>
    <row r="582" spans="1:11" x14ac:dyDescent="0.25">
      <c r="A582" s="540"/>
      <c r="B582" s="540"/>
      <c r="C582" s="540"/>
      <c r="D582" s="540"/>
      <c r="E582" s="553"/>
      <c r="F582" s="540"/>
      <c r="G582" s="565" t="str">
        <f t="shared" si="21"/>
        <v/>
      </c>
      <c r="H582" s="605"/>
      <c r="I582" s="31"/>
      <c r="J582" s="606">
        <f t="shared" si="22"/>
        <v>0</v>
      </c>
      <c r="K582" s="549"/>
    </row>
    <row r="583" spans="1:11" x14ac:dyDescent="0.25">
      <c r="A583" s="540"/>
      <c r="B583" s="540"/>
      <c r="C583" s="540"/>
      <c r="D583" s="540"/>
      <c r="E583" s="553"/>
      <c r="F583" s="540"/>
      <c r="G583" s="565" t="str">
        <f t="shared" si="21"/>
        <v/>
      </c>
      <c r="H583" s="605"/>
      <c r="I583" s="31"/>
      <c r="J583" s="606">
        <f t="shared" si="22"/>
        <v>0</v>
      </c>
      <c r="K583" s="549"/>
    </row>
    <row r="584" spans="1:11" x14ac:dyDescent="0.25">
      <c r="A584" s="540"/>
      <c r="B584" s="540"/>
      <c r="C584" s="540"/>
      <c r="D584" s="540"/>
      <c r="E584" s="553"/>
      <c r="F584" s="540"/>
      <c r="G584" s="565" t="str">
        <f t="shared" si="21"/>
        <v/>
      </c>
      <c r="H584" s="605"/>
      <c r="I584" s="31"/>
      <c r="J584" s="606">
        <f t="shared" si="22"/>
        <v>0</v>
      </c>
      <c r="K584" s="549"/>
    </row>
    <row r="585" spans="1:11" x14ac:dyDescent="0.25">
      <c r="A585" s="540"/>
      <c r="B585" s="540"/>
      <c r="C585" s="540"/>
      <c r="D585" s="540"/>
      <c r="E585" s="553"/>
      <c r="F585" s="540"/>
      <c r="G585" s="565" t="str">
        <f t="shared" si="21"/>
        <v/>
      </c>
      <c r="H585" s="605"/>
      <c r="I585" s="31"/>
      <c r="J585" s="606">
        <f t="shared" si="22"/>
        <v>0</v>
      </c>
      <c r="K585" s="549"/>
    </row>
    <row r="586" spans="1:11" x14ac:dyDescent="0.25">
      <c r="A586" s="540"/>
      <c r="B586" s="540"/>
      <c r="C586" s="540"/>
      <c r="D586" s="540"/>
      <c r="E586" s="553"/>
      <c r="F586" s="540"/>
      <c r="G586" s="565" t="str">
        <f t="shared" si="21"/>
        <v/>
      </c>
      <c r="H586" s="605"/>
      <c r="I586" s="31"/>
      <c r="J586" s="606">
        <f t="shared" si="22"/>
        <v>0</v>
      </c>
      <c r="K586" s="549"/>
    </row>
    <row r="587" spans="1:11" x14ac:dyDescent="0.25">
      <c r="A587" s="540"/>
      <c r="B587" s="540"/>
      <c r="C587" s="540"/>
      <c r="D587" s="540"/>
      <c r="E587" s="553"/>
      <c r="F587" s="540"/>
      <c r="G587" s="565" t="str">
        <f t="shared" ref="G587:G650" si="23">IF(E587="","",IF(E587+$M$2&lt;$L$2,"VENCIDA","VIGENTE"))</f>
        <v/>
      </c>
      <c r="H587" s="605"/>
      <c r="I587" s="31"/>
      <c r="J587" s="606">
        <f t="shared" ref="J587:J650" si="24">H587-I587</f>
        <v>0</v>
      </c>
      <c r="K587" s="549"/>
    </row>
    <row r="588" spans="1:11" x14ac:dyDescent="0.25">
      <c r="A588" s="540"/>
      <c r="B588" s="540"/>
      <c r="C588" s="540"/>
      <c r="D588" s="540"/>
      <c r="E588" s="553"/>
      <c r="F588" s="540"/>
      <c r="G588" s="565" t="str">
        <f t="shared" si="23"/>
        <v/>
      </c>
      <c r="H588" s="605"/>
      <c r="I588" s="31"/>
      <c r="J588" s="606">
        <f t="shared" si="24"/>
        <v>0</v>
      </c>
      <c r="K588" s="549"/>
    </row>
    <row r="589" spans="1:11" x14ac:dyDescent="0.25">
      <c r="A589" s="540"/>
      <c r="B589" s="540"/>
      <c r="C589" s="540"/>
      <c r="D589" s="540"/>
      <c r="E589" s="553"/>
      <c r="F589" s="540"/>
      <c r="G589" s="565" t="str">
        <f t="shared" si="23"/>
        <v/>
      </c>
      <c r="H589" s="605"/>
      <c r="I589" s="31"/>
      <c r="J589" s="606">
        <f t="shared" si="24"/>
        <v>0</v>
      </c>
      <c r="K589" s="549"/>
    </row>
    <row r="590" spans="1:11" x14ac:dyDescent="0.25">
      <c r="A590" s="540"/>
      <c r="B590" s="540"/>
      <c r="C590" s="540"/>
      <c r="D590" s="540"/>
      <c r="E590" s="553"/>
      <c r="F590" s="540"/>
      <c r="G590" s="565" t="str">
        <f t="shared" si="23"/>
        <v/>
      </c>
      <c r="H590" s="605"/>
      <c r="I590" s="31"/>
      <c r="J590" s="606">
        <f t="shared" si="24"/>
        <v>0</v>
      </c>
      <c r="K590" s="549"/>
    </row>
    <row r="591" spans="1:11" x14ac:dyDescent="0.25">
      <c r="A591" s="540"/>
      <c r="B591" s="540"/>
      <c r="C591" s="540"/>
      <c r="D591" s="540"/>
      <c r="E591" s="553"/>
      <c r="F591" s="540"/>
      <c r="G591" s="565" t="str">
        <f t="shared" si="23"/>
        <v/>
      </c>
      <c r="H591" s="605"/>
      <c r="I591" s="31"/>
      <c r="J591" s="606">
        <f t="shared" si="24"/>
        <v>0</v>
      </c>
      <c r="K591" s="549"/>
    </row>
    <row r="592" spans="1:11" x14ac:dyDescent="0.25">
      <c r="A592" s="540"/>
      <c r="B592" s="540"/>
      <c r="C592" s="540"/>
      <c r="D592" s="540"/>
      <c r="E592" s="553"/>
      <c r="F592" s="540"/>
      <c r="G592" s="565" t="str">
        <f t="shared" si="23"/>
        <v/>
      </c>
      <c r="H592" s="605"/>
      <c r="I592" s="31"/>
      <c r="J592" s="606">
        <f t="shared" si="24"/>
        <v>0</v>
      </c>
      <c r="K592" s="549"/>
    </row>
    <row r="593" spans="1:11" x14ac:dyDescent="0.25">
      <c r="A593" s="540"/>
      <c r="B593" s="540"/>
      <c r="C593" s="540"/>
      <c r="D593" s="540"/>
      <c r="E593" s="553"/>
      <c r="F593" s="540"/>
      <c r="G593" s="565" t="str">
        <f t="shared" si="23"/>
        <v/>
      </c>
      <c r="H593" s="605"/>
      <c r="I593" s="31"/>
      <c r="J593" s="606">
        <f t="shared" si="24"/>
        <v>0</v>
      </c>
      <c r="K593" s="549"/>
    </row>
    <row r="594" spans="1:11" x14ac:dyDescent="0.25">
      <c r="A594" s="540"/>
      <c r="B594" s="540"/>
      <c r="C594" s="540"/>
      <c r="D594" s="540"/>
      <c r="E594" s="553"/>
      <c r="F594" s="540"/>
      <c r="G594" s="565" t="str">
        <f t="shared" si="23"/>
        <v/>
      </c>
      <c r="H594" s="605"/>
      <c r="I594" s="31"/>
      <c r="J594" s="606">
        <f t="shared" si="24"/>
        <v>0</v>
      </c>
      <c r="K594" s="549"/>
    </row>
    <row r="595" spans="1:11" x14ac:dyDescent="0.25">
      <c r="A595" s="540"/>
      <c r="B595" s="540"/>
      <c r="C595" s="540"/>
      <c r="D595" s="540"/>
      <c r="E595" s="553"/>
      <c r="F595" s="540"/>
      <c r="G595" s="565" t="str">
        <f t="shared" si="23"/>
        <v/>
      </c>
      <c r="H595" s="605"/>
      <c r="I595" s="31"/>
      <c r="J595" s="606">
        <f t="shared" si="24"/>
        <v>0</v>
      </c>
      <c r="K595" s="549"/>
    </row>
    <row r="596" spans="1:11" x14ac:dyDescent="0.25">
      <c r="A596" s="540"/>
      <c r="B596" s="540"/>
      <c r="C596" s="540"/>
      <c r="D596" s="540"/>
      <c r="E596" s="553"/>
      <c r="F596" s="540"/>
      <c r="G596" s="565" t="str">
        <f t="shared" si="23"/>
        <v/>
      </c>
      <c r="H596" s="605"/>
      <c r="I596" s="31"/>
      <c r="J596" s="606">
        <f t="shared" si="24"/>
        <v>0</v>
      </c>
      <c r="K596" s="549"/>
    </row>
    <row r="597" spans="1:11" x14ac:dyDescent="0.25">
      <c r="A597" s="540"/>
      <c r="B597" s="540"/>
      <c r="C597" s="540"/>
      <c r="D597" s="540"/>
      <c r="E597" s="553"/>
      <c r="F597" s="540"/>
      <c r="G597" s="565" t="str">
        <f t="shared" si="23"/>
        <v/>
      </c>
      <c r="H597" s="605"/>
      <c r="I597" s="31"/>
      <c r="J597" s="606">
        <f t="shared" si="24"/>
        <v>0</v>
      </c>
      <c r="K597" s="549"/>
    </row>
    <row r="598" spans="1:11" x14ac:dyDescent="0.25">
      <c r="A598" s="540"/>
      <c r="B598" s="540"/>
      <c r="C598" s="540"/>
      <c r="D598" s="540"/>
      <c r="E598" s="553"/>
      <c r="F598" s="540"/>
      <c r="G598" s="565" t="str">
        <f t="shared" si="23"/>
        <v/>
      </c>
      <c r="H598" s="605"/>
      <c r="I598" s="31"/>
      <c r="J598" s="606">
        <f t="shared" si="24"/>
        <v>0</v>
      </c>
      <c r="K598" s="549"/>
    </row>
    <row r="599" spans="1:11" x14ac:dyDescent="0.25">
      <c r="A599" s="540"/>
      <c r="B599" s="540"/>
      <c r="C599" s="540"/>
      <c r="D599" s="540"/>
      <c r="E599" s="553"/>
      <c r="F599" s="540"/>
      <c r="G599" s="565" t="str">
        <f t="shared" si="23"/>
        <v/>
      </c>
      <c r="H599" s="605"/>
      <c r="I599" s="31"/>
      <c r="J599" s="606">
        <f t="shared" si="24"/>
        <v>0</v>
      </c>
      <c r="K599" s="549"/>
    </row>
    <row r="600" spans="1:11" x14ac:dyDescent="0.25">
      <c r="A600" s="540"/>
      <c r="B600" s="540"/>
      <c r="C600" s="540"/>
      <c r="D600" s="540"/>
      <c r="E600" s="553"/>
      <c r="F600" s="540"/>
      <c r="G600" s="565" t="str">
        <f t="shared" si="23"/>
        <v/>
      </c>
      <c r="H600" s="605"/>
      <c r="I600" s="31"/>
      <c r="J600" s="606">
        <f t="shared" si="24"/>
        <v>0</v>
      </c>
      <c r="K600" s="549"/>
    </row>
    <row r="601" spans="1:11" x14ac:dyDescent="0.25">
      <c r="A601" s="540"/>
      <c r="B601" s="540"/>
      <c r="C601" s="540"/>
      <c r="D601" s="540"/>
      <c r="E601" s="553"/>
      <c r="F601" s="540"/>
      <c r="G601" s="565" t="str">
        <f t="shared" si="23"/>
        <v/>
      </c>
      <c r="H601" s="605"/>
      <c r="I601" s="31"/>
      <c r="J601" s="606">
        <f t="shared" si="24"/>
        <v>0</v>
      </c>
      <c r="K601" s="549"/>
    </row>
    <row r="602" spans="1:11" x14ac:dyDescent="0.25">
      <c r="A602" s="540"/>
      <c r="B602" s="540"/>
      <c r="C602" s="540"/>
      <c r="D602" s="540"/>
      <c r="E602" s="553"/>
      <c r="F602" s="540"/>
      <c r="G602" s="565" t="str">
        <f t="shared" si="23"/>
        <v/>
      </c>
      <c r="H602" s="605"/>
      <c r="I602" s="31"/>
      <c r="J602" s="606">
        <f t="shared" si="24"/>
        <v>0</v>
      </c>
      <c r="K602" s="549"/>
    </row>
    <row r="603" spans="1:11" x14ac:dyDescent="0.25">
      <c r="A603" s="540"/>
      <c r="B603" s="540"/>
      <c r="C603" s="540"/>
      <c r="D603" s="540"/>
      <c r="E603" s="553"/>
      <c r="F603" s="540"/>
      <c r="G603" s="565" t="str">
        <f t="shared" si="23"/>
        <v/>
      </c>
      <c r="H603" s="605"/>
      <c r="I603" s="31"/>
      <c r="J603" s="606">
        <f t="shared" si="24"/>
        <v>0</v>
      </c>
      <c r="K603" s="549"/>
    </row>
    <row r="604" spans="1:11" x14ac:dyDescent="0.25">
      <c r="A604" s="540"/>
      <c r="B604" s="540"/>
      <c r="C604" s="540"/>
      <c r="D604" s="540"/>
      <c r="E604" s="553"/>
      <c r="F604" s="540"/>
      <c r="G604" s="565" t="str">
        <f t="shared" si="23"/>
        <v/>
      </c>
      <c r="H604" s="605"/>
      <c r="I604" s="31"/>
      <c r="J604" s="606">
        <f t="shared" si="24"/>
        <v>0</v>
      </c>
      <c r="K604" s="549"/>
    </row>
    <row r="605" spans="1:11" x14ac:dyDescent="0.25">
      <c r="A605" s="540"/>
      <c r="B605" s="540"/>
      <c r="C605" s="540"/>
      <c r="D605" s="540"/>
      <c r="E605" s="553"/>
      <c r="F605" s="540"/>
      <c r="G605" s="565" t="str">
        <f t="shared" si="23"/>
        <v/>
      </c>
      <c r="H605" s="605"/>
      <c r="I605" s="31"/>
      <c r="J605" s="606">
        <f t="shared" si="24"/>
        <v>0</v>
      </c>
      <c r="K605" s="549"/>
    </row>
    <row r="606" spans="1:11" x14ac:dyDescent="0.25">
      <c r="A606" s="540"/>
      <c r="B606" s="540"/>
      <c r="C606" s="540"/>
      <c r="D606" s="540"/>
      <c r="E606" s="553"/>
      <c r="F606" s="540"/>
      <c r="G606" s="565" t="str">
        <f t="shared" si="23"/>
        <v/>
      </c>
      <c r="H606" s="605"/>
      <c r="I606" s="31"/>
      <c r="J606" s="606">
        <f t="shared" si="24"/>
        <v>0</v>
      </c>
      <c r="K606" s="549"/>
    </row>
    <row r="607" spans="1:11" x14ac:dyDescent="0.25">
      <c r="A607" s="540"/>
      <c r="B607" s="540"/>
      <c r="C607" s="540"/>
      <c r="D607" s="540"/>
      <c r="E607" s="553"/>
      <c r="F607" s="540"/>
      <c r="G607" s="565" t="str">
        <f t="shared" si="23"/>
        <v/>
      </c>
      <c r="H607" s="605"/>
      <c r="I607" s="31"/>
      <c r="J607" s="606">
        <f t="shared" si="24"/>
        <v>0</v>
      </c>
      <c r="K607" s="549"/>
    </row>
    <row r="608" spans="1:11" x14ac:dyDescent="0.25">
      <c r="A608" s="540"/>
      <c r="B608" s="540"/>
      <c r="C608" s="540"/>
      <c r="D608" s="540"/>
      <c r="E608" s="553"/>
      <c r="F608" s="540"/>
      <c r="G608" s="565" t="str">
        <f t="shared" si="23"/>
        <v/>
      </c>
      <c r="H608" s="605"/>
      <c r="I608" s="31"/>
      <c r="J608" s="606">
        <f t="shared" si="24"/>
        <v>0</v>
      </c>
      <c r="K608" s="549"/>
    </row>
    <row r="609" spans="1:11" x14ac:dyDescent="0.25">
      <c r="A609" s="540"/>
      <c r="B609" s="540"/>
      <c r="C609" s="540"/>
      <c r="D609" s="540"/>
      <c r="E609" s="553"/>
      <c r="F609" s="540"/>
      <c r="G609" s="565" t="str">
        <f t="shared" si="23"/>
        <v/>
      </c>
      <c r="H609" s="605"/>
      <c r="I609" s="31"/>
      <c r="J609" s="606">
        <f t="shared" si="24"/>
        <v>0</v>
      </c>
      <c r="K609" s="549"/>
    </row>
    <row r="610" spans="1:11" x14ac:dyDescent="0.25">
      <c r="A610" s="540"/>
      <c r="B610" s="540"/>
      <c r="C610" s="540"/>
      <c r="D610" s="540"/>
      <c r="E610" s="553"/>
      <c r="F610" s="540"/>
      <c r="G610" s="565" t="str">
        <f t="shared" si="23"/>
        <v/>
      </c>
      <c r="H610" s="605"/>
      <c r="I610" s="31"/>
      <c r="J610" s="606">
        <f t="shared" si="24"/>
        <v>0</v>
      </c>
      <c r="K610" s="549"/>
    </row>
    <row r="611" spans="1:11" x14ac:dyDescent="0.25">
      <c r="A611" s="540"/>
      <c r="B611" s="540"/>
      <c r="C611" s="540"/>
      <c r="D611" s="540"/>
      <c r="E611" s="553"/>
      <c r="F611" s="540"/>
      <c r="G611" s="565" t="str">
        <f t="shared" si="23"/>
        <v/>
      </c>
      <c r="H611" s="605"/>
      <c r="I611" s="31"/>
      <c r="J611" s="606">
        <f t="shared" si="24"/>
        <v>0</v>
      </c>
      <c r="K611" s="549"/>
    </row>
    <row r="612" spans="1:11" x14ac:dyDescent="0.25">
      <c r="A612" s="540"/>
      <c r="B612" s="540"/>
      <c r="C612" s="540"/>
      <c r="D612" s="540"/>
      <c r="E612" s="553"/>
      <c r="F612" s="540"/>
      <c r="G612" s="565" t="str">
        <f t="shared" si="23"/>
        <v/>
      </c>
      <c r="H612" s="605"/>
      <c r="I612" s="31"/>
      <c r="J612" s="606">
        <f t="shared" si="24"/>
        <v>0</v>
      </c>
      <c r="K612" s="549"/>
    </row>
    <row r="613" spans="1:11" x14ac:dyDescent="0.25">
      <c r="A613" s="540"/>
      <c r="B613" s="540"/>
      <c r="C613" s="540"/>
      <c r="D613" s="540"/>
      <c r="E613" s="553"/>
      <c r="F613" s="540"/>
      <c r="G613" s="565" t="str">
        <f t="shared" si="23"/>
        <v/>
      </c>
      <c r="H613" s="605"/>
      <c r="I613" s="31"/>
      <c r="J613" s="606">
        <f t="shared" si="24"/>
        <v>0</v>
      </c>
      <c r="K613" s="549"/>
    </row>
    <row r="614" spans="1:11" x14ac:dyDescent="0.25">
      <c r="A614" s="540"/>
      <c r="B614" s="540"/>
      <c r="C614" s="540"/>
      <c r="D614" s="540"/>
      <c r="E614" s="553"/>
      <c r="F614" s="540"/>
      <c r="G614" s="565" t="str">
        <f t="shared" si="23"/>
        <v/>
      </c>
      <c r="H614" s="605"/>
      <c r="I614" s="31"/>
      <c r="J614" s="606">
        <f t="shared" si="24"/>
        <v>0</v>
      </c>
      <c r="K614" s="549"/>
    </row>
    <row r="615" spans="1:11" x14ac:dyDescent="0.25">
      <c r="A615" s="540"/>
      <c r="B615" s="540"/>
      <c r="C615" s="540"/>
      <c r="D615" s="540"/>
      <c r="E615" s="553"/>
      <c r="F615" s="540"/>
      <c r="G615" s="565" t="str">
        <f t="shared" si="23"/>
        <v/>
      </c>
      <c r="H615" s="605"/>
      <c r="I615" s="31"/>
      <c r="J615" s="606">
        <f t="shared" si="24"/>
        <v>0</v>
      </c>
      <c r="K615" s="549"/>
    </row>
    <row r="616" spans="1:11" x14ac:dyDescent="0.25">
      <c r="A616" s="540"/>
      <c r="B616" s="540"/>
      <c r="C616" s="540"/>
      <c r="D616" s="540"/>
      <c r="E616" s="553"/>
      <c r="F616" s="540"/>
      <c r="G616" s="565" t="str">
        <f t="shared" si="23"/>
        <v/>
      </c>
      <c r="H616" s="605"/>
      <c r="I616" s="31"/>
      <c r="J616" s="606">
        <f t="shared" si="24"/>
        <v>0</v>
      </c>
      <c r="K616" s="549"/>
    </row>
    <row r="617" spans="1:11" x14ac:dyDescent="0.25">
      <c r="A617" s="540"/>
      <c r="B617" s="540"/>
      <c r="C617" s="540"/>
      <c r="D617" s="540"/>
      <c r="E617" s="553"/>
      <c r="F617" s="540"/>
      <c r="G617" s="565" t="str">
        <f t="shared" si="23"/>
        <v/>
      </c>
      <c r="H617" s="605"/>
      <c r="I617" s="31"/>
      <c r="J617" s="606">
        <f t="shared" si="24"/>
        <v>0</v>
      </c>
      <c r="K617" s="549"/>
    </row>
    <row r="618" spans="1:11" x14ac:dyDescent="0.25">
      <c r="A618" s="540"/>
      <c r="B618" s="540"/>
      <c r="C618" s="540"/>
      <c r="D618" s="540"/>
      <c r="E618" s="553"/>
      <c r="F618" s="540"/>
      <c r="G618" s="565" t="str">
        <f t="shared" si="23"/>
        <v/>
      </c>
      <c r="H618" s="605"/>
      <c r="I618" s="31"/>
      <c r="J618" s="606">
        <f t="shared" si="24"/>
        <v>0</v>
      </c>
      <c r="K618" s="549"/>
    </row>
    <row r="619" spans="1:11" x14ac:dyDescent="0.25">
      <c r="A619" s="540"/>
      <c r="B619" s="540"/>
      <c r="C619" s="540"/>
      <c r="D619" s="540"/>
      <c r="E619" s="553"/>
      <c r="F619" s="540"/>
      <c r="G619" s="565" t="str">
        <f t="shared" si="23"/>
        <v/>
      </c>
      <c r="H619" s="605"/>
      <c r="I619" s="31"/>
      <c r="J619" s="606">
        <f t="shared" si="24"/>
        <v>0</v>
      </c>
      <c r="K619" s="549"/>
    </row>
    <row r="620" spans="1:11" x14ac:dyDescent="0.25">
      <c r="A620" s="540"/>
      <c r="B620" s="540"/>
      <c r="C620" s="540"/>
      <c r="D620" s="540"/>
      <c r="E620" s="553"/>
      <c r="F620" s="540"/>
      <c r="G620" s="565" t="str">
        <f t="shared" si="23"/>
        <v/>
      </c>
      <c r="H620" s="605"/>
      <c r="I620" s="31"/>
      <c r="J620" s="606">
        <f t="shared" si="24"/>
        <v>0</v>
      </c>
      <c r="K620" s="549"/>
    </row>
    <row r="621" spans="1:11" x14ac:dyDescent="0.25">
      <c r="A621" s="540"/>
      <c r="B621" s="540"/>
      <c r="C621" s="540"/>
      <c r="D621" s="540"/>
      <c r="E621" s="553"/>
      <c r="F621" s="540"/>
      <c r="G621" s="565" t="str">
        <f t="shared" si="23"/>
        <v/>
      </c>
      <c r="H621" s="605"/>
      <c r="I621" s="31"/>
      <c r="J621" s="606">
        <f t="shared" si="24"/>
        <v>0</v>
      </c>
      <c r="K621" s="549"/>
    </row>
    <row r="622" spans="1:11" x14ac:dyDescent="0.25">
      <c r="A622" s="540"/>
      <c r="B622" s="540"/>
      <c r="C622" s="540"/>
      <c r="D622" s="540"/>
      <c r="E622" s="553"/>
      <c r="F622" s="540"/>
      <c r="G622" s="565" t="str">
        <f t="shared" si="23"/>
        <v/>
      </c>
      <c r="H622" s="605"/>
      <c r="I622" s="31"/>
      <c r="J622" s="606">
        <f t="shared" si="24"/>
        <v>0</v>
      </c>
      <c r="K622" s="549"/>
    </row>
    <row r="623" spans="1:11" x14ac:dyDescent="0.25">
      <c r="A623" s="540"/>
      <c r="B623" s="540"/>
      <c r="C623" s="540"/>
      <c r="D623" s="540"/>
      <c r="E623" s="553"/>
      <c r="F623" s="540"/>
      <c r="G623" s="565" t="str">
        <f t="shared" si="23"/>
        <v/>
      </c>
      <c r="H623" s="605"/>
      <c r="I623" s="31"/>
      <c r="J623" s="606">
        <f t="shared" si="24"/>
        <v>0</v>
      </c>
      <c r="K623" s="549"/>
    </row>
    <row r="624" spans="1:11" x14ac:dyDescent="0.25">
      <c r="A624" s="540"/>
      <c r="B624" s="540"/>
      <c r="C624" s="540"/>
      <c r="D624" s="540"/>
      <c r="E624" s="553"/>
      <c r="F624" s="540"/>
      <c r="G624" s="565" t="str">
        <f t="shared" si="23"/>
        <v/>
      </c>
      <c r="H624" s="605"/>
      <c r="I624" s="31"/>
      <c r="J624" s="606">
        <f t="shared" si="24"/>
        <v>0</v>
      </c>
      <c r="K624" s="549"/>
    </row>
    <row r="625" spans="1:11" x14ac:dyDescent="0.25">
      <c r="A625" s="540"/>
      <c r="B625" s="540"/>
      <c r="C625" s="540"/>
      <c r="D625" s="540"/>
      <c r="E625" s="553"/>
      <c r="F625" s="540"/>
      <c r="G625" s="565" t="str">
        <f t="shared" si="23"/>
        <v/>
      </c>
      <c r="H625" s="605"/>
      <c r="I625" s="31"/>
      <c r="J625" s="606">
        <f t="shared" si="24"/>
        <v>0</v>
      </c>
      <c r="K625" s="549"/>
    </row>
    <row r="626" spans="1:11" x14ac:dyDescent="0.25">
      <c r="A626" s="540"/>
      <c r="B626" s="540"/>
      <c r="C626" s="540"/>
      <c r="D626" s="540"/>
      <c r="E626" s="553"/>
      <c r="F626" s="540"/>
      <c r="G626" s="565" t="str">
        <f t="shared" si="23"/>
        <v/>
      </c>
      <c r="H626" s="605"/>
      <c r="I626" s="31"/>
      <c r="J626" s="606">
        <f t="shared" si="24"/>
        <v>0</v>
      </c>
      <c r="K626" s="549"/>
    </row>
    <row r="627" spans="1:11" x14ac:dyDescent="0.25">
      <c r="A627" s="540"/>
      <c r="B627" s="540"/>
      <c r="C627" s="540"/>
      <c r="D627" s="540"/>
      <c r="E627" s="553"/>
      <c r="F627" s="540"/>
      <c r="G627" s="565" t="str">
        <f t="shared" si="23"/>
        <v/>
      </c>
      <c r="H627" s="605"/>
      <c r="I627" s="31"/>
      <c r="J627" s="606">
        <f t="shared" si="24"/>
        <v>0</v>
      </c>
      <c r="K627" s="549"/>
    </row>
    <row r="628" spans="1:11" x14ac:dyDescent="0.25">
      <c r="A628" s="540"/>
      <c r="B628" s="540"/>
      <c r="C628" s="540"/>
      <c r="D628" s="540"/>
      <c r="E628" s="553"/>
      <c r="F628" s="540"/>
      <c r="G628" s="565" t="str">
        <f t="shared" si="23"/>
        <v/>
      </c>
      <c r="H628" s="605"/>
      <c r="I628" s="31"/>
      <c r="J628" s="606">
        <f t="shared" si="24"/>
        <v>0</v>
      </c>
      <c r="K628" s="549"/>
    </row>
    <row r="629" spans="1:11" x14ac:dyDescent="0.25">
      <c r="A629" s="540"/>
      <c r="B629" s="540"/>
      <c r="C629" s="540"/>
      <c r="D629" s="540"/>
      <c r="E629" s="553"/>
      <c r="F629" s="540"/>
      <c r="G629" s="565" t="str">
        <f t="shared" si="23"/>
        <v/>
      </c>
      <c r="H629" s="605"/>
      <c r="I629" s="31"/>
      <c r="J629" s="606">
        <f t="shared" si="24"/>
        <v>0</v>
      </c>
      <c r="K629" s="549"/>
    </row>
    <row r="630" spans="1:11" x14ac:dyDescent="0.25">
      <c r="A630" s="540"/>
      <c r="B630" s="540"/>
      <c r="C630" s="540"/>
      <c r="D630" s="540"/>
      <c r="E630" s="553"/>
      <c r="F630" s="540"/>
      <c r="G630" s="565" t="str">
        <f t="shared" si="23"/>
        <v/>
      </c>
      <c r="H630" s="605"/>
      <c r="I630" s="31"/>
      <c r="J630" s="606">
        <f t="shared" si="24"/>
        <v>0</v>
      </c>
      <c r="K630" s="549"/>
    </row>
    <row r="631" spans="1:11" x14ac:dyDescent="0.25">
      <c r="A631" s="540"/>
      <c r="B631" s="540"/>
      <c r="C631" s="540"/>
      <c r="D631" s="540"/>
      <c r="E631" s="553"/>
      <c r="F631" s="540"/>
      <c r="G631" s="565" t="str">
        <f t="shared" si="23"/>
        <v/>
      </c>
      <c r="H631" s="605"/>
      <c r="I631" s="31"/>
      <c r="J631" s="606">
        <f t="shared" si="24"/>
        <v>0</v>
      </c>
      <c r="K631" s="549"/>
    </row>
    <row r="632" spans="1:11" x14ac:dyDescent="0.25">
      <c r="A632" s="540"/>
      <c r="B632" s="540"/>
      <c r="C632" s="540"/>
      <c r="D632" s="540"/>
      <c r="E632" s="553"/>
      <c r="F632" s="540"/>
      <c r="G632" s="565" t="str">
        <f t="shared" si="23"/>
        <v/>
      </c>
      <c r="H632" s="605"/>
      <c r="I632" s="31"/>
      <c r="J632" s="606">
        <f t="shared" si="24"/>
        <v>0</v>
      </c>
      <c r="K632" s="549"/>
    </row>
    <row r="633" spans="1:11" x14ac:dyDescent="0.25">
      <c r="A633" s="540"/>
      <c r="B633" s="540"/>
      <c r="C633" s="540"/>
      <c r="D633" s="540"/>
      <c r="E633" s="553"/>
      <c r="F633" s="540"/>
      <c r="G633" s="565" t="str">
        <f t="shared" si="23"/>
        <v/>
      </c>
      <c r="H633" s="605"/>
      <c r="I633" s="31"/>
      <c r="J633" s="606">
        <f t="shared" si="24"/>
        <v>0</v>
      </c>
      <c r="K633" s="549"/>
    </row>
    <row r="634" spans="1:11" x14ac:dyDescent="0.25">
      <c r="A634" s="540"/>
      <c r="B634" s="540"/>
      <c r="C634" s="540"/>
      <c r="D634" s="540"/>
      <c r="E634" s="553"/>
      <c r="F634" s="540"/>
      <c r="G634" s="565" t="str">
        <f t="shared" si="23"/>
        <v/>
      </c>
      <c r="H634" s="605"/>
      <c r="I634" s="31"/>
      <c r="J634" s="606">
        <f t="shared" si="24"/>
        <v>0</v>
      </c>
      <c r="K634" s="549"/>
    </row>
    <row r="635" spans="1:11" x14ac:dyDescent="0.25">
      <c r="A635" s="540"/>
      <c r="B635" s="540"/>
      <c r="C635" s="540"/>
      <c r="D635" s="540"/>
      <c r="E635" s="553"/>
      <c r="F635" s="540"/>
      <c r="G635" s="565" t="str">
        <f t="shared" si="23"/>
        <v/>
      </c>
      <c r="H635" s="605"/>
      <c r="I635" s="31"/>
      <c r="J635" s="606">
        <f t="shared" si="24"/>
        <v>0</v>
      </c>
      <c r="K635" s="549"/>
    </row>
    <row r="636" spans="1:11" x14ac:dyDescent="0.25">
      <c r="A636" s="540"/>
      <c r="B636" s="540"/>
      <c r="C636" s="540"/>
      <c r="D636" s="540"/>
      <c r="E636" s="553"/>
      <c r="F636" s="540"/>
      <c r="G636" s="565" t="str">
        <f t="shared" si="23"/>
        <v/>
      </c>
      <c r="H636" s="605"/>
      <c r="I636" s="31"/>
      <c r="J636" s="606">
        <f t="shared" si="24"/>
        <v>0</v>
      </c>
      <c r="K636" s="549"/>
    </row>
    <row r="637" spans="1:11" x14ac:dyDescent="0.25">
      <c r="A637" s="540"/>
      <c r="B637" s="540"/>
      <c r="C637" s="540"/>
      <c r="D637" s="540"/>
      <c r="E637" s="553"/>
      <c r="F637" s="540"/>
      <c r="G637" s="565" t="str">
        <f t="shared" si="23"/>
        <v/>
      </c>
      <c r="H637" s="605"/>
      <c r="I637" s="31"/>
      <c r="J637" s="606">
        <f t="shared" si="24"/>
        <v>0</v>
      </c>
      <c r="K637" s="549"/>
    </row>
    <row r="638" spans="1:11" x14ac:dyDescent="0.25">
      <c r="A638" s="540"/>
      <c r="B638" s="540"/>
      <c r="C638" s="540"/>
      <c r="D638" s="540"/>
      <c r="E638" s="553"/>
      <c r="F638" s="540"/>
      <c r="G638" s="565" t="str">
        <f t="shared" si="23"/>
        <v/>
      </c>
      <c r="H638" s="605"/>
      <c r="I638" s="31"/>
      <c r="J638" s="606">
        <f t="shared" si="24"/>
        <v>0</v>
      </c>
      <c r="K638" s="549"/>
    </row>
    <row r="639" spans="1:11" x14ac:dyDescent="0.25">
      <c r="A639" s="540"/>
      <c r="B639" s="540"/>
      <c r="C639" s="540"/>
      <c r="D639" s="540"/>
      <c r="E639" s="553"/>
      <c r="F639" s="540"/>
      <c r="G639" s="565" t="str">
        <f t="shared" si="23"/>
        <v/>
      </c>
      <c r="H639" s="605"/>
      <c r="I639" s="31"/>
      <c r="J639" s="606">
        <f t="shared" si="24"/>
        <v>0</v>
      </c>
      <c r="K639" s="549"/>
    </row>
    <row r="640" spans="1:11" x14ac:dyDescent="0.25">
      <c r="A640" s="540"/>
      <c r="B640" s="540"/>
      <c r="C640" s="540"/>
      <c r="D640" s="540"/>
      <c r="E640" s="553"/>
      <c r="F640" s="540"/>
      <c r="G640" s="565" t="str">
        <f t="shared" si="23"/>
        <v/>
      </c>
      <c r="H640" s="605"/>
      <c r="I640" s="31"/>
      <c r="J640" s="606">
        <f t="shared" si="24"/>
        <v>0</v>
      </c>
      <c r="K640" s="549"/>
    </row>
    <row r="641" spans="1:11" x14ac:dyDescent="0.25">
      <c r="A641" s="540"/>
      <c r="B641" s="540"/>
      <c r="C641" s="540"/>
      <c r="D641" s="540"/>
      <c r="E641" s="553"/>
      <c r="F641" s="540"/>
      <c r="G641" s="565" t="str">
        <f t="shared" si="23"/>
        <v/>
      </c>
      <c r="H641" s="605"/>
      <c r="I641" s="31"/>
      <c r="J641" s="606">
        <f t="shared" si="24"/>
        <v>0</v>
      </c>
      <c r="K641" s="549"/>
    </row>
    <row r="642" spans="1:11" x14ac:dyDescent="0.25">
      <c r="A642" s="540"/>
      <c r="B642" s="540"/>
      <c r="C642" s="540"/>
      <c r="D642" s="540"/>
      <c r="E642" s="553"/>
      <c r="F642" s="540"/>
      <c r="G642" s="565" t="str">
        <f t="shared" si="23"/>
        <v/>
      </c>
      <c r="H642" s="605"/>
      <c r="I642" s="31"/>
      <c r="J642" s="606">
        <f t="shared" si="24"/>
        <v>0</v>
      </c>
      <c r="K642" s="549"/>
    </row>
    <row r="643" spans="1:11" x14ac:dyDescent="0.25">
      <c r="A643" s="540"/>
      <c r="B643" s="540"/>
      <c r="C643" s="540"/>
      <c r="D643" s="540"/>
      <c r="E643" s="553"/>
      <c r="F643" s="540"/>
      <c r="G643" s="565" t="str">
        <f t="shared" si="23"/>
        <v/>
      </c>
      <c r="H643" s="605"/>
      <c r="I643" s="31"/>
      <c r="J643" s="606">
        <f t="shared" si="24"/>
        <v>0</v>
      </c>
      <c r="K643" s="549"/>
    </row>
    <row r="644" spans="1:11" x14ac:dyDescent="0.25">
      <c r="A644" s="540"/>
      <c r="B644" s="540"/>
      <c r="C644" s="540"/>
      <c r="D644" s="540"/>
      <c r="E644" s="553"/>
      <c r="F644" s="540"/>
      <c r="G644" s="565" t="str">
        <f t="shared" si="23"/>
        <v/>
      </c>
      <c r="H644" s="605"/>
      <c r="I644" s="31"/>
      <c r="J644" s="606">
        <f t="shared" si="24"/>
        <v>0</v>
      </c>
      <c r="K644" s="549"/>
    </row>
    <row r="645" spans="1:11" x14ac:dyDescent="0.25">
      <c r="A645" s="540"/>
      <c r="B645" s="540"/>
      <c r="C645" s="540"/>
      <c r="D645" s="540"/>
      <c r="E645" s="553"/>
      <c r="F645" s="540"/>
      <c r="G645" s="565" t="str">
        <f t="shared" si="23"/>
        <v/>
      </c>
      <c r="H645" s="605"/>
      <c r="I645" s="31"/>
      <c r="J645" s="606">
        <f t="shared" si="24"/>
        <v>0</v>
      </c>
      <c r="K645" s="549"/>
    </row>
    <row r="646" spans="1:11" x14ac:dyDescent="0.25">
      <c r="A646" s="540"/>
      <c r="B646" s="540"/>
      <c r="C646" s="540"/>
      <c r="D646" s="540"/>
      <c r="E646" s="553"/>
      <c r="F646" s="540"/>
      <c r="G646" s="565" t="str">
        <f t="shared" si="23"/>
        <v/>
      </c>
      <c r="H646" s="605"/>
      <c r="I646" s="31"/>
      <c r="J646" s="606">
        <f t="shared" si="24"/>
        <v>0</v>
      </c>
      <c r="K646" s="549"/>
    </row>
    <row r="647" spans="1:11" x14ac:dyDescent="0.25">
      <c r="A647" s="540"/>
      <c r="B647" s="540"/>
      <c r="C647" s="540"/>
      <c r="D647" s="540"/>
      <c r="E647" s="553"/>
      <c r="F647" s="540"/>
      <c r="G647" s="565" t="str">
        <f t="shared" si="23"/>
        <v/>
      </c>
      <c r="H647" s="605"/>
      <c r="I647" s="31"/>
      <c r="J647" s="606">
        <f t="shared" si="24"/>
        <v>0</v>
      </c>
      <c r="K647" s="549"/>
    </row>
    <row r="648" spans="1:11" x14ac:dyDescent="0.25">
      <c r="A648" s="540"/>
      <c r="B648" s="540"/>
      <c r="C648" s="540"/>
      <c r="D648" s="540"/>
      <c r="E648" s="553"/>
      <c r="F648" s="540"/>
      <c r="G648" s="565" t="str">
        <f t="shared" si="23"/>
        <v/>
      </c>
      <c r="H648" s="605"/>
      <c r="I648" s="31"/>
      <c r="J648" s="606">
        <f t="shared" si="24"/>
        <v>0</v>
      </c>
      <c r="K648" s="549"/>
    </row>
    <row r="649" spans="1:11" x14ac:dyDescent="0.25">
      <c r="A649" s="540"/>
      <c r="B649" s="540"/>
      <c r="C649" s="540"/>
      <c r="D649" s="540"/>
      <c r="E649" s="553"/>
      <c r="F649" s="540"/>
      <c r="G649" s="565" t="str">
        <f t="shared" si="23"/>
        <v/>
      </c>
      <c r="H649" s="605"/>
      <c r="I649" s="31"/>
      <c r="J649" s="606">
        <f t="shared" si="24"/>
        <v>0</v>
      </c>
      <c r="K649" s="549"/>
    </row>
    <row r="650" spans="1:11" x14ac:dyDescent="0.25">
      <c r="A650" s="540"/>
      <c r="B650" s="540"/>
      <c r="C650" s="540"/>
      <c r="D650" s="540"/>
      <c r="E650" s="553"/>
      <c r="F650" s="540"/>
      <c r="G650" s="565" t="str">
        <f t="shared" si="23"/>
        <v/>
      </c>
      <c r="H650" s="605"/>
      <c r="I650" s="31"/>
      <c r="J650" s="606">
        <f t="shared" si="24"/>
        <v>0</v>
      </c>
      <c r="K650" s="549"/>
    </row>
    <row r="651" spans="1:11" x14ac:dyDescent="0.25">
      <c r="A651" s="540"/>
      <c r="B651" s="540"/>
      <c r="C651" s="540"/>
      <c r="D651" s="540"/>
      <c r="E651" s="553"/>
      <c r="F651" s="540"/>
      <c r="G651" s="565" t="str">
        <f t="shared" ref="G651:G714" si="25">IF(E651="","",IF(E651+$M$2&lt;$L$2,"VENCIDA","VIGENTE"))</f>
        <v/>
      </c>
      <c r="H651" s="605"/>
      <c r="I651" s="31"/>
      <c r="J651" s="606">
        <f t="shared" ref="J651:J714" si="26">H651-I651</f>
        <v>0</v>
      </c>
      <c r="K651" s="549"/>
    </row>
    <row r="652" spans="1:11" x14ac:dyDescent="0.25">
      <c r="A652" s="540"/>
      <c r="B652" s="540"/>
      <c r="C652" s="540"/>
      <c r="D652" s="540"/>
      <c r="E652" s="553"/>
      <c r="F652" s="540"/>
      <c r="G652" s="565" t="str">
        <f t="shared" si="25"/>
        <v/>
      </c>
      <c r="H652" s="605"/>
      <c r="I652" s="31"/>
      <c r="J652" s="606">
        <f t="shared" si="26"/>
        <v>0</v>
      </c>
      <c r="K652" s="549"/>
    </row>
    <row r="653" spans="1:11" x14ac:dyDescent="0.25">
      <c r="A653" s="540"/>
      <c r="B653" s="540"/>
      <c r="C653" s="540"/>
      <c r="D653" s="540"/>
      <c r="E653" s="553"/>
      <c r="F653" s="540"/>
      <c r="G653" s="565" t="str">
        <f t="shared" si="25"/>
        <v/>
      </c>
      <c r="H653" s="605"/>
      <c r="I653" s="31"/>
      <c r="J653" s="606">
        <f t="shared" si="26"/>
        <v>0</v>
      </c>
      <c r="K653" s="549"/>
    </row>
    <row r="654" spans="1:11" x14ac:dyDescent="0.25">
      <c r="A654" s="540"/>
      <c r="B654" s="540"/>
      <c r="C654" s="540"/>
      <c r="D654" s="540"/>
      <c r="E654" s="553"/>
      <c r="F654" s="540"/>
      <c r="G654" s="565" t="str">
        <f t="shared" si="25"/>
        <v/>
      </c>
      <c r="H654" s="605"/>
      <c r="I654" s="31"/>
      <c r="J654" s="606">
        <f t="shared" si="26"/>
        <v>0</v>
      </c>
      <c r="K654" s="549"/>
    </row>
    <row r="655" spans="1:11" x14ac:dyDescent="0.25">
      <c r="A655" s="540"/>
      <c r="B655" s="540"/>
      <c r="C655" s="540"/>
      <c r="D655" s="540"/>
      <c r="E655" s="553"/>
      <c r="F655" s="540"/>
      <c r="G655" s="565" t="str">
        <f t="shared" si="25"/>
        <v/>
      </c>
      <c r="H655" s="605"/>
      <c r="I655" s="31"/>
      <c r="J655" s="606">
        <f t="shared" si="26"/>
        <v>0</v>
      </c>
      <c r="K655" s="549"/>
    </row>
    <row r="656" spans="1:11" x14ac:dyDescent="0.25">
      <c r="A656" s="540"/>
      <c r="B656" s="540"/>
      <c r="C656" s="540"/>
      <c r="D656" s="540"/>
      <c r="E656" s="553"/>
      <c r="F656" s="540"/>
      <c r="G656" s="565" t="str">
        <f t="shared" si="25"/>
        <v/>
      </c>
      <c r="H656" s="605"/>
      <c r="I656" s="31"/>
      <c r="J656" s="606">
        <f t="shared" si="26"/>
        <v>0</v>
      </c>
      <c r="K656" s="549"/>
    </row>
    <row r="657" spans="1:11" x14ac:dyDescent="0.25">
      <c r="A657" s="540"/>
      <c r="B657" s="540"/>
      <c r="C657" s="540"/>
      <c r="D657" s="540"/>
      <c r="E657" s="553"/>
      <c r="F657" s="540"/>
      <c r="G657" s="565" t="str">
        <f t="shared" si="25"/>
        <v/>
      </c>
      <c r="H657" s="605"/>
      <c r="I657" s="31"/>
      <c r="J657" s="606">
        <f t="shared" si="26"/>
        <v>0</v>
      </c>
      <c r="K657" s="549"/>
    </row>
    <row r="658" spans="1:11" x14ac:dyDescent="0.25">
      <c r="A658" s="540"/>
      <c r="B658" s="540"/>
      <c r="C658" s="540"/>
      <c r="D658" s="540"/>
      <c r="E658" s="553"/>
      <c r="F658" s="540"/>
      <c r="G658" s="565" t="str">
        <f t="shared" si="25"/>
        <v/>
      </c>
      <c r="H658" s="605"/>
      <c r="I658" s="31"/>
      <c r="J658" s="606">
        <f t="shared" si="26"/>
        <v>0</v>
      </c>
      <c r="K658" s="549"/>
    </row>
    <row r="659" spans="1:11" x14ac:dyDescent="0.25">
      <c r="A659" s="540"/>
      <c r="B659" s="540"/>
      <c r="C659" s="540"/>
      <c r="D659" s="540"/>
      <c r="E659" s="553"/>
      <c r="F659" s="540"/>
      <c r="G659" s="565" t="str">
        <f t="shared" si="25"/>
        <v/>
      </c>
      <c r="H659" s="605"/>
      <c r="I659" s="31"/>
      <c r="J659" s="606">
        <f t="shared" si="26"/>
        <v>0</v>
      </c>
      <c r="K659" s="549"/>
    </row>
    <row r="660" spans="1:11" x14ac:dyDescent="0.25">
      <c r="A660" s="540"/>
      <c r="B660" s="540"/>
      <c r="C660" s="540"/>
      <c r="D660" s="540"/>
      <c r="E660" s="553"/>
      <c r="F660" s="540"/>
      <c r="G660" s="565" t="str">
        <f t="shared" si="25"/>
        <v/>
      </c>
      <c r="H660" s="605"/>
      <c r="I660" s="31"/>
      <c r="J660" s="606">
        <f t="shared" si="26"/>
        <v>0</v>
      </c>
      <c r="K660" s="549"/>
    </row>
    <row r="661" spans="1:11" x14ac:dyDescent="0.25">
      <c r="A661" s="540"/>
      <c r="B661" s="540"/>
      <c r="C661" s="540"/>
      <c r="D661" s="540"/>
      <c r="E661" s="553"/>
      <c r="F661" s="540"/>
      <c r="G661" s="565" t="str">
        <f t="shared" si="25"/>
        <v/>
      </c>
      <c r="H661" s="605"/>
      <c r="I661" s="31"/>
      <c r="J661" s="606">
        <f t="shared" si="26"/>
        <v>0</v>
      </c>
      <c r="K661" s="549"/>
    </row>
    <row r="662" spans="1:11" x14ac:dyDescent="0.25">
      <c r="A662" s="540"/>
      <c r="B662" s="540"/>
      <c r="C662" s="540"/>
      <c r="D662" s="540"/>
      <c r="E662" s="553"/>
      <c r="F662" s="540"/>
      <c r="G662" s="565" t="str">
        <f t="shared" si="25"/>
        <v/>
      </c>
      <c r="H662" s="605"/>
      <c r="I662" s="31"/>
      <c r="J662" s="606">
        <f t="shared" si="26"/>
        <v>0</v>
      </c>
      <c r="K662" s="549"/>
    </row>
    <row r="663" spans="1:11" x14ac:dyDescent="0.25">
      <c r="A663" s="540"/>
      <c r="B663" s="540"/>
      <c r="C663" s="540"/>
      <c r="D663" s="540"/>
      <c r="E663" s="553"/>
      <c r="F663" s="540"/>
      <c r="G663" s="565" t="str">
        <f t="shared" si="25"/>
        <v/>
      </c>
      <c r="H663" s="605"/>
      <c r="I663" s="31"/>
      <c r="J663" s="606">
        <f t="shared" si="26"/>
        <v>0</v>
      </c>
      <c r="K663" s="549"/>
    </row>
    <row r="664" spans="1:11" x14ac:dyDescent="0.25">
      <c r="A664" s="540"/>
      <c r="B664" s="540"/>
      <c r="C664" s="540"/>
      <c r="D664" s="540"/>
      <c r="E664" s="553"/>
      <c r="F664" s="540"/>
      <c r="G664" s="565" t="str">
        <f t="shared" si="25"/>
        <v/>
      </c>
      <c r="H664" s="605"/>
      <c r="I664" s="31"/>
      <c r="J664" s="606">
        <f t="shared" si="26"/>
        <v>0</v>
      </c>
      <c r="K664" s="549"/>
    </row>
    <row r="665" spans="1:11" x14ac:dyDescent="0.25">
      <c r="A665" s="540"/>
      <c r="B665" s="540"/>
      <c r="C665" s="540"/>
      <c r="D665" s="540"/>
      <c r="E665" s="553"/>
      <c r="F665" s="540"/>
      <c r="G665" s="565" t="str">
        <f t="shared" si="25"/>
        <v/>
      </c>
      <c r="H665" s="605"/>
      <c r="I665" s="31"/>
      <c r="J665" s="606">
        <f t="shared" si="26"/>
        <v>0</v>
      </c>
      <c r="K665" s="549"/>
    </row>
    <row r="666" spans="1:11" x14ac:dyDescent="0.25">
      <c r="A666" s="540"/>
      <c r="B666" s="540"/>
      <c r="C666" s="540"/>
      <c r="D666" s="540"/>
      <c r="E666" s="553"/>
      <c r="F666" s="540"/>
      <c r="G666" s="565" t="str">
        <f t="shared" si="25"/>
        <v/>
      </c>
      <c r="H666" s="605"/>
      <c r="I666" s="31"/>
      <c r="J666" s="606">
        <f t="shared" si="26"/>
        <v>0</v>
      </c>
      <c r="K666" s="549"/>
    </row>
    <row r="667" spans="1:11" x14ac:dyDescent="0.25">
      <c r="A667" s="540"/>
      <c r="B667" s="540"/>
      <c r="C667" s="540"/>
      <c r="D667" s="540"/>
      <c r="E667" s="553"/>
      <c r="F667" s="540"/>
      <c r="G667" s="565" t="str">
        <f t="shared" si="25"/>
        <v/>
      </c>
      <c r="H667" s="605"/>
      <c r="I667" s="31"/>
      <c r="J667" s="606">
        <f t="shared" si="26"/>
        <v>0</v>
      </c>
      <c r="K667" s="549"/>
    </row>
    <row r="668" spans="1:11" x14ac:dyDescent="0.25">
      <c r="A668" s="540"/>
      <c r="B668" s="540"/>
      <c r="C668" s="540"/>
      <c r="D668" s="540"/>
      <c r="E668" s="553"/>
      <c r="F668" s="540"/>
      <c r="G668" s="565" t="str">
        <f t="shared" si="25"/>
        <v/>
      </c>
      <c r="H668" s="605"/>
      <c r="I668" s="31"/>
      <c r="J668" s="606">
        <f t="shared" si="26"/>
        <v>0</v>
      </c>
      <c r="K668" s="549"/>
    </row>
    <row r="669" spans="1:11" x14ac:dyDescent="0.25">
      <c r="A669" s="540"/>
      <c r="B669" s="540"/>
      <c r="C669" s="540"/>
      <c r="D669" s="540"/>
      <c r="E669" s="553"/>
      <c r="F669" s="540"/>
      <c r="G669" s="565" t="str">
        <f t="shared" si="25"/>
        <v/>
      </c>
      <c r="H669" s="605"/>
      <c r="I669" s="31"/>
      <c r="J669" s="606">
        <f t="shared" si="26"/>
        <v>0</v>
      </c>
      <c r="K669" s="549"/>
    </row>
    <row r="670" spans="1:11" x14ac:dyDescent="0.25">
      <c r="A670" s="540"/>
      <c r="B670" s="540"/>
      <c r="C670" s="540"/>
      <c r="D670" s="540"/>
      <c r="E670" s="553"/>
      <c r="F670" s="540"/>
      <c r="G670" s="565" t="str">
        <f t="shared" si="25"/>
        <v/>
      </c>
      <c r="H670" s="605"/>
      <c r="I670" s="31"/>
      <c r="J670" s="606">
        <f t="shared" si="26"/>
        <v>0</v>
      </c>
      <c r="K670" s="549"/>
    </row>
    <row r="671" spans="1:11" x14ac:dyDescent="0.25">
      <c r="A671" s="540"/>
      <c r="B671" s="540"/>
      <c r="C671" s="540"/>
      <c r="D671" s="540"/>
      <c r="E671" s="553"/>
      <c r="F671" s="540"/>
      <c r="G671" s="565" t="str">
        <f t="shared" si="25"/>
        <v/>
      </c>
      <c r="H671" s="605"/>
      <c r="I671" s="31"/>
      <c r="J671" s="606">
        <f t="shared" si="26"/>
        <v>0</v>
      </c>
      <c r="K671" s="549"/>
    </row>
    <row r="672" spans="1:11" x14ac:dyDescent="0.25">
      <c r="A672" s="540"/>
      <c r="B672" s="540"/>
      <c r="C672" s="540"/>
      <c r="D672" s="540"/>
      <c r="E672" s="553"/>
      <c r="F672" s="540"/>
      <c r="G672" s="565" t="str">
        <f t="shared" si="25"/>
        <v/>
      </c>
      <c r="H672" s="605"/>
      <c r="I672" s="31"/>
      <c r="J672" s="606">
        <f t="shared" si="26"/>
        <v>0</v>
      </c>
      <c r="K672" s="549"/>
    </row>
    <row r="673" spans="1:11" x14ac:dyDescent="0.25">
      <c r="A673" s="540"/>
      <c r="B673" s="540"/>
      <c r="C673" s="540"/>
      <c r="D673" s="540"/>
      <c r="E673" s="553"/>
      <c r="F673" s="540"/>
      <c r="G673" s="565" t="str">
        <f t="shared" si="25"/>
        <v/>
      </c>
      <c r="H673" s="605"/>
      <c r="I673" s="31"/>
      <c r="J673" s="606">
        <f t="shared" si="26"/>
        <v>0</v>
      </c>
      <c r="K673" s="549"/>
    </row>
    <row r="674" spans="1:11" x14ac:dyDescent="0.25">
      <c r="A674" s="540"/>
      <c r="B674" s="540"/>
      <c r="C674" s="540"/>
      <c r="D674" s="540"/>
      <c r="E674" s="553"/>
      <c r="F674" s="540"/>
      <c r="G674" s="565" t="str">
        <f t="shared" si="25"/>
        <v/>
      </c>
      <c r="H674" s="605"/>
      <c r="I674" s="31"/>
      <c r="J674" s="606">
        <f t="shared" si="26"/>
        <v>0</v>
      </c>
      <c r="K674" s="549"/>
    </row>
    <row r="675" spans="1:11" x14ac:dyDescent="0.25">
      <c r="A675" s="540"/>
      <c r="B675" s="540"/>
      <c r="C675" s="540"/>
      <c r="D675" s="540"/>
      <c r="E675" s="553"/>
      <c r="F675" s="540"/>
      <c r="G675" s="565" t="str">
        <f t="shared" si="25"/>
        <v/>
      </c>
      <c r="H675" s="605"/>
      <c r="I675" s="31"/>
      <c r="J675" s="606">
        <f t="shared" si="26"/>
        <v>0</v>
      </c>
      <c r="K675" s="549"/>
    </row>
    <row r="676" spans="1:11" x14ac:dyDescent="0.25">
      <c r="A676" s="540"/>
      <c r="B676" s="540"/>
      <c r="C676" s="540"/>
      <c r="D676" s="540"/>
      <c r="E676" s="553"/>
      <c r="F676" s="540"/>
      <c r="G676" s="565" t="str">
        <f t="shared" si="25"/>
        <v/>
      </c>
      <c r="H676" s="605"/>
      <c r="I676" s="31"/>
      <c r="J676" s="606">
        <f t="shared" si="26"/>
        <v>0</v>
      </c>
      <c r="K676" s="549"/>
    </row>
    <row r="677" spans="1:11" x14ac:dyDescent="0.25">
      <c r="A677" s="540"/>
      <c r="B677" s="540"/>
      <c r="C677" s="540"/>
      <c r="D677" s="540"/>
      <c r="E677" s="553"/>
      <c r="F677" s="540"/>
      <c r="G677" s="565" t="str">
        <f t="shared" si="25"/>
        <v/>
      </c>
      <c r="H677" s="605"/>
      <c r="I677" s="31"/>
      <c r="J677" s="606">
        <f t="shared" si="26"/>
        <v>0</v>
      </c>
      <c r="K677" s="549"/>
    </row>
    <row r="678" spans="1:11" x14ac:dyDescent="0.25">
      <c r="A678" s="540"/>
      <c r="B678" s="540"/>
      <c r="C678" s="540"/>
      <c r="D678" s="540"/>
      <c r="E678" s="553"/>
      <c r="F678" s="540"/>
      <c r="G678" s="565" t="str">
        <f t="shared" si="25"/>
        <v/>
      </c>
      <c r="H678" s="605"/>
      <c r="I678" s="31"/>
      <c r="J678" s="606">
        <f t="shared" si="26"/>
        <v>0</v>
      </c>
      <c r="K678" s="549"/>
    </row>
    <row r="679" spans="1:11" x14ac:dyDescent="0.25">
      <c r="A679" s="540"/>
      <c r="B679" s="540"/>
      <c r="C679" s="540"/>
      <c r="D679" s="540"/>
      <c r="E679" s="553"/>
      <c r="F679" s="540"/>
      <c r="G679" s="565" t="str">
        <f t="shared" si="25"/>
        <v/>
      </c>
      <c r="H679" s="605"/>
      <c r="I679" s="31"/>
      <c r="J679" s="606">
        <f t="shared" si="26"/>
        <v>0</v>
      </c>
      <c r="K679" s="549"/>
    </row>
    <row r="680" spans="1:11" x14ac:dyDescent="0.25">
      <c r="A680" s="540"/>
      <c r="B680" s="540"/>
      <c r="C680" s="540"/>
      <c r="D680" s="540"/>
      <c r="E680" s="553"/>
      <c r="F680" s="540"/>
      <c r="G680" s="565" t="str">
        <f t="shared" si="25"/>
        <v/>
      </c>
      <c r="H680" s="605"/>
      <c r="I680" s="31"/>
      <c r="J680" s="606">
        <f t="shared" si="26"/>
        <v>0</v>
      </c>
      <c r="K680" s="549"/>
    </row>
    <row r="681" spans="1:11" x14ac:dyDescent="0.25">
      <c r="A681" s="540"/>
      <c r="B681" s="540"/>
      <c r="C681" s="540"/>
      <c r="D681" s="540"/>
      <c r="E681" s="553"/>
      <c r="F681" s="540"/>
      <c r="G681" s="565" t="str">
        <f t="shared" si="25"/>
        <v/>
      </c>
      <c r="H681" s="605"/>
      <c r="I681" s="31"/>
      <c r="J681" s="606">
        <f t="shared" si="26"/>
        <v>0</v>
      </c>
      <c r="K681" s="549"/>
    </row>
    <row r="682" spans="1:11" x14ac:dyDescent="0.25">
      <c r="A682" s="540"/>
      <c r="B682" s="540"/>
      <c r="C682" s="540"/>
      <c r="D682" s="540"/>
      <c r="E682" s="553"/>
      <c r="F682" s="540"/>
      <c r="G682" s="565" t="str">
        <f t="shared" si="25"/>
        <v/>
      </c>
      <c r="H682" s="605"/>
      <c r="I682" s="31"/>
      <c r="J682" s="606">
        <f t="shared" si="26"/>
        <v>0</v>
      </c>
      <c r="K682" s="549"/>
    </row>
    <row r="683" spans="1:11" x14ac:dyDescent="0.25">
      <c r="A683" s="540"/>
      <c r="B683" s="540"/>
      <c r="C683" s="540"/>
      <c r="D683" s="540"/>
      <c r="E683" s="553"/>
      <c r="F683" s="540"/>
      <c r="G683" s="565" t="str">
        <f t="shared" si="25"/>
        <v/>
      </c>
      <c r="H683" s="605"/>
      <c r="I683" s="31"/>
      <c r="J683" s="606">
        <f t="shared" si="26"/>
        <v>0</v>
      </c>
      <c r="K683" s="549"/>
    </row>
    <row r="684" spans="1:11" x14ac:dyDescent="0.25">
      <c r="A684" s="540"/>
      <c r="B684" s="540"/>
      <c r="C684" s="540"/>
      <c r="D684" s="540"/>
      <c r="E684" s="553"/>
      <c r="F684" s="540"/>
      <c r="G684" s="565" t="str">
        <f t="shared" si="25"/>
        <v/>
      </c>
      <c r="H684" s="605"/>
      <c r="I684" s="31"/>
      <c r="J684" s="606">
        <f t="shared" si="26"/>
        <v>0</v>
      </c>
      <c r="K684" s="549"/>
    </row>
    <row r="685" spans="1:11" x14ac:dyDescent="0.25">
      <c r="A685" s="540"/>
      <c r="B685" s="540"/>
      <c r="C685" s="540"/>
      <c r="D685" s="540"/>
      <c r="E685" s="553"/>
      <c r="F685" s="540"/>
      <c r="G685" s="565" t="str">
        <f t="shared" si="25"/>
        <v/>
      </c>
      <c r="H685" s="605"/>
      <c r="I685" s="31"/>
      <c r="J685" s="606">
        <f t="shared" si="26"/>
        <v>0</v>
      </c>
      <c r="K685" s="549"/>
    </row>
    <row r="686" spans="1:11" x14ac:dyDescent="0.25">
      <c r="A686" s="540"/>
      <c r="B686" s="540"/>
      <c r="C686" s="540"/>
      <c r="D686" s="540"/>
      <c r="E686" s="553"/>
      <c r="F686" s="540"/>
      <c r="G686" s="565" t="str">
        <f t="shared" si="25"/>
        <v/>
      </c>
      <c r="H686" s="605"/>
      <c r="I686" s="31"/>
      <c r="J686" s="606">
        <f t="shared" si="26"/>
        <v>0</v>
      </c>
      <c r="K686" s="549"/>
    </row>
    <row r="687" spans="1:11" x14ac:dyDescent="0.25">
      <c r="A687" s="540"/>
      <c r="B687" s="540"/>
      <c r="C687" s="540"/>
      <c r="D687" s="540"/>
      <c r="E687" s="553"/>
      <c r="F687" s="540"/>
      <c r="G687" s="565" t="str">
        <f t="shared" si="25"/>
        <v/>
      </c>
      <c r="H687" s="605"/>
      <c r="I687" s="31"/>
      <c r="J687" s="606">
        <f t="shared" si="26"/>
        <v>0</v>
      </c>
      <c r="K687" s="549"/>
    </row>
    <row r="688" spans="1:11" x14ac:dyDescent="0.25">
      <c r="A688" s="540"/>
      <c r="B688" s="540"/>
      <c r="C688" s="540"/>
      <c r="D688" s="540"/>
      <c r="E688" s="553"/>
      <c r="F688" s="540"/>
      <c r="G688" s="565" t="str">
        <f t="shared" si="25"/>
        <v/>
      </c>
      <c r="H688" s="605"/>
      <c r="I688" s="31"/>
      <c r="J688" s="606">
        <f t="shared" si="26"/>
        <v>0</v>
      </c>
      <c r="K688" s="549"/>
    </row>
    <row r="689" spans="1:11" x14ac:dyDescent="0.25">
      <c r="A689" s="540"/>
      <c r="B689" s="540"/>
      <c r="C689" s="540"/>
      <c r="D689" s="540"/>
      <c r="E689" s="553"/>
      <c r="F689" s="540"/>
      <c r="G689" s="565" t="str">
        <f t="shared" si="25"/>
        <v/>
      </c>
      <c r="H689" s="605"/>
      <c r="I689" s="31"/>
      <c r="J689" s="606">
        <f t="shared" si="26"/>
        <v>0</v>
      </c>
      <c r="K689" s="549"/>
    </row>
    <row r="690" spans="1:11" x14ac:dyDescent="0.25">
      <c r="A690" s="540"/>
      <c r="B690" s="540"/>
      <c r="C690" s="540"/>
      <c r="D690" s="540"/>
      <c r="E690" s="553"/>
      <c r="F690" s="540"/>
      <c r="G690" s="565" t="str">
        <f t="shared" si="25"/>
        <v/>
      </c>
      <c r="H690" s="605"/>
      <c r="I690" s="31"/>
      <c r="J690" s="606">
        <f t="shared" si="26"/>
        <v>0</v>
      </c>
      <c r="K690" s="549"/>
    </row>
    <row r="691" spans="1:11" x14ac:dyDescent="0.25">
      <c r="A691" s="540"/>
      <c r="B691" s="540"/>
      <c r="C691" s="540"/>
      <c r="D691" s="540"/>
      <c r="E691" s="553"/>
      <c r="F691" s="540"/>
      <c r="G691" s="565" t="str">
        <f t="shared" si="25"/>
        <v/>
      </c>
      <c r="H691" s="605"/>
      <c r="I691" s="31"/>
      <c r="J691" s="606">
        <f t="shared" si="26"/>
        <v>0</v>
      </c>
      <c r="K691" s="549"/>
    </row>
    <row r="692" spans="1:11" x14ac:dyDescent="0.25">
      <c r="A692" s="540"/>
      <c r="B692" s="540"/>
      <c r="C692" s="540"/>
      <c r="D692" s="540"/>
      <c r="E692" s="553"/>
      <c r="F692" s="540"/>
      <c r="G692" s="565" t="str">
        <f t="shared" si="25"/>
        <v/>
      </c>
      <c r="H692" s="605"/>
      <c r="I692" s="31"/>
      <c r="J692" s="606">
        <f t="shared" si="26"/>
        <v>0</v>
      </c>
      <c r="K692" s="549"/>
    </row>
    <row r="693" spans="1:11" x14ac:dyDescent="0.25">
      <c r="A693" s="540"/>
      <c r="B693" s="540"/>
      <c r="C693" s="540"/>
      <c r="D693" s="540"/>
      <c r="E693" s="553"/>
      <c r="F693" s="540"/>
      <c r="G693" s="565" t="str">
        <f t="shared" si="25"/>
        <v/>
      </c>
      <c r="H693" s="605"/>
      <c r="I693" s="31"/>
      <c r="J693" s="606">
        <f t="shared" si="26"/>
        <v>0</v>
      </c>
      <c r="K693" s="549"/>
    </row>
    <row r="694" spans="1:11" x14ac:dyDescent="0.25">
      <c r="A694" s="540"/>
      <c r="B694" s="540"/>
      <c r="C694" s="540"/>
      <c r="D694" s="540"/>
      <c r="E694" s="553"/>
      <c r="F694" s="540"/>
      <c r="G694" s="565" t="str">
        <f t="shared" si="25"/>
        <v/>
      </c>
      <c r="H694" s="605"/>
      <c r="I694" s="31"/>
      <c r="J694" s="606">
        <f t="shared" si="26"/>
        <v>0</v>
      </c>
      <c r="K694" s="549"/>
    </row>
    <row r="695" spans="1:11" x14ac:dyDescent="0.25">
      <c r="A695" s="540"/>
      <c r="B695" s="540"/>
      <c r="C695" s="540"/>
      <c r="D695" s="540"/>
      <c r="E695" s="553"/>
      <c r="F695" s="540"/>
      <c r="G695" s="565" t="str">
        <f t="shared" si="25"/>
        <v/>
      </c>
      <c r="H695" s="605"/>
      <c r="I695" s="31"/>
      <c r="J695" s="606">
        <f t="shared" si="26"/>
        <v>0</v>
      </c>
      <c r="K695" s="549"/>
    </row>
    <row r="696" spans="1:11" x14ac:dyDescent="0.25">
      <c r="A696" s="540"/>
      <c r="B696" s="540"/>
      <c r="C696" s="540"/>
      <c r="D696" s="540"/>
      <c r="E696" s="553"/>
      <c r="F696" s="540"/>
      <c r="G696" s="565" t="str">
        <f t="shared" si="25"/>
        <v/>
      </c>
      <c r="H696" s="605"/>
      <c r="I696" s="31"/>
      <c r="J696" s="606">
        <f t="shared" si="26"/>
        <v>0</v>
      </c>
      <c r="K696" s="549"/>
    </row>
    <row r="697" spans="1:11" x14ac:dyDescent="0.25">
      <c r="A697" s="540"/>
      <c r="B697" s="540"/>
      <c r="C697" s="540"/>
      <c r="D697" s="540"/>
      <c r="E697" s="553"/>
      <c r="F697" s="540"/>
      <c r="G697" s="565" t="str">
        <f t="shared" si="25"/>
        <v/>
      </c>
      <c r="H697" s="605"/>
      <c r="I697" s="31"/>
      <c r="J697" s="606">
        <f t="shared" si="26"/>
        <v>0</v>
      </c>
      <c r="K697" s="549"/>
    </row>
    <row r="698" spans="1:11" x14ac:dyDescent="0.25">
      <c r="A698" s="540"/>
      <c r="B698" s="540"/>
      <c r="C698" s="540"/>
      <c r="D698" s="540"/>
      <c r="E698" s="553"/>
      <c r="F698" s="540"/>
      <c r="G698" s="565" t="str">
        <f t="shared" si="25"/>
        <v/>
      </c>
      <c r="H698" s="605"/>
      <c r="I698" s="31"/>
      <c r="J698" s="606">
        <f t="shared" si="26"/>
        <v>0</v>
      </c>
      <c r="K698" s="549"/>
    </row>
    <row r="699" spans="1:11" x14ac:dyDescent="0.25">
      <c r="A699" s="540"/>
      <c r="B699" s="540"/>
      <c r="C699" s="540"/>
      <c r="D699" s="540"/>
      <c r="E699" s="553"/>
      <c r="F699" s="540"/>
      <c r="G699" s="565" t="str">
        <f t="shared" si="25"/>
        <v/>
      </c>
      <c r="H699" s="605"/>
      <c r="I699" s="31"/>
      <c r="J699" s="606">
        <f t="shared" si="26"/>
        <v>0</v>
      </c>
      <c r="K699" s="549"/>
    </row>
    <row r="700" spans="1:11" x14ac:dyDescent="0.25">
      <c r="A700" s="540"/>
      <c r="B700" s="540"/>
      <c r="C700" s="540"/>
      <c r="D700" s="540"/>
      <c r="E700" s="553"/>
      <c r="F700" s="540"/>
      <c r="G700" s="565" t="str">
        <f t="shared" si="25"/>
        <v/>
      </c>
      <c r="H700" s="605"/>
      <c r="I700" s="31"/>
      <c r="J700" s="606">
        <f t="shared" si="26"/>
        <v>0</v>
      </c>
      <c r="K700" s="549"/>
    </row>
    <row r="701" spans="1:11" x14ac:dyDescent="0.25">
      <c r="A701" s="540"/>
      <c r="B701" s="540"/>
      <c r="C701" s="540"/>
      <c r="D701" s="540"/>
      <c r="E701" s="553"/>
      <c r="F701" s="540"/>
      <c r="G701" s="565" t="str">
        <f t="shared" si="25"/>
        <v/>
      </c>
      <c r="H701" s="605"/>
      <c r="I701" s="31"/>
      <c r="J701" s="606">
        <f t="shared" si="26"/>
        <v>0</v>
      </c>
      <c r="K701" s="549"/>
    </row>
    <row r="702" spans="1:11" x14ac:dyDescent="0.25">
      <c r="A702" s="540"/>
      <c r="B702" s="540"/>
      <c r="C702" s="540"/>
      <c r="D702" s="540"/>
      <c r="E702" s="553"/>
      <c r="F702" s="540"/>
      <c r="G702" s="565" t="str">
        <f t="shared" si="25"/>
        <v/>
      </c>
      <c r="H702" s="605"/>
      <c r="I702" s="31"/>
      <c r="J702" s="606">
        <f t="shared" si="26"/>
        <v>0</v>
      </c>
      <c r="K702" s="549"/>
    </row>
    <row r="703" spans="1:11" x14ac:dyDescent="0.25">
      <c r="A703" s="540"/>
      <c r="B703" s="540"/>
      <c r="C703" s="540"/>
      <c r="D703" s="540"/>
      <c r="E703" s="553"/>
      <c r="F703" s="540"/>
      <c r="G703" s="565" t="str">
        <f t="shared" si="25"/>
        <v/>
      </c>
      <c r="H703" s="605"/>
      <c r="I703" s="31"/>
      <c r="J703" s="606">
        <f t="shared" si="26"/>
        <v>0</v>
      </c>
      <c r="K703" s="549"/>
    </row>
    <row r="704" spans="1:11" x14ac:dyDescent="0.25">
      <c r="A704" s="540"/>
      <c r="B704" s="540"/>
      <c r="C704" s="540"/>
      <c r="D704" s="540"/>
      <c r="E704" s="553"/>
      <c r="F704" s="540"/>
      <c r="G704" s="565" t="str">
        <f t="shared" si="25"/>
        <v/>
      </c>
      <c r="H704" s="605"/>
      <c r="I704" s="31"/>
      <c r="J704" s="606">
        <f t="shared" si="26"/>
        <v>0</v>
      </c>
      <c r="K704" s="549"/>
    </row>
    <row r="705" spans="1:11" x14ac:dyDescent="0.25">
      <c r="A705" s="540"/>
      <c r="B705" s="540"/>
      <c r="C705" s="540"/>
      <c r="D705" s="540"/>
      <c r="E705" s="553"/>
      <c r="F705" s="540"/>
      <c r="G705" s="565" t="str">
        <f t="shared" si="25"/>
        <v/>
      </c>
      <c r="H705" s="605"/>
      <c r="I705" s="31"/>
      <c r="J705" s="606">
        <f t="shared" si="26"/>
        <v>0</v>
      </c>
      <c r="K705" s="549"/>
    </row>
    <row r="706" spans="1:11" x14ac:dyDescent="0.25">
      <c r="A706" s="540"/>
      <c r="B706" s="540"/>
      <c r="C706" s="540"/>
      <c r="D706" s="540"/>
      <c r="E706" s="553"/>
      <c r="F706" s="540"/>
      <c r="G706" s="565" t="str">
        <f t="shared" si="25"/>
        <v/>
      </c>
      <c r="H706" s="605"/>
      <c r="I706" s="31"/>
      <c r="J706" s="606">
        <f t="shared" si="26"/>
        <v>0</v>
      </c>
      <c r="K706" s="549"/>
    </row>
    <row r="707" spans="1:11" x14ac:dyDescent="0.25">
      <c r="A707" s="540"/>
      <c r="B707" s="540"/>
      <c r="C707" s="540"/>
      <c r="D707" s="540"/>
      <c r="E707" s="553"/>
      <c r="F707" s="540"/>
      <c r="G707" s="565" t="str">
        <f t="shared" si="25"/>
        <v/>
      </c>
      <c r="H707" s="605"/>
      <c r="I707" s="31"/>
      <c r="J707" s="606">
        <f t="shared" si="26"/>
        <v>0</v>
      </c>
      <c r="K707" s="549"/>
    </row>
    <row r="708" spans="1:11" x14ac:dyDescent="0.25">
      <c r="A708" s="540"/>
      <c r="B708" s="540"/>
      <c r="C708" s="540"/>
      <c r="D708" s="540"/>
      <c r="E708" s="553"/>
      <c r="F708" s="540"/>
      <c r="G708" s="565" t="str">
        <f t="shared" si="25"/>
        <v/>
      </c>
      <c r="H708" s="605"/>
      <c r="I708" s="31"/>
      <c r="J708" s="606">
        <f t="shared" si="26"/>
        <v>0</v>
      </c>
      <c r="K708" s="549"/>
    </row>
    <row r="709" spans="1:11" x14ac:dyDescent="0.25">
      <c r="A709" s="540"/>
      <c r="B709" s="540"/>
      <c r="C709" s="540"/>
      <c r="D709" s="540"/>
      <c r="E709" s="553"/>
      <c r="F709" s="540"/>
      <c r="G709" s="565" t="str">
        <f t="shared" si="25"/>
        <v/>
      </c>
      <c r="H709" s="605"/>
      <c r="I709" s="31"/>
      <c r="J709" s="606">
        <f t="shared" si="26"/>
        <v>0</v>
      </c>
      <c r="K709" s="549"/>
    </row>
    <row r="710" spans="1:11" x14ac:dyDescent="0.25">
      <c r="A710" s="540"/>
      <c r="B710" s="540"/>
      <c r="C710" s="540"/>
      <c r="D710" s="540"/>
      <c r="E710" s="553"/>
      <c r="F710" s="540"/>
      <c r="G710" s="565" t="str">
        <f t="shared" si="25"/>
        <v/>
      </c>
      <c r="H710" s="605"/>
      <c r="I710" s="31"/>
      <c r="J710" s="606">
        <f t="shared" si="26"/>
        <v>0</v>
      </c>
      <c r="K710" s="549"/>
    </row>
    <row r="711" spans="1:11" x14ac:dyDescent="0.25">
      <c r="A711" s="540"/>
      <c r="B711" s="540"/>
      <c r="C711" s="540"/>
      <c r="D711" s="540"/>
      <c r="E711" s="553"/>
      <c r="F711" s="540"/>
      <c r="G711" s="565" t="str">
        <f t="shared" si="25"/>
        <v/>
      </c>
      <c r="H711" s="605"/>
      <c r="I711" s="31"/>
      <c r="J711" s="606">
        <f t="shared" si="26"/>
        <v>0</v>
      </c>
      <c r="K711" s="549"/>
    </row>
    <row r="712" spans="1:11" x14ac:dyDescent="0.25">
      <c r="A712" s="540"/>
      <c r="B712" s="540"/>
      <c r="C712" s="540"/>
      <c r="D712" s="540"/>
      <c r="E712" s="553"/>
      <c r="F712" s="540"/>
      <c r="G712" s="565" t="str">
        <f t="shared" si="25"/>
        <v/>
      </c>
      <c r="H712" s="605"/>
      <c r="I712" s="31"/>
      <c r="J712" s="606">
        <f t="shared" si="26"/>
        <v>0</v>
      </c>
      <c r="K712" s="549"/>
    </row>
    <row r="713" spans="1:11" x14ac:dyDescent="0.25">
      <c r="A713" s="540"/>
      <c r="B713" s="540"/>
      <c r="C713" s="540"/>
      <c r="D713" s="540"/>
      <c r="E713" s="553"/>
      <c r="F713" s="540"/>
      <c r="G713" s="565" t="str">
        <f t="shared" si="25"/>
        <v/>
      </c>
      <c r="H713" s="605"/>
      <c r="I713" s="31"/>
      <c r="J713" s="606">
        <f t="shared" si="26"/>
        <v>0</v>
      </c>
      <c r="K713" s="549"/>
    </row>
    <row r="714" spans="1:11" x14ac:dyDescent="0.25">
      <c r="A714" s="540"/>
      <c r="B714" s="540"/>
      <c r="C714" s="540"/>
      <c r="D714" s="540"/>
      <c r="E714" s="553"/>
      <c r="F714" s="540"/>
      <c r="G714" s="565" t="str">
        <f t="shared" si="25"/>
        <v/>
      </c>
      <c r="H714" s="605"/>
      <c r="I714" s="31"/>
      <c r="J714" s="606">
        <f t="shared" si="26"/>
        <v>0</v>
      </c>
      <c r="K714" s="549"/>
    </row>
    <row r="715" spans="1:11" x14ac:dyDescent="0.25">
      <c r="A715" s="540"/>
      <c r="B715" s="540"/>
      <c r="C715" s="540"/>
      <c r="D715" s="540"/>
      <c r="E715" s="553"/>
      <c r="F715" s="540"/>
      <c r="G715" s="565" t="str">
        <f t="shared" ref="G715:G724" si="27">IF(E715="","",IF(E715+$M$2&lt;$L$2,"VENCIDA","VIGENTE"))</f>
        <v/>
      </c>
      <c r="H715" s="605"/>
      <c r="I715" s="31"/>
      <c r="J715" s="606">
        <f t="shared" ref="J715:J724" si="28">H715-I715</f>
        <v>0</v>
      </c>
      <c r="K715" s="549"/>
    </row>
    <row r="716" spans="1:11" x14ac:dyDescent="0.25">
      <c r="A716" s="540"/>
      <c r="B716" s="540"/>
      <c r="C716" s="540"/>
      <c r="D716" s="540"/>
      <c r="E716" s="553"/>
      <c r="F716" s="540"/>
      <c r="G716" s="565" t="str">
        <f t="shared" si="27"/>
        <v/>
      </c>
      <c r="H716" s="605"/>
      <c r="I716" s="31"/>
      <c r="J716" s="606">
        <f t="shared" si="28"/>
        <v>0</v>
      </c>
      <c r="K716" s="549"/>
    </row>
    <row r="717" spans="1:11" x14ac:dyDescent="0.25">
      <c r="A717" s="540"/>
      <c r="B717" s="540"/>
      <c r="C717" s="540"/>
      <c r="D717" s="540"/>
      <c r="E717" s="553"/>
      <c r="F717" s="540"/>
      <c r="G717" s="565" t="str">
        <f t="shared" si="27"/>
        <v/>
      </c>
      <c r="H717" s="605"/>
      <c r="I717" s="31"/>
      <c r="J717" s="606">
        <f t="shared" si="28"/>
        <v>0</v>
      </c>
      <c r="K717" s="549"/>
    </row>
    <row r="718" spans="1:11" x14ac:dyDescent="0.25">
      <c r="A718" s="540"/>
      <c r="B718" s="540"/>
      <c r="C718" s="540"/>
      <c r="D718" s="540"/>
      <c r="E718" s="553"/>
      <c r="F718" s="540"/>
      <c r="G718" s="565" t="str">
        <f t="shared" si="27"/>
        <v/>
      </c>
      <c r="H718" s="605"/>
      <c r="I718" s="31"/>
      <c r="J718" s="606">
        <f t="shared" si="28"/>
        <v>0</v>
      </c>
      <c r="K718" s="549"/>
    </row>
    <row r="719" spans="1:11" x14ac:dyDescent="0.25">
      <c r="A719" s="540"/>
      <c r="B719" s="540"/>
      <c r="C719" s="540"/>
      <c r="D719" s="540"/>
      <c r="E719" s="553"/>
      <c r="F719" s="540"/>
      <c r="G719" s="565" t="str">
        <f t="shared" si="27"/>
        <v/>
      </c>
      <c r="H719" s="605"/>
      <c r="I719" s="31"/>
      <c r="J719" s="606">
        <f t="shared" si="28"/>
        <v>0</v>
      </c>
      <c r="K719" s="549"/>
    </row>
    <row r="720" spans="1:11" x14ac:dyDescent="0.25">
      <c r="A720" s="540"/>
      <c r="B720" s="540"/>
      <c r="C720" s="540"/>
      <c r="D720" s="540"/>
      <c r="E720" s="553"/>
      <c r="F720" s="540"/>
      <c r="G720" s="565" t="str">
        <f t="shared" si="27"/>
        <v/>
      </c>
      <c r="H720" s="605"/>
      <c r="I720" s="31"/>
      <c r="J720" s="606">
        <f t="shared" si="28"/>
        <v>0</v>
      </c>
      <c r="K720" s="549"/>
    </row>
    <row r="721" spans="1:11" x14ac:dyDescent="0.25">
      <c r="A721" s="540"/>
      <c r="B721" s="540"/>
      <c r="C721" s="540"/>
      <c r="D721" s="540"/>
      <c r="E721" s="553"/>
      <c r="F721" s="540"/>
      <c r="G721" s="565" t="str">
        <f t="shared" si="27"/>
        <v/>
      </c>
      <c r="H721" s="605"/>
      <c r="I721" s="31"/>
      <c r="J721" s="606">
        <f t="shared" si="28"/>
        <v>0</v>
      </c>
      <c r="K721" s="549"/>
    </row>
    <row r="722" spans="1:11" x14ac:dyDescent="0.25">
      <c r="A722" s="540"/>
      <c r="B722" s="540"/>
      <c r="C722" s="540"/>
      <c r="D722" s="540"/>
      <c r="E722" s="553"/>
      <c r="F722" s="540"/>
      <c r="G722" s="565" t="str">
        <f t="shared" si="27"/>
        <v/>
      </c>
      <c r="H722" s="605"/>
      <c r="I722" s="31"/>
      <c r="J722" s="606">
        <f t="shared" si="28"/>
        <v>0</v>
      </c>
      <c r="K722" s="549"/>
    </row>
    <row r="723" spans="1:11" x14ac:dyDescent="0.25">
      <c r="A723" s="540"/>
      <c r="B723" s="540"/>
      <c r="C723" s="540"/>
      <c r="D723" s="540"/>
      <c r="E723" s="553"/>
      <c r="F723" s="540"/>
      <c r="G723" s="565" t="str">
        <f t="shared" si="27"/>
        <v/>
      </c>
      <c r="H723" s="605"/>
      <c r="I723" s="31"/>
      <c r="J723" s="606">
        <f t="shared" si="28"/>
        <v>0</v>
      </c>
      <c r="K723" s="549"/>
    </row>
    <row r="724" spans="1:11" x14ac:dyDescent="0.25">
      <c r="A724" s="540"/>
      <c r="B724" s="540"/>
      <c r="C724" s="540"/>
      <c r="D724" s="540"/>
      <c r="E724" s="553"/>
      <c r="F724" s="540"/>
      <c r="G724" s="565" t="str">
        <f t="shared" si="27"/>
        <v/>
      </c>
      <c r="H724" s="605"/>
      <c r="I724" s="31"/>
      <c r="J724" s="606">
        <f t="shared" si="28"/>
        <v>0</v>
      </c>
      <c r="K724" s="549"/>
    </row>
  </sheetData>
  <autoFilter ref="B1:B76"/>
  <mergeCells count="69">
    <mergeCell ref="I42:I43"/>
    <mergeCell ref="J42:J43"/>
    <mergeCell ref="K42:K43"/>
    <mergeCell ref="A42:A43"/>
    <mergeCell ref="B42:B43"/>
    <mergeCell ref="C42:C43"/>
    <mergeCell ref="H42:H43"/>
    <mergeCell ref="A45:A46"/>
    <mergeCell ref="B45:B46"/>
    <mergeCell ref="C45:C46"/>
    <mergeCell ref="H45:H46"/>
    <mergeCell ref="I45:I46"/>
    <mergeCell ref="J45:J46"/>
    <mergeCell ref="K45:K46"/>
    <mergeCell ref="K40:K41"/>
    <mergeCell ref="H1:H2"/>
    <mergeCell ref="I1:I2"/>
    <mergeCell ref="J1:J2"/>
    <mergeCell ref="J32:J34"/>
    <mergeCell ref="K32:K34"/>
    <mergeCell ref="K20:K30"/>
    <mergeCell ref="J20:J30"/>
    <mergeCell ref="K6:K10"/>
    <mergeCell ref="J11:J18"/>
    <mergeCell ref="K11:K18"/>
    <mergeCell ref="J6:J10"/>
    <mergeCell ref="J3:J5"/>
    <mergeCell ref="K3:K5"/>
    <mergeCell ref="A32:A34"/>
    <mergeCell ref="B32:B34"/>
    <mergeCell ref="C32:C34"/>
    <mergeCell ref="H32:H34"/>
    <mergeCell ref="I32:I34"/>
    <mergeCell ref="H11:H18"/>
    <mergeCell ref="I11:I18"/>
    <mergeCell ref="A20:A30"/>
    <mergeCell ref="B20:B30"/>
    <mergeCell ref="C20:C30"/>
    <mergeCell ref="H20:H30"/>
    <mergeCell ref="I20:I30"/>
    <mergeCell ref="A1:A2"/>
    <mergeCell ref="B1:B2"/>
    <mergeCell ref="C1:C2"/>
    <mergeCell ref="D1:G1"/>
    <mergeCell ref="A3:A5"/>
    <mergeCell ref="B3:B5"/>
    <mergeCell ref="C3:C5"/>
    <mergeCell ref="H3:H5"/>
    <mergeCell ref="I3:I5"/>
    <mergeCell ref="B35:B36"/>
    <mergeCell ref="A35:A36"/>
    <mergeCell ref="J35:J36"/>
    <mergeCell ref="I35:I36"/>
    <mergeCell ref="H35:H36"/>
    <mergeCell ref="C35:C36"/>
    <mergeCell ref="A6:A10"/>
    <mergeCell ref="B6:B10"/>
    <mergeCell ref="C6:C10"/>
    <mergeCell ref="H6:H10"/>
    <mergeCell ref="I6:I10"/>
    <mergeCell ref="A11:A18"/>
    <mergeCell ref="B11:B18"/>
    <mergeCell ref="C11:C18"/>
    <mergeCell ref="A40:A41"/>
    <mergeCell ref="H40:H41"/>
    <mergeCell ref="I40:I41"/>
    <mergeCell ref="J40:J41"/>
    <mergeCell ref="C40:C41"/>
    <mergeCell ref="B40:B41"/>
  </mergeCells>
  <conditionalFormatting sqref="G3:G724">
    <cfRule type="expression" dxfId="1" priority="123">
      <formula>G3="VIGENTE"</formula>
    </cfRule>
    <cfRule type="expression" dxfId="0" priority="124">
      <formula>G3="VENCIDA"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31"/>
  <sheetViews>
    <sheetView workbookViewId="0">
      <selection activeCell="D10" sqref="D10"/>
    </sheetView>
  </sheetViews>
  <sheetFormatPr baseColWidth="10" defaultRowHeight="15" x14ac:dyDescent="0.25"/>
  <cols>
    <col min="2" max="8" width="16.7109375" style="282" customWidth="1"/>
  </cols>
  <sheetData>
    <row r="2" spans="2:8" ht="20.100000000000001" customHeight="1" x14ac:dyDescent="0.25">
      <c r="B2" s="611" t="s">
        <v>796</v>
      </c>
      <c r="C2" s="611" t="s">
        <v>797</v>
      </c>
      <c r="D2" s="611" t="s">
        <v>798</v>
      </c>
      <c r="E2" s="611" t="s">
        <v>799</v>
      </c>
      <c r="F2" s="611" t="s">
        <v>800</v>
      </c>
      <c r="G2" s="611" t="s">
        <v>808</v>
      </c>
      <c r="H2" s="611" t="s">
        <v>801</v>
      </c>
    </row>
    <row r="3" spans="2:8" ht="30" x14ac:dyDescent="0.25">
      <c r="B3" s="608"/>
      <c r="C3" s="608" t="s">
        <v>818</v>
      </c>
      <c r="D3" s="608" t="s">
        <v>824</v>
      </c>
      <c r="E3" s="608"/>
      <c r="F3" s="608"/>
      <c r="G3" s="608"/>
      <c r="H3" s="608"/>
    </row>
    <row r="4" spans="2:8" x14ac:dyDescent="0.25">
      <c r="B4" s="608"/>
      <c r="C4" s="608"/>
      <c r="D4" s="608"/>
      <c r="E4" s="608"/>
      <c r="F4" s="608"/>
      <c r="G4" s="608"/>
      <c r="H4" s="608"/>
    </row>
    <row r="5" spans="2:8" x14ac:dyDescent="0.25">
      <c r="B5" s="608"/>
      <c r="C5" s="608"/>
      <c r="D5" s="608"/>
      <c r="E5" s="608"/>
      <c r="F5" s="608"/>
      <c r="G5" s="608"/>
      <c r="H5" s="608"/>
    </row>
    <row r="6" spans="2:8" x14ac:dyDescent="0.25">
      <c r="B6" s="608"/>
      <c r="C6" s="608"/>
      <c r="D6" s="608"/>
      <c r="E6" s="608"/>
      <c r="F6" s="608"/>
      <c r="G6" s="608"/>
      <c r="H6" s="608"/>
    </row>
    <row r="7" spans="2:8" x14ac:dyDescent="0.25">
      <c r="B7" s="608"/>
      <c r="C7" s="608"/>
      <c r="D7" s="608"/>
      <c r="E7" s="608"/>
      <c r="F7" s="608"/>
      <c r="G7" s="608"/>
      <c r="H7" s="608"/>
    </row>
    <row r="8" spans="2:8" x14ac:dyDescent="0.25">
      <c r="B8" s="608"/>
      <c r="C8" s="608"/>
      <c r="D8" s="608"/>
      <c r="E8" s="608"/>
      <c r="F8" s="608"/>
      <c r="G8" s="608"/>
      <c r="H8" s="608"/>
    </row>
    <row r="9" spans="2:8" x14ac:dyDescent="0.25">
      <c r="B9" s="608"/>
      <c r="C9" s="608"/>
      <c r="D9" s="608"/>
      <c r="E9" s="608"/>
      <c r="F9" s="608"/>
      <c r="G9" s="608"/>
      <c r="H9" s="608"/>
    </row>
    <row r="10" spans="2:8" x14ac:dyDescent="0.25">
      <c r="B10" s="608"/>
      <c r="C10" s="608"/>
      <c r="D10" s="608"/>
      <c r="E10" s="608"/>
      <c r="F10" s="608"/>
      <c r="G10" s="608"/>
      <c r="H10" s="608"/>
    </row>
    <row r="11" spans="2:8" x14ac:dyDescent="0.25">
      <c r="B11" s="608"/>
      <c r="C11" s="608"/>
      <c r="D11" s="608"/>
      <c r="E11" s="608"/>
      <c r="F11" s="608"/>
      <c r="G11" s="608"/>
      <c r="H11" s="608"/>
    </row>
    <row r="12" spans="2:8" x14ac:dyDescent="0.25">
      <c r="B12" s="608"/>
      <c r="C12" s="608"/>
      <c r="D12" s="608"/>
      <c r="E12" s="608"/>
      <c r="F12" s="608"/>
      <c r="G12" s="608"/>
      <c r="H12" s="608"/>
    </row>
    <row r="13" spans="2:8" x14ac:dyDescent="0.25">
      <c r="B13" s="608"/>
      <c r="C13" s="608"/>
      <c r="D13" s="608"/>
      <c r="E13" s="608"/>
      <c r="F13" s="608"/>
      <c r="G13" s="608"/>
      <c r="H13" s="608"/>
    </row>
    <row r="14" spans="2:8" x14ac:dyDescent="0.25">
      <c r="B14" s="608"/>
      <c r="C14" s="608"/>
      <c r="D14" s="608"/>
      <c r="E14" s="608"/>
      <c r="F14" s="608"/>
      <c r="G14" s="608"/>
      <c r="H14" s="608"/>
    </row>
    <row r="15" spans="2:8" x14ac:dyDescent="0.25">
      <c r="B15" s="608"/>
      <c r="C15" s="608"/>
      <c r="D15" s="608"/>
      <c r="E15" s="608"/>
      <c r="F15" s="608"/>
      <c r="G15" s="608"/>
      <c r="H15" s="608"/>
    </row>
    <row r="16" spans="2:8" x14ac:dyDescent="0.25">
      <c r="B16" s="608"/>
      <c r="C16" s="608"/>
      <c r="D16" s="608"/>
      <c r="E16" s="608"/>
      <c r="F16" s="608"/>
      <c r="G16" s="608"/>
      <c r="H16" s="608"/>
    </row>
    <row r="17" spans="2:8" x14ac:dyDescent="0.25">
      <c r="B17" s="608"/>
      <c r="C17" s="608"/>
      <c r="D17" s="608"/>
      <c r="E17" s="608"/>
      <c r="F17" s="608"/>
      <c r="G17" s="608"/>
      <c r="H17" s="608"/>
    </row>
    <row r="18" spans="2:8" x14ac:dyDescent="0.25">
      <c r="B18" s="608"/>
      <c r="C18" s="608"/>
      <c r="D18" s="608"/>
      <c r="E18" s="608"/>
      <c r="F18" s="608"/>
      <c r="G18" s="608"/>
      <c r="H18" s="608"/>
    </row>
    <row r="19" spans="2:8" x14ac:dyDescent="0.25">
      <c r="B19" s="608"/>
      <c r="C19" s="608"/>
      <c r="D19" s="608"/>
      <c r="E19" s="608"/>
      <c r="F19" s="608"/>
      <c r="G19" s="608"/>
      <c r="H19" s="608"/>
    </row>
    <row r="20" spans="2:8" x14ac:dyDescent="0.25">
      <c r="B20" s="608"/>
      <c r="C20" s="608"/>
      <c r="D20" s="608"/>
      <c r="E20" s="608"/>
      <c r="F20" s="608"/>
      <c r="G20" s="608"/>
      <c r="H20" s="608"/>
    </row>
    <row r="21" spans="2:8" x14ac:dyDescent="0.25">
      <c r="B21" s="608"/>
      <c r="C21" s="608"/>
      <c r="D21" s="608"/>
      <c r="E21" s="608"/>
      <c r="F21" s="608"/>
      <c r="G21" s="608"/>
      <c r="H21" s="608"/>
    </row>
    <row r="22" spans="2:8" x14ac:dyDescent="0.25">
      <c r="B22" s="608"/>
      <c r="C22" s="608"/>
      <c r="D22" s="608"/>
      <c r="E22" s="608"/>
      <c r="F22" s="608"/>
      <c r="G22" s="608"/>
      <c r="H22" s="608"/>
    </row>
    <row r="23" spans="2:8" x14ac:dyDescent="0.25">
      <c r="B23" s="608"/>
      <c r="C23" s="608"/>
      <c r="D23" s="608"/>
      <c r="E23" s="608"/>
      <c r="F23" s="608"/>
      <c r="G23" s="608"/>
      <c r="H23" s="608"/>
    </row>
    <row r="24" spans="2:8" x14ac:dyDescent="0.25">
      <c r="B24" s="608"/>
      <c r="C24" s="608"/>
      <c r="D24" s="608"/>
      <c r="E24" s="608"/>
      <c r="F24" s="608"/>
      <c r="G24" s="608"/>
      <c r="H24" s="608"/>
    </row>
    <row r="25" spans="2:8" x14ac:dyDescent="0.25">
      <c r="B25" s="608"/>
      <c r="C25" s="608"/>
      <c r="D25" s="608"/>
      <c r="E25" s="608"/>
      <c r="F25" s="608"/>
      <c r="G25" s="608"/>
      <c r="H25" s="608"/>
    </row>
    <row r="26" spans="2:8" x14ac:dyDescent="0.25">
      <c r="B26" s="608"/>
      <c r="C26" s="608"/>
      <c r="D26" s="608"/>
      <c r="E26" s="608"/>
      <c r="F26" s="608"/>
      <c r="G26" s="608"/>
      <c r="H26" s="608"/>
    </row>
    <row r="27" spans="2:8" x14ac:dyDescent="0.25">
      <c r="B27" s="608"/>
      <c r="C27" s="608"/>
      <c r="D27" s="608"/>
      <c r="E27" s="608"/>
      <c r="F27" s="608"/>
      <c r="G27" s="608"/>
      <c r="H27" s="608"/>
    </row>
    <row r="28" spans="2:8" x14ac:dyDescent="0.25">
      <c r="B28" s="608"/>
      <c r="C28" s="608"/>
      <c r="D28" s="608"/>
      <c r="E28" s="608"/>
      <c r="F28" s="608"/>
      <c r="G28" s="608"/>
      <c r="H28" s="608"/>
    </row>
    <row r="29" spans="2:8" x14ac:dyDescent="0.25">
      <c r="B29" s="608"/>
      <c r="C29" s="608"/>
      <c r="D29" s="608"/>
      <c r="E29" s="608"/>
      <c r="F29" s="608"/>
      <c r="G29" s="608"/>
      <c r="H29" s="608"/>
    </row>
    <row r="30" spans="2:8" x14ac:dyDescent="0.25">
      <c r="B30" s="608"/>
      <c r="C30" s="608"/>
      <c r="D30" s="608"/>
      <c r="E30" s="608"/>
      <c r="F30" s="608"/>
      <c r="G30" s="608"/>
      <c r="H30" s="608"/>
    </row>
    <row r="31" spans="2:8" x14ac:dyDescent="0.25">
      <c r="B31" s="608"/>
      <c r="C31" s="608"/>
      <c r="D31" s="608"/>
      <c r="E31" s="608"/>
      <c r="F31" s="608"/>
      <c r="G31" s="608"/>
      <c r="H31" s="608"/>
    </row>
  </sheetData>
  <pageMargins left="0.7" right="0.7" top="0.75" bottom="0.75" header="0.3" footer="0.3"/>
  <pageSetup paperSize="0" orientation="portrait" horizontalDpi="203" verticalDpi="203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H142"/>
  <sheetViews>
    <sheetView topLeftCell="A33" zoomScaleNormal="100" workbookViewId="0">
      <selection activeCell="I52" sqref="I52"/>
    </sheetView>
  </sheetViews>
  <sheetFormatPr baseColWidth="10" defaultRowHeight="15" x14ac:dyDescent="0.25"/>
  <cols>
    <col min="8" max="8" width="13.140625" customWidth="1"/>
  </cols>
  <sheetData>
    <row r="1" spans="1:8" hidden="1" x14ac:dyDescent="0.25"/>
    <row r="2" spans="1:8" hidden="1" x14ac:dyDescent="0.25">
      <c r="A2" s="286"/>
      <c r="B2" s="285" t="s">
        <v>296</v>
      </c>
      <c r="C2" s="889" t="s">
        <v>304</v>
      </c>
      <c r="D2" s="889"/>
      <c r="E2" s="889"/>
      <c r="F2" s="889"/>
      <c r="G2" s="286"/>
      <c r="H2" s="286"/>
    </row>
    <row r="3" spans="1:8" hidden="1" x14ac:dyDescent="0.25">
      <c r="A3" s="286"/>
      <c r="B3" s="285" t="s">
        <v>297</v>
      </c>
      <c r="C3" s="891">
        <v>44830</v>
      </c>
      <c r="D3" s="889"/>
      <c r="E3" s="889"/>
      <c r="F3" s="889"/>
      <c r="G3" s="286"/>
      <c r="H3" s="286"/>
    </row>
    <row r="4" spans="1:8" hidden="1" x14ac:dyDescent="0.25">
      <c r="A4" s="286"/>
      <c r="B4" s="286"/>
      <c r="C4" s="286"/>
      <c r="D4" s="286"/>
      <c r="E4" s="286"/>
      <c r="F4" s="286"/>
      <c r="G4" s="286"/>
      <c r="H4" s="286"/>
    </row>
    <row r="5" spans="1:8" hidden="1" x14ac:dyDescent="0.25">
      <c r="A5" s="286"/>
      <c r="B5" s="287" t="s">
        <v>298</v>
      </c>
      <c r="C5" s="890" t="s">
        <v>2</v>
      </c>
      <c r="D5" s="890"/>
      <c r="E5" s="890"/>
      <c r="F5" s="890"/>
      <c r="G5" s="287" t="s">
        <v>299</v>
      </c>
      <c r="H5" s="287" t="s">
        <v>239</v>
      </c>
    </row>
    <row r="6" spans="1:8" hidden="1" x14ac:dyDescent="0.25">
      <c r="A6" s="286"/>
      <c r="B6" s="287">
        <v>1</v>
      </c>
      <c r="C6" s="890" t="s">
        <v>305</v>
      </c>
      <c r="D6" s="890"/>
      <c r="E6" s="890"/>
      <c r="F6" s="890"/>
      <c r="G6" s="287">
        <v>80</v>
      </c>
      <c r="H6" s="287">
        <f>G6*B6</f>
        <v>80</v>
      </c>
    </row>
    <row r="7" spans="1:8" hidden="1" x14ac:dyDescent="0.25">
      <c r="A7" s="286"/>
      <c r="B7" s="287"/>
      <c r="C7" s="890"/>
      <c r="D7" s="890"/>
      <c r="E7" s="890"/>
      <c r="F7" s="890"/>
      <c r="G7" s="287"/>
      <c r="H7" s="287">
        <f t="shared" ref="H7:H15" si="0">G7*B7</f>
        <v>0</v>
      </c>
    </row>
    <row r="8" spans="1:8" hidden="1" x14ac:dyDescent="0.25">
      <c r="A8" s="286"/>
      <c r="B8" s="287"/>
      <c r="C8" s="890"/>
      <c r="D8" s="890"/>
      <c r="E8" s="890"/>
      <c r="F8" s="890"/>
      <c r="G8" s="287"/>
      <c r="H8" s="287">
        <f t="shared" si="0"/>
        <v>0</v>
      </c>
    </row>
    <row r="9" spans="1:8" hidden="1" x14ac:dyDescent="0.25">
      <c r="A9" s="286"/>
      <c r="B9" s="287"/>
      <c r="C9" s="890"/>
      <c r="D9" s="890"/>
      <c r="E9" s="890"/>
      <c r="F9" s="890"/>
      <c r="G9" s="287"/>
      <c r="H9" s="287">
        <f t="shared" si="0"/>
        <v>0</v>
      </c>
    </row>
    <row r="10" spans="1:8" hidden="1" x14ac:dyDescent="0.25">
      <c r="A10" s="286"/>
      <c r="B10" s="287"/>
      <c r="C10" s="890"/>
      <c r="D10" s="890"/>
      <c r="E10" s="890"/>
      <c r="F10" s="890"/>
      <c r="G10" s="287"/>
      <c r="H10" s="287">
        <f t="shared" si="0"/>
        <v>0</v>
      </c>
    </row>
    <row r="11" spans="1:8" hidden="1" x14ac:dyDescent="0.25">
      <c r="A11" s="286"/>
      <c r="B11" s="287"/>
      <c r="C11" s="890"/>
      <c r="D11" s="890"/>
      <c r="E11" s="890"/>
      <c r="F11" s="890"/>
      <c r="G11" s="287"/>
      <c r="H11" s="287">
        <f t="shared" si="0"/>
        <v>0</v>
      </c>
    </row>
    <row r="12" spans="1:8" hidden="1" x14ac:dyDescent="0.25">
      <c r="A12" s="286"/>
      <c r="B12" s="287"/>
      <c r="C12" s="890"/>
      <c r="D12" s="890"/>
      <c r="E12" s="890"/>
      <c r="F12" s="890"/>
      <c r="G12" s="287"/>
      <c r="H12" s="287">
        <f t="shared" si="0"/>
        <v>0</v>
      </c>
    </row>
    <row r="13" spans="1:8" hidden="1" x14ac:dyDescent="0.25">
      <c r="A13" s="286"/>
      <c r="B13" s="287"/>
      <c r="C13" s="890"/>
      <c r="D13" s="890"/>
      <c r="E13" s="890"/>
      <c r="F13" s="890"/>
      <c r="G13" s="287"/>
      <c r="H13" s="287">
        <f t="shared" si="0"/>
        <v>0</v>
      </c>
    </row>
    <row r="14" spans="1:8" hidden="1" x14ac:dyDescent="0.25">
      <c r="A14" s="286"/>
      <c r="B14" s="287"/>
      <c r="C14" s="890"/>
      <c r="D14" s="890"/>
      <c r="E14" s="890"/>
      <c r="F14" s="890"/>
      <c r="G14" s="287"/>
      <c r="H14" s="287">
        <f t="shared" si="0"/>
        <v>0</v>
      </c>
    </row>
    <row r="15" spans="1:8" hidden="1" x14ac:dyDescent="0.25">
      <c r="A15" s="286"/>
      <c r="B15" s="287"/>
      <c r="C15" s="890"/>
      <c r="D15" s="890"/>
      <c r="E15" s="890"/>
      <c r="F15" s="890"/>
      <c r="G15" s="287"/>
      <c r="H15" s="287">
        <f t="shared" si="0"/>
        <v>0</v>
      </c>
    </row>
    <row r="16" spans="1:8" hidden="1" x14ac:dyDescent="0.25">
      <c r="A16" s="286"/>
      <c r="B16" s="288"/>
      <c r="C16" s="288"/>
      <c r="D16" s="288"/>
      <c r="E16" s="288"/>
      <c r="F16" s="288"/>
      <c r="G16" s="288"/>
      <c r="H16" s="287">
        <f>SUM(H6:H15)</f>
        <v>80</v>
      </c>
    </row>
    <row r="17" spans="1:8" hidden="1" x14ac:dyDescent="0.25"/>
    <row r="18" spans="1:8" hidden="1" x14ac:dyDescent="0.25">
      <c r="A18" s="286"/>
      <c r="B18" s="285" t="s">
        <v>296</v>
      </c>
      <c r="C18" s="889" t="s">
        <v>291</v>
      </c>
      <c r="D18" s="889"/>
      <c r="E18" s="889"/>
      <c r="F18" s="889"/>
      <c r="G18" s="286"/>
      <c r="H18" s="286"/>
    </row>
    <row r="19" spans="1:8" hidden="1" x14ac:dyDescent="0.25">
      <c r="A19" s="286"/>
      <c r="B19" s="285" t="s">
        <v>297</v>
      </c>
      <c r="C19" s="891">
        <v>44855</v>
      </c>
      <c r="D19" s="889"/>
      <c r="E19" s="889"/>
      <c r="F19" s="889"/>
      <c r="G19" s="286"/>
      <c r="H19" s="286"/>
    </row>
    <row r="20" spans="1:8" hidden="1" x14ac:dyDescent="0.25">
      <c r="A20" s="286"/>
      <c r="B20" s="286"/>
      <c r="C20" s="286"/>
      <c r="D20" s="286"/>
      <c r="E20" s="286"/>
      <c r="F20" s="286"/>
      <c r="G20" s="286"/>
      <c r="H20" s="286"/>
    </row>
    <row r="21" spans="1:8" hidden="1" x14ac:dyDescent="0.25">
      <c r="A21" s="286"/>
      <c r="B21" s="287" t="s">
        <v>298</v>
      </c>
      <c r="C21" s="890" t="s">
        <v>2</v>
      </c>
      <c r="D21" s="890"/>
      <c r="E21" s="890"/>
      <c r="F21" s="890"/>
      <c r="G21" s="287" t="s">
        <v>299</v>
      </c>
      <c r="H21" s="287" t="s">
        <v>239</v>
      </c>
    </row>
    <row r="22" spans="1:8" hidden="1" x14ac:dyDescent="0.25">
      <c r="A22" s="286"/>
      <c r="B22" s="287">
        <v>1</v>
      </c>
      <c r="C22" s="890" t="s">
        <v>309</v>
      </c>
      <c r="D22" s="890"/>
      <c r="E22" s="890"/>
      <c r="F22" s="890"/>
      <c r="G22" s="287">
        <v>9</v>
      </c>
      <c r="H22" s="287">
        <f>G22*B22</f>
        <v>9</v>
      </c>
    </row>
    <row r="23" spans="1:8" hidden="1" x14ac:dyDescent="0.25">
      <c r="A23" s="286"/>
      <c r="B23" s="287"/>
      <c r="C23" s="890"/>
      <c r="D23" s="890"/>
      <c r="E23" s="890"/>
      <c r="F23" s="890"/>
      <c r="G23" s="287"/>
      <c r="H23" s="287">
        <f t="shared" ref="H23:H31" si="1">G23*B23</f>
        <v>0</v>
      </c>
    </row>
    <row r="24" spans="1:8" hidden="1" x14ac:dyDescent="0.25">
      <c r="A24" s="286"/>
      <c r="B24" s="287"/>
      <c r="C24" s="890"/>
      <c r="D24" s="890"/>
      <c r="E24" s="890"/>
      <c r="F24" s="890"/>
      <c r="G24" s="287"/>
      <c r="H24" s="287">
        <f t="shared" si="1"/>
        <v>0</v>
      </c>
    </row>
    <row r="25" spans="1:8" hidden="1" x14ac:dyDescent="0.25">
      <c r="A25" s="286"/>
      <c r="B25" s="287"/>
      <c r="C25" s="890"/>
      <c r="D25" s="890"/>
      <c r="E25" s="890"/>
      <c r="F25" s="890"/>
      <c r="G25" s="287"/>
      <c r="H25" s="287">
        <f t="shared" si="1"/>
        <v>0</v>
      </c>
    </row>
    <row r="26" spans="1:8" hidden="1" x14ac:dyDescent="0.25">
      <c r="A26" s="286"/>
      <c r="B26" s="287"/>
      <c r="C26" s="890"/>
      <c r="D26" s="890"/>
      <c r="E26" s="890"/>
      <c r="F26" s="890"/>
      <c r="G26" s="287"/>
      <c r="H26" s="287">
        <f t="shared" si="1"/>
        <v>0</v>
      </c>
    </row>
    <row r="27" spans="1:8" hidden="1" x14ac:dyDescent="0.25">
      <c r="A27" s="286"/>
      <c r="B27" s="287"/>
      <c r="C27" s="890"/>
      <c r="D27" s="890"/>
      <c r="E27" s="890"/>
      <c r="F27" s="890"/>
      <c r="G27" s="287"/>
      <c r="H27" s="287">
        <f t="shared" si="1"/>
        <v>0</v>
      </c>
    </row>
    <row r="28" spans="1:8" hidden="1" x14ac:dyDescent="0.25">
      <c r="A28" s="286"/>
      <c r="B28" s="287"/>
      <c r="C28" s="890"/>
      <c r="D28" s="890"/>
      <c r="E28" s="890"/>
      <c r="F28" s="890"/>
      <c r="G28" s="287"/>
      <c r="H28" s="287">
        <f t="shared" si="1"/>
        <v>0</v>
      </c>
    </row>
    <row r="29" spans="1:8" hidden="1" x14ac:dyDescent="0.25">
      <c r="A29" s="286"/>
      <c r="B29" s="287"/>
      <c r="C29" s="890"/>
      <c r="D29" s="890"/>
      <c r="E29" s="890"/>
      <c r="F29" s="890"/>
      <c r="G29" s="287"/>
      <c r="H29" s="287">
        <f t="shared" si="1"/>
        <v>0</v>
      </c>
    </row>
    <row r="30" spans="1:8" hidden="1" x14ac:dyDescent="0.25">
      <c r="A30" s="286"/>
      <c r="B30" s="287"/>
      <c r="C30" s="890"/>
      <c r="D30" s="890"/>
      <c r="E30" s="890"/>
      <c r="F30" s="890"/>
      <c r="G30" s="287"/>
      <c r="H30" s="287">
        <f t="shared" si="1"/>
        <v>0</v>
      </c>
    </row>
    <row r="31" spans="1:8" hidden="1" x14ac:dyDescent="0.25">
      <c r="A31" s="286"/>
      <c r="B31" s="287"/>
      <c r="C31" s="890"/>
      <c r="D31" s="890"/>
      <c r="E31" s="890"/>
      <c r="F31" s="890"/>
      <c r="G31" s="287"/>
      <c r="H31" s="287">
        <f t="shared" si="1"/>
        <v>0</v>
      </c>
    </row>
    <row r="32" spans="1:8" hidden="1" x14ac:dyDescent="0.25">
      <c r="A32" s="286"/>
      <c r="B32" s="288"/>
      <c r="C32" s="288"/>
      <c r="D32" s="288"/>
      <c r="E32" s="288"/>
      <c r="F32" s="288"/>
      <c r="G32" s="288"/>
      <c r="H32" s="287">
        <f>SUM(H22:H31)</f>
        <v>9</v>
      </c>
    </row>
    <row r="34" spans="1:8" x14ac:dyDescent="0.25">
      <c r="A34" s="286"/>
      <c r="B34" s="285" t="s">
        <v>296</v>
      </c>
      <c r="C34" s="889" t="s">
        <v>292</v>
      </c>
      <c r="D34" s="889"/>
      <c r="E34" s="889"/>
      <c r="F34" s="889"/>
      <c r="G34" s="286"/>
      <c r="H34" s="286"/>
    </row>
    <row r="35" spans="1:8" x14ac:dyDescent="0.25">
      <c r="A35" s="286"/>
      <c r="B35" s="285" t="s">
        <v>297</v>
      </c>
      <c r="C35" s="891"/>
      <c r="D35" s="889"/>
      <c r="E35" s="889"/>
      <c r="F35" s="889"/>
      <c r="G35" s="286"/>
      <c r="H35" s="286"/>
    </row>
    <row r="36" spans="1:8" x14ac:dyDescent="0.25">
      <c r="A36" s="286"/>
      <c r="B36" s="286"/>
      <c r="C36" s="286"/>
      <c r="D36" s="286"/>
      <c r="E36" s="286"/>
      <c r="F36" s="286"/>
      <c r="G36" s="286"/>
      <c r="H36" s="286"/>
    </row>
    <row r="37" spans="1:8" x14ac:dyDescent="0.25">
      <c r="A37" s="286"/>
      <c r="B37" s="287" t="s">
        <v>298</v>
      </c>
      <c r="C37" s="890" t="s">
        <v>2</v>
      </c>
      <c r="D37" s="890"/>
      <c r="E37" s="890"/>
      <c r="F37" s="890"/>
      <c r="G37" s="287" t="s">
        <v>299</v>
      </c>
      <c r="H37" s="287" t="s">
        <v>239</v>
      </c>
    </row>
    <row r="38" spans="1:8" x14ac:dyDescent="0.25">
      <c r="A38" s="286"/>
      <c r="B38" s="287">
        <v>2</v>
      </c>
      <c r="C38" s="890" t="s">
        <v>308</v>
      </c>
      <c r="D38" s="890"/>
      <c r="E38" s="890"/>
      <c r="F38" s="890"/>
      <c r="G38" s="287">
        <v>130</v>
      </c>
      <c r="H38" s="287">
        <f>G38*B38</f>
        <v>260</v>
      </c>
    </row>
    <row r="39" spans="1:8" x14ac:dyDescent="0.25">
      <c r="A39" s="286"/>
      <c r="B39" s="287"/>
      <c r="C39" s="890"/>
      <c r="D39" s="890"/>
      <c r="E39" s="890"/>
      <c r="F39" s="890"/>
      <c r="G39" s="287"/>
      <c r="H39" s="287">
        <f t="shared" ref="H39:H47" si="2">G39*B39</f>
        <v>0</v>
      </c>
    </row>
    <row r="40" spans="1:8" x14ac:dyDescent="0.25">
      <c r="A40" s="286"/>
      <c r="B40" s="287"/>
      <c r="C40" s="890"/>
      <c r="D40" s="890"/>
      <c r="E40" s="890"/>
      <c r="F40" s="890"/>
      <c r="G40" s="287"/>
      <c r="H40" s="287">
        <f t="shared" si="2"/>
        <v>0</v>
      </c>
    </row>
    <row r="41" spans="1:8" x14ac:dyDescent="0.25">
      <c r="A41" s="286"/>
      <c r="B41" s="287"/>
      <c r="C41" s="890"/>
      <c r="D41" s="890"/>
      <c r="E41" s="890"/>
      <c r="F41" s="890"/>
      <c r="G41" s="287"/>
      <c r="H41" s="287">
        <f t="shared" si="2"/>
        <v>0</v>
      </c>
    </row>
    <row r="42" spans="1:8" x14ac:dyDescent="0.25">
      <c r="A42" s="286"/>
      <c r="B42" s="287"/>
      <c r="C42" s="890"/>
      <c r="D42" s="890"/>
      <c r="E42" s="890"/>
      <c r="F42" s="890"/>
      <c r="G42" s="287"/>
      <c r="H42" s="287">
        <f t="shared" si="2"/>
        <v>0</v>
      </c>
    </row>
    <row r="43" spans="1:8" x14ac:dyDescent="0.25">
      <c r="A43" s="286"/>
      <c r="B43" s="287"/>
      <c r="C43" s="890"/>
      <c r="D43" s="890"/>
      <c r="E43" s="890"/>
      <c r="F43" s="890"/>
      <c r="G43" s="287"/>
      <c r="H43" s="287">
        <f t="shared" si="2"/>
        <v>0</v>
      </c>
    </row>
    <row r="44" spans="1:8" x14ac:dyDescent="0.25">
      <c r="A44" s="286"/>
      <c r="B44" s="287"/>
      <c r="C44" s="890"/>
      <c r="D44" s="890"/>
      <c r="E44" s="890"/>
      <c r="F44" s="890"/>
      <c r="G44" s="287"/>
      <c r="H44" s="287">
        <f t="shared" si="2"/>
        <v>0</v>
      </c>
    </row>
    <row r="45" spans="1:8" x14ac:dyDescent="0.25">
      <c r="A45" s="286"/>
      <c r="B45" s="287"/>
      <c r="C45" s="890"/>
      <c r="D45" s="890"/>
      <c r="E45" s="890"/>
      <c r="F45" s="890"/>
      <c r="G45" s="287"/>
      <c r="H45" s="287">
        <f t="shared" si="2"/>
        <v>0</v>
      </c>
    </row>
    <row r="46" spans="1:8" x14ac:dyDescent="0.25">
      <c r="A46" s="286"/>
      <c r="B46" s="287"/>
      <c r="C46" s="890"/>
      <c r="D46" s="890"/>
      <c r="E46" s="890"/>
      <c r="F46" s="890"/>
      <c r="G46" s="287"/>
      <c r="H46" s="287">
        <f t="shared" si="2"/>
        <v>0</v>
      </c>
    </row>
    <row r="47" spans="1:8" x14ac:dyDescent="0.25">
      <c r="A47" s="286"/>
      <c r="B47" s="287"/>
      <c r="C47" s="890"/>
      <c r="D47" s="890"/>
      <c r="E47" s="890"/>
      <c r="F47" s="890"/>
      <c r="G47" s="287"/>
      <c r="H47" s="287">
        <f t="shared" si="2"/>
        <v>0</v>
      </c>
    </row>
    <row r="48" spans="1:8" x14ac:dyDescent="0.25">
      <c r="A48" s="286"/>
      <c r="B48" s="288"/>
      <c r="C48" s="288"/>
      <c r="D48" s="288"/>
      <c r="E48" s="288"/>
      <c r="F48" s="288"/>
      <c r="G48" s="288"/>
      <c r="H48" s="287">
        <f>SUM(H38:H47)</f>
        <v>260</v>
      </c>
    </row>
    <row r="50" spans="1:8" x14ac:dyDescent="0.25">
      <c r="A50" s="289"/>
      <c r="B50" s="314" t="s">
        <v>296</v>
      </c>
      <c r="C50" s="887" t="s">
        <v>292</v>
      </c>
      <c r="D50" s="887"/>
      <c r="E50" s="887"/>
      <c r="F50" s="887"/>
      <c r="G50" s="289"/>
      <c r="H50" s="289"/>
    </row>
    <row r="51" spans="1:8" x14ac:dyDescent="0.25">
      <c r="A51" s="289"/>
      <c r="B51" s="314" t="s">
        <v>297</v>
      </c>
      <c r="C51" s="888">
        <v>44841</v>
      </c>
      <c r="D51" s="887"/>
      <c r="E51" s="887"/>
      <c r="F51" s="887"/>
      <c r="G51" s="289"/>
      <c r="H51" s="289"/>
    </row>
    <row r="52" spans="1:8" x14ac:dyDescent="0.25">
      <c r="A52" s="289"/>
      <c r="B52" s="289"/>
      <c r="C52" s="289"/>
      <c r="D52" s="289"/>
      <c r="E52" s="289"/>
      <c r="F52" s="289"/>
      <c r="G52" s="289"/>
      <c r="H52" s="289"/>
    </row>
    <row r="53" spans="1:8" x14ac:dyDescent="0.25">
      <c r="A53" s="289"/>
      <c r="B53" s="313" t="s">
        <v>298</v>
      </c>
      <c r="C53" s="886" t="s">
        <v>2</v>
      </c>
      <c r="D53" s="886"/>
      <c r="E53" s="886"/>
      <c r="F53" s="886"/>
      <c r="G53" s="313" t="s">
        <v>299</v>
      </c>
      <c r="H53" s="313" t="s">
        <v>239</v>
      </c>
    </row>
    <row r="54" spans="1:8" x14ac:dyDescent="0.25">
      <c r="A54" s="289"/>
      <c r="B54" s="313">
        <v>1</v>
      </c>
      <c r="C54" s="886" t="s">
        <v>308</v>
      </c>
      <c r="D54" s="886"/>
      <c r="E54" s="886"/>
      <c r="F54" s="886"/>
      <c r="G54" s="313">
        <v>135</v>
      </c>
      <c r="H54" s="313">
        <f>G54*B54</f>
        <v>135</v>
      </c>
    </row>
    <row r="55" spans="1:8" x14ac:dyDescent="0.25">
      <c r="A55" s="289"/>
      <c r="B55" s="313">
        <v>1</v>
      </c>
      <c r="C55" s="886" t="s">
        <v>302</v>
      </c>
      <c r="D55" s="886"/>
      <c r="E55" s="886"/>
      <c r="F55" s="886"/>
      <c r="G55" s="313">
        <v>15</v>
      </c>
      <c r="H55" s="313">
        <f t="shared" ref="H55:H63" si="3">G55*B55</f>
        <v>15</v>
      </c>
    </row>
    <row r="56" spans="1:8" x14ac:dyDescent="0.25">
      <c r="A56" s="289"/>
      <c r="B56" s="313"/>
      <c r="C56" s="886"/>
      <c r="D56" s="886"/>
      <c r="E56" s="886"/>
      <c r="F56" s="886"/>
      <c r="G56" s="313"/>
      <c r="H56" s="313">
        <f t="shared" si="3"/>
        <v>0</v>
      </c>
    </row>
    <row r="57" spans="1:8" x14ac:dyDescent="0.25">
      <c r="A57" s="289"/>
      <c r="B57" s="313"/>
      <c r="C57" s="886"/>
      <c r="D57" s="886"/>
      <c r="E57" s="886"/>
      <c r="F57" s="886"/>
      <c r="G57" s="313"/>
      <c r="H57" s="313">
        <f t="shared" si="3"/>
        <v>0</v>
      </c>
    </row>
    <row r="58" spans="1:8" x14ac:dyDescent="0.25">
      <c r="A58" s="289"/>
      <c r="B58" s="313"/>
      <c r="C58" s="886"/>
      <c r="D58" s="886"/>
      <c r="E58" s="886"/>
      <c r="F58" s="886"/>
      <c r="G58" s="313"/>
      <c r="H58" s="313">
        <f t="shared" si="3"/>
        <v>0</v>
      </c>
    </row>
    <row r="59" spans="1:8" x14ac:dyDescent="0.25">
      <c r="A59" s="289"/>
      <c r="B59" s="313"/>
      <c r="C59" s="886"/>
      <c r="D59" s="886"/>
      <c r="E59" s="886"/>
      <c r="F59" s="886"/>
      <c r="G59" s="313"/>
      <c r="H59" s="313">
        <f t="shared" si="3"/>
        <v>0</v>
      </c>
    </row>
    <row r="60" spans="1:8" x14ac:dyDescent="0.25">
      <c r="A60" s="289"/>
      <c r="B60" s="313"/>
      <c r="C60" s="886"/>
      <c r="D60" s="886"/>
      <c r="E60" s="886"/>
      <c r="F60" s="886"/>
      <c r="G60" s="313"/>
      <c r="H60" s="313">
        <f t="shared" si="3"/>
        <v>0</v>
      </c>
    </row>
    <row r="61" spans="1:8" x14ac:dyDescent="0.25">
      <c r="A61" s="289"/>
      <c r="B61" s="313"/>
      <c r="C61" s="886"/>
      <c r="D61" s="886"/>
      <c r="E61" s="886"/>
      <c r="F61" s="886"/>
      <c r="G61" s="313"/>
      <c r="H61" s="313">
        <f t="shared" si="3"/>
        <v>0</v>
      </c>
    </row>
    <row r="62" spans="1:8" x14ac:dyDescent="0.25">
      <c r="A62" s="289"/>
      <c r="B62" s="313"/>
      <c r="C62" s="886"/>
      <c r="D62" s="886"/>
      <c r="E62" s="886"/>
      <c r="F62" s="886"/>
      <c r="G62" s="313"/>
      <c r="H62" s="313">
        <f t="shared" si="3"/>
        <v>0</v>
      </c>
    </row>
    <row r="63" spans="1:8" x14ac:dyDescent="0.25">
      <c r="A63" s="289"/>
      <c r="B63" s="313"/>
      <c r="C63" s="886"/>
      <c r="D63" s="886"/>
      <c r="E63" s="886"/>
      <c r="F63" s="886"/>
      <c r="G63" s="313"/>
      <c r="H63" s="313">
        <f t="shared" si="3"/>
        <v>0</v>
      </c>
    </row>
    <row r="64" spans="1:8" x14ac:dyDescent="0.25">
      <c r="A64" s="289"/>
      <c r="B64" s="292"/>
      <c r="C64" s="292"/>
      <c r="D64" s="292"/>
      <c r="E64" s="292"/>
      <c r="F64" s="292"/>
      <c r="G64" s="292"/>
      <c r="H64" s="313">
        <f>SUM(H54:H63)</f>
        <v>150</v>
      </c>
    </row>
    <row r="66" spans="1:8" x14ac:dyDescent="0.25">
      <c r="A66" s="286"/>
      <c r="B66" s="285" t="s">
        <v>296</v>
      </c>
      <c r="C66" s="889" t="s">
        <v>311</v>
      </c>
      <c r="D66" s="889"/>
      <c r="E66" s="889"/>
      <c r="F66" s="889"/>
      <c r="G66" s="286"/>
      <c r="H66" s="286"/>
    </row>
    <row r="67" spans="1:8" x14ac:dyDescent="0.25">
      <c r="A67" s="286"/>
      <c r="B67" s="285" t="s">
        <v>297</v>
      </c>
      <c r="C67" s="891">
        <v>44823</v>
      </c>
      <c r="D67" s="889"/>
      <c r="E67" s="889"/>
      <c r="F67" s="889"/>
      <c r="G67" s="286"/>
      <c r="H67" s="286"/>
    </row>
    <row r="68" spans="1:8" x14ac:dyDescent="0.25">
      <c r="A68" s="286"/>
      <c r="B68" s="286"/>
      <c r="C68" s="286"/>
      <c r="D68" s="286"/>
      <c r="E68" s="286"/>
      <c r="F68" s="286"/>
      <c r="G68" s="286"/>
      <c r="H68" s="286"/>
    </row>
    <row r="69" spans="1:8" x14ac:dyDescent="0.25">
      <c r="A69" s="286"/>
      <c r="B69" s="287" t="s">
        <v>298</v>
      </c>
      <c r="C69" s="890" t="s">
        <v>2</v>
      </c>
      <c r="D69" s="890"/>
      <c r="E69" s="890"/>
      <c r="F69" s="890"/>
      <c r="G69" s="287" t="s">
        <v>299</v>
      </c>
      <c r="H69" s="287" t="s">
        <v>239</v>
      </c>
    </row>
    <row r="70" spans="1:8" x14ac:dyDescent="0.25">
      <c r="A70" s="286"/>
      <c r="B70" s="287">
        <v>4</v>
      </c>
      <c r="C70" s="890" t="s">
        <v>312</v>
      </c>
      <c r="D70" s="890"/>
      <c r="E70" s="890"/>
      <c r="F70" s="890"/>
      <c r="G70" s="287">
        <f>14</f>
        <v>14</v>
      </c>
      <c r="H70" s="287">
        <f>G70*B70</f>
        <v>56</v>
      </c>
    </row>
    <row r="71" spans="1:8" x14ac:dyDescent="0.25">
      <c r="A71" s="286"/>
      <c r="B71" s="287">
        <v>4</v>
      </c>
      <c r="C71" s="890" t="s">
        <v>302</v>
      </c>
      <c r="D71" s="890"/>
      <c r="E71" s="890"/>
      <c r="F71" s="890"/>
      <c r="G71" s="287">
        <v>15</v>
      </c>
      <c r="H71" s="287">
        <f t="shared" ref="H71:H79" si="4">G71*B71</f>
        <v>60</v>
      </c>
    </row>
    <row r="72" spans="1:8" x14ac:dyDescent="0.25">
      <c r="A72" s="286"/>
      <c r="B72" s="287">
        <v>2</v>
      </c>
      <c r="C72" s="890" t="s">
        <v>313</v>
      </c>
      <c r="D72" s="890"/>
      <c r="E72" s="890"/>
      <c r="F72" s="890"/>
      <c r="G72" s="287">
        <v>34</v>
      </c>
      <c r="H72" s="287">
        <f t="shared" si="4"/>
        <v>68</v>
      </c>
    </row>
    <row r="73" spans="1:8" x14ac:dyDescent="0.25">
      <c r="A73" s="286"/>
      <c r="B73" s="287">
        <v>1</v>
      </c>
      <c r="C73" s="890" t="s">
        <v>301</v>
      </c>
      <c r="D73" s="890"/>
      <c r="E73" s="890"/>
      <c r="F73" s="890"/>
      <c r="G73" s="287">
        <v>113</v>
      </c>
      <c r="H73" s="287">
        <f t="shared" si="4"/>
        <v>113</v>
      </c>
    </row>
    <row r="74" spans="1:8" x14ac:dyDescent="0.25">
      <c r="A74" s="286"/>
      <c r="B74" s="287"/>
      <c r="C74" s="890"/>
      <c r="D74" s="890"/>
      <c r="E74" s="890"/>
      <c r="F74" s="890"/>
      <c r="G74" s="287"/>
      <c r="H74" s="287">
        <f t="shared" si="4"/>
        <v>0</v>
      </c>
    </row>
    <row r="75" spans="1:8" x14ac:dyDescent="0.25">
      <c r="A75" s="286"/>
      <c r="B75" s="287"/>
      <c r="C75" s="890"/>
      <c r="D75" s="890"/>
      <c r="E75" s="890"/>
      <c r="F75" s="890"/>
      <c r="G75" s="287"/>
      <c r="H75" s="287">
        <f t="shared" si="4"/>
        <v>0</v>
      </c>
    </row>
    <row r="76" spans="1:8" x14ac:dyDescent="0.25">
      <c r="A76" s="286"/>
      <c r="B76" s="287"/>
      <c r="C76" s="890"/>
      <c r="D76" s="890"/>
      <c r="E76" s="890"/>
      <c r="F76" s="890"/>
      <c r="G76" s="287"/>
      <c r="H76" s="287">
        <f t="shared" si="4"/>
        <v>0</v>
      </c>
    </row>
    <row r="77" spans="1:8" x14ac:dyDescent="0.25">
      <c r="A77" s="286"/>
      <c r="B77" s="287"/>
      <c r="C77" s="890"/>
      <c r="D77" s="890"/>
      <c r="E77" s="890"/>
      <c r="F77" s="890"/>
      <c r="G77" s="287"/>
      <c r="H77" s="287">
        <f t="shared" si="4"/>
        <v>0</v>
      </c>
    </row>
    <row r="78" spans="1:8" x14ac:dyDescent="0.25">
      <c r="A78" s="286"/>
      <c r="B78" s="287"/>
      <c r="C78" s="890"/>
      <c r="D78" s="890"/>
      <c r="E78" s="890"/>
      <c r="F78" s="890"/>
      <c r="G78" s="287"/>
      <c r="H78" s="287">
        <f t="shared" si="4"/>
        <v>0</v>
      </c>
    </row>
    <row r="79" spans="1:8" x14ac:dyDescent="0.25">
      <c r="A79" s="286"/>
      <c r="B79" s="287"/>
      <c r="C79" s="890"/>
      <c r="D79" s="890"/>
      <c r="E79" s="890"/>
      <c r="F79" s="890"/>
      <c r="G79" s="287"/>
      <c r="H79" s="287">
        <f t="shared" si="4"/>
        <v>0</v>
      </c>
    </row>
    <row r="80" spans="1:8" x14ac:dyDescent="0.25">
      <c r="A80" s="286"/>
      <c r="B80" s="288"/>
      <c r="C80" s="288"/>
      <c r="D80" s="288"/>
      <c r="E80" s="288"/>
      <c r="F80" s="288"/>
      <c r="G80" s="288"/>
      <c r="H80" s="287">
        <f>SUM(H70:H79)</f>
        <v>297</v>
      </c>
    </row>
    <row r="82" spans="1:8" x14ac:dyDescent="0.25">
      <c r="A82" s="286"/>
      <c r="B82" s="285" t="s">
        <v>296</v>
      </c>
      <c r="C82" s="889" t="s">
        <v>311</v>
      </c>
      <c r="D82" s="889"/>
      <c r="E82" s="889"/>
      <c r="F82" s="889"/>
      <c r="G82" s="286"/>
      <c r="H82" s="286"/>
    </row>
    <row r="83" spans="1:8" x14ac:dyDescent="0.25">
      <c r="A83" s="286"/>
      <c r="B83" s="285" t="s">
        <v>297</v>
      </c>
      <c r="C83" s="891">
        <v>44828</v>
      </c>
      <c r="D83" s="889"/>
      <c r="E83" s="889"/>
      <c r="F83" s="889"/>
      <c r="G83" s="286"/>
      <c r="H83" s="286"/>
    </row>
    <row r="84" spans="1:8" x14ac:dyDescent="0.25">
      <c r="A84" s="286"/>
      <c r="B84" s="286"/>
      <c r="C84" s="286"/>
      <c r="D84" s="286"/>
      <c r="E84" s="286"/>
      <c r="F84" s="286"/>
      <c r="G84" s="286"/>
      <c r="H84" s="286"/>
    </row>
    <row r="85" spans="1:8" x14ac:dyDescent="0.25">
      <c r="A85" s="286"/>
      <c r="B85" s="287" t="s">
        <v>298</v>
      </c>
      <c r="C85" s="890" t="s">
        <v>2</v>
      </c>
      <c r="D85" s="890"/>
      <c r="E85" s="890"/>
      <c r="F85" s="890"/>
      <c r="G85" s="287" t="s">
        <v>299</v>
      </c>
      <c r="H85" s="287" t="s">
        <v>239</v>
      </c>
    </row>
    <row r="86" spans="1:8" x14ac:dyDescent="0.25">
      <c r="A86" s="286"/>
      <c r="B86" s="287">
        <v>8</v>
      </c>
      <c r="C86" s="890" t="s">
        <v>302</v>
      </c>
      <c r="D86" s="890"/>
      <c r="E86" s="890"/>
      <c r="F86" s="890"/>
      <c r="G86" s="287">
        <v>15</v>
      </c>
      <c r="H86" s="287">
        <f>G86*B86</f>
        <v>120</v>
      </c>
    </row>
    <row r="87" spans="1:8" x14ac:dyDescent="0.25">
      <c r="A87" s="286"/>
      <c r="B87" s="287">
        <v>12</v>
      </c>
      <c r="C87" s="890" t="s">
        <v>314</v>
      </c>
      <c r="D87" s="890"/>
      <c r="E87" s="890"/>
      <c r="F87" s="890"/>
      <c r="G87" s="287">
        <v>8</v>
      </c>
      <c r="H87" s="287">
        <f t="shared" ref="H87:H95" si="5">G87*B87</f>
        <v>96</v>
      </c>
    </row>
    <row r="88" spans="1:8" x14ac:dyDescent="0.25">
      <c r="A88" s="286"/>
      <c r="B88" s="287">
        <v>1</v>
      </c>
      <c r="C88" s="890" t="s">
        <v>307</v>
      </c>
      <c r="D88" s="890"/>
      <c r="E88" s="890"/>
      <c r="F88" s="890"/>
      <c r="G88" s="287">
        <v>42</v>
      </c>
      <c r="H88" s="287">
        <f t="shared" si="5"/>
        <v>42</v>
      </c>
    </row>
    <row r="89" spans="1:8" x14ac:dyDescent="0.25">
      <c r="A89" s="286"/>
      <c r="B89" s="287">
        <v>1</v>
      </c>
      <c r="C89" s="890" t="s">
        <v>306</v>
      </c>
      <c r="D89" s="890"/>
      <c r="E89" s="890"/>
      <c r="F89" s="890"/>
      <c r="G89" s="287">
        <v>33</v>
      </c>
      <c r="H89" s="287">
        <f t="shared" si="5"/>
        <v>33</v>
      </c>
    </row>
    <row r="90" spans="1:8" x14ac:dyDescent="0.25">
      <c r="A90" s="286"/>
      <c r="B90" s="287"/>
      <c r="C90" s="890"/>
      <c r="D90" s="890"/>
      <c r="E90" s="890"/>
      <c r="F90" s="890"/>
      <c r="G90" s="287"/>
      <c r="H90" s="287">
        <f t="shared" si="5"/>
        <v>0</v>
      </c>
    </row>
    <row r="91" spans="1:8" x14ac:dyDescent="0.25">
      <c r="A91" s="286"/>
      <c r="B91" s="287"/>
      <c r="C91" s="890"/>
      <c r="D91" s="890"/>
      <c r="E91" s="890"/>
      <c r="F91" s="890"/>
      <c r="G91" s="287"/>
      <c r="H91" s="287">
        <f t="shared" si="5"/>
        <v>0</v>
      </c>
    </row>
    <row r="92" spans="1:8" x14ac:dyDescent="0.25">
      <c r="A92" s="286"/>
      <c r="B92" s="287"/>
      <c r="C92" s="890"/>
      <c r="D92" s="890"/>
      <c r="E92" s="890"/>
      <c r="F92" s="890"/>
      <c r="G92" s="287"/>
      <c r="H92" s="287">
        <f t="shared" si="5"/>
        <v>0</v>
      </c>
    </row>
    <row r="93" spans="1:8" x14ac:dyDescent="0.25">
      <c r="A93" s="286"/>
      <c r="B93" s="287"/>
      <c r="C93" s="890"/>
      <c r="D93" s="890"/>
      <c r="E93" s="890"/>
      <c r="F93" s="890"/>
      <c r="G93" s="287"/>
      <c r="H93" s="287">
        <f t="shared" si="5"/>
        <v>0</v>
      </c>
    </row>
    <row r="94" spans="1:8" x14ac:dyDescent="0.25">
      <c r="A94" s="286"/>
      <c r="B94" s="287"/>
      <c r="C94" s="890"/>
      <c r="D94" s="890"/>
      <c r="E94" s="890"/>
      <c r="F94" s="890"/>
      <c r="G94" s="287"/>
      <c r="H94" s="287">
        <f t="shared" si="5"/>
        <v>0</v>
      </c>
    </row>
    <row r="95" spans="1:8" x14ac:dyDescent="0.25">
      <c r="A95" s="286"/>
      <c r="B95" s="287"/>
      <c r="C95" s="890"/>
      <c r="D95" s="890"/>
      <c r="E95" s="890"/>
      <c r="F95" s="890"/>
      <c r="G95" s="287"/>
      <c r="H95" s="287">
        <f t="shared" si="5"/>
        <v>0</v>
      </c>
    </row>
    <row r="96" spans="1:8" x14ac:dyDescent="0.25">
      <c r="A96" s="286"/>
      <c r="B96" s="288"/>
      <c r="C96" s="288"/>
      <c r="D96" s="288"/>
      <c r="E96" s="288"/>
      <c r="F96" s="288"/>
      <c r="G96" s="288"/>
      <c r="H96" s="287">
        <f>SUM(H86:H95)</f>
        <v>291</v>
      </c>
    </row>
    <row r="98" spans="1:8" x14ac:dyDescent="0.25">
      <c r="A98" s="289"/>
      <c r="B98" s="290" t="s">
        <v>296</v>
      </c>
      <c r="C98" s="887" t="s">
        <v>311</v>
      </c>
      <c r="D98" s="887"/>
      <c r="E98" s="887"/>
      <c r="F98" s="887"/>
      <c r="G98" s="289"/>
      <c r="H98" s="289"/>
    </row>
    <row r="99" spans="1:8" x14ac:dyDescent="0.25">
      <c r="A99" s="289"/>
      <c r="B99" s="290" t="s">
        <v>297</v>
      </c>
      <c r="C99" s="888">
        <v>44802</v>
      </c>
      <c r="D99" s="887"/>
      <c r="E99" s="887"/>
      <c r="F99" s="887"/>
      <c r="G99" s="289"/>
      <c r="H99" s="289"/>
    </row>
    <row r="100" spans="1:8" x14ac:dyDescent="0.25">
      <c r="A100" s="289"/>
      <c r="B100" s="289"/>
      <c r="C100" s="289"/>
      <c r="D100" s="289"/>
      <c r="E100" s="289"/>
      <c r="F100" s="289"/>
      <c r="G100" s="289"/>
      <c r="H100" s="289"/>
    </row>
    <row r="101" spans="1:8" x14ac:dyDescent="0.25">
      <c r="A101" s="289"/>
      <c r="B101" s="291" t="s">
        <v>298</v>
      </c>
      <c r="C101" s="886" t="s">
        <v>2</v>
      </c>
      <c r="D101" s="886"/>
      <c r="E101" s="886"/>
      <c r="F101" s="886"/>
      <c r="G101" s="291" t="s">
        <v>299</v>
      </c>
      <c r="H101" s="291" t="s">
        <v>239</v>
      </c>
    </row>
    <row r="102" spans="1:8" x14ac:dyDescent="0.25">
      <c r="A102" s="289"/>
      <c r="B102" s="291">
        <v>10</v>
      </c>
      <c r="C102" s="886" t="s">
        <v>302</v>
      </c>
      <c r="D102" s="886"/>
      <c r="E102" s="886"/>
      <c r="F102" s="886"/>
      <c r="G102" s="291">
        <v>15</v>
      </c>
      <c r="H102" s="291">
        <f>G102*B102</f>
        <v>150</v>
      </c>
    </row>
    <row r="103" spans="1:8" x14ac:dyDescent="0.25">
      <c r="A103" s="289"/>
      <c r="B103" s="291">
        <v>3</v>
      </c>
      <c r="C103" s="886" t="s">
        <v>307</v>
      </c>
      <c r="D103" s="886"/>
      <c r="E103" s="886"/>
      <c r="F103" s="886"/>
      <c r="G103" s="291">
        <v>39</v>
      </c>
      <c r="H103" s="291">
        <f t="shared" ref="H103:H111" si="6">G103*B103</f>
        <v>117</v>
      </c>
    </row>
    <row r="104" spans="1:8" x14ac:dyDescent="0.25">
      <c r="A104" s="289"/>
      <c r="B104" s="291">
        <v>10</v>
      </c>
      <c r="C104" s="886" t="s">
        <v>312</v>
      </c>
      <c r="D104" s="886"/>
      <c r="E104" s="886"/>
      <c r="F104" s="886"/>
      <c r="G104" s="291">
        <v>14</v>
      </c>
      <c r="H104" s="291">
        <f t="shared" si="6"/>
        <v>140</v>
      </c>
    </row>
    <row r="105" spans="1:8" x14ac:dyDescent="0.25">
      <c r="A105" s="289"/>
      <c r="B105" s="291">
        <v>10</v>
      </c>
      <c r="C105" s="886" t="s">
        <v>315</v>
      </c>
      <c r="D105" s="886"/>
      <c r="E105" s="886"/>
      <c r="F105" s="886"/>
      <c r="G105" s="291">
        <v>11</v>
      </c>
      <c r="H105" s="291">
        <f t="shared" si="6"/>
        <v>110</v>
      </c>
    </row>
    <row r="106" spans="1:8" x14ac:dyDescent="0.25">
      <c r="A106" s="289"/>
      <c r="B106" s="291">
        <v>2</v>
      </c>
      <c r="C106" s="886" t="s">
        <v>313</v>
      </c>
      <c r="D106" s="886"/>
      <c r="E106" s="886"/>
      <c r="F106" s="886"/>
      <c r="G106" s="291">
        <v>31</v>
      </c>
      <c r="H106" s="291">
        <f t="shared" si="6"/>
        <v>62</v>
      </c>
    </row>
    <row r="107" spans="1:8" x14ac:dyDescent="0.25">
      <c r="A107" s="289"/>
      <c r="B107" s="291"/>
      <c r="C107" s="886"/>
      <c r="D107" s="886"/>
      <c r="E107" s="886"/>
      <c r="F107" s="886"/>
      <c r="G107" s="291"/>
      <c r="H107" s="291">
        <f t="shared" si="6"/>
        <v>0</v>
      </c>
    </row>
    <row r="108" spans="1:8" x14ac:dyDescent="0.25">
      <c r="A108" s="289"/>
      <c r="B108" s="291"/>
      <c r="C108" s="886"/>
      <c r="D108" s="886"/>
      <c r="E108" s="886"/>
      <c r="F108" s="886"/>
      <c r="G108" s="291"/>
      <c r="H108" s="291">
        <f t="shared" si="6"/>
        <v>0</v>
      </c>
    </row>
    <row r="109" spans="1:8" x14ac:dyDescent="0.25">
      <c r="A109" s="289"/>
      <c r="B109" s="291"/>
      <c r="C109" s="886"/>
      <c r="D109" s="886"/>
      <c r="E109" s="886"/>
      <c r="F109" s="886"/>
      <c r="G109" s="291"/>
      <c r="H109" s="291">
        <f t="shared" si="6"/>
        <v>0</v>
      </c>
    </row>
    <row r="110" spans="1:8" x14ac:dyDescent="0.25">
      <c r="A110" s="289"/>
      <c r="B110" s="291"/>
      <c r="C110" s="886"/>
      <c r="D110" s="886"/>
      <c r="E110" s="886"/>
      <c r="F110" s="886"/>
      <c r="G110" s="291"/>
      <c r="H110" s="291">
        <f t="shared" si="6"/>
        <v>0</v>
      </c>
    </row>
    <row r="111" spans="1:8" x14ac:dyDescent="0.25">
      <c r="A111" s="289"/>
      <c r="B111" s="291"/>
      <c r="C111" s="886"/>
      <c r="D111" s="886"/>
      <c r="E111" s="886"/>
      <c r="F111" s="886"/>
      <c r="G111" s="291"/>
      <c r="H111" s="291">
        <f t="shared" si="6"/>
        <v>0</v>
      </c>
    </row>
    <row r="112" spans="1:8" x14ac:dyDescent="0.25">
      <c r="A112" s="289"/>
      <c r="B112" s="292"/>
      <c r="C112" s="292"/>
      <c r="D112" s="292"/>
      <c r="E112" s="292"/>
      <c r="F112" s="292"/>
      <c r="G112" s="292"/>
      <c r="H112" s="291">
        <f>SUM(H102:H111)</f>
        <v>579</v>
      </c>
    </row>
    <row r="114" spans="2:8" x14ac:dyDescent="0.25">
      <c r="B114" s="394" t="s">
        <v>296</v>
      </c>
      <c r="C114" s="785" t="s">
        <v>278</v>
      </c>
      <c r="D114" s="785"/>
      <c r="E114" s="785"/>
      <c r="F114" s="785"/>
    </row>
    <row r="115" spans="2:8" x14ac:dyDescent="0.25">
      <c r="B115" s="394" t="s">
        <v>297</v>
      </c>
      <c r="C115" s="892">
        <v>44998</v>
      </c>
      <c r="D115" s="785"/>
      <c r="E115" s="785"/>
      <c r="F115" s="785"/>
    </row>
    <row r="117" spans="2:8" x14ac:dyDescent="0.25">
      <c r="B117" s="395" t="s">
        <v>298</v>
      </c>
      <c r="C117" s="709" t="s">
        <v>2</v>
      </c>
      <c r="D117" s="709"/>
      <c r="E117" s="709"/>
      <c r="F117" s="709"/>
      <c r="G117" s="395" t="s">
        <v>299</v>
      </c>
      <c r="H117" s="395" t="s">
        <v>239</v>
      </c>
    </row>
    <row r="118" spans="2:8" x14ac:dyDescent="0.25">
      <c r="B118" s="395">
        <v>1</v>
      </c>
      <c r="C118" s="709" t="s">
        <v>470</v>
      </c>
      <c r="D118" s="709"/>
      <c r="E118" s="709"/>
      <c r="F118" s="709"/>
      <c r="G118" s="395">
        <v>13</v>
      </c>
      <c r="H118" s="395">
        <f>G118*B118</f>
        <v>13</v>
      </c>
    </row>
    <row r="119" spans="2:8" x14ac:dyDescent="0.25">
      <c r="B119" s="395">
        <v>1</v>
      </c>
      <c r="C119" s="709" t="s">
        <v>471</v>
      </c>
      <c r="D119" s="709"/>
      <c r="E119" s="709"/>
      <c r="F119" s="709"/>
      <c r="G119" s="395">
        <v>16</v>
      </c>
      <c r="H119" s="395">
        <f t="shared" ref="H119:H126" si="7">G119*B119</f>
        <v>16</v>
      </c>
    </row>
    <row r="120" spans="2:8" x14ac:dyDescent="0.25">
      <c r="B120" s="395"/>
      <c r="C120" s="709"/>
      <c r="D120" s="709"/>
      <c r="E120" s="709"/>
      <c r="F120" s="709"/>
      <c r="G120" s="395"/>
      <c r="H120" s="395">
        <f t="shared" si="7"/>
        <v>0</v>
      </c>
    </row>
    <row r="121" spans="2:8" x14ac:dyDescent="0.25">
      <c r="B121" s="395"/>
      <c r="C121" s="709"/>
      <c r="D121" s="709"/>
      <c r="E121" s="709"/>
      <c r="F121" s="709"/>
      <c r="G121" s="395"/>
      <c r="H121" s="395">
        <f t="shared" si="7"/>
        <v>0</v>
      </c>
    </row>
    <row r="122" spans="2:8" x14ac:dyDescent="0.25">
      <c r="B122" s="395"/>
      <c r="C122" s="709"/>
      <c r="D122" s="709"/>
      <c r="E122" s="709"/>
      <c r="F122" s="709"/>
      <c r="G122" s="395"/>
      <c r="H122" s="395">
        <f t="shared" si="7"/>
        <v>0</v>
      </c>
    </row>
    <row r="123" spans="2:8" x14ac:dyDescent="0.25">
      <c r="B123" s="395"/>
      <c r="C123" s="709"/>
      <c r="D123" s="709"/>
      <c r="E123" s="709"/>
      <c r="F123" s="709"/>
      <c r="G123" s="395"/>
      <c r="H123" s="395">
        <f t="shared" si="7"/>
        <v>0</v>
      </c>
    </row>
    <row r="124" spans="2:8" x14ac:dyDescent="0.25">
      <c r="B124" s="395"/>
      <c r="C124" s="709"/>
      <c r="D124" s="709"/>
      <c r="E124" s="709"/>
      <c r="F124" s="709"/>
      <c r="G124" s="395"/>
      <c r="H124" s="395">
        <f t="shared" si="7"/>
        <v>0</v>
      </c>
    </row>
    <row r="125" spans="2:8" x14ac:dyDescent="0.25">
      <c r="B125" s="395"/>
      <c r="C125" s="709"/>
      <c r="D125" s="709"/>
      <c r="E125" s="709"/>
      <c r="F125" s="709"/>
      <c r="G125" s="395"/>
      <c r="H125" s="395">
        <f t="shared" si="7"/>
        <v>0</v>
      </c>
    </row>
    <row r="126" spans="2:8" x14ac:dyDescent="0.25">
      <c r="B126" s="395"/>
      <c r="C126" s="709"/>
      <c r="D126" s="709"/>
      <c r="E126" s="709"/>
      <c r="F126" s="709"/>
      <c r="G126" s="395"/>
      <c r="H126" s="395">
        <f t="shared" si="7"/>
        <v>0</v>
      </c>
    </row>
    <row r="127" spans="2:8" x14ac:dyDescent="0.25">
      <c r="B127" s="395"/>
      <c r="C127" s="709"/>
      <c r="D127" s="709"/>
      <c r="E127" s="709"/>
      <c r="F127" s="709"/>
      <c r="G127" s="395"/>
      <c r="H127" s="395">
        <f>SUM(H118:H126)</f>
        <v>29</v>
      </c>
    </row>
    <row r="129" spans="2:8" x14ac:dyDescent="0.25">
      <c r="B129" s="413" t="s">
        <v>296</v>
      </c>
      <c r="C129" s="635" t="s">
        <v>278</v>
      </c>
      <c r="D129" s="636"/>
      <c r="E129" s="636"/>
      <c r="F129" s="637"/>
    </row>
    <row r="130" spans="2:8" x14ac:dyDescent="0.25">
      <c r="B130" s="413" t="s">
        <v>297</v>
      </c>
      <c r="C130" s="883">
        <v>45012</v>
      </c>
      <c r="D130" s="884"/>
      <c r="E130" s="884"/>
      <c r="F130" s="885"/>
    </row>
    <row r="132" spans="2:8" x14ac:dyDescent="0.25">
      <c r="B132" s="412" t="s">
        <v>298</v>
      </c>
      <c r="C132" s="710" t="s">
        <v>2</v>
      </c>
      <c r="D132" s="711"/>
      <c r="E132" s="711"/>
      <c r="F132" s="712"/>
      <c r="G132" s="412" t="s">
        <v>299</v>
      </c>
      <c r="H132" s="412" t="s">
        <v>239</v>
      </c>
    </row>
    <row r="133" spans="2:8" x14ac:dyDescent="0.25">
      <c r="B133" s="412">
        <v>1</v>
      </c>
      <c r="C133" s="710" t="s">
        <v>479</v>
      </c>
      <c r="D133" s="711"/>
      <c r="E133" s="711"/>
      <c r="F133" s="712"/>
      <c r="G133" s="412">
        <v>100</v>
      </c>
      <c r="H133" s="412">
        <f>G133*B133</f>
        <v>100</v>
      </c>
    </row>
    <row r="134" spans="2:8" x14ac:dyDescent="0.25">
      <c r="B134" s="412">
        <v>1</v>
      </c>
      <c r="C134" s="710" t="s">
        <v>474</v>
      </c>
      <c r="D134" s="711"/>
      <c r="E134" s="711"/>
      <c r="F134" s="712"/>
      <c r="G134" s="412">
        <v>25</v>
      </c>
      <c r="H134" s="412">
        <f t="shared" ref="H134:H141" si="8">G134*B134</f>
        <v>25</v>
      </c>
    </row>
    <row r="135" spans="2:8" x14ac:dyDescent="0.25">
      <c r="B135" s="412"/>
      <c r="C135" s="710"/>
      <c r="D135" s="711"/>
      <c r="E135" s="711"/>
      <c r="F135" s="712"/>
      <c r="G135" s="412"/>
      <c r="H135" s="412">
        <f t="shared" si="8"/>
        <v>0</v>
      </c>
    </row>
    <row r="136" spans="2:8" x14ac:dyDescent="0.25">
      <c r="B136" s="412"/>
      <c r="C136" s="710"/>
      <c r="D136" s="711"/>
      <c r="E136" s="711"/>
      <c r="F136" s="712"/>
      <c r="G136" s="412"/>
      <c r="H136" s="412">
        <f t="shared" si="8"/>
        <v>0</v>
      </c>
    </row>
    <row r="137" spans="2:8" x14ac:dyDescent="0.25">
      <c r="B137" s="412"/>
      <c r="C137" s="710"/>
      <c r="D137" s="711"/>
      <c r="E137" s="711"/>
      <c r="F137" s="712"/>
      <c r="G137" s="412"/>
      <c r="H137" s="412">
        <f t="shared" si="8"/>
        <v>0</v>
      </c>
    </row>
    <row r="138" spans="2:8" x14ac:dyDescent="0.25">
      <c r="B138" s="412"/>
      <c r="C138" s="710"/>
      <c r="D138" s="711"/>
      <c r="E138" s="711"/>
      <c r="F138" s="712"/>
      <c r="G138" s="412"/>
      <c r="H138" s="412">
        <f t="shared" si="8"/>
        <v>0</v>
      </c>
    </row>
    <row r="139" spans="2:8" x14ac:dyDescent="0.25">
      <c r="B139" s="412"/>
      <c r="C139" s="710"/>
      <c r="D139" s="711"/>
      <c r="E139" s="711"/>
      <c r="F139" s="712"/>
      <c r="G139" s="412"/>
      <c r="H139" s="412">
        <f t="shared" si="8"/>
        <v>0</v>
      </c>
    </row>
    <row r="140" spans="2:8" x14ac:dyDescent="0.25">
      <c r="B140" s="412"/>
      <c r="C140" s="710"/>
      <c r="D140" s="711"/>
      <c r="E140" s="711"/>
      <c r="F140" s="712"/>
      <c r="G140" s="412"/>
      <c r="H140" s="412">
        <f t="shared" si="8"/>
        <v>0</v>
      </c>
    </row>
    <row r="141" spans="2:8" x14ac:dyDescent="0.25">
      <c r="B141" s="412"/>
      <c r="C141" s="710"/>
      <c r="D141" s="711"/>
      <c r="E141" s="711"/>
      <c r="F141" s="712"/>
      <c r="G141" s="412"/>
      <c r="H141" s="412">
        <f t="shared" si="8"/>
        <v>0</v>
      </c>
    </row>
    <row r="142" spans="2:8" x14ac:dyDescent="0.25">
      <c r="B142" s="412"/>
      <c r="C142" s="710"/>
      <c r="D142" s="711"/>
      <c r="E142" s="711"/>
      <c r="F142" s="712"/>
      <c r="G142" s="412"/>
      <c r="H142" s="412">
        <f>SUM(H133:H141)</f>
        <v>125</v>
      </c>
    </row>
  </sheetData>
  <mergeCells count="117">
    <mergeCell ref="C124:F124"/>
    <mergeCell ref="C125:F125"/>
    <mergeCell ref="C126:F126"/>
    <mergeCell ref="C127:F127"/>
    <mergeCell ref="C114:F114"/>
    <mergeCell ref="C115:F115"/>
    <mergeCell ref="C117:F117"/>
    <mergeCell ref="C118:F118"/>
    <mergeCell ref="C119:F119"/>
    <mergeCell ref="C120:F120"/>
    <mergeCell ref="C121:F121"/>
    <mergeCell ref="C122:F122"/>
    <mergeCell ref="C123:F123"/>
    <mergeCell ref="C6:F6"/>
    <mergeCell ref="C7:F7"/>
    <mergeCell ref="C8:F8"/>
    <mergeCell ref="C9:F9"/>
    <mergeCell ref="C10:F10"/>
    <mergeCell ref="C11:F11"/>
    <mergeCell ref="C2:F2"/>
    <mergeCell ref="C3:F3"/>
    <mergeCell ref="C5:F5"/>
    <mergeCell ref="C18:F18"/>
    <mergeCell ref="C19:F19"/>
    <mergeCell ref="C21:F21"/>
    <mergeCell ref="C22:F22"/>
    <mergeCell ref="C23:F23"/>
    <mergeCell ref="C12:F12"/>
    <mergeCell ref="C13:F13"/>
    <mergeCell ref="C14:F14"/>
    <mergeCell ref="C15:F15"/>
    <mergeCell ref="C34:F34"/>
    <mergeCell ref="C30:F30"/>
    <mergeCell ref="C31:F31"/>
    <mergeCell ref="C24:F24"/>
    <mergeCell ref="C25:F25"/>
    <mergeCell ref="C26:F26"/>
    <mergeCell ref="C27:F27"/>
    <mergeCell ref="C28:F28"/>
    <mergeCell ref="C29:F29"/>
    <mergeCell ref="C42:F42"/>
    <mergeCell ref="C43:F43"/>
    <mergeCell ref="C44:F44"/>
    <mergeCell ref="C45:F45"/>
    <mergeCell ref="C46:F46"/>
    <mergeCell ref="C47:F47"/>
    <mergeCell ref="C35:F35"/>
    <mergeCell ref="C37:F37"/>
    <mergeCell ref="C38:F38"/>
    <mergeCell ref="C39:F39"/>
    <mergeCell ref="C40:F40"/>
    <mergeCell ref="C41:F41"/>
    <mergeCell ref="C66:F66"/>
    <mergeCell ref="C67:F67"/>
    <mergeCell ref="C69:F69"/>
    <mergeCell ref="C50:F50"/>
    <mergeCell ref="C51:F51"/>
    <mergeCell ref="C53:F53"/>
    <mergeCell ref="C54:F54"/>
    <mergeCell ref="C55:F55"/>
    <mergeCell ref="C56:F56"/>
    <mergeCell ref="C57:F57"/>
    <mergeCell ref="C58:F58"/>
    <mergeCell ref="C59:F59"/>
    <mergeCell ref="C60:F60"/>
    <mergeCell ref="C61:F61"/>
    <mergeCell ref="C62:F62"/>
    <mergeCell ref="C63:F63"/>
    <mergeCell ref="C76:F76"/>
    <mergeCell ref="C77:F77"/>
    <mergeCell ref="C78:F78"/>
    <mergeCell ref="C79:F79"/>
    <mergeCell ref="C70:F70"/>
    <mergeCell ref="C71:F71"/>
    <mergeCell ref="C72:F72"/>
    <mergeCell ref="C73:F73"/>
    <mergeCell ref="C74:F74"/>
    <mergeCell ref="C75:F75"/>
    <mergeCell ref="C82:F82"/>
    <mergeCell ref="C90:F90"/>
    <mergeCell ref="C91:F91"/>
    <mergeCell ref="C92:F92"/>
    <mergeCell ref="C93:F93"/>
    <mergeCell ref="C94:F94"/>
    <mergeCell ref="C95:F95"/>
    <mergeCell ref="C83:F83"/>
    <mergeCell ref="C85:F85"/>
    <mergeCell ref="C86:F86"/>
    <mergeCell ref="C87:F87"/>
    <mergeCell ref="C88:F88"/>
    <mergeCell ref="C89:F89"/>
    <mergeCell ref="C111:F111"/>
    <mergeCell ref="C105:F105"/>
    <mergeCell ref="C106:F106"/>
    <mergeCell ref="C107:F107"/>
    <mergeCell ref="C108:F108"/>
    <mergeCell ref="C109:F109"/>
    <mergeCell ref="C110:F110"/>
    <mergeCell ref="C98:F98"/>
    <mergeCell ref="C99:F99"/>
    <mergeCell ref="C101:F101"/>
    <mergeCell ref="C102:F102"/>
    <mergeCell ref="C103:F103"/>
    <mergeCell ref="C104:F104"/>
    <mergeCell ref="C139:F139"/>
    <mergeCell ref="C140:F140"/>
    <mergeCell ref="C141:F141"/>
    <mergeCell ref="C142:F142"/>
    <mergeCell ref="C129:F129"/>
    <mergeCell ref="C130:F130"/>
    <mergeCell ref="C132:F132"/>
    <mergeCell ref="C133:F133"/>
    <mergeCell ref="C134:F134"/>
    <mergeCell ref="C135:F135"/>
    <mergeCell ref="C136:F136"/>
    <mergeCell ref="C137:F137"/>
    <mergeCell ref="C138:F13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INVENTARIO</vt:lpstr>
      <vt:lpstr>DETALLE DE VENTAS</vt:lpstr>
      <vt:lpstr>DETALLE DE VENTAS - OTRO</vt:lpstr>
      <vt:lpstr>GANANCIA DIARIA</vt:lpstr>
      <vt:lpstr>INGRESO DIARIO</vt:lpstr>
      <vt:lpstr>DETALLE DE CREDITOS</vt:lpstr>
      <vt:lpstr>CREDITOS</vt:lpstr>
      <vt:lpstr>FLETES</vt:lpstr>
      <vt:lpstr>NOTAS DE CREDITOS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</dc:creator>
  <cp:lastModifiedBy>Full name</cp:lastModifiedBy>
  <cp:lastPrinted>2024-02-03T19:48:16Z</cp:lastPrinted>
  <dcterms:created xsi:type="dcterms:W3CDTF">2022-05-21T14:50:08Z</dcterms:created>
  <dcterms:modified xsi:type="dcterms:W3CDTF">2024-02-03T19:48:52Z</dcterms:modified>
</cp:coreProperties>
</file>