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templates/"/>
    </mc:Choice>
  </mc:AlternateContent>
  <xr:revisionPtr revIDLastSave="0" documentId="13_ncr:1_{DA17C77C-89AA-9440-922F-0B0330AF2240}" xr6:coauthVersionLast="45" xr6:coauthVersionMax="45" xr10:uidLastSave="{00000000-0000-0000-0000-000000000000}"/>
  <bookViews>
    <workbookView xWindow="0" yWindow="460" windowWidth="33600" windowHeight="16760" xr2:uid="{00000000-000D-0000-FFFF-FFFF00000000}"/>
  </bookViews>
  <sheets>
    <sheet name="output_report" sheetId="4" r:id="rId1"/>
    <sheet name="dice_report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5" l="1"/>
  <c r="E10" i="4"/>
  <c r="D10" i="4"/>
  <c r="D9" i="4"/>
  <c r="B34" i="5"/>
  <c r="B30" i="5"/>
  <c r="C19" i="5"/>
  <c r="B26" i="5"/>
  <c r="K11" i="4"/>
  <c r="M10" i="4"/>
  <c r="M14" i="4"/>
  <c r="B27" i="5"/>
  <c r="M21" i="4"/>
  <c r="E9" i="4"/>
  <c r="B21" i="5"/>
  <c r="E16" i="4"/>
  <c r="N10" i="4"/>
  <c r="C1" i="4"/>
  <c r="C23" i="5"/>
  <c r="C3" i="4"/>
  <c r="N18" i="4"/>
  <c r="C28" i="5"/>
  <c r="C17" i="5"/>
  <c r="B2" i="5"/>
  <c r="E25" i="4"/>
  <c r="L17" i="4"/>
  <c r="M20" i="4"/>
  <c r="L20" i="4"/>
  <c r="D29" i="4"/>
  <c r="C26" i="5"/>
  <c r="L11" i="4"/>
  <c r="D24" i="4"/>
  <c r="L18" i="4"/>
  <c r="E29" i="4"/>
  <c r="C16" i="5"/>
  <c r="C10" i="5"/>
  <c r="E17" i="4"/>
  <c r="C33" i="5"/>
  <c r="N16" i="4"/>
  <c r="K20" i="4"/>
  <c r="D25" i="4"/>
  <c r="M12" i="4"/>
  <c r="B20" i="5"/>
  <c r="E42" i="4"/>
  <c r="B5" i="5"/>
  <c r="D39" i="4"/>
  <c r="E40" i="4"/>
  <c r="L14" i="4"/>
  <c r="L10" i="4"/>
  <c r="B23" i="5"/>
  <c r="D36" i="4"/>
  <c r="M18" i="4"/>
  <c r="N12" i="4"/>
  <c r="D23" i="4"/>
  <c r="C29" i="5"/>
  <c r="M19" i="4"/>
  <c r="L15" i="4"/>
  <c r="D26" i="4"/>
  <c r="C4" i="4"/>
  <c r="B15" i="5"/>
  <c r="N14" i="4"/>
  <c r="C22" i="5"/>
  <c r="B31" i="5"/>
  <c r="L21" i="4"/>
  <c r="D17" i="4"/>
  <c r="N15" i="4"/>
  <c r="C12" i="5"/>
  <c r="B11" i="5"/>
  <c r="B19" i="5"/>
  <c r="E30" i="4"/>
  <c r="B22" i="5"/>
  <c r="C9" i="5"/>
  <c r="E38" i="4"/>
  <c r="C21" i="5"/>
  <c r="N19" i="4"/>
  <c r="K16" i="4"/>
  <c r="C20" i="5"/>
  <c r="C2" i="4"/>
  <c r="C5" i="5"/>
  <c r="B32" i="5"/>
  <c r="B33" i="5"/>
  <c r="C27" i="5"/>
  <c r="M11" i="4"/>
  <c r="C7" i="5"/>
  <c r="N17" i="4"/>
  <c r="M17" i="4"/>
  <c r="C15" i="5"/>
  <c r="B16" i="5"/>
  <c r="B6" i="5"/>
  <c r="E39" i="4"/>
  <c r="L19" i="4"/>
  <c r="K19" i="4"/>
  <c r="B10" i="5"/>
  <c r="C6" i="5"/>
  <c r="E15" i="4"/>
  <c r="N21" i="4"/>
  <c r="C3" i="5"/>
  <c r="C30" i="5"/>
  <c r="C25" i="5"/>
  <c r="B14" i="5"/>
  <c r="D16" i="4"/>
  <c r="E23" i="4"/>
  <c r="D40" i="4"/>
  <c r="C32" i="5"/>
  <c r="E37" i="4"/>
  <c r="E35" i="4"/>
  <c r="C31" i="5"/>
  <c r="M16" i="4"/>
  <c r="B17" i="5"/>
  <c r="E31" i="4"/>
  <c r="D38" i="4"/>
  <c r="D31" i="4"/>
  <c r="K18" i="4"/>
  <c r="B25" i="5"/>
  <c r="E32" i="4"/>
  <c r="B18" i="5"/>
  <c r="D15" i="4"/>
  <c r="K15" i="4"/>
  <c r="N11" i="4"/>
  <c r="C11" i="5"/>
  <c r="K12" i="4"/>
  <c r="L12" i="4"/>
  <c r="B9" i="5"/>
  <c r="D30" i="4"/>
  <c r="D37" i="4"/>
  <c r="B28" i="5"/>
  <c r="K14" i="4"/>
  <c r="E26" i="4"/>
  <c r="B29" i="5"/>
  <c r="K17" i="4"/>
  <c r="C18" i="5"/>
  <c r="D41" i="4"/>
  <c r="D42" i="4"/>
  <c r="K10" i="4"/>
  <c r="C2" i="5"/>
  <c r="B7" i="5"/>
  <c r="E22" i="4"/>
  <c r="C14" i="5"/>
  <c r="D32" i="4"/>
  <c r="E41" i="4"/>
  <c r="B3" i="5"/>
  <c r="K21" i="4"/>
  <c r="C34" i="5"/>
  <c r="E24" i="4"/>
  <c r="L16" i="4"/>
  <c r="N20" i="4"/>
  <c r="E36" i="4"/>
  <c r="B12" i="5"/>
  <c r="D22" i="4"/>
  <c r="D35" i="4"/>
  <c r="M15" i="4"/>
  <c r="E11" i="4" l="1"/>
  <c r="D11" i="4"/>
  <c r="J3" i="4"/>
  <c r="J4" i="4"/>
  <c r="J2" i="4"/>
  <c r="J1" i="4"/>
  <c r="N13" i="4"/>
  <c r="M13" i="4"/>
  <c r="L13" i="4"/>
  <c r="K13" i="4"/>
</calcChain>
</file>

<file path=xl/sharedStrings.xml><?xml version="1.0" encoding="utf-8"?>
<sst xmlns="http://schemas.openxmlformats.org/spreadsheetml/2006/main" count="146" uniqueCount="85">
  <si>
    <t>Vehicle Family ID</t>
  </si>
  <si>
    <t>CO2MPAS version</t>
  </si>
  <si>
    <t>Date/Time</t>
  </si>
  <si>
    <t>Type approval mode</t>
  </si>
  <si>
    <t>Model Scores</t>
  </si>
  <si>
    <t>Vehicle H</t>
  </si>
  <si>
    <t>Vehicle L</t>
  </si>
  <si>
    <t>units</t>
  </si>
  <si>
    <t>Model id</t>
  </si>
  <si>
    <t>g/km</t>
  </si>
  <si>
    <t>WLTP-H</t>
  </si>
  <si>
    <t>WLTP-L</t>
  </si>
  <si>
    <t>alternator_model (battery currents)</t>
  </si>
  <si>
    <t>A</t>
  </si>
  <si>
    <t>%</t>
  </si>
  <si>
    <t>alternator_model (alternator currents)</t>
  </si>
  <si>
    <t>*Ki factor - corrected</t>
  </si>
  <si>
    <t>at_model</t>
  </si>
  <si>
    <t>-</t>
  </si>
  <si>
    <t>clutch_torque_converter_model</t>
  </si>
  <si>
    <t>RPM</t>
  </si>
  <si>
    <t>co2_params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</si>
  <si>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</si>
  <si>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engine_cold_start_speed_model</t>
  </si>
  <si>
    <t>engine_coolant_temperature_model</t>
  </si>
  <si>
    <t>°C</t>
  </si>
  <si>
    <t>engine_speed_model</t>
  </si>
  <si>
    <t>start_stop_model (engine starts)</t>
  </si>
  <si>
    <t>Vehicle Characteristics</t>
  </si>
  <si>
    <t>start_stop_model (on engine)</t>
  </si>
  <si>
    <t>Parameter</t>
  </si>
  <si>
    <t>Fuel Type</t>
  </si>
  <si>
    <t>Engine Capacity</t>
  </si>
  <si>
    <t>cc</t>
  </si>
  <si>
    <t>Gearbox type</t>
  </si>
  <si>
    <t>Turbo engine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</si>
  <si>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</si>
  <si>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</si>
  <si>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</si>
  <si>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</si>
  <si>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</si>
  <si>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</si>
  <si>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</si>
  <si>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</si>
  <si>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</si>
  <si>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</si>
  <si>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</si>
  <si>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Field</t>
  </si>
  <si>
    <t>vehicle-H</t>
  </si>
  <si>
    <t>vehicle-L</t>
  </si>
  <si>
    <t>vehicle_family_id</t>
  </si>
  <si>
    <t>CO2MPAS_version</t>
  </si>
  <si>
    <t>report_type</t>
  </si>
  <si>
    <t>dice_report</t>
  </si>
  <si>
    <t>datetime</t>
  </si>
  <si>
    <t>TA_mode</t>
  </si>
  <si>
    <t>CO2MPAS_deviation</t>
  </si>
  <si>
    <t>Vehicle</t>
  </si>
  <si>
    <t>fuel_type</t>
  </si>
  <si>
    <t>engine_capacity</t>
  </si>
  <si>
    <t>gear_box_type</t>
  </si>
  <si>
    <t>engine_is_turbo</t>
  </si>
  <si>
    <r>
      <t>NEDC Average Specific CO2</t>
    </r>
    <r>
      <rPr>
        <b/>
        <sz val="11"/>
        <color theme="1"/>
        <rFont val="Calibri"/>
        <family val="2"/>
        <scheme val="minor"/>
      </rPr>
      <t xml:space="preserve"> Emissions*</t>
    </r>
  </si>
  <si>
    <r>
      <t>NEDC CO2</t>
    </r>
    <r>
      <rPr>
        <b/>
        <sz val="11"/>
        <color theme="1"/>
        <rFont val="Calibri"/>
        <family val="2"/>
        <scheme val="minor"/>
      </rPr>
      <t xml:space="preserve"> declared value </t>
    </r>
  </si>
  <si>
    <t xml:space="preserve">NEDC CO2MPAS simulated </t>
  </si>
  <si>
    <r>
      <t>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</si>
  <si>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 xml:space="preserve">MPAS deviation </t>
    </r>
  </si>
  <si>
    <r>
      <t>NEDC CO2MPAS CO2</t>
    </r>
    <r>
      <rPr>
        <b/>
        <sz val="11"/>
        <color theme="1"/>
        <rFont val="Calibri"/>
        <family val="2"/>
        <scheme val="minor"/>
      </rPr>
      <t xml:space="preserve"> Emissions</t>
    </r>
  </si>
  <si>
    <r>
      <t>CO2</t>
    </r>
    <r>
      <rPr>
        <b/>
        <sz val="11"/>
        <color theme="1"/>
        <rFont val="Calibri"/>
        <family val="2"/>
        <scheme val="minor"/>
      </rPr>
      <t>MPAS simulated NEDC</t>
    </r>
  </si>
  <si>
    <r>
      <t>CO2</t>
    </r>
    <r>
      <rPr>
        <b/>
        <sz val="11"/>
        <color theme="1"/>
        <rFont val="Calibri"/>
        <family val="2"/>
        <scheme val="minor"/>
      </rPr>
      <t>MPAS simulated UDC</t>
    </r>
  </si>
  <si>
    <r>
      <t>CO2</t>
    </r>
    <r>
      <rPr>
        <b/>
        <sz val="11"/>
        <color theme="1"/>
        <rFont val="Calibri"/>
        <family val="2"/>
        <scheme val="minor"/>
      </rPr>
      <t>MPAS simulated EUDC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</si>
  <si>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Low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</si>
  <si>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Medium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</si>
  <si>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High</t>
    </r>
  </si>
  <si>
    <r>
      <t>CO2</t>
    </r>
    <r>
      <rPr>
        <b/>
        <sz val="11"/>
        <color theme="1"/>
        <rFont val="Calibri"/>
        <family val="2"/>
        <scheme val="minor"/>
      </rPr>
      <t xml:space="preserve"> emission phase Extra-High</t>
    </r>
  </si>
  <si>
    <t>Model_scores WLTP-H</t>
  </si>
  <si>
    <t>Model_scores WLTP-L</t>
  </si>
  <si>
    <t>electrics_model (service battery currents)</t>
  </si>
  <si>
    <t>electrics_model (alternator currents)</t>
  </si>
  <si>
    <t>electrics_model (drive battery currents)</t>
  </si>
  <si>
    <t>electrics_model (dc/dc converter currents)</t>
  </si>
  <si>
    <t>control_model (engine starts)</t>
  </si>
  <si>
    <t>control_model (on engine)</t>
  </si>
  <si>
    <t>after_treatment_model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</si>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</sst>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0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bscript"/>
      <sz val="11"/>
      <color theme="1"/>
      <name val="Calibri (Body)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2" fontId="1" fillId="0" borderId="12" xfId="1" applyNumberFormat="1" applyBorder="1" applyAlignment="1" applyProtection="1">
      <alignment horizontal="center" vertical="center"/>
      <protection hidden="1"/>
    </xf>
    <xf numFmtId="0" fontId="0" fillId="3" borderId="0" xfId="0" applyFill="1" applyBorder="1" applyAlignment="1" applyProtection="1">
      <alignment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2" fontId="1" fillId="0" borderId="13" xfId="1" applyNumberFormat="1" applyBorder="1" applyAlignment="1" applyProtection="1">
      <alignment horizontal="center" vertical="center"/>
      <protection hidden="1"/>
    </xf>
    <xf numFmtId="2" fontId="5" fillId="5" borderId="14" xfId="1" applyNumberFormat="1" applyFont="1" applyFill="1" applyBorder="1" applyAlignment="1" applyProtection="1">
      <alignment horizontal="center" vertical="center"/>
      <protection hidden="1"/>
    </xf>
    <xf numFmtId="2" fontId="5" fillId="5" borderId="15" xfId="1" applyNumberFormat="1" applyFont="1" applyFill="1" applyBorder="1" applyAlignment="1" applyProtection="1">
      <alignment horizontal="center" vertical="center"/>
      <protection hidden="1"/>
    </xf>
    <xf numFmtId="0" fontId="0" fillId="3" borderId="10" xfId="0" applyFill="1" applyBorder="1" applyAlignment="1" applyProtection="1">
      <alignment vertical="center"/>
      <protection hidden="1"/>
    </xf>
    <xf numFmtId="2" fontId="3" fillId="5" borderId="17" xfId="1" applyNumberFormat="1" applyFont="1" applyFill="1" applyBorder="1" applyAlignment="1" applyProtection="1">
      <alignment horizontal="center" vertical="center"/>
      <protection hidden="1"/>
    </xf>
    <xf numFmtId="2" fontId="3" fillId="5" borderId="18" xfId="1" applyNumberFormat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right" vertical="center"/>
      <protection hidden="1"/>
    </xf>
    <xf numFmtId="2" fontId="5" fillId="5" borderId="3" xfId="1" applyNumberFormat="1" applyFont="1" applyFill="1" applyBorder="1" applyAlignment="1" applyProtection="1">
      <alignment horizontal="center" vertical="center"/>
      <protection hidden="1"/>
    </xf>
    <xf numFmtId="2" fontId="5" fillId="5" borderId="5" xfId="1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2" fontId="1" fillId="0" borderId="11" xfId="1" applyNumberFormat="1" applyFill="1" applyBorder="1" applyAlignment="1" applyProtection="1">
      <alignment horizontal="center" vertical="center"/>
      <protection hidden="1"/>
    </xf>
    <xf numFmtId="2" fontId="1" fillId="0" borderId="12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Border="1" applyAlignment="1" applyProtection="1">
      <alignment horizontal="center" vertical="center"/>
      <protection hidden="1"/>
    </xf>
    <xf numFmtId="2" fontId="1" fillId="0" borderId="18" xfId="1" applyNumberForma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2" fontId="1" fillId="0" borderId="0" xfId="1" applyNumberFormat="1" applyBorder="1" applyAlignment="1" applyProtection="1">
      <alignment horizontal="center" vertical="center"/>
      <protection hidden="1"/>
    </xf>
    <xf numFmtId="2" fontId="5" fillId="5" borderId="16" xfId="1" applyNumberFormat="1" applyFont="1" applyFill="1" applyBorder="1" applyAlignment="1" applyProtection="1">
      <alignment horizontal="center" vertical="center"/>
      <protection hidden="1"/>
    </xf>
    <xf numFmtId="2" fontId="5" fillId="5" borderId="18" xfId="1" applyNumberFormat="1" applyFont="1" applyFill="1" applyBorder="1" applyAlignment="1" applyProtection="1">
      <alignment horizontal="center"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2" fontId="1" fillId="0" borderId="13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" fillId="0" borderId="18" xfId="1" applyNumberFormat="1" applyFill="1" applyBorder="1" applyAlignment="1" applyProtection="1">
      <alignment horizontal="center" vertical="center"/>
      <protection hidden="1"/>
    </xf>
    <xf numFmtId="2" fontId="1" fillId="0" borderId="0" xfId="1" applyNumberFormat="1" applyFill="1" applyBorder="1" applyAlignment="1" applyProtection="1">
      <alignment horizontal="center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4" fontId="1" fillId="0" borderId="13" xfId="1" applyNumberFormat="1" applyBorder="1" applyAlignment="1" applyProtection="1">
      <alignment horizontal="center" vertical="center"/>
      <protection hidden="1"/>
    </xf>
    <xf numFmtId="165" fontId="1" fillId="0" borderId="17" xfId="1" applyNumberFormat="1" applyBorder="1" applyAlignment="1" applyProtection="1">
      <alignment horizontal="center" vertical="center"/>
      <protection hidden="1"/>
    </xf>
    <xf numFmtId="165" fontId="1" fillId="0" borderId="18" xfId="1" applyNumberFormat="1" applyBorder="1" applyAlignment="1" applyProtection="1">
      <alignment horizontal="center" vertical="center"/>
      <protection hidden="1"/>
    </xf>
    <xf numFmtId="165" fontId="1" fillId="0" borderId="0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165" fontId="1" fillId="0" borderId="13" xfId="1" applyNumberForma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2" fontId="3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6" fillId="0" borderId="0" xfId="0" applyFont="1" applyBorder="1" applyAlignment="1" applyProtection="1">
      <alignment horizontal="center" vertical="top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hidden="1"/>
    </xf>
    <xf numFmtId="0" fontId="2" fillId="4" borderId="23" xfId="0" applyFont="1" applyFill="1" applyBorder="1" applyAlignment="1" applyProtection="1">
      <alignment vertical="center"/>
      <protection hidden="1"/>
    </xf>
    <xf numFmtId="0" fontId="2" fillId="0" borderId="24" xfId="0" applyFont="1" applyBorder="1" applyAlignment="1" applyProtection="1">
      <alignment vertical="center"/>
      <protection hidden="1"/>
    </xf>
    <xf numFmtId="0" fontId="2" fillId="0" borderId="25" xfId="0" applyFont="1" applyBorder="1" applyAlignment="1" applyProtection="1">
      <alignment vertical="center"/>
      <protection hidden="1"/>
    </xf>
    <xf numFmtId="0" fontId="6" fillId="0" borderId="26" xfId="0" applyFont="1" applyBorder="1" applyAlignment="1" applyProtection="1">
      <alignment vertical="top"/>
      <protection hidden="1"/>
    </xf>
    <xf numFmtId="0" fontId="2" fillId="3" borderId="2" xfId="0" applyFont="1" applyFill="1" applyBorder="1" applyAlignment="1" applyProtection="1">
      <alignment vertical="center"/>
      <protection hidden="1"/>
    </xf>
    <xf numFmtId="0" fontId="2" fillId="0" borderId="21" xfId="0" applyFont="1" applyFill="1" applyBorder="1" applyAlignment="1" applyProtection="1">
      <alignment vertical="center"/>
      <protection hidden="1"/>
    </xf>
    <xf numFmtId="0" fontId="2" fillId="0" borderId="22" xfId="0" applyFont="1" applyFill="1" applyBorder="1" applyAlignment="1" applyProtection="1">
      <alignment vertical="center"/>
      <protection hidden="1"/>
    </xf>
    <xf numFmtId="0" fontId="2" fillId="4" borderId="6" xfId="0" applyFont="1" applyFill="1" applyBorder="1" applyAlignment="1" applyProtection="1">
      <alignment vertical="center"/>
      <protection hidden="1"/>
    </xf>
    <xf numFmtId="0" fontId="2" fillId="4" borderId="7" xfId="0" applyFont="1" applyFill="1" applyBorder="1" applyAlignment="1" applyProtection="1">
      <alignment vertical="center"/>
      <protection hidden="1"/>
    </xf>
    <xf numFmtId="0" fontId="2" fillId="0" borderId="27" xfId="0" applyFont="1" applyBorder="1" applyAlignment="1" applyProtection="1">
      <alignment vertical="center"/>
      <protection hidden="1"/>
    </xf>
    <xf numFmtId="0" fontId="2" fillId="0" borderId="28" xfId="0" applyFont="1" applyBorder="1" applyAlignment="1" applyProtection="1">
      <alignment vertical="center"/>
      <protection hidden="1"/>
    </xf>
    <xf numFmtId="0" fontId="2" fillId="0" borderId="8" xfId="0" applyFont="1" applyBorder="1" applyAlignment="1" applyProtection="1">
      <alignment vertical="center"/>
      <protection hidden="1"/>
    </xf>
    <xf numFmtId="0" fontId="2" fillId="0" borderId="9" xfId="0" applyFont="1" applyBorder="1" applyAlignment="1" applyProtection="1">
      <alignment vertical="center"/>
      <protection hidden="1"/>
    </xf>
    <xf numFmtId="0" fontId="0" fillId="3" borderId="10" xfId="0" applyFont="1" applyFill="1" applyBorder="1" applyAlignment="1" applyProtection="1">
      <protection hidden="1"/>
    </xf>
    <xf numFmtId="0" fontId="2" fillId="4" borderId="9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horizontal="left" vertical="center" indent="7"/>
      <protection hidden="1"/>
    </xf>
    <xf numFmtId="0" fontId="2" fillId="0" borderId="1" xfId="0" applyFont="1" applyBorder="1" applyAlignment="1" applyProtection="1">
      <alignment vertical="center"/>
      <protection hidden="1"/>
    </xf>
    <xf numFmtId="2" fontId="5" fillId="5" borderId="1" xfId="1" applyNumberFormat="1" applyFont="1" applyFill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vertical="center"/>
      <protection hidden="1"/>
    </xf>
    <xf numFmtId="2" fontId="5" fillId="5" borderId="30" xfId="1" applyNumberFormat="1" applyFont="1" applyFill="1" applyBorder="1" applyAlignment="1" applyProtection="1">
      <alignment horizontal="center" vertical="center"/>
      <protection hidden="1"/>
    </xf>
    <xf numFmtId="2" fontId="5" fillId="5" borderId="13" xfId="1" applyNumberFormat="1" applyFont="1" applyFill="1" applyBorder="1" applyAlignment="1" applyProtection="1">
      <alignment horizontal="center" vertical="center"/>
      <protection hidden="1"/>
    </xf>
  </cellXfs>
  <cellStyles count="2">
    <cellStyle name="Explanatory Text" xfId="1" builtinId="53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showGridLines="0" showRowColHeaders="0" tabSelected="1" showRuler="0" zoomScaleNormal="100" workbookViewId="0">
      <selection activeCell="C1" sqref="C1"/>
    </sheetView>
  </sheetViews>
  <sheetFormatPr baseColWidth="10" defaultColWidth="0" defaultRowHeight="0" customHeight="1" zeroHeight="1"/>
  <cols>
    <col min="1" max="1" width="1.1640625" style="10" customWidth="1"/>
    <col min="2" max="2" width="19.33203125" style="3" bestFit="1" customWidth="1"/>
    <col min="3" max="3" width="21.33203125" style="3" customWidth="1"/>
    <col min="4" max="5" width="12" style="3" customWidth="1"/>
    <col min="6" max="6" width="10.1640625" style="3" bestFit="1" customWidth="1"/>
    <col min="7" max="7" width="1.1640625" style="51" customWidth="1"/>
    <col min="8" max="8" width="1.1640625" style="10" customWidth="1"/>
    <col min="9" max="9" width="19.33203125" style="3" bestFit="1" customWidth="1"/>
    <col min="10" max="10" width="21.33203125" style="3" customWidth="1"/>
    <col min="11" max="14" width="10.6640625" style="3" customWidth="1"/>
    <col min="15" max="15" width="7.33203125" style="3" bestFit="1" customWidth="1"/>
    <col min="16" max="16384" width="8.83203125" style="3" hidden="1"/>
  </cols>
  <sheetData>
    <row r="1" spans="2:19" ht="15.75" customHeight="1">
      <c r="B1" s="1" t="s">
        <v>0</v>
      </c>
      <c r="C1" s="2" t="str">
        <f ca="1">IFERROR(INDIRECT("dice!_dice_vehicle_family_id_Value"),"")</f>
        <v/>
      </c>
      <c r="E1" s="4"/>
      <c r="F1" s="4"/>
      <c r="G1" s="5"/>
      <c r="H1" s="5"/>
      <c r="I1" s="1" t="s">
        <v>0</v>
      </c>
      <c r="J1" s="2" t="str">
        <f ca="1">C1</f>
        <v/>
      </c>
      <c r="L1" s="4"/>
      <c r="M1" s="4"/>
      <c r="N1" s="4"/>
      <c r="O1" s="4"/>
      <c r="P1" s="4"/>
      <c r="Q1" s="4"/>
      <c r="R1" s="4"/>
      <c r="S1" s="4"/>
    </row>
    <row r="2" spans="2:19" ht="15.75" customHeight="1">
      <c r="B2" s="1" t="s">
        <v>1</v>
      </c>
      <c r="C2" s="2" t="str">
        <f ca="1">IFERROR(INDIRECT("summary!_info_CO2MPAS_version_Value"),"")</f>
        <v/>
      </c>
      <c r="E2" s="6"/>
      <c r="F2" s="6"/>
      <c r="G2" s="7"/>
      <c r="H2" s="7"/>
      <c r="I2" s="1" t="s">
        <v>1</v>
      </c>
      <c r="J2" s="2" t="str">
        <f ca="1">C2</f>
        <v/>
      </c>
      <c r="L2" s="6"/>
      <c r="M2" s="6"/>
      <c r="N2" s="6"/>
      <c r="O2" s="6"/>
      <c r="P2" s="6"/>
      <c r="Q2" s="6"/>
      <c r="R2" s="6"/>
      <c r="S2" s="6"/>
    </row>
    <row r="3" spans="2:19" ht="15.75" customHeight="1">
      <c r="B3" s="1" t="s">
        <v>2</v>
      </c>
      <c r="C3" s="2" t="str">
        <f ca="1">IFERROR(INDIRECT("summary!_info_Simulation_started_Value"),"")</f>
        <v/>
      </c>
      <c r="E3" s="6"/>
      <c r="F3" s="6"/>
      <c r="G3" s="7"/>
      <c r="H3" s="7"/>
      <c r="I3" s="1" t="s">
        <v>2</v>
      </c>
      <c r="J3" s="2" t="str">
        <f ca="1">C3</f>
        <v/>
      </c>
      <c r="L3" s="6"/>
      <c r="M3" s="6"/>
      <c r="N3" s="6"/>
      <c r="O3" s="6"/>
      <c r="P3" s="6"/>
      <c r="Q3" s="6"/>
      <c r="R3" s="6"/>
      <c r="S3" s="6"/>
    </row>
    <row r="4" spans="2:19" ht="15.75" customHeight="1">
      <c r="B4" s="1" t="s">
        <v>3</v>
      </c>
      <c r="C4" s="8" t="str">
        <f ca="1">IFERROR(INDIRECT("summary!_info_type_approval_mode_Value"),"")</f>
        <v/>
      </c>
      <c r="E4" s="9"/>
      <c r="F4" s="9"/>
      <c r="G4" s="10"/>
      <c r="I4" s="1" t="s">
        <v>3</v>
      </c>
      <c r="J4" s="8" t="str">
        <f ca="1">C4</f>
        <v/>
      </c>
      <c r="L4" s="9"/>
      <c r="M4" s="9"/>
      <c r="N4" s="9"/>
      <c r="O4" s="9"/>
      <c r="P4" s="9"/>
      <c r="Q4" s="9"/>
      <c r="R4" s="9"/>
      <c r="S4" s="9"/>
    </row>
    <row r="5" spans="2:19" ht="15.75" customHeight="1">
      <c r="C5" s="4"/>
      <c r="D5" s="4"/>
      <c r="E5" s="4"/>
      <c r="F5" s="9"/>
      <c r="G5" s="10"/>
      <c r="P5" s="9"/>
      <c r="Q5" s="9"/>
      <c r="R5" s="9"/>
      <c r="S5" s="9"/>
    </row>
    <row r="6" spans="2:19" ht="15.75" customHeight="1" thickBot="1">
      <c r="B6" s="65"/>
      <c r="C6" s="65"/>
      <c r="D6" s="11" t="s">
        <v>65</v>
      </c>
      <c r="E6" s="65"/>
      <c r="F6" s="65"/>
      <c r="G6" s="12"/>
      <c r="H6" s="7"/>
      <c r="I6" s="65"/>
      <c r="J6" s="65"/>
      <c r="K6" s="11" t="s">
        <v>4</v>
      </c>
      <c r="L6" s="65"/>
      <c r="M6" s="65"/>
      <c r="N6" s="65"/>
      <c r="O6" s="65"/>
      <c r="P6" s="9"/>
      <c r="Q6" s="9"/>
      <c r="R6" s="9"/>
      <c r="S6" s="9"/>
    </row>
    <row r="7" spans="2:19" ht="15.75" customHeight="1" thickTop="1" thickBot="1">
      <c r="G7" s="10"/>
      <c r="P7" s="9"/>
      <c r="Q7" s="9"/>
      <c r="R7" s="9"/>
      <c r="S7" s="9"/>
    </row>
    <row r="8" spans="2:19" ht="15.75" customHeight="1" thickBot="1">
      <c r="B8" s="60" t="s">
        <v>62</v>
      </c>
      <c r="C8" s="61"/>
      <c r="D8" s="13" t="s">
        <v>5</v>
      </c>
      <c r="E8" s="14" t="s">
        <v>6</v>
      </c>
      <c r="F8" s="15" t="s">
        <v>7</v>
      </c>
      <c r="G8" s="10"/>
      <c r="K8" s="76" t="s">
        <v>5</v>
      </c>
      <c r="L8" s="75"/>
      <c r="M8" s="76" t="s">
        <v>6</v>
      </c>
      <c r="N8" s="75"/>
      <c r="P8" s="9"/>
      <c r="Q8" s="9"/>
      <c r="R8" s="9"/>
      <c r="S8" s="9"/>
    </row>
    <row r="9" spans="2:19" ht="15.75" customHeight="1" thickBot="1">
      <c r="B9" s="56" t="s">
        <v>63</v>
      </c>
      <c r="C9" s="57"/>
      <c r="D9" s="16" t="str">
        <f ca="1">IF(IFERROR(INDIRECT("summary!_results_nedc_h_prediction_target_declared"&amp;IF(IFERROR(INDIRECT("dice!_dice_input_type_Value")="OVC-HEV",FALSE), "_sustaining","")&amp;"_co2_emission_value__CO2g_km_"),"")="","",IFERROR(INDIRECT("summary!_results_nedc_h_prediction_target_declared"&amp;IF(IFERROR(INDIRECT("dice!_dice_input_type_Value")="OVC-HEV",FALSE), "_sustaining","")&amp;"_co2_emission_value__CO2g_km_"),""))</f>
        <v/>
      </c>
      <c r="E9" s="17" t="str">
        <f ca="1">IF(IFERROR(INDIRECT("summary!_results_nedc_l_prediction_target_declared"&amp;IF(IFERROR(INDIRECT("dice!_dice_is_plugin_Value"),FALSE), "_sustaining","")&amp;"_co2_emission_value__CO2g_km_"),"")="","",IFERROR(INDIRECT("summary!_results_nedc_l_prediction_target_declared"&amp;IF(IFERROR(INDIRECT("dice!_dice_is_plugin_Value"),FALSE), "_sustaining","")&amp;"_co2_emission_value__CO2g_km_"),""))</f>
        <v/>
      </c>
      <c r="F9" s="18" t="s">
        <v>9</v>
      </c>
      <c r="G9" s="10"/>
      <c r="I9" s="68" t="s">
        <v>8</v>
      </c>
      <c r="J9" s="69"/>
      <c r="K9" s="19" t="s">
        <v>10</v>
      </c>
      <c r="L9" s="14" t="s">
        <v>11</v>
      </c>
      <c r="M9" s="19" t="s">
        <v>10</v>
      </c>
      <c r="N9" s="14" t="s">
        <v>11</v>
      </c>
      <c r="O9" s="74" t="s">
        <v>7</v>
      </c>
      <c r="P9" s="9"/>
      <c r="Q9" s="9"/>
      <c r="R9" s="9"/>
      <c r="S9" s="9"/>
    </row>
    <row r="10" spans="2:19" ht="15.75" customHeight="1">
      <c r="B10" s="58" t="s">
        <v>64</v>
      </c>
      <c r="C10" s="59"/>
      <c r="D10" s="20" t="str">
        <f ca="1">IF(IFERROR(INDIRECT("summary!_results_nedc_h_prediction_output_declared"&amp;IF(IFERROR(INDIRECT("dice!_dice_input_type_Value")="OVC-HEV",FALSE), "_sustaining","")&amp;"_co2_emission_value__CO2g_km_"),"")="","",IFERROR(INDIRECT("summary!_results_nedc_h_prediction_output_declared"&amp;IF(IFERROR(INDIRECT("dice!_dice_input_type_Value")="OVC-HEV",FALSE), "_sustaining","")&amp;"_co2_emission_value__CO2g_km_"),""))</f>
        <v/>
      </c>
      <c r="E10" s="21" t="str">
        <f ca="1">IF(IFERROR(INDIRECT("summary!_results_nedc_l_prediction_output_declared"&amp;IF(IFERROR(INDIRECT("dice!_dice_input_type_Value")="OVC-HEV",FALSE), "_sustaining","")&amp;"_co2_emission_value__CO2g_km_"),"")="","",IFERROR(INDIRECT("summary!_results_nedc_l_prediction_output_declared"&amp;IF(IFERROR(INDIRECT("dice!_dice_input_type_Value")="OVC-HEV",FALSE), "_sustaining","")&amp;"_co2_emission_value__CO2g_km_"),""))</f>
        <v/>
      </c>
      <c r="F10" s="18" t="s">
        <v>9</v>
      </c>
      <c r="G10" s="10"/>
      <c r="I10" s="56" t="s">
        <v>77</v>
      </c>
      <c r="J10" s="70"/>
      <c r="K10" s="22" t="str">
        <f ca="1">IFERROR(INDIRECT("data.calibration.model_scores!_scores_electrics_model_service_battery_currents_wltp_h_wltp_h_score"),"")</f>
        <v/>
      </c>
      <c r="L10" s="23" t="str">
        <f ca="1">IFERROR(INDIRECT("data.calibration.model_scores!_scores_electrics_model_service_battery_currents_wltp_h_wltp_l_score"),"")</f>
        <v/>
      </c>
      <c r="M10" s="22" t="str">
        <f ca="1">IFERROR(INDIRECT("data.calibration.model_scores!_scores_electrics_model_service_battery_currents_wltp_l_wltp_h_score"),"")</f>
        <v/>
      </c>
      <c r="N10" s="23" t="str">
        <f ca="1">IFERROR(INDIRECT("data.calibration.model_scores!_scores_electrics_model_service_battery_currents_wltp_l_wltp_l_score"),"")</f>
        <v/>
      </c>
      <c r="O10" s="24" t="s">
        <v>13</v>
      </c>
      <c r="P10" s="9"/>
      <c r="Q10" s="9"/>
      <c r="R10" s="9"/>
      <c r="S10" s="9"/>
    </row>
    <row r="11" spans="2:19" ht="15.75" customHeight="1" thickBot="1">
      <c r="B11" s="62" t="s">
        <v>66</v>
      </c>
      <c r="C11" s="63"/>
      <c r="D11" s="25" t="str">
        <f ca="1">IFERROR((D10/D9-1)*100,"")</f>
        <v/>
      </c>
      <c r="E11" s="26" t="str">
        <f ca="1">IFERROR((E10/E9-1)*100,"")</f>
        <v/>
      </c>
      <c r="F11" s="18" t="s">
        <v>14</v>
      </c>
      <c r="G11" s="10"/>
      <c r="I11" s="58" t="s">
        <v>78</v>
      </c>
      <c r="J11" s="79"/>
      <c r="K11" s="80" t="str">
        <f ca="1">IFERROR(INDIRECT("data.calibration.model_scores!_scores_electrics_model_alternator_currents_wltp_h_wltp_h_score"),"")</f>
        <v/>
      </c>
      <c r="L11" s="81" t="str">
        <f ca="1">IFERROR(INDIRECT("data.calibration.model_scores!_scores_electrics_model_alternator_currents_wltp_h_wltp_l_score"),"")</f>
        <v/>
      </c>
      <c r="M11" s="80" t="str">
        <f ca="1">IFERROR(INDIRECT("data.calibration.model_scores!_scores_electrics_model_alternator_currents_wltp_l_wltp_h_score"),"")</f>
        <v/>
      </c>
      <c r="N11" s="81" t="str">
        <f ca="1">IFERROR(INDIRECT("data.calibration.model_scores!_scores_electrics_model_alternator_currents_wltp_l_wltp_l_score"),"")</f>
        <v/>
      </c>
      <c r="O11" s="24" t="s">
        <v>13</v>
      </c>
      <c r="P11" s="9"/>
      <c r="Q11" s="9"/>
      <c r="R11" s="9"/>
      <c r="S11" s="9"/>
    </row>
    <row r="12" spans="2:19" ht="15.75" customHeight="1">
      <c r="B12" s="64" t="s">
        <v>16</v>
      </c>
      <c r="C12" s="64"/>
      <c r="D12" s="27"/>
      <c r="E12" s="27"/>
      <c r="F12" s="9"/>
      <c r="G12" s="10"/>
      <c r="I12" s="58" t="s">
        <v>79</v>
      </c>
      <c r="J12" s="79"/>
      <c r="K12" s="80" t="str">
        <f ca="1">IFERROR(INDIRECT("data.calibration.model_scores!_scores_electrics_model_drive_battery_currents_wltp_h_wltp_h_score"),"")</f>
        <v/>
      </c>
      <c r="L12" s="81" t="str">
        <f ca="1">IFERROR(INDIRECT("data.calibration.model_scores!_scores_electrics_model_drive_battery_currents_wltp_h_wltp_l_score"),"")</f>
        <v/>
      </c>
      <c r="M12" s="80" t="str">
        <f ca="1">IFERROR(INDIRECT("data.calibration.model_scores!_scores_electrics_model_drive_battery_currents_wltp_l_wltp_h_score"),"")</f>
        <v/>
      </c>
      <c r="N12" s="81" t="str">
        <f ca="1">IFERROR(INDIRECT("data.calibration.model_scores!_scores_electrics_model_drive_battery_currents_wltp_l_wltp_l_score"),"")</f>
        <v/>
      </c>
      <c r="O12" s="24" t="s">
        <v>13</v>
      </c>
      <c r="P12" s="9"/>
      <c r="Q12" s="9"/>
      <c r="R12" s="9"/>
      <c r="S12" s="9"/>
    </row>
    <row r="13" spans="2:19" ht="15.75" customHeight="1" thickBot="1">
      <c r="C13" s="4"/>
      <c r="D13" s="30"/>
      <c r="E13" s="30"/>
      <c r="F13" s="9"/>
      <c r="G13" s="10"/>
      <c r="I13" s="62" t="s">
        <v>80</v>
      </c>
      <c r="J13" s="71"/>
      <c r="K13" s="37" t="str">
        <f ca="1">IF(K12&lt;&gt;"",IFERROR(INDIRECT("data.calibration.model_scores!_scores_electrics_model_dcdc_converter_currents_wltp_h_wltp_h_score"),""),"")</f>
        <v/>
      </c>
      <c r="L13" s="38" t="str">
        <f ca="1">IF(K12&lt;&gt;"",IFERROR(INDIRECT("data.calibration.model_scores!_scores_electrics_model_dcdc_converter_currents_wltp_h_wltp_l_score"),""),"")</f>
        <v/>
      </c>
      <c r="M13" s="37" t="str">
        <f ca="1">IF(K12&lt;&gt;"",IFERROR(INDIRECT("data.calibration.model_scores!_scores_electrics_model_dcdc_converter_currents_wltp_l_wltp_h_score"),""),"")</f>
        <v/>
      </c>
      <c r="N13" s="38" t="str">
        <f ca="1">IF(K12&lt;&gt;"",IFERROR(INDIRECT("data.calibration.model_scores!_scores_electrics_model_dcdc_converter_currents_wltp_l_wltp_l_score"),""),"")</f>
        <v/>
      </c>
      <c r="O13" s="24" t="s">
        <v>13</v>
      </c>
      <c r="P13" s="9"/>
      <c r="Q13" s="9"/>
      <c r="R13" s="9"/>
      <c r="S13" s="9"/>
    </row>
    <row r="14" spans="2:19" ht="15.75" customHeight="1" thickBot="1">
      <c r="B14" s="60" t="s">
        <v>67</v>
      </c>
      <c r="C14" s="61"/>
      <c r="D14" s="13" t="s">
        <v>5</v>
      </c>
      <c r="E14" s="14" t="s">
        <v>6</v>
      </c>
      <c r="F14" s="15" t="s">
        <v>7</v>
      </c>
      <c r="G14" s="10"/>
      <c r="I14" s="72" t="s">
        <v>17</v>
      </c>
      <c r="J14" s="73"/>
      <c r="K14" s="28" t="str">
        <f ca="1">IFERROR(-INDIRECT("data.calibration.model_scores!_scores_at_model_gears_wltp_h_wltp_h_score"),"")</f>
        <v/>
      </c>
      <c r="L14" s="29" t="str">
        <f ca="1">IFERROR(-INDIRECT("data.calibration.model_scores!_scores_at_model_gears_wltp_h_wltp_l_score"),"")</f>
        <v/>
      </c>
      <c r="M14" s="28" t="str">
        <f ca="1">IFERROR(-INDIRECT("data.calibration.model_scores!_scores_at_model_gears_wltp_l_wltp_h_score"),"")</f>
        <v/>
      </c>
      <c r="N14" s="29" t="str">
        <f ca="1">IFERROR(-INDIRECT("data.calibration.model_scores!_scores_at_model_gears_wltp_l_wltp_l_score"),"")</f>
        <v/>
      </c>
      <c r="O14" s="18" t="s">
        <v>18</v>
      </c>
      <c r="P14" s="9"/>
      <c r="Q14" s="9"/>
      <c r="R14" s="9"/>
      <c r="S14" s="9"/>
    </row>
    <row r="15" spans="2:19" ht="15.75" customHeight="1" thickBot="1">
      <c r="B15" s="56" t="s">
        <v>68</v>
      </c>
      <c r="C15" s="57"/>
      <c r="D15" s="31" t="str">
        <f ca="1">IF(IFERROR(INDIRECT("summary!_results_nedc_h_prediction_output_co2_emission_value__CO2g_km_"),"")="","",IFERROR(INDIRECT("summary!_results_nedc_h_prediction_output_co2_emission_value__CO2g_km_"),""))</f>
        <v/>
      </c>
      <c r="E15" s="32" t="str">
        <f ca="1">IF(IFERROR(INDIRECT("summary!_results_nedc_l_prediction_output_co2_emission_value__CO2g_km_"),"")="","",IFERROR(INDIRECT("summary!_results_nedc_l_prediction_output_co2_emission_value__CO2g_km_"),""))</f>
        <v/>
      </c>
      <c r="F15" s="18" t="s">
        <v>9</v>
      </c>
      <c r="G15" s="10"/>
      <c r="I15" s="72" t="s">
        <v>19</v>
      </c>
      <c r="J15" s="73"/>
      <c r="K15" s="28" t="str">
        <f ca="1">IFERROR(INDIRECT("data.calibration.model_scores!_scores_clutch_torque_converter_model_engine_speeds_out_wltp_h_wltp_h_score"),"")</f>
        <v/>
      </c>
      <c r="L15" s="29" t="str">
        <f ca="1">IFERROR(INDIRECT("data.calibration.model_scores!_scores_clutch_torque_converter_model_engine_speeds_out_wltp_h_wltp_l_score"),"")</f>
        <v/>
      </c>
      <c r="M15" s="28" t="str">
        <f ca="1">IFERROR(INDIRECT("data.calibration.model_scores!_scores_clutch_torque_converter_model_engine_speeds_out_wltp_l_wltp_h_score"),"")</f>
        <v/>
      </c>
      <c r="N15" s="29" t="str">
        <f ca="1">IFERROR(INDIRECT("data.calibration.model_scores!_scores_clutch_torque_converter_model_engine_speeds_out_wltp_l_wltp_l_score"),"")</f>
        <v/>
      </c>
      <c r="O15" s="18" t="s">
        <v>20</v>
      </c>
      <c r="P15" s="9"/>
      <c r="Q15" s="9"/>
      <c r="R15" s="9"/>
      <c r="S15" s="9"/>
    </row>
    <row r="16" spans="2:19" ht="15.75" customHeight="1" thickBot="1">
      <c r="B16" s="58" t="s">
        <v>69</v>
      </c>
      <c r="C16" s="59"/>
      <c r="D16" s="20" t="str">
        <f ca="1">IF(IFERROR(INDIRECT("summary!_results_nedc_h_prediction_output_co2_emission_UDC__CO2g_km_"),"")="","",IFERROR(INDIRECT("summary!_results_nedc_h_prediction_output_co2_emission_UDC__CO2g_km_"),""))</f>
        <v/>
      </c>
      <c r="E16" s="21" t="str">
        <f ca="1">IF(IFERROR(INDIRECT("summary!_results_nedc_l_prediction_output_co2_emission_UDC__CO2g_km_"),"")="","",IFERROR(INDIRECT("summary!_results_nedc_l_prediction_output_co2_emission_UDC__CO2g_km_"),""))</f>
        <v/>
      </c>
      <c r="F16" s="18" t="s">
        <v>9</v>
      </c>
      <c r="G16" s="10"/>
      <c r="I16" s="72" t="s">
        <v>21</v>
      </c>
      <c r="J16" s="73"/>
      <c r="K16" s="28" t="str">
        <f ca="1">IFERROR(INDIRECT("data.calibration.model_scores!_scores_co2_params_identified_co2_emissions_wltp_h_wltp_h_score"),"")</f>
        <v/>
      </c>
      <c r="L16" s="29" t="str">
        <f ca="1">IFERROR(INDIRECT("data.calibration.model_scores!_scores_co2_params_identified_co2_emissions_wltp_h_wltp_l_score"),"")</f>
        <v/>
      </c>
      <c r="M16" s="28" t="str">
        <f ca="1">IFERROR(INDIRECT("data.calibration.model_scores!_scores_co2_params_identified_co2_emissions_wltp_l_wltp_h_score"),"")</f>
        <v/>
      </c>
      <c r="N16" s="29" t="str">
        <f ca="1">IFERROR(INDIRECT("data.calibration.model_scores!_scores_co2_params_identified_co2_emissions_wltp_l_wltp_l_score"),"")</f>
        <v/>
      </c>
      <c r="O16" s="18" t="s">
        <v>22</v>
      </c>
      <c r="P16" s="9"/>
      <c r="Q16" s="9"/>
      <c r="R16" s="9"/>
      <c r="S16" s="9"/>
    </row>
    <row r="17" spans="2:19" ht="15.75" customHeight="1" thickBot="1">
      <c r="B17" s="62" t="s">
        <v>70</v>
      </c>
      <c r="C17" s="63"/>
      <c r="D17" s="33" t="str">
        <f ca="1">IF(IFERROR(INDIRECT("summary!_results_nedc_h_prediction_output_co2_emission_EUDC__CO2g_km_"),"")="","",IFERROR(INDIRECT("summary!_results_nedc_h_prediction_output_co2_emission_EUDC__CO2g_km_"),""))</f>
        <v/>
      </c>
      <c r="E17" s="34" t="str">
        <f ca="1">IF(IFERROR(INDIRECT("summary!_results_nedc_l_prediction_output_co2_emission_EUDC__CO2g_km_"),"")="","",IFERROR(INDIRECT("summary!_results_nedc_l_prediction_output_co2_emission_EUDC__CO2g_km_"),""))</f>
        <v/>
      </c>
      <c r="F17" s="18" t="s">
        <v>9</v>
      </c>
      <c r="G17" s="10"/>
      <c r="I17" s="72" t="s">
        <v>83</v>
      </c>
      <c r="J17" s="73"/>
      <c r="K17" s="28" t="str">
        <f ca="1">IFERROR(INDIRECT("data.calibration.model_scores!_scores_after_treatment_model_engine_speeds_base_wltp_h_wltp_h_score"),"")</f>
        <v/>
      </c>
      <c r="L17" s="29" t="str">
        <f ca="1">IFERROR(INDIRECT("data.calibration.model_scores!_scores_after_treatment_model_engine_speeds_base_wltp_h_wltp_l_score"),"")</f>
        <v/>
      </c>
      <c r="M17" s="28" t="str">
        <f ca="1">IFERROR(INDIRECT("data.calibration.model_scores!_scores_after_treatment_model_engine_speeds_base_wltp_l_wltp_h_score"),"")</f>
        <v/>
      </c>
      <c r="N17" s="29" t="str">
        <f ca="1">IFERROR(INDIRECT("data.calibration.model_scores!_scores_after_treatment_model_engine_speeds_base_wltp_l_wltp_l_score"),"")</f>
        <v/>
      </c>
      <c r="O17" s="18" t="s">
        <v>20</v>
      </c>
      <c r="P17" s="9"/>
      <c r="Q17" s="9"/>
      <c r="R17" s="9"/>
      <c r="S17" s="9"/>
    </row>
    <row r="18" spans="2:19" ht="15.75" customHeight="1" thickBot="1">
      <c r="C18" s="35"/>
      <c r="D18" s="36"/>
      <c r="E18" s="36"/>
      <c r="F18" s="9"/>
      <c r="G18" s="10"/>
      <c r="I18" s="72" t="s">
        <v>24</v>
      </c>
      <c r="J18" s="73"/>
      <c r="K18" s="28" t="str">
        <f ca="1">IFERROR(INDIRECT("data.calibration.model_scores!_scores_engine_coolant_temperature_model_engine_coolant_temperatures_wltp_h_wltp_h_score"),"")</f>
        <v/>
      </c>
      <c r="L18" s="29" t="str">
        <f ca="1">IFERROR(INDIRECT("data.calibration.model_scores!_scores_engine_coolant_temperature_model_engine_coolant_temperatures_wltp_h_wltp_l_score"),"")</f>
        <v/>
      </c>
      <c r="M18" s="28" t="str">
        <f ca="1">IFERROR(INDIRECT("data.calibration.model_scores!_scores_engine_coolant_temperature_model_engine_coolant_temperatures_wltp_l_wltp_h_score"),"")</f>
        <v/>
      </c>
      <c r="N18" s="29" t="str">
        <f ca="1">IFERROR(INDIRECT("data.calibration.model_scores!_scores_engine_coolant_temperature_model_engine_coolant_temperatures_wltp_l_wltp_l_score"),"")</f>
        <v/>
      </c>
      <c r="O18" s="18" t="s">
        <v>25</v>
      </c>
      <c r="P18" s="9"/>
      <c r="Q18" s="9"/>
      <c r="R18" s="9"/>
      <c r="S18" s="9"/>
    </row>
    <row r="19" spans="2:19" ht="15.75" customHeight="1" thickBot="1">
      <c r="B19" s="65"/>
      <c r="C19" s="65"/>
      <c r="D19" s="11" t="s">
        <v>28</v>
      </c>
      <c r="E19" s="65"/>
      <c r="F19" s="65"/>
      <c r="G19" s="12"/>
      <c r="H19" s="7"/>
      <c r="I19" s="72" t="s">
        <v>26</v>
      </c>
      <c r="J19" s="73"/>
      <c r="K19" s="28" t="str">
        <f ca="1">IFERROR(INDIRECT("data.calibration.model_scores!_scores_engine_speed_model_engine_speeds_out_wltp_h_wltp_h_score"),"")</f>
        <v/>
      </c>
      <c r="L19" s="29" t="str">
        <f ca="1">IFERROR(INDIRECT("data.calibration.model_scores!_scores_engine_speed_model_engine_speeds_out_wltp_h_wltp_l_score"),"")</f>
        <v/>
      </c>
      <c r="M19" s="28" t="str">
        <f ca="1">IFERROR(INDIRECT("data.calibration.model_scores!_scores_engine_speed_model_engine_speeds_out_wltp_l_wltp_h_score"),"")</f>
        <v/>
      </c>
      <c r="N19" s="29" t="str">
        <f ca="1">IFERROR(INDIRECT("data.calibration.model_scores!_scores_engine_speed_model_engine_speeds_out_wltp_l_wltp_l_score"),"")</f>
        <v/>
      </c>
      <c r="O19" s="18" t="s">
        <v>20</v>
      </c>
      <c r="P19" s="9"/>
      <c r="Q19" s="9"/>
      <c r="R19" s="9"/>
      <c r="S19" s="9"/>
    </row>
    <row r="20" spans="2:19" ht="15.75" customHeight="1" thickTop="1" thickBot="1">
      <c r="G20" s="10"/>
      <c r="I20" s="56" t="s">
        <v>81</v>
      </c>
      <c r="J20" s="70"/>
      <c r="K20" s="22" t="str">
        <f ca="1">IFERROR(-INDIRECT("data.calibration.model_scores!_scores_control_model_engine_starts_wltp_h_wltp_h_score"),"")</f>
        <v/>
      </c>
      <c r="L20" s="23" t="str">
        <f ca="1">IFERROR(-INDIRECT("data.calibration.model_scores!_scores_control_model_engine_starts_wltp_h_wltp_l_score"),"")</f>
        <v/>
      </c>
      <c r="M20" s="22" t="str">
        <f ca="1">IFERROR(-INDIRECT("data.calibration.model_scores!_scores_control_model_engine_starts_wltp_l_wltp_h_score"),"")</f>
        <v/>
      </c>
      <c r="N20" s="23" t="str">
        <f ca="1">IFERROR(-INDIRECT("data.calibration.model_scores!_scores_control_model_engine_starts_wltp_l_wltp_l_score"),"")</f>
        <v/>
      </c>
      <c r="O20" s="18" t="s">
        <v>18</v>
      </c>
      <c r="P20" s="9"/>
      <c r="Q20" s="9"/>
      <c r="R20" s="9"/>
      <c r="S20" s="9"/>
    </row>
    <row r="21" spans="2:19" ht="15.75" customHeight="1" thickBot="1">
      <c r="B21" s="60" t="s">
        <v>30</v>
      </c>
      <c r="C21" s="61"/>
      <c r="D21" s="13" t="s">
        <v>5</v>
      </c>
      <c r="E21" s="14" t="s">
        <v>6</v>
      </c>
      <c r="F21" s="15" t="s">
        <v>7</v>
      </c>
      <c r="G21" s="10"/>
      <c r="I21" s="62" t="s">
        <v>82</v>
      </c>
      <c r="J21" s="71"/>
      <c r="K21" s="37" t="str">
        <f ca="1">IFERROR(-INDIRECT("data.calibration.model_scores!_scores_control_model_on_engine_wltp_h_wltp_h_score"),"")</f>
        <v/>
      </c>
      <c r="L21" s="38" t="str">
        <f ca="1">IFERROR(-INDIRECT("data.calibration.model_scores!_scores_control_model_on_engine_wltp_h_wltp_l_score"),"")</f>
        <v/>
      </c>
      <c r="M21" s="37" t="str">
        <f ca="1">IFERROR(-INDIRECT("data.calibration.model_scores!_scores_control_model_on_engine_wltp_l_wltp_h_score"),"")</f>
        <v/>
      </c>
      <c r="N21" s="38" t="str">
        <f ca="1">IFERROR(-INDIRECT("data.calibration.model_scores!_scores_control_model_on_engine_wltp_l_wltp_l_score"),"")</f>
        <v/>
      </c>
      <c r="O21" s="18" t="s">
        <v>18</v>
      </c>
      <c r="P21" s="9"/>
      <c r="Q21" s="9"/>
      <c r="R21" s="9"/>
      <c r="S21" s="9"/>
    </row>
    <row r="22" spans="2:19" ht="15.75" customHeight="1">
      <c r="B22" s="56" t="s">
        <v>31</v>
      </c>
      <c r="C22" s="57"/>
      <c r="D22" s="31" t="str">
        <f ca="1">IF(IFERROR(INDIRECT("summary!_results_nedc_h_prediction_output_vehicle_fuel_type__"),"")="","",IFERROR(INDIRECT("summary!_results_nedc_h_prediction_output_vehicle_fuel_type__"),""))</f>
        <v/>
      </c>
      <c r="E22" s="32" t="str">
        <f ca="1">IF(IFERROR(INDIRECT("summary!_results_nedc_l_prediction_output_vehicle_fuel_type__"),"")="","",IFERROR(INDIRECT("summary!_results_nedc_l_prediction_output_vehicle_fuel_type__"),""))</f>
        <v/>
      </c>
      <c r="F22" s="18" t="s">
        <v>18</v>
      </c>
      <c r="G22" s="10"/>
      <c r="I22" s="9"/>
      <c r="P22" s="9"/>
      <c r="Q22" s="9"/>
      <c r="R22" s="9"/>
      <c r="S22" s="9"/>
    </row>
    <row r="23" spans="2:19" ht="15.75" customHeight="1">
      <c r="B23" s="58" t="s">
        <v>32</v>
      </c>
      <c r="C23" s="59"/>
      <c r="D23" s="39" t="str">
        <f ca="1">IF(IFERROR(INDIRECT("summary!_results_nedc_h_prediction_output_vehicle_engine_capacity__cm3_"),"")="","",IFERROR(INDIRECT("summary!_results_nedc_h_prediction_output_vehicle_engine_capacity__cm3_"),""))</f>
        <v/>
      </c>
      <c r="E23" s="40" t="str">
        <f ca="1">IF(IFERROR(INDIRECT("summary!_results_nedc_l_prediction_output_vehicle_engine_capacity__cm3_"),"")="","",IFERROR(INDIRECT("summary!_results_nedc_l_prediction_output_vehicle_engine_capacity__cm3_"),""))</f>
        <v/>
      </c>
      <c r="F23" s="18" t="s">
        <v>33</v>
      </c>
      <c r="G23" s="10"/>
      <c r="I23" s="9"/>
      <c r="P23" s="9"/>
      <c r="Q23" s="9"/>
      <c r="R23" s="9"/>
      <c r="S23" s="9"/>
    </row>
    <row r="24" spans="2:19" ht="15.75" customHeight="1">
      <c r="B24" s="58" t="s">
        <v>84</v>
      </c>
      <c r="C24" s="59"/>
      <c r="D24" s="39" t="str">
        <f ca="1">IF(IFERROR(INDIRECT("summary!_results_nedc_h_prediction_output_vehicle_is_hybrid__"),"")="","",IFERROR(INDIRECT("summary!_results_nedc_h_prediction_output_vehicle_is_hybrid__"),""))</f>
        <v/>
      </c>
      <c r="E24" s="40" t="str">
        <f ca="1">IF(IFERROR(INDIRECT("summary!_results_nedc_l_prediction_output_vehicle_is_hybrid__"),"")="","",IFERROR(INDIRECT("summary!_results_nedc_l_prediction_output_vehicle_is_hybrid__"),""))</f>
        <v/>
      </c>
      <c r="F24" s="18"/>
      <c r="G24" s="10"/>
      <c r="I24" s="9"/>
      <c r="P24" s="9"/>
      <c r="Q24" s="9"/>
      <c r="R24" s="9"/>
      <c r="S24" s="9"/>
    </row>
    <row r="25" spans="2:19" ht="15.75" customHeight="1">
      <c r="B25" s="58" t="s">
        <v>34</v>
      </c>
      <c r="C25" s="59"/>
      <c r="D25" s="39" t="str">
        <f ca="1">IF(IFERROR(INDIRECT("summary!_results_nedc_h_prediction_output_vehicle_gear_box_type__"),"")="","",IFERROR(INDIRECT("summary!_results_nedc_h_prediction_output_vehicle_gear_box_type__"),""))</f>
        <v/>
      </c>
      <c r="E25" s="40" t="str">
        <f ca="1">IF(IFERROR(INDIRECT("summary!_results_nedc_l_prediction_output_vehicle_gear_box_type__"),"")="","",IFERROR(INDIRECT("summary!_results_nedc_l_prediction_output_vehicle_gear_box_type__"),""))</f>
        <v/>
      </c>
      <c r="F25" s="18" t="s">
        <v>18</v>
      </c>
      <c r="G25" s="10"/>
      <c r="I25" s="9"/>
      <c r="P25" s="9"/>
      <c r="Q25" s="9"/>
      <c r="R25" s="9"/>
      <c r="S25" s="9"/>
    </row>
    <row r="26" spans="2:19" ht="15.75" customHeight="1" thickBot="1">
      <c r="B26" s="62" t="s">
        <v>35</v>
      </c>
      <c r="C26" s="63"/>
      <c r="D26" s="41" t="str">
        <f ca="1">IF(IFERROR(INDIRECT("summary!_results_nedc_h_prediction_output_vehicle_engine_is_turbo__"),"")="","",IFERROR(INDIRECT("summary!_results_nedc_h_prediction_output_vehicle_engine_is_turbo__"),""))</f>
        <v/>
      </c>
      <c r="E26" s="42" t="str">
        <f ca="1">IF(IFERROR(INDIRECT("summary!_results_nedc_l_prediction_output_vehicle_engine_is_turbo__"),"")="","",IFERROR(INDIRECT("summary!_results_nedc_l_prediction_output_vehicle_engine_is_turbo__"),""))</f>
        <v/>
      </c>
      <c r="F26" s="18" t="s">
        <v>18</v>
      </c>
      <c r="G26" s="10"/>
      <c r="I26" s="9"/>
      <c r="P26" s="9"/>
      <c r="Q26" s="9"/>
      <c r="R26" s="9"/>
      <c r="S26" s="9"/>
    </row>
    <row r="27" spans="2:19" ht="15.75" customHeight="1" thickBot="1">
      <c r="C27" s="35"/>
      <c r="D27" s="43"/>
      <c r="E27" s="43"/>
      <c r="F27" s="9"/>
      <c r="G27" s="10"/>
      <c r="I27" s="9"/>
      <c r="P27" s="9"/>
      <c r="Q27" s="9"/>
      <c r="R27" s="9"/>
      <c r="S27" s="9"/>
    </row>
    <row r="28" spans="2:19" ht="15.75" customHeight="1" thickBot="1">
      <c r="B28" s="60" t="s">
        <v>36</v>
      </c>
      <c r="C28" s="61"/>
      <c r="D28" s="13" t="s">
        <v>5</v>
      </c>
      <c r="E28" s="14" t="s">
        <v>6</v>
      </c>
      <c r="F28" s="15" t="s">
        <v>7</v>
      </c>
      <c r="G28" s="10"/>
      <c r="I28" s="9"/>
      <c r="P28" s="9"/>
      <c r="Q28" s="9"/>
      <c r="R28" s="9"/>
      <c r="S28" s="9"/>
    </row>
    <row r="29" spans="2:19" ht="15.75" customHeight="1">
      <c r="B29" s="56" t="s">
        <v>37</v>
      </c>
      <c r="C29" s="57"/>
      <c r="D29" s="20" t="str">
        <f ca="1">IF(IFERROR(INDIRECT("summary!_results_nedc_h_prediction_output_vehicle_f0__N_"),"")="","",IFERROR(INDIRECT("summary!_results_nedc_h_prediction_output_vehicle_f0__N_"),""))</f>
        <v/>
      </c>
      <c r="E29" s="21" t="str">
        <f ca="1">IF(IFERROR(INDIRECT("summary!_results_nedc_l_prediction_output_vehicle_f0__N_"),"")="","",IFERROR(INDIRECT("summary!_results_nedc_l_prediction_output_vehicle_f0__N_"),""))</f>
        <v/>
      </c>
      <c r="F29" s="18" t="s">
        <v>38</v>
      </c>
      <c r="G29" s="10"/>
      <c r="P29" s="9"/>
      <c r="Q29" s="9"/>
      <c r="R29" s="9"/>
      <c r="S29" s="9"/>
    </row>
    <row r="30" spans="2:19" ht="15.75" customHeight="1">
      <c r="B30" s="66" t="s">
        <v>39</v>
      </c>
      <c r="C30" s="67"/>
      <c r="D30" s="44" t="str">
        <f ca="1">IF(IFERROR(INDIRECT("summary!_results_nedc_h_prediction_output_vehicle_f1__N__km_h__"),"")="","",IFERROR(INDIRECT("summary!_results_nedc_h_prediction_output_vehicle_f1__N__km_h__"),""))</f>
        <v/>
      </c>
      <c r="E30" s="45" t="str">
        <f ca="1">IF(IFERROR(INDIRECT("summary!_results_nedc_l_prediction_output_vehicle_f1__N__km_h__"),"")="","",IFERROR(INDIRECT("summary!_results_nedc_l_prediction_output_vehicle_f1__N__km_h__"),""))</f>
        <v/>
      </c>
      <c r="F30" s="18" t="s">
        <v>40</v>
      </c>
      <c r="G30" s="10"/>
      <c r="P30" s="9"/>
      <c r="Q30" s="9"/>
      <c r="R30" s="9"/>
      <c r="S30" s="9"/>
    </row>
    <row r="31" spans="2:19" ht="15.75" customHeight="1">
      <c r="B31" s="66" t="s">
        <v>41</v>
      </c>
      <c r="C31" s="67"/>
      <c r="D31" s="44" t="str">
        <f ca="1">IF(IFERROR(INDIRECT("summary!_results_nedc_h_prediction_output_vehicle_f2__N__km_h__2_"),"")="","",IFERROR(INDIRECT("summary!_results_nedc_h_prediction_output_vehicle_f2__N__km_h__2_"),""))</f>
        <v/>
      </c>
      <c r="E31" s="45" t="str">
        <f ca="1">IF(IFERROR(INDIRECT("summary!_results_nedc_l_prediction_output_vehicle_f2__N__km_h__2_"),"")="","",IFERROR(INDIRECT("summary!_results_nedc_l_prediction_output_vehicle_f2__N__km_h__2_"),""))</f>
        <v/>
      </c>
      <c r="F31" s="18" t="s">
        <v>42</v>
      </c>
      <c r="G31" s="10"/>
      <c r="P31" s="9"/>
      <c r="Q31" s="9"/>
      <c r="R31" s="9"/>
      <c r="S31" s="9"/>
    </row>
    <row r="32" spans="2:19" ht="15.75" customHeight="1" thickBot="1">
      <c r="B32" s="62" t="s">
        <v>43</v>
      </c>
      <c r="C32" s="63"/>
      <c r="D32" s="46" t="str">
        <f ca="1">IF(IFERROR(INDIRECT("summary!_results_nedc_h_prediction_output_vehicle_mass__kg_"),"")="","",IFERROR(INDIRECT("summary!_results_nedc_h_prediction_output_vehicle_mass__kg_"),""))</f>
        <v/>
      </c>
      <c r="E32" s="47" t="str">
        <f ca="1">IF(IFERROR(INDIRECT("summary!_results_nedc_l_prediction_output_vehicle_mass__kg_"),"")="","",IFERROR(INDIRECT("summary!_results_nedc_l_prediction_output_vehicle_mass__kg_"),""))</f>
        <v/>
      </c>
      <c r="F32" s="18" t="s">
        <v>44</v>
      </c>
      <c r="G32" s="10"/>
      <c r="P32" s="9"/>
      <c r="Q32" s="9"/>
      <c r="R32" s="9"/>
      <c r="S32" s="9"/>
    </row>
    <row r="33" spans="2:19" ht="15.75" customHeight="1" thickBot="1">
      <c r="B33" s="35"/>
      <c r="C33" s="35"/>
      <c r="D33" s="48"/>
      <c r="E33" s="48"/>
      <c r="F33" s="10"/>
      <c r="G33" s="10"/>
      <c r="P33" s="9"/>
      <c r="Q33" s="9"/>
      <c r="R33" s="9"/>
      <c r="S33" s="9"/>
    </row>
    <row r="34" spans="2:19" ht="15.75" customHeight="1" thickBot="1">
      <c r="B34" s="60" t="s">
        <v>45</v>
      </c>
      <c r="C34" s="61"/>
      <c r="D34" s="13" t="s">
        <v>5</v>
      </c>
      <c r="E34" s="14" t="s">
        <v>6</v>
      </c>
      <c r="F34" s="15" t="s">
        <v>7</v>
      </c>
      <c r="G34" s="10"/>
      <c r="P34" s="9"/>
      <c r="Q34" s="9"/>
      <c r="R34" s="9"/>
      <c r="S34" s="9"/>
    </row>
    <row r="35" spans="2:19" ht="15.75" customHeight="1">
      <c r="B35" s="56" t="s">
        <v>37</v>
      </c>
      <c r="C35" s="57"/>
      <c r="D35" s="20" t="str">
        <f ca="1">IF(IFERROR(INDIRECT("summary!_results_wltp_h_calibration_output_vehicle_f0__N_"),"")="","",IFERROR(INDIRECT("summary!_results_wltp_h_calibration_output_vehicle_f0__N_"),""))</f>
        <v/>
      </c>
      <c r="E35" s="21" t="str">
        <f ca="1">IF(IFERROR(INDIRECT("summary!_results_wltp_l_calibration_output_vehicle_f0__N_"),"")="","",IFERROR(INDIRECT("summary!_results_wltp_l_calibration_output_vehicle_f0__N_"),""))</f>
        <v/>
      </c>
      <c r="F35" s="18" t="s">
        <v>38</v>
      </c>
      <c r="G35" s="10"/>
      <c r="P35" s="9"/>
      <c r="Q35" s="9"/>
      <c r="R35" s="9"/>
      <c r="S35" s="9"/>
    </row>
    <row r="36" spans="2:19" ht="15.75" customHeight="1">
      <c r="B36" s="66" t="s">
        <v>39</v>
      </c>
      <c r="C36" s="67"/>
      <c r="D36" s="44" t="str">
        <f ca="1">IF(IFERROR(INDIRECT("summary!_results_wltp_h_calibration_output_vehicle_f1__N__km_h__"),"")="","",IFERROR(INDIRECT("summary!_results_wltp_h_calibration_output_vehicle_f1__N__km_h__"),""))</f>
        <v/>
      </c>
      <c r="E36" s="45" t="str">
        <f ca="1">IF(IFERROR(INDIRECT("summary!_results_wltp_l_calibration_output_vehicle_f1__N__km_h__"),"")="","",IFERROR(INDIRECT("summary!_results_wltp_l_calibration_output_vehicle_f1__N__km_h__"),""))</f>
        <v/>
      </c>
      <c r="F36" s="18" t="s">
        <v>40</v>
      </c>
      <c r="G36" s="10"/>
      <c r="Q36" s="9"/>
      <c r="R36" s="9"/>
      <c r="S36" s="9"/>
    </row>
    <row r="37" spans="2:19" ht="15.75" customHeight="1">
      <c r="B37" s="66" t="s">
        <v>41</v>
      </c>
      <c r="C37" s="67"/>
      <c r="D37" s="44" t="str">
        <f ca="1">IF(IFERROR(INDIRECT("summary!_results_wltp_h_calibration_output_vehicle_f2__N__km_h__2_"),"")="","",IFERROR(INDIRECT("summary!_results_wltp_h_calibration_output_vehicle_f2__N__km_h__2_"),""))</f>
        <v/>
      </c>
      <c r="E37" s="45" t="str">
        <f ca="1">IF(IFERROR(INDIRECT("summary!_results_wltp_l_calibration_output_vehicle_f2__N__km_h__2_"),"")="","",IFERROR(INDIRECT("summary!_results_wltp_l_calibration_output_vehicle_f2__N__km_h__2_"),""))</f>
        <v/>
      </c>
      <c r="F37" s="18" t="s">
        <v>42</v>
      </c>
      <c r="G37" s="10"/>
      <c r="Q37" s="9"/>
      <c r="R37" s="9"/>
      <c r="S37" s="9"/>
    </row>
    <row r="38" spans="2:19" ht="15.75" customHeight="1">
      <c r="B38" s="58" t="s">
        <v>46</v>
      </c>
      <c r="C38" s="59"/>
      <c r="D38" s="49" t="str">
        <f ca="1">IF(IFERROR(INDIRECT("summary!_results_wltp_h_calibration_output_vehicle_mass__kg_"),"")="","",IFERROR(INDIRECT("summary!_results_wltp_h_calibration_output_vehicle_mass__kg_"),""))</f>
        <v/>
      </c>
      <c r="E38" s="50" t="str">
        <f ca="1">IF(IFERROR(INDIRECT("summary!_results_wltp_l_calibration_output_vehicle_mass__kg_"),"")="","",IFERROR(INDIRECT("summary!_results_wltp_l_calibration_output_vehicle_mass__kg_"),""))</f>
        <v/>
      </c>
      <c r="F38" s="18" t="s">
        <v>44</v>
      </c>
      <c r="G38" s="10"/>
      <c r="Q38" s="9"/>
      <c r="R38" s="9"/>
      <c r="S38" s="9"/>
    </row>
    <row r="39" spans="2:19" ht="15.75" customHeight="1">
      <c r="B39" s="58" t="s">
        <v>71</v>
      </c>
      <c r="C39" s="59"/>
      <c r="D39" s="20" t="str">
        <f ca="1">IF(IFERROR(INDIRECT("summary!_results_wltp_h_calibration_output_co2_emission_low__CO2g_km_"),"")="","",IFERROR(INDIRECT("summary!_results_wltp_h_calibration_output_co2_emission_low__CO2g_km_"),""))</f>
        <v/>
      </c>
      <c r="E39" s="21" t="str">
        <f ca="1">IF(IFERROR(INDIRECT("summary!_results_wltp_l_calibration_output_co2_emission_low__CO2g_km_"),"")="","",IFERROR(INDIRECT("summary!_results_wltp_l_calibration_output_co2_emission_low__CO2g_km_"),""))</f>
        <v/>
      </c>
      <c r="F39" s="18" t="s">
        <v>9</v>
      </c>
      <c r="G39" s="10"/>
      <c r="Q39" s="9"/>
      <c r="R39" s="9"/>
      <c r="S39" s="9"/>
    </row>
    <row r="40" spans="2:19" ht="15.75" customHeight="1">
      <c r="B40" s="58" t="s">
        <v>72</v>
      </c>
      <c r="C40" s="59"/>
      <c r="D40" s="20" t="str">
        <f ca="1">IF(IFERROR(INDIRECT("summary!_results_wltp_h_calibration_output_co2_emission_medium__CO2g_km_"),"")="","",IFERROR(INDIRECT("summary!_results_wltp_h_calibration_output_co2_emission_medium__CO2g_km_"),""))</f>
        <v/>
      </c>
      <c r="E40" s="21" t="str">
        <f ca="1">IF(IFERROR(INDIRECT("summary!_results_wltp_l_calibration_output_co2_emission_medium__CO2g_km_"),"")="","",IFERROR(INDIRECT("summary!_results_wltp_l_calibration_output_co2_emission_medium__CO2g_km_"),""))</f>
        <v/>
      </c>
      <c r="F40" s="18" t="s">
        <v>9</v>
      </c>
      <c r="G40" s="10"/>
      <c r="Q40" s="9"/>
      <c r="R40" s="9"/>
      <c r="S40" s="9"/>
    </row>
    <row r="41" spans="2:19" ht="15.75" customHeight="1">
      <c r="B41" s="58" t="s">
        <v>73</v>
      </c>
      <c r="C41" s="59"/>
      <c r="D41" s="20" t="str">
        <f ca="1">IF(IFERROR(INDIRECT("summary!_results_wltp_h_calibration_output_co2_emission_high__CO2g_km_"),"")="","",IFERROR(INDIRECT("summary!_results_wltp_h_calibration_output_co2_emission_high__CO2g_km_"),""))</f>
        <v/>
      </c>
      <c r="E41" s="21" t="str">
        <f ca="1">IF(IFERROR(INDIRECT("summary!_results_wltp_l_calibration_output_co2_emission_high__CO2g_km_"),"")="","",IFERROR(INDIRECT("summary!_results_wltp_l_calibration_output_co2_emission_high__CO2g_km_"),""))</f>
        <v/>
      </c>
      <c r="F41" s="18" t="s">
        <v>9</v>
      </c>
      <c r="G41" s="10"/>
      <c r="Q41" s="9"/>
      <c r="R41" s="9"/>
      <c r="S41" s="9"/>
    </row>
    <row r="42" spans="2:19" ht="15.75" customHeight="1" thickBot="1">
      <c r="B42" s="62" t="s">
        <v>74</v>
      </c>
      <c r="C42" s="63"/>
      <c r="D42" s="33" t="str">
        <f ca="1">IF(IFERROR(INDIRECT("summary!_results_wltp_h_calibration_output_co2_emission_extra_high__CO2g_km_"),"")="","",IFERROR(INDIRECT("summary!_results_wltp_h_calibration_output_co2_emission_extra_high__CO2g_km_"),""))</f>
        <v/>
      </c>
      <c r="E42" s="34" t="str">
        <f ca="1">IF(IFERROR(INDIRECT("summary!_results_wltp_l_calibration_output_co2_emission_extra_high__CO2g_km_"),"")="","",IFERROR(INDIRECT("summary!_results_wltp_l_calibration_output_co2_emission_extra_high__CO2g_km_"),""))</f>
        <v/>
      </c>
      <c r="F42" s="18" t="s">
        <v>9</v>
      </c>
      <c r="G42" s="10"/>
      <c r="I42" s="9"/>
      <c r="Q42" s="9"/>
      <c r="R42" s="9"/>
      <c r="S42" s="9"/>
    </row>
    <row r="43" spans="2:19" ht="15.75" customHeight="1">
      <c r="G43" s="10"/>
      <c r="I43" s="9"/>
      <c r="Q43" s="9"/>
      <c r="R43" s="9"/>
      <c r="S43" s="9"/>
    </row>
    <row r="44" spans="2:19" ht="15.75" customHeight="1">
      <c r="G44" s="10"/>
      <c r="I44" s="9"/>
      <c r="Q44" s="9"/>
      <c r="R44" s="9"/>
      <c r="S44" s="9"/>
    </row>
    <row r="45" spans="2:19" ht="15.75" customHeight="1">
      <c r="G45" s="10"/>
      <c r="I45" s="9"/>
      <c r="Q45" s="9"/>
      <c r="R45" s="9"/>
      <c r="S45" s="9"/>
    </row>
    <row r="46" spans="2:19" ht="15.75" customHeight="1">
      <c r="G46" s="10"/>
      <c r="I46" s="9"/>
      <c r="Q46" s="9"/>
      <c r="R46" s="9"/>
      <c r="S46" s="9"/>
    </row>
    <row r="47" spans="2:19" ht="15.75" customHeight="1">
      <c r="G47" s="10"/>
      <c r="I47" s="9"/>
      <c r="Q47" s="9"/>
      <c r="R47" s="9"/>
      <c r="S47" s="9"/>
    </row>
    <row r="48" spans="2:19" ht="15.75" customHeight="1">
      <c r="G48" s="10"/>
      <c r="I48" s="9"/>
      <c r="Q48" s="9"/>
      <c r="R48" s="9"/>
      <c r="S48" s="9"/>
    </row>
    <row r="49" spans="3:19" ht="15.75" hidden="1" customHeight="1">
      <c r="G49" s="10"/>
      <c r="I49" s="9"/>
      <c r="Q49" s="9"/>
      <c r="R49" s="9"/>
      <c r="S49" s="9"/>
    </row>
    <row r="50" spans="3:19" ht="15.75" hidden="1" customHeight="1">
      <c r="G50" s="10"/>
      <c r="I50" s="9"/>
      <c r="P50" s="9"/>
      <c r="Q50" s="9"/>
      <c r="R50" s="9"/>
      <c r="S50" s="9"/>
    </row>
    <row r="51" spans="3:19" ht="15" hidden="1" customHeight="1">
      <c r="C51" s="6"/>
      <c r="D51" s="4"/>
      <c r="E51" s="4"/>
      <c r="F51" s="4"/>
      <c r="G51" s="5"/>
      <c r="H51" s="5"/>
      <c r="I51" s="4"/>
      <c r="P51" s="9"/>
      <c r="Q51" s="9"/>
      <c r="R51" s="9"/>
      <c r="S51" s="9"/>
    </row>
    <row r="52" spans="3:19" ht="15" hidden="1" customHeight="1">
      <c r="C52" s="6"/>
      <c r="D52" s="4"/>
      <c r="E52" s="4"/>
      <c r="F52" s="4"/>
      <c r="G52" s="5"/>
      <c r="H52" s="5"/>
      <c r="I52" s="4"/>
      <c r="P52" s="9"/>
      <c r="Q52" s="9"/>
      <c r="R52" s="9"/>
      <c r="S52" s="9"/>
    </row>
    <row r="53" spans="3:19" ht="15" hidden="1" customHeight="1">
      <c r="C53" s="6"/>
      <c r="D53" s="6"/>
      <c r="E53" s="6"/>
      <c r="F53" s="6"/>
      <c r="G53" s="7"/>
      <c r="H53" s="7"/>
      <c r="I53" s="6"/>
      <c r="J53" s="6"/>
      <c r="K53" s="6"/>
      <c r="L53" s="6"/>
      <c r="M53" s="6"/>
      <c r="N53" s="6"/>
      <c r="O53" s="9"/>
      <c r="P53" s="9"/>
      <c r="Q53" s="9"/>
      <c r="R53" s="9"/>
      <c r="S53" s="9"/>
    </row>
    <row r="54" spans="3:19" ht="15" hidden="1" customHeight="1">
      <c r="C54" s="9"/>
      <c r="D54" s="9"/>
      <c r="E54" s="9"/>
      <c r="F54" s="9"/>
      <c r="G54" s="10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3:19" ht="15" hidden="1" customHeight="1">
      <c r="C55" s="6"/>
      <c r="D55" s="9"/>
      <c r="E55" s="9"/>
      <c r="F55" s="9"/>
      <c r="G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3:19" ht="15" hidden="1" customHeight="1">
      <c r="C56" s="6"/>
      <c r="D56" s="9"/>
      <c r="E56" s="9"/>
      <c r="F56" s="9"/>
      <c r="G56" s="1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3:19" ht="15" hidden="1" customHeight="1">
      <c r="C57" s="6"/>
      <c r="D57" s="9"/>
      <c r="E57" s="9"/>
      <c r="F57" s="9"/>
      <c r="G57" s="1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3:19" ht="15" hidden="1" customHeight="1">
      <c r="C58" s="6"/>
      <c r="D58" s="9"/>
      <c r="E58" s="9"/>
      <c r="F58" s="9"/>
      <c r="G58" s="1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3:19" ht="15" hidden="1" customHeight="1">
      <c r="C59" s="6"/>
      <c r="D59" s="9"/>
      <c r="E59" s="9"/>
      <c r="F59" s="9"/>
      <c r="G59" s="1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3:19" ht="15" hidden="1" customHeight="1">
      <c r="C60" s="6"/>
      <c r="D60" s="9"/>
      <c r="E60" s="9"/>
      <c r="F60" s="9"/>
      <c r="G60" s="1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3:19" ht="15" hidden="1" customHeight="1">
      <c r="C61" s="9"/>
      <c r="D61" s="9"/>
      <c r="E61" s="9"/>
      <c r="F61" s="9"/>
      <c r="G61" s="1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</sheetData>
  <conditionalFormatting sqref="D11:E11">
    <cfRule type="colorScale" priority="49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K14">
    <cfRule type="colorScale" priority="46">
      <colorScale>
        <cfvo type="num" val="-1"/>
        <cfvo type="num" val="0"/>
        <color rgb="FF00B050"/>
        <color rgb="FFFFC000"/>
      </colorScale>
    </cfRule>
  </conditionalFormatting>
  <conditionalFormatting sqref="L15">
    <cfRule type="colorScale" priority="48">
      <colorScale>
        <cfvo type="num" val="0"/>
        <cfvo type="num" val="100"/>
        <color rgb="FF00B050"/>
        <color rgb="FFFFC000"/>
      </colorScale>
    </cfRule>
  </conditionalFormatting>
  <conditionalFormatting sqref="N10">
    <cfRule type="colorScale" priority="33">
      <colorScale>
        <cfvo type="num" val="0"/>
        <cfvo type="num" val="60"/>
        <color rgb="FF00B050"/>
        <color rgb="FFFFC000"/>
      </colorScale>
    </cfRule>
  </conditionalFormatting>
  <conditionalFormatting sqref="K11">
    <cfRule type="colorScale" priority="47">
      <colorScale>
        <cfvo type="num" val="0"/>
        <cfvo type="num" val="60"/>
        <color rgb="FF00B050"/>
        <color rgb="FFFFC000"/>
      </colorScale>
    </cfRule>
  </conditionalFormatting>
  <conditionalFormatting sqref="K15">
    <cfRule type="colorScale" priority="45">
      <colorScale>
        <cfvo type="num" val="0"/>
        <cfvo type="num" val="100"/>
        <color rgb="FF00B050"/>
        <color rgb="FFFFC000"/>
      </colorScale>
    </cfRule>
  </conditionalFormatting>
  <conditionalFormatting sqref="K16">
    <cfRule type="colorScale" priority="44">
      <colorScale>
        <cfvo type="num" val="0"/>
        <cfvo type="num" val="0.5"/>
        <color rgb="FF00B050"/>
        <color rgb="FFFFC000"/>
      </colorScale>
    </cfRule>
  </conditionalFormatting>
  <conditionalFormatting sqref="K17">
    <cfRule type="colorScale" priority="43">
      <colorScale>
        <cfvo type="num" val="0"/>
        <cfvo type="num" val="100"/>
        <color rgb="FF00B050"/>
        <color rgb="FFFFC000"/>
      </colorScale>
    </cfRule>
  </conditionalFormatting>
  <conditionalFormatting sqref="K18">
    <cfRule type="colorScale" priority="42">
      <colorScale>
        <cfvo type="num" val="0"/>
        <cfvo type="num" val="3"/>
        <color rgb="FF00B050"/>
        <color rgb="FFFFC000"/>
      </colorScale>
    </cfRule>
  </conditionalFormatting>
  <conditionalFormatting sqref="K19">
    <cfRule type="colorScale" priority="41">
      <colorScale>
        <cfvo type="num" val="0"/>
        <cfvo type="num" val="40"/>
        <color rgb="FF00B050"/>
        <color rgb="FFFFC000"/>
      </colorScale>
    </cfRule>
  </conditionalFormatting>
  <conditionalFormatting sqref="K21">
    <cfRule type="colorScale" priority="40">
      <colorScale>
        <cfvo type="num" val="-1"/>
        <cfvo type="num" val="-0.7"/>
        <color rgb="FF00B050"/>
        <color rgb="FFFFC000"/>
      </colorScale>
    </cfRule>
  </conditionalFormatting>
  <conditionalFormatting sqref="K10">
    <cfRule type="colorScale" priority="39">
      <colorScale>
        <cfvo type="num" val="0"/>
        <cfvo type="num" val="60"/>
        <color rgb="FF00B050"/>
        <color rgb="FFFFC000"/>
      </colorScale>
    </cfRule>
  </conditionalFormatting>
  <conditionalFormatting sqref="N14">
    <cfRule type="colorScale" priority="30">
      <colorScale>
        <cfvo type="num" val="-1"/>
        <cfvo type="num" val="0"/>
        <color rgb="FF00B050"/>
        <color rgb="FFFFC000"/>
      </colorScale>
    </cfRule>
  </conditionalFormatting>
  <conditionalFormatting sqref="L11">
    <cfRule type="colorScale" priority="38">
      <colorScale>
        <cfvo type="num" val="0"/>
        <cfvo type="num" val="60"/>
        <color rgb="FF00B050"/>
        <color rgb="FFFFC000"/>
      </colorScale>
    </cfRule>
  </conditionalFormatting>
  <conditionalFormatting sqref="L10">
    <cfRule type="colorScale" priority="37">
      <colorScale>
        <cfvo type="num" val="0"/>
        <cfvo type="num" val="60"/>
        <color rgb="FF00B050"/>
        <color rgb="FFFFC000"/>
      </colorScale>
    </cfRule>
  </conditionalFormatting>
  <conditionalFormatting sqref="M11">
    <cfRule type="colorScale" priority="36">
      <colorScale>
        <cfvo type="num" val="0"/>
        <cfvo type="num" val="60"/>
        <color rgb="FF00B050"/>
        <color rgb="FFFFC000"/>
      </colorScale>
    </cfRule>
  </conditionalFormatting>
  <conditionalFormatting sqref="M10">
    <cfRule type="colorScale" priority="35">
      <colorScale>
        <cfvo type="num" val="0"/>
        <cfvo type="num" val="60"/>
        <color rgb="FF00B050"/>
        <color rgb="FFFFC000"/>
      </colorScale>
    </cfRule>
  </conditionalFormatting>
  <conditionalFormatting sqref="N11">
    <cfRule type="colorScale" priority="34">
      <colorScale>
        <cfvo type="num" val="0"/>
        <cfvo type="num" val="60"/>
        <color rgb="FF00B050"/>
        <color rgb="FFFFC000"/>
      </colorScale>
    </cfRule>
  </conditionalFormatting>
  <conditionalFormatting sqref="L14">
    <cfRule type="colorScale" priority="32">
      <colorScale>
        <cfvo type="num" val="-1"/>
        <cfvo type="num" val="0"/>
        <color rgb="FF00B050"/>
        <color rgb="FFFFC000"/>
      </colorScale>
    </cfRule>
  </conditionalFormatting>
  <conditionalFormatting sqref="M14">
    <cfRule type="colorScale" priority="31">
      <colorScale>
        <cfvo type="num" val="-1"/>
        <cfvo type="num" val="0"/>
        <color rgb="FF00B050"/>
        <color rgb="FFFFC000"/>
      </colorScale>
    </cfRule>
  </conditionalFormatting>
  <conditionalFormatting sqref="N15">
    <cfRule type="colorScale" priority="29">
      <colorScale>
        <cfvo type="num" val="0"/>
        <cfvo type="num" val="100"/>
        <color rgb="FF00B050"/>
        <color rgb="FFFFC000"/>
      </colorScale>
    </cfRule>
  </conditionalFormatting>
  <conditionalFormatting sqref="M15">
    <cfRule type="colorScale" priority="28">
      <colorScale>
        <cfvo type="num" val="0"/>
        <cfvo type="num" val="100"/>
        <color rgb="FF00B050"/>
        <color rgb="FFFFC000"/>
      </colorScale>
    </cfRule>
  </conditionalFormatting>
  <conditionalFormatting sqref="L16">
    <cfRule type="colorScale" priority="27">
      <colorScale>
        <cfvo type="num" val="0"/>
        <cfvo type="num" val="0.5"/>
        <color rgb="FF00B050"/>
        <color rgb="FFFFC000"/>
      </colorScale>
    </cfRule>
  </conditionalFormatting>
  <conditionalFormatting sqref="M16">
    <cfRule type="colorScale" priority="26">
      <colorScale>
        <cfvo type="num" val="0"/>
        <cfvo type="num" val="0.5"/>
        <color rgb="FF00B050"/>
        <color rgb="FFFFC000"/>
      </colorScale>
    </cfRule>
  </conditionalFormatting>
  <conditionalFormatting sqref="N16">
    <cfRule type="colorScale" priority="25">
      <colorScale>
        <cfvo type="num" val="0"/>
        <cfvo type="num" val="0.5"/>
        <color rgb="FF00B050"/>
        <color rgb="FFFFC000"/>
      </colorScale>
    </cfRule>
  </conditionalFormatting>
  <conditionalFormatting sqref="L17">
    <cfRule type="colorScale" priority="24">
      <colorScale>
        <cfvo type="num" val="0"/>
        <cfvo type="num" val="100"/>
        <color rgb="FF00B050"/>
        <color rgb="FFFFC000"/>
      </colorScale>
    </cfRule>
  </conditionalFormatting>
  <conditionalFormatting sqref="M17">
    <cfRule type="colorScale" priority="23">
      <colorScale>
        <cfvo type="num" val="0"/>
        <cfvo type="num" val="100"/>
        <color rgb="FF00B050"/>
        <color rgb="FFFFC000"/>
      </colorScale>
    </cfRule>
  </conditionalFormatting>
  <conditionalFormatting sqref="N17">
    <cfRule type="colorScale" priority="22">
      <colorScale>
        <cfvo type="num" val="0"/>
        <cfvo type="num" val="100"/>
        <color rgb="FF00B050"/>
        <color rgb="FFFFC000"/>
      </colorScale>
    </cfRule>
  </conditionalFormatting>
  <conditionalFormatting sqref="L18">
    <cfRule type="colorScale" priority="21">
      <colorScale>
        <cfvo type="num" val="0"/>
        <cfvo type="num" val="3"/>
        <color rgb="FF00B050"/>
        <color rgb="FFFFC000"/>
      </colorScale>
    </cfRule>
  </conditionalFormatting>
  <conditionalFormatting sqref="M18">
    <cfRule type="colorScale" priority="20">
      <colorScale>
        <cfvo type="num" val="0"/>
        <cfvo type="num" val="3"/>
        <color rgb="FF00B050"/>
        <color rgb="FFFFC000"/>
      </colorScale>
    </cfRule>
  </conditionalFormatting>
  <conditionalFormatting sqref="N18">
    <cfRule type="colorScale" priority="19">
      <colorScale>
        <cfvo type="num" val="0"/>
        <cfvo type="num" val="3"/>
        <color rgb="FF00B050"/>
        <color rgb="FFFFC000"/>
      </colorScale>
    </cfRule>
  </conditionalFormatting>
  <conditionalFormatting sqref="L19">
    <cfRule type="colorScale" priority="18">
      <colorScale>
        <cfvo type="num" val="0"/>
        <cfvo type="num" val="40"/>
        <color rgb="FF00B050"/>
        <color rgb="FFFFC000"/>
      </colorScale>
    </cfRule>
  </conditionalFormatting>
  <conditionalFormatting sqref="M19">
    <cfRule type="colorScale" priority="17">
      <colorScale>
        <cfvo type="num" val="0"/>
        <cfvo type="num" val="40"/>
        <color rgb="FF00B050"/>
        <color rgb="FFFFC000"/>
      </colorScale>
    </cfRule>
  </conditionalFormatting>
  <conditionalFormatting sqref="N19">
    <cfRule type="colorScale" priority="16">
      <colorScale>
        <cfvo type="num" val="0"/>
        <cfvo type="num" val="40"/>
        <color rgb="FF00B050"/>
        <color rgb="FFFFC000"/>
      </colorScale>
    </cfRule>
  </conditionalFormatting>
  <conditionalFormatting sqref="K20">
    <cfRule type="colorScale" priority="15">
      <colorScale>
        <cfvo type="num" val="-1"/>
        <cfvo type="num" val="-0.7"/>
        <color rgb="FF00B050"/>
        <color rgb="FFFFC000"/>
      </colorScale>
    </cfRule>
  </conditionalFormatting>
  <conditionalFormatting sqref="L20">
    <cfRule type="colorScale" priority="14">
      <colorScale>
        <cfvo type="num" val="-1"/>
        <cfvo type="num" val="-0.7"/>
        <color rgb="FF00B050"/>
        <color rgb="FFFFC000"/>
      </colorScale>
    </cfRule>
  </conditionalFormatting>
  <conditionalFormatting sqref="M20">
    <cfRule type="colorScale" priority="13">
      <colorScale>
        <cfvo type="num" val="-1"/>
        <cfvo type="num" val="-0.7"/>
        <color rgb="FF00B050"/>
        <color rgb="FFFFC000"/>
      </colorScale>
    </cfRule>
  </conditionalFormatting>
  <conditionalFormatting sqref="N20">
    <cfRule type="colorScale" priority="12">
      <colorScale>
        <cfvo type="num" val="-1"/>
        <cfvo type="num" val="-0.7"/>
        <color rgb="FF00B050"/>
        <color rgb="FFFFC000"/>
      </colorScale>
    </cfRule>
  </conditionalFormatting>
  <conditionalFormatting sqref="L21">
    <cfRule type="colorScale" priority="11">
      <colorScale>
        <cfvo type="num" val="-1"/>
        <cfvo type="num" val="-0.7"/>
        <color rgb="FF00B050"/>
        <color rgb="FFFFC000"/>
      </colorScale>
    </cfRule>
  </conditionalFormatting>
  <conditionalFormatting sqref="M21">
    <cfRule type="colorScale" priority="10">
      <colorScale>
        <cfvo type="num" val="-1"/>
        <cfvo type="num" val="-0.7"/>
        <color rgb="FF00B050"/>
        <color rgb="FFFFC000"/>
      </colorScale>
    </cfRule>
  </conditionalFormatting>
  <conditionalFormatting sqref="N21">
    <cfRule type="colorScale" priority="9">
      <colorScale>
        <cfvo type="num" val="-1"/>
        <cfvo type="num" val="-0.7"/>
        <color rgb="FF00B050"/>
        <color rgb="FFFFC000"/>
      </colorScale>
    </cfRule>
  </conditionalFormatting>
  <conditionalFormatting sqref="C4 J4">
    <cfRule type="expression" dxfId="1" priority="50">
      <formula>$C$4="False"</formula>
    </cfRule>
    <cfRule type="expression" dxfId="0" priority="51">
      <formula>$C$4="True"</formula>
    </cfRule>
  </conditionalFormatting>
  <conditionalFormatting sqref="N12">
    <cfRule type="colorScale" priority="5">
      <colorScale>
        <cfvo type="num" val="0"/>
        <cfvo type="num" val="60"/>
        <color rgb="FF00B050"/>
        <color rgb="FFFFC000"/>
      </colorScale>
    </cfRule>
  </conditionalFormatting>
  <conditionalFormatting sqref="K12">
    <cfRule type="colorScale" priority="8">
      <colorScale>
        <cfvo type="num" val="0"/>
        <cfvo type="num" val="60"/>
        <color rgb="FF00B050"/>
        <color rgb="FFFFC000"/>
      </colorScale>
    </cfRule>
  </conditionalFormatting>
  <conditionalFormatting sqref="L12">
    <cfRule type="colorScale" priority="7">
      <colorScale>
        <cfvo type="num" val="0"/>
        <cfvo type="num" val="60"/>
        <color rgb="FF00B050"/>
        <color rgb="FFFFC000"/>
      </colorScale>
    </cfRule>
  </conditionalFormatting>
  <conditionalFormatting sqref="M12">
    <cfRule type="colorScale" priority="6">
      <colorScale>
        <cfvo type="num" val="0"/>
        <cfvo type="num" val="60"/>
        <color rgb="FF00B050"/>
        <color rgb="FFFFC000"/>
      </colorScale>
    </cfRule>
  </conditionalFormatting>
  <conditionalFormatting sqref="N13">
    <cfRule type="colorScale" priority="1">
      <colorScale>
        <cfvo type="num" val="0"/>
        <cfvo type="num" val="60"/>
        <color rgb="FF00B050"/>
        <color rgb="FFFFC000"/>
      </colorScale>
    </cfRule>
  </conditionalFormatting>
  <conditionalFormatting sqref="K13">
    <cfRule type="colorScale" priority="4">
      <colorScale>
        <cfvo type="num" val="0"/>
        <cfvo type="num" val="60"/>
        <color rgb="FF00B050"/>
        <color rgb="FFFFC000"/>
      </colorScale>
    </cfRule>
  </conditionalFormatting>
  <conditionalFormatting sqref="L13">
    <cfRule type="colorScale" priority="3">
      <colorScale>
        <cfvo type="num" val="0"/>
        <cfvo type="num" val="60"/>
        <color rgb="FF00B050"/>
        <color rgb="FFFFC000"/>
      </colorScale>
    </cfRule>
  </conditionalFormatting>
  <conditionalFormatting sqref="M13">
    <cfRule type="colorScale" priority="2">
      <colorScale>
        <cfvo type="num" val="0"/>
        <cfvo type="num" val="60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&amp;C&amp;"Times New Roman,Bold"CO&amp;Y2&amp;YMPAS SUMMARY OUTPUT REPORT</oddHeader>
    <oddFooter>&amp;C&amp;"Times New Roman,Regular"Page &amp;P</oddFooter>
  </headerFooter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showGridLines="0" showRowColHeaders="0" showRuler="0" view="pageLayout" workbookViewId="0"/>
  </sheetViews>
  <sheetFormatPr baseColWidth="10" defaultColWidth="11.83203125" defaultRowHeight="12"/>
  <cols>
    <col min="1" max="1" width="34.5" style="55" bestFit="1" customWidth="1"/>
    <col min="2" max="3" width="22.5" style="55" customWidth="1"/>
    <col min="4" max="4" width="8" style="55" bestFit="1" customWidth="1"/>
    <col min="5" max="5" width="7.5" style="55" bestFit="1" customWidth="1"/>
    <col min="6" max="16384" width="11.83203125" style="55"/>
  </cols>
  <sheetData>
    <row r="1" spans="1:3" s="3" customFormat="1" ht="15">
      <c r="A1" s="52" t="s">
        <v>47</v>
      </c>
      <c r="B1" s="52" t="s">
        <v>48</v>
      </c>
      <c r="C1" s="52" t="s">
        <v>49</v>
      </c>
    </row>
    <row r="2" spans="1:3" s="3" customFormat="1" ht="15">
      <c r="A2" s="1" t="s">
        <v>50</v>
      </c>
      <c r="B2" s="2" t="str">
        <f ca="1">IFERROR(INDIRECT("summary!_info_vehicle_family_id_Value"),"")</f>
        <v/>
      </c>
      <c r="C2" s="2" t="str">
        <f ca="1">IFERROR(INDIRECT("summary!_info_vehicle_family_id_Value"),"")</f>
        <v/>
      </c>
    </row>
    <row r="3" spans="1:3" s="3" customFormat="1" ht="15">
      <c r="A3" s="1" t="s">
        <v>51</v>
      </c>
      <c r="B3" s="2" t="str">
        <f ca="1">IFERROR(INDIRECT("summary!_info_CO2MPAS_version_Value"),"")</f>
        <v/>
      </c>
      <c r="C3" s="2" t="str">
        <f ca="1">IFERROR(INDIRECT("summary!_info_CO2MPAS_version_Value"),"")</f>
        <v/>
      </c>
    </row>
    <row r="4" spans="1:3" s="3" customFormat="1" ht="15">
      <c r="A4" s="1" t="s">
        <v>52</v>
      </c>
      <c r="B4" s="2" t="s">
        <v>53</v>
      </c>
      <c r="C4" s="2" t="str">
        <f>B4</f>
        <v>dice_report</v>
      </c>
    </row>
    <row r="5" spans="1:3" s="3" customFormat="1" ht="15">
      <c r="A5" s="1" t="s">
        <v>54</v>
      </c>
      <c r="B5" s="2" t="str">
        <f ca="1">IFERROR(INDIRECT("summary!_info_Simulation_started_Value"),"")</f>
        <v/>
      </c>
      <c r="C5" s="2" t="str">
        <f ca="1">IFERROR(INDIRECT("summary!_info_Simulation_started_Value"),"")</f>
        <v/>
      </c>
    </row>
    <row r="6" spans="1:3" s="3" customFormat="1" ht="15">
      <c r="A6" s="1" t="s">
        <v>55</v>
      </c>
      <c r="B6" s="8" t="str">
        <f ca="1">IFERROR(INDIRECT("summary!_info_type_approval_mode_Value"),"")</f>
        <v/>
      </c>
      <c r="C6" s="8" t="str">
        <f ca="1">IFERROR(INDIRECT("summary!_info_type_approval_mode_Value"),"")</f>
        <v/>
      </c>
    </row>
    <row r="7" spans="1:3" s="3" customFormat="1" ht="15">
      <c r="A7" s="53" t="s">
        <v>56</v>
      </c>
      <c r="B7" s="53" t="str">
        <f ca="1">IFERROR((INDIRECT("summary!_comparison_declared_co2_emission_value_prediction_nedc_h_prediction_target_ratio")-1)*100,"")</f>
        <v/>
      </c>
      <c r="C7" s="53" t="str">
        <f ca="1">IFERROR((INDIRECT("summary!_comparison_declared_co2_emission_value_prediction_nedc_l_prediction_target_ratio")-1)*100,"")</f>
        <v/>
      </c>
    </row>
    <row r="8" spans="1:3" s="3" customFormat="1" ht="15">
      <c r="A8" s="52" t="s">
        <v>57</v>
      </c>
      <c r="B8" s="52"/>
      <c r="C8" s="52"/>
    </row>
    <row r="9" spans="1:3" s="3" customFormat="1" ht="15">
      <c r="A9" s="54" t="s">
        <v>58</v>
      </c>
      <c r="B9" s="39" t="str">
        <f ca="1">IFERROR(INDIRECT("summary!_results_nedc_h_prediction_output_vehicle_fuel_type__"),"")</f>
        <v/>
      </c>
      <c r="C9" s="39" t="str">
        <f ca="1">IFERROR(INDIRECT("summary!_results_nedc_l_prediction_output_vehicle_fuel_type__"),"")</f>
        <v/>
      </c>
    </row>
    <row r="10" spans="1:3" s="3" customFormat="1" ht="15">
      <c r="A10" s="54" t="s">
        <v>59</v>
      </c>
      <c r="B10" s="39" t="str">
        <f ca="1">IFERROR(INDIRECT("summary!_results_nedc_h_prediction_output_vehicle_engine_capacity__cm3_"),"")</f>
        <v/>
      </c>
      <c r="C10" s="39" t="str">
        <f ca="1">IFERROR(INDIRECT("summary!_results_nedc_l_prediction_output_vehicle_engine_capacity__cm3_"),"")</f>
        <v/>
      </c>
    </row>
    <row r="11" spans="1:3" s="3" customFormat="1" ht="15">
      <c r="A11" s="54" t="s">
        <v>60</v>
      </c>
      <c r="B11" s="39" t="str">
        <f ca="1">IFERROR(INDIRECT("summary!_results_nedc_h_prediction_output_vehicle_gear_box_type__"),"")</f>
        <v/>
      </c>
      <c r="C11" s="39" t="str">
        <f ca="1">IFERROR(INDIRECT("summary!_results_nedc_l_prediction_output_vehicle_gear_box_type__"),"")</f>
        <v/>
      </c>
    </row>
    <row r="12" spans="1:3" s="3" customFormat="1" ht="15">
      <c r="A12" s="54" t="s">
        <v>61</v>
      </c>
      <c r="B12" s="39" t="str">
        <f ca="1">IFERROR(INDIRECT("summary!_results_nedc_h_prediction_output_vehicle_engine_is_turbo__"),"")</f>
        <v/>
      </c>
      <c r="C12" s="39" t="str">
        <f ca="1">IFERROR(INDIRECT("summary!_results_nedc_l_prediction_output_vehicle_engine_is_turbo__"),"")</f>
        <v/>
      </c>
    </row>
    <row r="13" spans="1:3" ht="15">
      <c r="A13" s="52" t="s">
        <v>75</v>
      </c>
      <c r="B13" s="52"/>
      <c r="C13" s="52"/>
    </row>
    <row r="14" spans="1:3" ht="15">
      <c r="A14" s="77" t="s">
        <v>12</v>
      </c>
      <c r="B14" s="78" t="str">
        <f ca="1">IFERROR(INDIRECT("data.calibration.model_scores!_scores_alternator_model_battery_currents_wltp_h_wltp_h_score"),"")</f>
        <v/>
      </c>
      <c r="C14" s="78" t="str">
        <f ca="1">IFERROR(INDIRECT("data.calibration.model_scores!_scores_alternator_model_battery_currents_wltp_l_wltp_h_score"),"")</f>
        <v/>
      </c>
    </row>
    <row r="15" spans="1:3" ht="15">
      <c r="A15" s="77" t="s">
        <v>15</v>
      </c>
      <c r="B15" s="78" t="str">
        <f ca="1">IFERROR(INDIRECT("data.calibration.model_scores!_scores_alternator_model_alternator_currents_wltp_h_wltp_h_score"),"")</f>
        <v/>
      </c>
      <c r="C15" s="78" t="str">
        <f ca="1">IFERROR(INDIRECT("data.calibration.model_scores!_scores_alternator_model_alternator_currents_wltp_l_wltp_h_score"),"")</f>
        <v/>
      </c>
    </row>
    <row r="16" spans="1:3" ht="15">
      <c r="A16" s="77" t="s">
        <v>17</v>
      </c>
      <c r="B16" s="78" t="str">
        <f ca="1">IFERROR(-INDIRECT("data.calibration.model_scores!_scores_at_model_gears_wltp_h_wltp_h_score"),"")</f>
        <v/>
      </c>
      <c r="C16" s="78" t="str">
        <f ca="1">IFERROR(-INDIRECT("data.calibration.model_scores!_scores_at_model_gears_wltp_l_wltp_h_score"),"")</f>
        <v/>
      </c>
    </row>
    <row r="17" spans="1:3" ht="15">
      <c r="A17" s="77" t="s">
        <v>19</v>
      </c>
      <c r="B17" s="78" t="str">
        <f ca="1">IFERROR(INDIRECT("data.calibration.model_scores!_scores_clutch_torque_converter_model_engine_speeds_out_wltp_h_wltp_h_score"),"")</f>
        <v/>
      </c>
      <c r="C17" s="78" t="str">
        <f ca="1">IFERROR(INDIRECT("data.calibration.model_scores!_scores_clutch_torque_converter_model_engine_speeds_out_wltp_l_wltp_h_score"),"")</f>
        <v/>
      </c>
    </row>
    <row r="18" spans="1:3" ht="15">
      <c r="A18" s="77" t="s">
        <v>21</v>
      </c>
      <c r="B18" s="78" t="str">
        <f ca="1">IFERROR(INDIRECT("data.calibration.model_scores!_scores_co2_params_identified_co2_emissions_wltp_h_wltp_h_score"),"")</f>
        <v/>
      </c>
      <c r="C18" s="78" t="str">
        <f ca="1">IFERROR(INDIRECT("data.calibration.model_scores!_scores_co2_params_identified_co2_emissions_wltp_l_wltp_h_score"),"")</f>
        <v/>
      </c>
    </row>
    <row r="19" spans="1:3" ht="15">
      <c r="A19" s="77" t="s">
        <v>23</v>
      </c>
      <c r="B19" s="78" t="str">
        <f ca="1">IFERROR(INDIRECT("data.calibration.model_scores!_scores_engine_cold_start_speed_model_engine_speeds_out_wltp_h_wltp_h_score"),"")</f>
        <v/>
      </c>
      <c r="C19" s="78" t="str">
        <f ca="1">IFERROR(INDIRECT("data.calibration.model_scores!_scores_engine_cold_start_speed_model_engine_speeds_out_wltp_l_wltp_h_score"),"")</f>
        <v/>
      </c>
    </row>
    <row r="20" spans="1:3" ht="15">
      <c r="A20" s="77" t="s">
        <v>24</v>
      </c>
      <c r="B20" s="78" t="str">
        <f ca="1">IFERROR(INDIRECT("data.calibration.model_scores!_scores_engine_coolant_temperature_model_engine_coolant_temperatures_wltp_h_wltp_h_score"),"")</f>
        <v/>
      </c>
      <c r="C20" s="78" t="str">
        <f ca="1">IFERROR(INDIRECT("data.calibration.model_scores!_scores_engine_coolant_temperature_model_engine_coolant_temperatures_wltp_l_wltp_h_score"),"")</f>
        <v/>
      </c>
    </row>
    <row r="21" spans="1:3" ht="15">
      <c r="A21" s="77" t="s">
        <v>26</v>
      </c>
      <c r="B21" s="78" t="str">
        <f ca="1">IFERROR(INDIRECT("data.calibration.model_scores!_scores_engine_speed_model_engine_speeds_out_wltp_h_wltp_h_score"),"")</f>
        <v/>
      </c>
      <c r="C21" s="78" t="str">
        <f ca="1">IFERROR(INDIRECT("data.calibration.model_scores!_scores_engine_speed_model_engine_speeds_out_wltp_l_wltp_h_score"),"")</f>
        <v/>
      </c>
    </row>
    <row r="22" spans="1:3" ht="15">
      <c r="A22" s="77" t="s">
        <v>27</v>
      </c>
      <c r="B22" s="78" t="str">
        <f ca="1">IFERROR(-INDIRECT("data.calibration.model_scores!_scores_start_stop_model_engine_starts_wltp_h_wltp_h_score"),"")</f>
        <v/>
      </c>
      <c r="C22" s="78" t="str">
        <f ca="1">IFERROR(-INDIRECT("data.calibration.model_scores!_scores_start_stop_model_engine_starts_wltp_l_wltp_h_score"),"")</f>
        <v/>
      </c>
    </row>
    <row r="23" spans="1:3" ht="15">
      <c r="A23" s="77" t="s">
        <v>29</v>
      </c>
      <c r="B23" s="78" t="str">
        <f ca="1">IFERROR(-INDIRECT("data.calibration.model_scores!_scores_start_stop_model_on_engine_wltp_h_wltp_h_score"),"")</f>
        <v/>
      </c>
      <c r="C23" s="78" t="str">
        <f ca="1">IFERROR(-INDIRECT("data.calibration.model_scores!_scores_start_stop_model_on_engine_wltp_l_wltp_h_score"),"")</f>
        <v/>
      </c>
    </row>
    <row r="24" spans="1:3" ht="15">
      <c r="A24" s="52" t="s">
        <v>76</v>
      </c>
      <c r="B24" s="52"/>
      <c r="C24" s="52"/>
    </row>
    <row r="25" spans="1:3" ht="15">
      <c r="A25" s="77" t="s">
        <v>12</v>
      </c>
      <c r="B25" s="78" t="str">
        <f ca="1">IFERROR(INDIRECT("data.calibration.model_scores!_scores_alternator_model_battery_currents_wltp_h_wltp_l_score"),"")</f>
        <v/>
      </c>
      <c r="C25" s="78" t="str">
        <f ca="1">IFERROR(INDIRECT("data.calibration.model_scores!_scores_alternator_model_battery_currents_wltp_l_wltp_l_score"),"")</f>
        <v/>
      </c>
    </row>
    <row r="26" spans="1:3" ht="15">
      <c r="A26" s="77" t="s">
        <v>15</v>
      </c>
      <c r="B26" s="78" t="str">
        <f ca="1">IFERROR(INDIRECT("data.calibration.model_scores!_scores_alternator_model_alternator_currents_wltp_h_wltp_l_score"),"")</f>
        <v/>
      </c>
      <c r="C26" s="78" t="str">
        <f ca="1">IFERROR(INDIRECT("data.calibration.model_scores!_scores_alternator_model_alternator_currents_wltp_l_wltp_l_score"),"")</f>
        <v/>
      </c>
    </row>
    <row r="27" spans="1:3" ht="15">
      <c r="A27" s="77" t="s">
        <v>17</v>
      </c>
      <c r="B27" s="78" t="str">
        <f ca="1">IFERROR(-INDIRECT("data.calibration.model_scores!_scores_at_model_gears_wltp_h_wltp_l_score"),"")</f>
        <v/>
      </c>
      <c r="C27" s="78" t="str">
        <f ca="1">IFERROR(-INDIRECT("data.calibration.model_scores!_scores_at_model_gears_wltp_l_wltp_l_score"),"")</f>
        <v/>
      </c>
    </row>
    <row r="28" spans="1:3" ht="15">
      <c r="A28" s="77" t="s">
        <v>19</v>
      </c>
      <c r="B28" s="78" t="str">
        <f ca="1">IFERROR(INDIRECT("data.calibration.model_scores!_scores_clutch_torque_converter_model_engine_speeds_out_wltp_h_wltp_l_score"),"")</f>
        <v/>
      </c>
      <c r="C28" s="78" t="str">
        <f ca="1">IFERROR(INDIRECT("data.calibration.model_scores!_scores_clutch_torque_converter_model_engine_speeds_out_wltp_l_wltp_l_score"),"")</f>
        <v/>
      </c>
    </row>
    <row r="29" spans="1:3" ht="15">
      <c r="A29" s="77" t="s">
        <v>21</v>
      </c>
      <c r="B29" s="78" t="str">
        <f ca="1">IFERROR(INDIRECT("data.calibration.model_scores!_scores_co2_params_identified_co2_emissions_wltp_h_wltp_l_score"),"")</f>
        <v/>
      </c>
      <c r="C29" s="78" t="str">
        <f ca="1">IFERROR(INDIRECT("data.calibration.model_scores!_scores_co2_params_identified_co2_emissions_wltp_l_wltp_l_score"),"")</f>
        <v/>
      </c>
    </row>
    <row r="30" spans="1:3" ht="15">
      <c r="A30" s="77" t="s">
        <v>23</v>
      </c>
      <c r="B30" s="78" t="str">
        <f ca="1">IFERROR(INDIRECT("data.calibration.model_scores!_scores_engine_cold_start_speed_model_engine_speeds_out_wltp_h_wltp_l_score"),"")</f>
        <v/>
      </c>
      <c r="C30" s="78" t="str">
        <f ca="1">IFERROR(INDIRECT("data.calibration.model_scores!_scores_engine_cold_start_speed_model_engine_speeds_out_wltp_l_wltp_l_score"),"")</f>
        <v/>
      </c>
    </row>
    <row r="31" spans="1:3" ht="15">
      <c r="A31" s="77" t="s">
        <v>24</v>
      </c>
      <c r="B31" s="78" t="str">
        <f ca="1">IFERROR(INDIRECT("data.calibration.model_scores!_scores_engine_coolant_temperature_model_engine_coolant_temperatures_wltp_h_wltp_l_score"),"")</f>
        <v/>
      </c>
      <c r="C31" s="78" t="str">
        <f ca="1">IFERROR(INDIRECT("data.calibration.model_scores!_scores_engine_coolant_temperature_model_engine_coolant_temperatures_wltp_l_wltp_l_score"),"")</f>
        <v/>
      </c>
    </row>
    <row r="32" spans="1:3" ht="15">
      <c r="A32" s="77" t="s">
        <v>26</v>
      </c>
      <c r="B32" s="78" t="str">
        <f ca="1">IFERROR(INDIRECT("data.calibration.model_scores!_scores_engine_speed_model_engine_speeds_out_wltp_h_wltp_l_score"),"")</f>
        <v/>
      </c>
      <c r="C32" s="78" t="str">
        <f ca="1">IFERROR(INDIRECT("data.calibration.model_scores!_scores_engine_speed_model_engine_speeds_out_wltp_l_wltp_l_score"),"")</f>
        <v/>
      </c>
    </row>
    <row r="33" spans="1:3" ht="15">
      <c r="A33" s="77" t="s">
        <v>27</v>
      </c>
      <c r="B33" s="78" t="str">
        <f ca="1">IFERROR(-INDIRECT("data.calibration.model_scores!_scores_start_stop_model_engine_starts_wltp_h_wltp_l_score"),"")</f>
        <v/>
      </c>
      <c r="C33" s="78" t="str">
        <f ca="1">IFERROR(-INDIRECT("data.calibration.model_scores!_scores_start_stop_model_engine_starts_wltp_l_wltp_l_score"),"")</f>
        <v/>
      </c>
    </row>
    <row r="34" spans="1:3" ht="15">
      <c r="A34" s="77" t="s">
        <v>29</v>
      </c>
      <c r="B34" s="78" t="str">
        <f ca="1">IFERROR(-INDIRECT("data.calibration.model_scores!_scores_start_stop_model_on_engine_wltp_h_wltp_l_score"),"")</f>
        <v/>
      </c>
      <c r="C34" s="78" t="str">
        <f ca="1">IFERROR(-INDIRECT("data.calibration.model_scores!_scores_start_stop_model_on_engine_wltp_l_wltp_l_score"),"")</f>
        <v/>
      </c>
    </row>
  </sheetData>
  <sheetProtection sheet="1" objects="1" scenarios="1"/>
  <pageMargins left="0.25" right="0.25" top="0.75" bottom="0.75" header="0.3" footer="0.3"/>
  <pageSetup paperSize="9" orientation="portrait" r:id="rId1"/>
  <headerFooter>
    <oddHeader>&amp;C&amp;"Times New Roman,Bold"CO&amp;Y2&amp;YMPAS DICE REPORT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Microsoft Office User</cp:lastModifiedBy>
  <dcterms:created xsi:type="dcterms:W3CDTF">2017-05-05T09:19:53Z</dcterms:created>
  <dcterms:modified xsi:type="dcterms:W3CDTF">2019-10-21T17:25:48Z</dcterms:modified>
</cp:coreProperties>
</file>