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xr:revisionPtr revIDLastSave="0" documentId="13_ncr:1_{7332B1B9-3A44-FD45-83C0-17A1C49DFEED}" xr6:coauthVersionLast="33" xr6:coauthVersionMax="33" xr10:uidLastSave="{00000000-0000-0000-0000-000000000000}"/>
  <bookViews>
    <workbookView xWindow="0" yWindow="460" windowWidth="28800" windowHeight="16460" xr2:uid="{00000000-000D-0000-FFFF-FFFF00000000}"/>
  </bookViews>
  <sheets>
    <sheet name="output_report" sheetId="4" r:id="rId1"/>
    <sheet name="dice_report" sheetId="5" state="hidden" r:id="rId2"/>
  </sheets>
  <calcPr calcId="179017" concurrentCalc="0"/>
</workbook>
</file>

<file path=xl/calcChain.xml><?xml version="1.0" encoding="utf-8"?>
<calcChain xmlns="http://schemas.openxmlformats.org/spreadsheetml/2006/main">
  <c r="L17" i="4" l="1"/>
  <c r="M17" i="4"/>
  <c r="N17" i="4"/>
  <c r="O17" i="4"/>
  <c r="O16" i="4"/>
  <c r="N16" i="4"/>
  <c r="M16" i="4"/>
  <c r="L16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O20" i="4"/>
  <c r="N20" i="4"/>
  <c r="M20" i="4"/>
  <c r="L20" i="4"/>
  <c r="O19" i="4"/>
  <c r="N19" i="4"/>
  <c r="M19" i="4"/>
  <c r="L19" i="4"/>
  <c r="O18" i="4"/>
  <c r="N18" i="4"/>
  <c r="M18" i="4"/>
  <c r="L18" i="4"/>
  <c r="E17" i="4"/>
  <c r="D17" i="4"/>
  <c r="E16" i="4"/>
  <c r="D16" i="4"/>
  <c r="O15" i="4"/>
  <c r="N15" i="4"/>
  <c r="M15" i="4"/>
  <c r="L15" i="4"/>
  <c r="E15" i="4"/>
  <c r="D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E11" i="4"/>
  <c r="D11" i="4"/>
  <c r="O10" i="4"/>
  <c r="N10" i="4"/>
  <c r="M10" i="4"/>
  <c r="L10" i="4"/>
  <c r="E10" i="4"/>
  <c r="D10" i="4"/>
  <c r="E9" i="4"/>
  <c r="D9" i="4"/>
  <c r="C4" i="4"/>
  <c r="K4" i="4"/>
  <c r="C3" i="4"/>
  <c r="K3" i="4"/>
  <c r="C2" i="4"/>
  <c r="K2" i="4"/>
  <c r="C1" i="4"/>
  <c r="K1" i="4"/>
</calcChain>
</file>

<file path=xl/sharedStrings.xml><?xml version="1.0" encoding="utf-8"?>
<sst xmlns="http://schemas.openxmlformats.org/spreadsheetml/2006/main" count="143" uniqueCount="79">
  <si>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</si>
  <si>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</si>
  <si>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</si>
  <si>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</si>
  <si>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</si>
  <si>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</si>
  <si>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</si>
  <si>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</si>
  <si>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</si>
  <si>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</si>
  <si>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</si>
  <si>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</si>
  <si>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</si>
  <si>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</si>
  <si>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</si>
  <si>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</si>
  <si>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</si>
  <si>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</si>
  <si>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</si>
  <si>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</si>
  <si>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</si>
  <si>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</si>
  <si>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</si>
  <si>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</si>
  <si>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</si>
  <si>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</si>
  <si>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</si>
  <si>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</si>
  <si>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</si>
  <si>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</si>
  <si>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</si>
  <si>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</si>
  <si>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</si>
  <si>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</si>
  <si>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</si>
  <si>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</si>
  <si>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</si>
  <si>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</si>
  <si>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</si>
  <si>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</si>
  <si>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</si>
  <si>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</si>
  <si>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</si>
  <si>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</si>
  <si>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</si>
  <si>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</si>
  <si>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</si>
  <si>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</si>
  <si>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</si>
  <si>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</si>
  <si>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</si>
  <si>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</si>
  <si>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</si>
  <si>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</si>
  <si>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</si>
  <si>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</si>
  <si>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</si>
  <si>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</si>
  <si>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</si>
  <si>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</si>
  <si>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</si>
  <si>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</si>
  <si>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</si>
  <si>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</si>
  <si>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</si>
  <si>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</si>
  <si>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</si>
  <si>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</si>
  <si>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</si>
  <si>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</si>
  <si>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</si>
  <si>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</si>
  <si>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</si>
  <si>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</si>
  <si>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</si>
  <si>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</si>
  <si>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</si>
  <si>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engine_coolant_temperature_model (cold)</t>
  </si>
  <si>
    <t>engine_coolant_temperature_model (hot)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</si>
</sst>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2" fontId="5" fillId="5" borderId="19" xfId="1" applyNumberFormat="1" applyFont="1" applyFill="1" applyBorder="1" applyAlignment="1" applyProtection="1">
      <alignment horizontal="center" vertical="center"/>
      <protection hidden="1"/>
    </xf>
    <xf numFmtId="2" fontId="5" fillId="5" borderId="20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5" xfId="0" applyFont="1" applyFill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6" fillId="0" borderId="28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3" xfId="0" applyFont="1" applyFill="1" applyBorder="1" applyAlignment="1" applyProtection="1">
      <alignment vertical="center"/>
      <protection hidden="1"/>
    </xf>
    <xf numFmtId="0" fontId="2" fillId="0" borderId="24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showGridLines="0" showRowColHeaders="0" tabSelected="1" showRuler="0" view="pageLayout" workbookViewId="0"/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21.6640625" style="3" customWidth="1"/>
    <col min="8" max="8" width="1.1640625" style="54" customWidth="1"/>
    <col min="9" max="9" width="1.1640625" style="10" customWidth="1"/>
    <col min="10" max="10" width="19.33203125" style="3" bestFit="1" customWidth="1"/>
    <col min="11" max="11" width="21.33203125" style="3" customWidth="1"/>
    <col min="12" max="15" width="12" style="3" customWidth="1"/>
    <col min="16" max="16" width="7.33203125" style="3" bestFit="1" customWidth="1"/>
    <col min="17" max="17" width="1.1640625" style="10" customWidth="1"/>
    <col min="18" max="16384" width="8.83203125" style="3" hidden="1"/>
  </cols>
  <sheetData>
    <row r="1" spans="2:21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4"/>
      <c r="H1" s="5"/>
      <c r="I1" s="5"/>
      <c r="J1" s="1" t="s">
        <v>0</v>
      </c>
      <c r="K1" s="2" t="str">
        <f ca="1">C1</f>
        <v/>
      </c>
      <c r="M1" s="4"/>
      <c r="N1" s="4"/>
      <c r="O1" s="4"/>
      <c r="P1" s="4"/>
      <c r="Q1" s="5"/>
      <c r="R1" s="4"/>
      <c r="S1" s="4"/>
      <c r="T1" s="4"/>
      <c r="U1" s="4"/>
    </row>
    <row r="2" spans="2:21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6"/>
      <c r="H2" s="7"/>
      <c r="I2" s="7"/>
      <c r="J2" s="1" t="s">
        <v>1</v>
      </c>
      <c r="K2" s="2" t="str">
        <f ca="1">C2</f>
        <v/>
      </c>
      <c r="M2" s="6"/>
      <c r="N2" s="6"/>
      <c r="O2" s="6"/>
      <c r="P2" s="6"/>
      <c r="Q2" s="7"/>
      <c r="R2" s="6"/>
      <c r="S2" s="6"/>
      <c r="T2" s="6"/>
      <c r="U2" s="6"/>
    </row>
    <row r="3" spans="2:21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6"/>
      <c r="H3" s="7"/>
      <c r="I3" s="7"/>
      <c r="J3" s="1" t="s">
        <v>2</v>
      </c>
      <c r="K3" s="2" t="str">
        <f ca="1">C3</f>
        <v/>
      </c>
      <c r="M3" s="6"/>
      <c r="N3" s="6"/>
      <c r="O3" s="6"/>
      <c r="P3" s="6"/>
      <c r="Q3" s="7"/>
      <c r="R3" s="6"/>
      <c r="S3" s="6"/>
      <c r="T3" s="6"/>
      <c r="U3" s="6"/>
    </row>
    <row r="4" spans="2:21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9"/>
      <c r="H4" s="10"/>
      <c r="J4" s="1" t="s">
        <v>3</v>
      </c>
      <c r="K4" s="8" t="str">
        <f ca="1">C4</f>
        <v/>
      </c>
      <c r="M4" s="9"/>
      <c r="N4" s="9"/>
      <c r="O4" s="9"/>
      <c r="P4" s="9"/>
      <c r="R4" s="9"/>
      <c r="S4" s="9"/>
      <c r="T4" s="9"/>
      <c r="U4" s="9"/>
    </row>
    <row r="5" spans="2:21" ht="15.75" customHeight="1">
      <c r="C5" s="4"/>
      <c r="D5" s="4"/>
      <c r="E5" s="4"/>
      <c r="F5" s="9"/>
      <c r="G5" s="9"/>
      <c r="H5" s="10"/>
      <c r="R5" s="9"/>
      <c r="S5" s="9"/>
      <c r="T5" s="9"/>
      <c r="U5" s="9"/>
    </row>
    <row r="6" spans="2:21" ht="15.75" customHeight="1" thickBot="1">
      <c r="B6" s="68"/>
      <c r="C6" s="68"/>
      <c r="D6" s="11" t="s">
        <v>65</v>
      </c>
      <c r="E6" s="68"/>
      <c r="F6" s="68"/>
      <c r="G6" s="68"/>
      <c r="H6" s="12"/>
      <c r="I6" s="7"/>
      <c r="J6" s="68"/>
      <c r="K6" s="68"/>
      <c r="L6" s="11" t="s">
        <v>4</v>
      </c>
      <c r="M6" s="68"/>
      <c r="N6" s="68"/>
      <c r="O6" s="68"/>
      <c r="P6" s="68"/>
      <c r="Q6" s="13"/>
      <c r="R6" s="9"/>
      <c r="S6" s="9"/>
      <c r="T6" s="9"/>
      <c r="U6" s="9"/>
    </row>
    <row r="7" spans="2:21" ht="15.75" customHeight="1" thickTop="1" thickBot="1">
      <c r="G7" s="9"/>
      <c r="H7" s="10"/>
      <c r="R7" s="9"/>
      <c r="S7" s="9"/>
      <c r="T7" s="9"/>
      <c r="U7" s="9"/>
    </row>
    <row r="8" spans="2:21" ht="15.75" customHeight="1" thickBot="1">
      <c r="B8" s="63" t="s">
        <v>62</v>
      </c>
      <c r="C8" s="64"/>
      <c r="D8" s="14" t="s">
        <v>5</v>
      </c>
      <c r="E8" s="15" t="s">
        <v>6</v>
      </c>
      <c r="F8" s="16" t="s">
        <v>7</v>
      </c>
      <c r="G8" s="9"/>
      <c r="H8" s="10"/>
      <c r="L8" s="79" t="s">
        <v>5</v>
      </c>
      <c r="M8" s="78"/>
      <c r="N8" s="79" t="s">
        <v>6</v>
      </c>
      <c r="O8" s="78"/>
      <c r="R8" s="9"/>
      <c r="S8" s="9"/>
      <c r="T8" s="9"/>
      <c r="U8" s="9"/>
    </row>
    <row r="9" spans="2:21" ht="15.75" customHeight="1" thickBot="1">
      <c r="B9" s="59" t="s">
        <v>63</v>
      </c>
      <c r="C9" s="60"/>
      <c r="D9" s="17" t="str">
        <f ca="1">IFERROR(INDIRECT("summary!_results_nedc_h_prediction_target_declared_co2_emission_declared_value__CO2g_km_"),"")</f>
        <v/>
      </c>
      <c r="E9" s="18" t="str">
        <f ca="1">IFERROR(INDIRECT("summary!_results_nedc_l_prediction_target_declared_co2_emission_declared_value__CO2g_km_"),"")</f>
        <v/>
      </c>
      <c r="F9" s="19" t="s">
        <v>9</v>
      </c>
      <c r="G9" s="9"/>
      <c r="H9" s="10"/>
      <c r="J9" s="71" t="s">
        <v>8</v>
      </c>
      <c r="K9" s="72"/>
      <c r="L9" s="20" t="s">
        <v>10</v>
      </c>
      <c r="M9" s="15" t="s">
        <v>11</v>
      </c>
      <c r="N9" s="20" t="s">
        <v>10</v>
      </c>
      <c r="O9" s="15" t="s">
        <v>11</v>
      </c>
      <c r="P9" s="77" t="s">
        <v>7</v>
      </c>
      <c r="R9" s="9"/>
      <c r="S9" s="9"/>
      <c r="T9" s="9"/>
      <c r="U9" s="9"/>
    </row>
    <row r="10" spans="2:21" ht="15.75" customHeight="1">
      <c r="B10" s="61" t="s">
        <v>64</v>
      </c>
      <c r="C10" s="62"/>
      <c r="D10" s="21" t="str">
        <f ca="1">IFERROR(INDIRECT("summary!_results_nedc_h_prediction_output_declared_co2_emission_declared_value__CO2g_km_"),"")</f>
        <v/>
      </c>
      <c r="E10" s="22" t="str">
        <f ca="1">IFERROR(INDIRECT("summary!_results_nedc_l_prediction_output_declared_co2_emission_declared_value__CO2g_km_"),"")</f>
        <v/>
      </c>
      <c r="F10" s="19" t="s">
        <v>9</v>
      </c>
      <c r="G10" s="9"/>
      <c r="H10" s="10"/>
      <c r="J10" s="59" t="s">
        <v>12</v>
      </c>
      <c r="K10" s="73"/>
      <c r="L10" s="23" t="str">
        <f ca="1">IFERROR(INDIRECT("data.calibration.model_scores!_scores_alternator_model_battery_currents_wltp_h_wltp_h_score"),"")</f>
        <v/>
      </c>
      <c r="M10" s="24" t="str">
        <f ca="1">IFERROR(INDIRECT("data.calibration.model_scores!_scores_alternator_model_battery_currents_wltp_h_wltp_l_score"),"")</f>
        <v/>
      </c>
      <c r="N10" s="23" t="str">
        <f ca="1">IFERROR(INDIRECT("data.calibration.model_scores!_scores_alternator_model_battery_currents_wltp_l_wltp_h_score"),"")</f>
        <v/>
      </c>
      <c r="O10" s="24" t="str">
        <f ca="1">IFERROR(INDIRECT("data.calibration.model_scores!_scores_alternator_model_battery_currents_wltp_l_wltp_l_score"),"")</f>
        <v/>
      </c>
      <c r="P10" s="25" t="s">
        <v>13</v>
      </c>
      <c r="R10" s="9"/>
      <c r="S10" s="9"/>
      <c r="T10" s="9"/>
      <c r="U10" s="9"/>
    </row>
    <row r="11" spans="2:21" ht="15.75" customHeight="1" thickBot="1">
      <c r="B11" s="65" t="s">
        <v>66</v>
      </c>
      <c r="C11" s="66"/>
      <c r="D11" s="26" t="str">
        <f ca="1">IFERROR((INDIRECT("summary!_comparison_declared_co2_emission_value_prediction_nedc_h_prediction_target_ratio")-1)*100,"")</f>
        <v/>
      </c>
      <c r="E11" s="27" t="str">
        <f ca="1">IFERROR((INDIRECT("summary!_comparison_declared_co2_emission_value_prediction_nedc_l_prediction_target_ratio")-1)*100, "")</f>
        <v/>
      </c>
      <c r="F11" s="19" t="s">
        <v>14</v>
      </c>
      <c r="G11" s="9"/>
      <c r="H11" s="10"/>
      <c r="J11" s="65" t="s">
        <v>15</v>
      </c>
      <c r="K11" s="74"/>
      <c r="L11" s="28" t="str">
        <f ca="1">IFERROR(INDIRECT("data.calibration.model_scores!_scores_alternator_model_alternator_currents_wltp_h_wltp_h_score"),"")</f>
        <v/>
      </c>
      <c r="M11" s="29" t="str">
        <f ca="1">IFERROR(INDIRECT("data.calibration.model_scores!_scores_alternator_model_alternator_currents_wltp_h_wltp_l_score"),"")</f>
        <v/>
      </c>
      <c r="N11" s="28" t="str">
        <f ca="1">IFERROR(INDIRECT("data.calibration.model_scores!_scores_alternator_model_alternator_currents_wltp_l_wltp_h_score"),"")</f>
        <v/>
      </c>
      <c r="O11" s="29" t="str">
        <f ca="1">IFERROR(INDIRECT("data.calibration.model_scores!_scores_alternator_model_alternator_currents_wltp_l_wltp_l_score"),"")</f>
        <v/>
      </c>
      <c r="P11" s="25" t="s">
        <v>13</v>
      </c>
      <c r="R11" s="9"/>
      <c r="S11" s="9"/>
      <c r="T11" s="9"/>
      <c r="U11" s="9"/>
    </row>
    <row r="12" spans="2:21" ht="15.75" customHeight="1" thickBot="1">
      <c r="B12" s="67" t="s">
        <v>16</v>
      </c>
      <c r="C12" s="67"/>
      <c r="D12" s="30"/>
      <c r="E12" s="30"/>
      <c r="F12" s="9"/>
      <c r="G12" s="9"/>
      <c r="H12" s="10"/>
      <c r="J12" s="75" t="s">
        <v>17</v>
      </c>
      <c r="K12" s="76"/>
      <c r="L12" s="31" t="str">
        <f ca="1">IFERROR(-INDIRECT("data.calibration.model_scores!_scores_at_model_gears_wltp_h_wltp_h_score"),"")</f>
        <v/>
      </c>
      <c r="M12" s="32" t="str">
        <f ca="1">IFERROR(-INDIRECT("data.calibration.model_scores!_scores_at_model_gears_wltp_h_wltp_l_score"),"")</f>
        <v/>
      </c>
      <c r="N12" s="31" t="str">
        <f ca="1">IFERROR(-INDIRECT("data.calibration.model_scores!_scores_at_model_gears_wltp_l_wltp_h_score"),"")</f>
        <v/>
      </c>
      <c r="O12" s="32" t="str">
        <f ca="1">IFERROR(-INDIRECT("data.calibration.model_scores!_scores_at_model_gears_wltp_l_wltp_l_score"),"")</f>
        <v/>
      </c>
      <c r="P12" s="19" t="s">
        <v>18</v>
      </c>
      <c r="R12" s="9"/>
      <c r="S12" s="9"/>
      <c r="T12" s="9"/>
      <c r="U12" s="9"/>
    </row>
    <row r="13" spans="2:21" ht="15.75" customHeight="1" thickBot="1">
      <c r="C13" s="4"/>
      <c r="D13" s="33"/>
      <c r="E13" s="33"/>
      <c r="F13" s="9"/>
      <c r="G13" s="9"/>
      <c r="H13" s="10"/>
      <c r="J13" s="75" t="s">
        <v>19</v>
      </c>
      <c r="K13" s="76"/>
      <c r="L13" s="31" t="str">
        <f ca="1">IFERROR(INDIRECT("data.calibration.model_scores!_scores_clutch_torque_converter_model_engine_speeds_out_wltp_h_wltp_h_score"),"")</f>
        <v/>
      </c>
      <c r="M13" s="32" t="str">
        <f ca="1">IFERROR(INDIRECT("data.calibration.model_scores!_scores_clutch_torque_converter_model_engine_speeds_out_wltp_h_wltp_l_score"),"")</f>
        <v/>
      </c>
      <c r="N13" s="31" t="str">
        <f ca="1">IFERROR(INDIRECT("data.calibration.model_scores!_scores_clutch_torque_converter_model_engine_speeds_out_wltp_l_wltp_h_score"),"")</f>
        <v/>
      </c>
      <c r="O13" s="32" t="str">
        <f ca="1">IFERROR(INDIRECT("data.calibration.model_scores!_scores_clutch_torque_converter_model_engine_speeds_out_wltp_l_wltp_l_score"),"")</f>
        <v/>
      </c>
      <c r="P13" s="19" t="s">
        <v>20</v>
      </c>
      <c r="R13" s="9"/>
      <c r="S13" s="9"/>
      <c r="T13" s="9"/>
      <c r="U13" s="9"/>
    </row>
    <row r="14" spans="2:21" ht="15.75" customHeight="1" thickBot="1">
      <c r="B14" s="63" t="s">
        <v>67</v>
      </c>
      <c r="C14" s="64"/>
      <c r="D14" s="14" t="s">
        <v>5</v>
      </c>
      <c r="E14" s="15" t="s">
        <v>6</v>
      </c>
      <c r="F14" s="16" t="s">
        <v>7</v>
      </c>
      <c r="G14" s="9"/>
      <c r="H14" s="10"/>
      <c r="J14" s="75" t="s">
        <v>21</v>
      </c>
      <c r="K14" s="76"/>
      <c r="L14" s="31" t="str">
        <f ca="1">IFERROR(INDIRECT("data.calibration.model_scores!_scores_co2_params_identified_co2_emissions_wltp_h_wltp_h_score"),"")</f>
        <v/>
      </c>
      <c r="M14" s="32" t="str">
        <f ca="1">IFERROR(INDIRECT("data.calibration.model_scores!_scores_co2_params_identified_co2_emissions_wltp_h_wltp_l_score"),"")</f>
        <v/>
      </c>
      <c r="N14" s="31" t="str">
        <f ca="1">IFERROR(INDIRECT("data.calibration.model_scores!_scores_co2_params_identified_co2_emissions_wltp_l_wltp_h_score"),"")</f>
        <v/>
      </c>
      <c r="O14" s="32" t="str">
        <f ca="1">IFERROR(INDIRECT("data.calibration.model_scores!_scores_co2_params_identified_co2_emissions_wltp_l_wltp_l_score"),"")</f>
        <v/>
      </c>
      <c r="P14" s="19" t="s">
        <v>22</v>
      </c>
      <c r="R14" s="9"/>
      <c r="S14" s="9"/>
      <c r="T14" s="9"/>
      <c r="U14" s="9"/>
    </row>
    <row r="15" spans="2:21" ht="15.75" customHeight="1" thickBot="1">
      <c r="B15" s="59" t="s">
        <v>68</v>
      </c>
      <c r="C15" s="60"/>
      <c r="D15" s="34" t="str">
        <f ca="1">IFERROR(INDIRECT("summary!_results_nedc_h_prediction_output_co2_emission_value__CO2g_km_"),"")</f>
        <v/>
      </c>
      <c r="E15" s="35" t="str">
        <f ca="1">IFERROR(INDIRECT("summary!_results_nedc_l_prediction_output_co2_emission_value__CO2g_km_"),"")</f>
        <v/>
      </c>
      <c r="F15" s="19" t="s">
        <v>9</v>
      </c>
      <c r="G15" s="9"/>
      <c r="H15" s="10"/>
      <c r="J15" s="75" t="s">
        <v>23</v>
      </c>
      <c r="K15" s="76"/>
      <c r="L15" s="31" t="str">
        <f ca="1">IFERROR(INDIRECT("data.calibration.model_scores!_scores_engine_cold_start_speed_model_engine_speeds_out_wltp_h_wltp_h_score"),"")</f>
        <v/>
      </c>
      <c r="M15" s="32" t="str">
        <f ca="1">IFERROR(INDIRECT("data.calibration.model_scores!_scores_engine_cold_start_speed_model_engine_speeds_out_wltp_h_wltp_l_score"),"")</f>
        <v/>
      </c>
      <c r="N15" s="31" t="str">
        <f ca="1">IFERROR(INDIRECT("data.calibration.model_scores!_scores_engine_cold_start_speed_model_engine_speeds_out_wltp_l_wltp_h_score"),"")</f>
        <v/>
      </c>
      <c r="O15" s="32" t="str">
        <f ca="1">IFERROR(INDIRECT("data.calibration.model_scores!_scores_engine_cold_start_speed_model_engine_speeds_out_wltp_l_wltp_l_score"),"")</f>
        <v/>
      </c>
      <c r="P15" s="19" t="s">
        <v>20</v>
      </c>
      <c r="R15" s="9"/>
      <c r="S15" s="9"/>
      <c r="T15" s="9"/>
      <c r="U15" s="9"/>
    </row>
    <row r="16" spans="2:21" ht="15.75" customHeight="1">
      <c r="B16" s="61" t="s">
        <v>69</v>
      </c>
      <c r="C16" s="62"/>
      <c r="D16" s="21" t="str">
        <f ca="1">IFERROR(INDIRECT("summary!_results_nedc_h_prediction_output_co2_emission_UDC__CO2g_km_"),"")</f>
        <v/>
      </c>
      <c r="E16" s="22" t="str">
        <f ca="1">IFERROR(INDIRECT("summary!_results_nedc_l_prediction_output_co2_emission_UDC__CO2g_km_"),"")</f>
        <v/>
      </c>
      <c r="F16" s="19" t="s">
        <v>9</v>
      </c>
      <c r="G16" s="9"/>
      <c r="H16" s="10"/>
      <c r="J16" s="59" t="s">
        <v>77</v>
      </c>
      <c r="K16" s="73"/>
      <c r="L16" s="23" t="str">
        <f ca="1">IFERROR(INDIRECT("data.calibration.model_scores!_scores_engine_coolant_temperature_model_cold_wltp_h_wltp_h_score"),"")</f>
        <v/>
      </c>
      <c r="M16" s="24" t="str">
        <f ca="1">IFERROR(INDIRECT("data.calibration.model_scores!_scores_engine_coolant_temperature_model_cold_wltp_h_wltp_l_score"),"")</f>
        <v/>
      </c>
      <c r="N16" s="23" t="str">
        <f ca="1">IFERROR(INDIRECT("data.calibration.model_scores!_scores_engine_coolant_temperature_model_cold_wltp_l_wltp_h_score"),"")</f>
        <v/>
      </c>
      <c r="O16" s="24" t="str">
        <f ca="1">IFERROR(INDIRECT("data.calibration.model_scores!_scores_engine_coolant_temperature_model_cold_wltp_l_wltp_l_score"),"")</f>
        <v/>
      </c>
      <c r="P16" s="19" t="s">
        <v>25</v>
      </c>
      <c r="R16" s="9"/>
      <c r="S16" s="9"/>
      <c r="T16" s="9"/>
      <c r="U16" s="9"/>
    </row>
    <row r="17" spans="2:21" ht="15.75" customHeight="1" thickBot="1">
      <c r="B17" s="65" t="s">
        <v>70</v>
      </c>
      <c r="C17" s="66"/>
      <c r="D17" s="36" t="str">
        <f ca="1">IFERROR(INDIRECT("summary!_results_nedc_h_prediction_output_co2_emission_EUDC__CO2g_km_"),"")</f>
        <v/>
      </c>
      <c r="E17" s="37" t="str">
        <f ca="1">IFERROR(INDIRECT("summary!_results_nedc_l_prediction_output_co2_emission_EUDC__CO2g_km_"),"")</f>
        <v/>
      </c>
      <c r="F17" s="19" t="s">
        <v>9</v>
      </c>
      <c r="G17" s="9"/>
      <c r="H17" s="10"/>
      <c r="J17" s="65" t="s">
        <v>78</v>
      </c>
      <c r="K17" s="74"/>
      <c r="L17" s="40" t="str">
        <f ca="1">IFERROR(INDIRECT("data.calibration.model_scores!_scores_engine_coolant_temperature_model_hot_wltp_h_wltp_h_score"),"")</f>
        <v/>
      </c>
      <c r="M17" s="41" t="str">
        <f ca="1">IFERROR(INDIRECT("data.calibration.model_scores!_scores_engine_coolant_temperature_model_hot_wltp_h_wltp_l_score"),"")</f>
        <v/>
      </c>
      <c r="N17" s="40" t="str">
        <f ca="1">IFERROR(INDIRECT("data.calibration.model_scores!_scores_engine_coolant_temperature_model_hot_wltp_l_wltp_h_score"),"")</f>
        <v/>
      </c>
      <c r="O17" s="41" t="str">
        <f ca="1">IFERROR(INDIRECT("data.calibration.model_scores!_scores_engine_coolant_temperature_model_hot_wltp_l_wltp_l_score"),"")</f>
        <v/>
      </c>
      <c r="P17" s="19" t="s">
        <v>25</v>
      </c>
      <c r="R17" s="9"/>
      <c r="S17" s="9"/>
      <c r="T17" s="9"/>
      <c r="U17" s="9"/>
    </row>
    <row r="18" spans="2:21" ht="15.75" customHeight="1" thickBot="1">
      <c r="C18" s="38"/>
      <c r="D18" s="39"/>
      <c r="E18" s="39"/>
      <c r="F18" s="9"/>
      <c r="G18" s="9"/>
      <c r="H18" s="10"/>
      <c r="J18" s="75" t="s">
        <v>26</v>
      </c>
      <c r="K18" s="76"/>
      <c r="L18" s="31" t="str">
        <f ca="1">IFERROR(INDIRECT("data.calibration.model_scores!_scores_engine_speed_model_engine_speeds_out_wltp_h_wltp_h_score"),"")</f>
        <v/>
      </c>
      <c r="M18" s="32" t="str">
        <f ca="1">IFERROR(INDIRECT("data.calibration.model_scores!_scores_engine_speed_model_engine_speeds_out_wltp_h_wltp_l_score"),"")</f>
        <v/>
      </c>
      <c r="N18" s="31" t="str">
        <f ca="1">IFERROR(INDIRECT("data.calibration.model_scores!_scores_engine_speed_model_engine_speeds_out_wltp_l_wltp_h_score"),"")</f>
        <v/>
      </c>
      <c r="O18" s="32" t="str">
        <f ca="1">IFERROR(INDIRECT("data.calibration.model_scores!_scores_engine_speed_model_engine_speeds_out_wltp_l_wltp_l_score"),"")</f>
        <v/>
      </c>
      <c r="P18" s="19" t="s">
        <v>20</v>
      </c>
      <c r="R18" s="9"/>
      <c r="S18" s="9"/>
      <c r="T18" s="9"/>
      <c r="U18" s="9"/>
    </row>
    <row r="19" spans="2:21" ht="15.75" customHeight="1" thickBot="1">
      <c r="B19" s="68"/>
      <c r="C19" s="68"/>
      <c r="D19" s="11" t="s">
        <v>28</v>
      </c>
      <c r="E19" s="68"/>
      <c r="F19" s="68"/>
      <c r="G19" s="68"/>
      <c r="H19" s="12"/>
      <c r="I19" s="7"/>
      <c r="J19" s="59" t="s">
        <v>27</v>
      </c>
      <c r="K19" s="73"/>
      <c r="L19" s="23" t="str">
        <f ca="1">IFERROR(-INDIRECT("data.calibration.model_scores!_scores_start_stop_model_engine_starts_wltp_h_wltp_h_score"),"")</f>
        <v/>
      </c>
      <c r="M19" s="24" t="str">
        <f ca="1">IFERROR(-INDIRECT("data.calibration.model_scores!_scores_start_stop_model_engine_starts_wltp_h_wltp_l_score"),"")</f>
        <v/>
      </c>
      <c r="N19" s="23" t="str">
        <f ca="1">IFERROR(-INDIRECT("data.calibration.model_scores!_scores_start_stop_model_engine_starts_wltp_l_wltp_h_score"),"")</f>
        <v/>
      </c>
      <c r="O19" s="24" t="str">
        <f ca="1">IFERROR(-INDIRECT("data.calibration.model_scores!_scores_start_stop_model_engine_starts_wltp_l_wltp_l_score"),"")</f>
        <v/>
      </c>
      <c r="P19" s="19" t="s">
        <v>18</v>
      </c>
      <c r="Q19" s="7"/>
      <c r="R19" s="9"/>
      <c r="S19" s="9"/>
      <c r="T19" s="9"/>
      <c r="U19" s="9"/>
    </row>
    <row r="20" spans="2:21" ht="15.75" customHeight="1" thickTop="1" thickBot="1">
      <c r="G20" s="9"/>
      <c r="H20" s="10"/>
      <c r="J20" s="65" t="s">
        <v>29</v>
      </c>
      <c r="K20" s="74"/>
      <c r="L20" s="40" t="str">
        <f ca="1">IFERROR(-INDIRECT("data.calibration.model_scores!_scores_start_stop_model_on_engine_wltp_h_wltp_h_score"),"")</f>
        <v/>
      </c>
      <c r="M20" s="41" t="str">
        <f ca="1">IFERROR(-INDIRECT("data.calibration.model_scores!_scores_start_stop_model_on_engine_wltp_h_wltp_l_score"),"")</f>
        <v/>
      </c>
      <c r="N20" s="40" t="str">
        <f ca="1">IFERROR(-INDIRECT("data.calibration.model_scores!_scores_start_stop_model_on_engine_wltp_l_wltp_h_score"),"")</f>
        <v/>
      </c>
      <c r="O20" s="41" t="str">
        <f ca="1">IFERROR(-INDIRECT("data.calibration.model_scores!_scores_start_stop_model_on_engine_wltp_l_wltp_l_score"),"")</f>
        <v/>
      </c>
      <c r="P20" s="19" t="s">
        <v>18</v>
      </c>
      <c r="R20" s="9"/>
      <c r="S20" s="9"/>
      <c r="T20" s="9"/>
      <c r="U20" s="9"/>
    </row>
    <row r="21" spans="2:21" ht="15.75" customHeight="1" thickBot="1">
      <c r="B21" s="63" t="s">
        <v>30</v>
      </c>
      <c r="C21" s="64"/>
      <c r="D21" s="14" t="s">
        <v>5</v>
      </c>
      <c r="E21" s="15" t="s">
        <v>6</v>
      </c>
      <c r="F21" s="16" t="s">
        <v>7</v>
      </c>
      <c r="G21" s="9"/>
      <c r="H21" s="10"/>
      <c r="J21" s="9"/>
      <c r="R21" s="9"/>
      <c r="S21" s="9"/>
      <c r="T21" s="9"/>
      <c r="U21" s="9"/>
    </row>
    <row r="22" spans="2:21" ht="15.75" customHeight="1">
      <c r="B22" s="59" t="s">
        <v>31</v>
      </c>
      <c r="C22" s="60"/>
      <c r="D22" s="34" t="str">
        <f ca="1">IFERROR(INDIRECT("summary!_results_nedc_h_prediction_output_vehicle_fuel_type__"),"")</f>
        <v/>
      </c>
      <c r="E22" s="35" t="str">
        <f ca="1">IFERROR(INDIRECT("summary!_results_nedc_l_prediction_output_vehicle_fuel_type__"),"")</f>
        <v/>
      </c>
      <c r="F22" s="19" t="s">
        <v>18</v>
      </c>
      <c r="G22" s="9"/>
      <c r="H22" s="10"/>
      <c r="J22" s="9"/>
      <c r="R22" s="9"/>
      <c r="S22" s="9"/>
      <c r="T22" s="9"/>
      <c r="U22" s="9"/>
    </row>
    <row r="23" spans="2:21" ht="15.75" customHeight="1">
      <c r="B23" s="61" t="s">
        <v>32</v>
      </c>
      <c r="C23" s="62"/>
      <c r="D23" s="42" t="str">
        <f ca="1">IFERROR(INDIRECT("summary!_results_nedc_h_prediction_output_vehicle_engine_capacity__cm3_"),"")</f>
        <v/>
      </c>
      <c r="E23" s="43" t="str">
        <f ca="1">IFERROR(INDIRECT("summary!_results_nedc_l_prediction_output_vehicle_engine_capacity__cm3_"),"")</f>
        <v/>
      </c>
      <c r="F23" s="19" t="s">
        <v>33</v>
      </c>
      <c r="G23" s="9"/>
      <c r="H23" s="10"/>
      <c r="J23" s="9"/>
      <c r="R23" s="9"/>
      <c r="S23" s="9"/>
      <c r="T23" s="9"/>
      <c r="U23" s="9"/>
    </row>
    <row r="24" spans="2:21" ht="15.75" customHeight="1">
      <c r="B24" s="61" t="s">
        <v>34</v>
      </c>
      <c r="C24" s="62"/>
      <c r="D24" s="42" t="str">
        <f ca="1">IFERROR(INDIRECT("summary!_results_nedc_h_prediction_output_vehicle_gear_box_type__"),"")</f>
        <v/>
      </c>
      <c r="E24" s="43" t="str">
        <f ca="1">IFERROR(INDIRECT("summary!_results_nedc_l_prediction_output_vehicle_gear_box_type__"),"")</f>
        <v/>
      </c>
      <c r="F24" s="19" t="s">
        <v>18</v>
      </c>
      <c r="G24" s="9"/>
      <c r="H24" s="10"/>
      <c r="J24" s="9"/>
      <c r="R24" s="9"/>
      <c r="S24" s="9"/>
      <c r="T24" s="9"/>
      <c r="U24" s="9"/>
    </row>
    <row r="25" spans="2:21" ht="15.75" customHeight="1" thickBot="1">
      <c r="B25" s="65" t="s">
        <v>35</v>
      </c>
      <c r="C25" s="66"/>
      <c r="D25" s="44" t="str">
        <f ca="1">IFERROR(INDIRECT("summary!_results_nedc_h_prediction_output_vehicle_engine_is_turbo__"),"")</f>
        <v/>
      </c>
      <c r="E25" s="45" t="str">
        <f ca="1">IFERROR(INDIRECT("summary!_results_nedc_l_prediction_output_vehicle_engine_is_turbo__"),"")</f>
        <v/>
      </c>
      <c r="F25" s="19" t="s">
        <v>18</v>
      </c>
      <c r="G25" s="9"/>
      <c r="H25" s="10"/>
      <c r="J25" s="9"/>
      <c r="R25" s="9"/>
      <c r="S25" s="9"/>
      <c r="T25" s="9"/>
      <c r="U25" s="9"/>
    </row>
    <row r="26" spans="2:21" ht="15.75" customHeight="1" thickBot="1">
      <c r="C26" s="38"/>
      <c r="D26" s="46"/>
      <c r="E26" s="46"/>
      <c r="F26" s="9"/>
      <c r="G26" s="9"/>
      <c r="H26" s="10"/>
      <c r="J26" s="9"/>
      <c r="R26" s="9"/>
      <c r="S26" s="9"/>
      <c r="T26" s="9"/>
      <c r="U26" s="9"/>
    </row>
    <row r="27" spans="2:21" ht="15.75" customHeight="1" thickBot="1">
      <c r="B27" s="63" t="s">
        <v>36</v>
      </c>
      <c r="C27" s="64"/>
      <c r="D27" s="14" t="s">
        <v>5</v>
      </c>
      <c r="E27" s="15" t="s">
        <v>6</v>
      </c>
      <c r="F27" s="16" t="s">
        <v>7</v>
      </c>
      <c r="G27" s="9"/>
      <c r="H27" s="10"/>
      <c r="J27" s="9"/>
      <c r="R27" s="9"/>
      <c r="S27" s="9"/>
      <c r="T27" s="9"/>
      <c r="U27" s="9"/>
    </row>
    <row r="28" spans="2:21" ht="15.75" customHeight="1">
      <c r="B28" s="59" t="s">
        <v>37</v>
      </c>
      <c r="C28" s="60"/>
      <c r="D28" s="21" t="str">
        <f ca="1">IFERROR(INDIRECT("summary!_results_nedc_h_prediction_output_vehicle_f0__N_"),"")</f>
        <v/>
      </c>
      <c r="E28" s="22" t="str">
        <f ca="1">IFERROR(INDIRECT("summary!_results_nedc_l_prediction_output_vehicle_f0__N_"),"")</f>
        <v/>
      </c>
      <c r="F28" s="19" t="s">
        <v>38</v>
      </c>
      <c r="G28" s="9"/>
      <c r="H28" s="10"/>
      <c r="R28" s="9"/>
      <c r="S28" s="9"/>
      <c r="T28" s="9"/>
      <c r="U28" s="9"/>
    </row>
    <row r="29" spans="2:21" ht="15.75" customHeight="1">
      <c r="B29" s="69" t="s">
        <v>39</v>
      </c>
      <c r="C29" s="70"/>
      <c r="D29" s="47" t="str">
        <f ca="1">IFERROR(INDIRECT("summary!_results_nedc_h_prediction_output_vehicle_f1__N__km_h__"),"")</f>
        <v/>
      </c>
      <c r="E29" s="48" t="str">
        <f ca="1">IFERROR(INDIRECT("summary!_results_nedc_l_prediction_output_vehicle_f1__N__km_h__"),"")</f>
        <v/>
      </c>
      <c r="F29" s="19" t="s">
        <v>40</v>
      </c>
      <c r="G29" s="9"/>
      <c r="H29" s="10"/>
      <c r="R29" s="9"/>
      <c r="S29" s="9"/>
      <c r="T29" s="9"/>
      <c r="U29" s="9"/>
    </row>
    <row r="30" spans="2:21" ht="15.75" customHeight="1">
      <c r="B30" s="69" t="s">
        <v>41</v>
      </c>
      <c r="C30" s="70"/>
      <c r="D30" s="47" t="str">
        <f ca="1">IFERROR(INDIRECT("summary!_results_nedc_h_prediction_output_vehicle_f2__N__km_h__2_"),"")</f>
        <v/>
      </c>
      <c r="E30" s="48" t="str">
        <f ca="1">IFERROR(INDIRECT("summary!_results_nedc_l_prediction_output_vehicle_f2__N__km_h__2_"),"")</f>
        <v/>
      </c>
      <c r="F30" s="19" t="s">
        <v>42</v>
      </c>
      <c r="G30" s="9"/>
      <c r="H30" s="10"/>
      <c r="R30" s="9"/>
      <c r="S30" s="9"/>
      <c r="T30" s="9"/>
      <c r="U30" s="9"/>
    </row>
    <row r="31" spans="2:21" ht="15.75" customHeight="1" thickBot="1">
      <c r="B31" s="65" t="s">
        <v>43</v>
      </c>
      <c r="C31" s="66"/>
      <c r="D31" s="49" t="str">
        <f ca="1">IFERROR(INDIRECT("summary!_results_nedc_h_prediction_output_vehicle_mass__kg_"),"")</f>
        <v/>
      </c>
      <c r="E31" s="50" t="str">
        <f ca="1">IFERROR(INDIRECT("summary!_results_nedc_l_prediction_output_vehicle_mass__kg_"),"")</f>
        <v/>
      </c>
      <c r="F31" s="19" t="s">
        <v>44</v>
      </c>
      <c r="G31" s="9"/>
      <c r="H31" s="10"/>
      <c r="R31" s="9"/>
      <c r="S31" s="9"/>
      <c r="T31" s="9"/>
      <c r="U31" s="9"/>
    </row>
    <row r="32" spans="2:21" ht="15.75" customHeight="1" thickBot="1">
      <c r="B32" s="38"/>
      <c r="C32" s="38"/>
      <c r="D32" s="51"/>
      <c r="E32" s="51"/>
      <c r="F32" s="10"/>
      <c r="G32" s="9"/>
      <c r="H32" s="10"/>
      <c r="R32" s="9"/>
      <c r="S32" s="9"/>
      <c r="T32" s="9"/>
      <c r="U32" s="9"/>
    </row>
    <row r="33" spans="2:21" ht="15.75" customHeight="1" thickBot="1">
      <c r="B33" s="63" t="s">
        <v>45</v>
      </c>
      <c r="C33" s="64"/>
      <c r="D33" s="14" t="s">
        <v>5</v>
      </c>
      <c r="E33" s="15" t="s">
        <v>6</v>
      </c>
      <c r="F33" s="16" t="s">
        <v>7</v>
      </c>
      <c r="G33" s="9"/>
      <c r="H33" s="10"/>
      <c r="R33" s="9"/>
      <c r="S33" s="9"/>
      <c r="T33" s="9"/>
      <c r="U33" s="9"/>
    </row>
    <row r="34" spans="2:21" ht="15.75" customHeight="1">
      <c r="B34" s="59" t="s">
        <v>37</v>
      </c>
      <c r="C34" s="60"/>
      <c r="D34" s="21" t="str">
        <f ca="1">IFERROR(INDIRECT("summary!_results_wltp_h_calibration_output_vehicle_f0__N_"),"")</f>
        <v/>
      </c>
      <c r="E34" s="22" t="str">
        <f ca="1">IFERROR(INDIRECT("summary!_results_wltp_l_calibration_output_vehicle_f0__N_"),"")</f>
        <v/>
      </c>
      <c r="F34" s="19" t="s">
        <v>38</v>
      </c>
      <c r="G34" s="9"/>
      <c r="H34" s="10"/>
      <c r="R34" s="9"/>
      <c r="S34" s="9"/>
      <c r="T34" s="9"/>
      <c r="U34" s="9"/>
    </row>
    <row r="35" spans="2:21" ht="15.75" customHeight="1">
      <c r="B35" s="69" t="s">
        <v>39</v>
      </c>
      <c r="C35" s="70"/>
      <c r="D35" s="47" t="str">
        <f ca="1">IFERROR(INDIRECT("summary!_results_wltp_h_calibration_output_vehicle_f1__N__km_h__"),"")</f>
        <v/>
      </c>
      <c r="E35" s="48" t="str">
        <f ca="1">IFERROR(INDIRECT("summary!_results_wltp_l_calibration_output_vehicle_f1__N__km_h__"),"")</f>
        <v/>
      </c>
      <c r="F35" s="19" t="s">
        <v>40</v>
      </c>
      <c r="G35" s="9"/>
      <c r="H35" s="10"/>
      <c r="S35" s="9"/>
      <c r="T35" s="9"/>
      <c r="U35" s="9"/>
    </row>
    <row r="36" spans="2:21" ht="15.75" customHeight="1">
      <c r="B36" s="69" t="s">
        <v>41</v>
      </c>
      <c r="C36" s="70"/>
      <c r="D36" s="47" t="str">
        <f ca="1">IFERROR(INDIRECT("summary!_results_wltp_h_calibration_output_vehicle_f2__N__km_h__2_"),"")</f>
        <v/>
      </c>
      <c r="E36" s="48" t="str">
        <f ca="1">IFERROR(INDIRECT("summary!_results_wltp_l_calibration_output_vehicle_f2__N__km_h__2_"),"")</f>
        <v/>
      </c>
      <c r="F36" s="19" t="s">
        <v>42</v>
      </c>
      <c r="G36" s="9"/>
      <c r="H36" s="10"/>
      <c r="S36" s="9"/>
      <c r="T36" s="9"/>
      <c r="U36" s="9"/>
    </row>
    <row r="37" spans="2:21" ht="15.75" customHeight="1">
      <c r="B37" s="61" t="s">
        <v>46</v>
      </c>
      <c r="C37" s="62"/>
      <c r="D37" s="52" t="str">
        <f ca="1">IFERROR(INDIRECT("summary!_results_wltp_h_calibration_output_vehicle_mass__kg_"),"")</f>
        <v/>
      </c>
      <c r="E37" s="53" t="str">
        <f ca="1">IFERROR(INDIRECT("summary!_results_wltp_l_calibration_output_vehicle_mass__kg_"),"")</f>
        <v/>
      </c>
      <c r="F37" s="19" t="s">
        <v>44</v>
      </c>
      <c r="G37" s="9"/>
      <c r="H37" s="10"/>
      <c r="S37" s="9"/>
      <c r="T37" s="9"/>
      <c r="U37" s="9"/>
    </row>
    <row r="38" spans="2:21" ht="15.75" customHeight="1">
      <c r="B38" s="61" t="s">
        <v>71</v>
      </c>
      <c r="C38" s="62"/>
      <c r="D38" s="21" t="str">
        <f ca="1">IFERROR(INDIRECT("summary!_results_wltp_h_calibration_output_co2_emission_low__CO2g_km_"),"")</f>
        <v/>
      </c>
      <c r="E38" s="22" t="str">
        <f ca="1">IFERROR(INDIRECT("summary!_results_wltp_l_calibration_output_co2_emission_low__CO2g_km_"),"")</f>
        <v/>
      </c>
      <c r="F38" s="19" t="s">
        <v>9</v>
      </c>
      <c r="G38" s="9"/>
      <c r="H38" s="10"/>
      <c r="S38" s="9"/>
      <c r="T38" s="9"/>
      <c r="U38" s="9"/>
    </row>
    <row r="39" spans="2:21" ht="15.75" customHeight="1">
      <c r="B39" s="61" t="s">
        <v>72</v>
      </c>
      <c r="C39" s="62"/>
      <c r="D39" s="21" t="str">
        <f ca="1">IFERROR(INDIRECT("summary!_results_wltp_h_calibration_output_co2_emission_medium__CO2g_km_"),"")</f>
        <v/>
      </c>
      <c r="E39" s="22" t="str">
        <f ca="1">IFERROR(INDIRECT("summary!_results_wltp_l_calibration_output_co2_emission_medium__CO2g_km_"),"")</f>
        <v/>
      </c>
      <c r="F39" s="19" t="s">
        <v>9</v>
      </c>
      <c r="G39" s="9"/>
      <c r="H39" s="10"/>
      <c r="S39" s="9"/>
      <c r="T39" s="9"/>
      <c r="U39" s="9"/>
    </row>
    <row r="40" spans="2:21" ht="15.75" customHeight="1">
      <c r="B40" s="61" t="s">
        <v>73</v>
      </c>
      <c r="C40" s="62"/>
      <c r="D40" s="21" t="str">
        <f ca="1">IFERROR(INDIRECT("summary!_results_wltp_h_calibration_output_co2_emission_high__CO2g_km_"),"")</f>
        <v/>
      </c>
      <c r="E40" s="22" t="str">
        <f ca="1">IFERROR(INDIRECT("summary!_results_wltp_l_calibration_output_co2_emission_high__CO2g_km_"),"")</f>
        <v/>
      </c>
      <c r="F40" s="19" t="s">
        <v>9</v>
      </c>
      <c r="G40" s="9"/>
      <c r="H40" s="10"/>
      <c r="S40" s="9"/>
      <c r="T40" s="9"/>
      <c r="U40" s="9"/>
    </row>
    <row r="41" spans="2:21" ht="15.75" customHeight="1" thickBot="1">
      <c r="B41" s="65" t="s">
        <v>74</v>
      </c>
      <c r="C41" s="66"/>
      <c r="D41" s="36" t="str">
        <f ca="1">IFERROR(INDIRECT("summary!_results_wltp_h_calibration_output_co2_emission_extra_high__CO2g_km_"),"")</f>
        <v/>
      </c>
      <c r="E41" s="37" t="str">
        <f ca="1">IFERROR(INDIRECT("summary!_results_wltp_l_calibration_output_co2_emission_extra_high__CO2g_km_"),"")</f>
        <v/>
      </c>
      <c r="F41" s="19" t="s">
        <v>9</v>
      </c>
      <c r="G41" s="9"/>
      <c r="H41" s="10"/>
      <c r="J41" s="9"/>
      <c r="S41" s="9"/>
      <c r="T41" s="9"/>
      <c r="U41" s="9"/>
    </row>
    <row r="42" spans="2:21" ht="15.75" customHeight="1">
      <c r="G42" s="9"/>
      <c r="H42" s="10"/>
      <c r="J42" s="9"/>
      <c r="S42" s="9"/>
      <c r="T42" s="9"/>
      <c r="U42" s="9"/>
    </row>
    <row r="43" spans="2:21" ht="15.75" customHeight="1">
      <c r="G43" s="9"/>
      <c r="H43" s="10"/>
      <c r="J43" s="9"/>
      <c r="S43" s="9"/>
      <c r="T43" s="9"/>
      <c r="U43" s="9"/>
    </row>
    <row r="44" spans="2:21" ht="15.75" customHeight="1">
      <c r="G44" s="9"/>
      <c r="H44" s="10"/>
      <c r="J44" s="9"/>
      <c r="S44" s="9"/>
      <c r="T44" s="9"/>
      <c r="U44" s="9"/>
    </row>
    <row r="45" spans="2:21" ht="15.75" customHeight="1">
      <c r="G45" s="9"/>
      <c r="H45" s="10"/>
      <c r="J45" s="9"/>
      <c r="S45" s="9"/>
      <c r="T45" s="9"/>
      <c r="U45" s="9"/>
    </row>
    <row r="46" spans="2:21" ht="15.75" customHeight="1">
      <c r="G46" s="9"/>
      <c r="H46" s="10"/>
      <c r="J46" s="9"/>
      <c r="S46" s="9"/>
      <c r="T46" s="9"/>
      <c r="U46" s="9"/>
    </row>
    <row r="47" spans="2:21" ht="15.75" customHeight="1">
      <c r="G47" s="9"/>
      <c r="H47" s="10"/>
      <c r="J47" s="9"/>
      <c r="S47" s="9"/>
      <c r="T47" s="9"/>
      <c r="U47" s="9"/>
    </row>
    <row r="48" spans="2:21" ht="15.75" hidden="1" customHeight="1">
      <c r="G48" s="9"/>
      <c r="H48" s="10"/>
      <c r="J48" s="9"/>
      <c r="S48" s="9"/>
      <c r="T48" s="9"/>
      <c r="U48" s="9"/>
    </row>
    <row r="49" spans="3:21" ht="15.75" hidden="1" customHeight="1">
      <c r="G49" s="9"/>
      <c r="H49" s="10"/>
      <c r="J49" s="9"/>
      <c r="R49" s="9"/>
      <c r="S49" s="9"/>
      <c r="T49" s="9"/>
      <c r="U49" s="9"/>
    </row>
    <row r="50" spans="3:21" ht="15" hidden="1" customHeight="1">
      <c r="C50" s="6"/>
      <c r="D50" s="4"/>
      <c r="E50" s="4"/>
      <c r="F50" s="4"/>
      <c r="G50" s="4"/>
      <c r="H50" s="5"/>
      <c r="I50" s="5"/>
      <c r="J50" s="4"/>
      <c r="Q50" s="5"/>
      <c r="R50" s="9"/>
      <c r="S50" s="9"/>
      <c r="T50" s="9"/>
      <c r="U50" s="9"/>
    </row>
    <row r="51" spans="3:21" ht="15" hidden="1" customHeight="1">
      <c r="C51" s="6"/>
      <c r="D51" s="4"/>
      <c r="E51" s="4"/>
      <c r="F51" s="4"/>
      <c r="G51" s="4"/>
      <c r="H51" s="5"/>
      <c r="I51" s="5"/>
      <c r="J51" s="4"/>
      <c r="Q51" s="5"/>
      <c r="R51" s="9"/>
      <c r="S51" s="9"/>
      <c r="T51" s="9"/>
      <c r="U51" s="9"/>
    </row>
    <row r="52" spans="3:21" ht="15" hidden="1" customHeight="1">
      <c r="C52" s="6"/>
      <c r="D52" s="6"/>
      <c r="E52" s="6"/>
      <c r="F52" s="6"/>
      <c r="G52" s="6"/>
      <c r="H52" s="7"/>
      <c r="I52" s="7"/>
      <c r="J52" s="6"/>
      <c r="K52" s="6"/>
      <c r="L52" s="6"/>
      <c r="M52" s="6"/>
      <c r="N52" s="6"/>
      <c r="O52" s="6"/>
      <c r="P52" s="9"/>
      <c r="Q52" s="7"/>
      <c r="R52" s="9"/>
      <c r="S52" s="9"/>
      <c r="T52" s="9"/>
      <c r="U52" s="9"/>
    </row>
    <row r="53" spans="3:21" ht="15" hidden="1" customHeight="1">
      <c r="C53" s="9"/>
      <c r="D53" s="9"/>
      <c r="E53" s="9"/>
      <c r="F53" s="9"/>
      <c r="G53" s="9"/>
      <c r="H53" s="10"/>
      <c r="J53" s="9"/>
      <c r="K53" s="9"/>
      <c r="L53" s="9"/>
      <c r="M53" s="9"/>
      <c r="N53" s="9"/>
      <c r="O53" s="9"/>
      <c r="P53" s="9"/>
      <c r="R53" s="9"/>
      <c r="S53" s="9"/>
      <c r="T53" s="9"/>
      <c r="U53" s="9"/>
    </row>
    <row r="54" spans="3:21" ht="15" hidden="1" customHeight="1">
      <c r="C54" s="6"/>
      <c r="D54" s="9"/>
      <c r="E54" s="9"/>
      <c r="F54" s="9"/>
      <c r="G54" s="9"/>
      <c r="H54" s="10"/>
      <c r="J54" s="9"/>
      <c r="K54" s="9"/>
      <c r="L54" s="9"/>
      <c r="M54" s="9"/>
      <c r="N54" s="9"/>
      <c r="O54" s="9"/>
      <c r="P54" s="9"/>
      <c r="R54" s="9"/>
      <c r="S54" s="9"/>
      <c r="T54" s="9"/>
      <c r="U54" s="9"/>
    </row>
    <row r="55" spans="3:21" ht="15" hidden="1" customHeight="1">
      <c r="C55" s="6"/>
      <c r="D55" s="9"/>
      <c r="E55" s="9"/>
      <c r="F55" s="9"/>
      <c r="G55" s="9"/>
      <c r="H55" s="10"/>
      <c r="J55" s="9"/>
      <c r="K55" s="9"/>
      <c r="L55" s="9"/>
      <c r="M55" s="9"/>
      <c r="N55" s="9"/>
      <c r="O55" s="9"/>
      <c r="P55" s="9"/>
      <c r="R55" s="9"/>
      <c r="S55" s="9"/>
      <c r="T55" s="9"/>
      <c r="U55" s="9"/>
    </row>
    <row r="56" spans="3:21" ht="15" hidden="1" customHeight="1">
      <c r="C56" s="6"/>
      <c r="D56" s="9"/>
      <c r="E56" s="9"/>
      <c r="F56" s="9"/>
      <c r="G56" s="9"/>
      <c r="H56" s="10"/>
      <c r="J56" s="9"/>
      <c r="K56" s="9"/>
      <c r="L56" s="9"/>
      <c r="M56" s="9"/>
      <c r="N56" s="9"/>
      <c r="O56" s="9"/>
      <c r="P56" s="9"/>
      <c r="R56" s="9"/>
      <c r="S56" s="9"/>
      <c r="T56" s="9"/>
      <c r="U56" s="9"/>
    </row>
    <row r="57" spans="3:21" ht="15" hidden="1" customHeight="1">
      <c r="C57" s="6"/>
      <c r="D57" s="9"/>
      <c r="E57" s="9"/>
      <c r="F57" s="9"/>
      <c r="G57" s="9"/>
      <c r="H57" s="10"/>
      <c r="J57" s="9"/>
      <c r="K57" s="9"/>
      <c r="L57" s="9"/>
      <c r="M57" s="9"/>
      <c r="N57" s="9"/>
      <c r="O57" s="9"/>
      <c r="P57" s="9"/>
      <c r="R57" s="9"/>
      <c r="S57" s="9"/>
      <c r="T57" s="9"/>
      <c r="U57" s="9"/>
    </row>
    <row r="58" spans="3:21" ht="15" hidden="1" customHeight="1">
      <c r="C58" s="6"/>
      <c r="D58" s="9"/>
      <c r="E58" s="9"/>
      <c r="F58" s="9"/>
      <c r="G58" s="9"/>
      <c r="H58" s="10"/>
      <c r="J58" s="9"/>
      <c r="K58" s="9"/>
      <c r="L58" s="9"/>
      <c r="M58" s="9"/>
      <c r="N58" s="9"/>
      <c r="O58" s="9"/>
      <c r="P58" s="9"/>
      <c r="R58" s="9"/>
      <c r="S58" s="9"/>
      <c r="T58" s="9"/>
      <c r="U58" s="9"/>
    </row>
    <row r="59" spans="3:21" ht="15" hidden="1" customHeight="1">
      <c r="C59" s="6"/>
      <c r="D59" s="9"/>
      <c r="E59" s="9"/>
      <c r="F59" s="9"/>
      <c r="G59" s="9"/>
      <c r="H59" s="10"/>
      <c r="J59" s="9"/>
      <c r="K59" s="9"/>
      <c r="L59" s="9"/>
      <c r="M59" s="9"/>
      <c r="N59" s="9"/>
      <c r="O59" s="9"/>
      <c r="P59" s="9"/>
      <c r="R59" s="9"/>
      <c r="S59" s="9"/>
      <c r="T59" s="9"/>
      <c r="U59" s="9"/>
    </row>
    <row r="60" spans="3:21" ht="15" hidden="1" customHeight="1">
      <c r="C60" s="9"/>
      <c r="D60" s="9"/>
      <c r="E60" s="9"/>
      <c r="F60" s="9"/>
      <c r="G60" s="9"/>
      <c r="H60" s="10"/>
      <c r="J60" s="9"/>
      <c r="K60" s="9"/>
      <c r="L60" s="9"/>
      <c r="M60" s="9"/>
      <c r="N60" s="9"/>
      <c r="O60" s="9"/>
      <c r="P60" s="9"/>
      <c r="R60" s="9"/>
      <c r="S60" s="9"/>
      <c r="T60" s="9"/>
      <c r="U60" s="9"/>
    </row>
  </sheetData>
  <conditionalFormatting sqref="D11:E11">
    <cfRule type="colorScale" priority="4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L12">
    <cfRule type="colorScale" priority="42">
      <colorScale>
        <cfvo type="num" val="-1"/>
        <cfvo type="num" val="0"/>
        <color rgb="FF00B050"/>
        <color rgb="FFFFC000"/>
      </colorScale>
    </cfRule>
  </conditionalFormatting>
  <conditionalFormatting sqref="M13">
    <cfRule type="colorScale" priority="44">
      <colorScale>
        <cfvo type="num" val="0"/>
        <cfvo type="num" val="100"/>
        <color rgb="FF00B050"/>
        <color rgb="FFFFC000"/>
      </colorScale>
    </cfRule>
  </conditionalFormatting>
  <conditionalFormatting sqref="O10">
    <cfRule type="colorScale" priority="29">
      <colorScale>
        <cfvo type="num" val="0"/>
        <cfvo type="num" val="60"/>
        <color rgb="FF00B050"/>
        <color rgb="FFFFC000"/>
      </colorScale>
    </cfRule>
  </conditionalFormatting>
  <conditionalFormatting sqref="L11">
    <cfRule type="colorScale" priority="43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41">
      <colorScale>
        <cfvo type="num" val="0"/>
        <cfvo type="num" val="100"/>
        <color rgb="FF00B050"/>
        <color rgb="FFFFC000"/>
      </colorScale>
    </cfRule>
  </conditionalFormatting>
  <conditionalFormatting sqref="L14">
    <cfRule type="colorScale" priority="40">
      <colorScale>
        <cfvo type="num" val="0"/>
        <cfvo type="num" val="0.5"/>
        <color rgb="FF00B050"/>
        <color rgb="FFFFC000"/>
      </colorScale>
    </cfRule>
  </conditionalFormatting>
  <conditionalFormatting sqref="L15">
    <cfRule type="colorScale" priority="39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38">
      <colorScale>
        <cfvo type="num" val="0"/>
        <cfvo type="num" val="3"/>
        <color rgb="FF00B050"/>
        <color rgb="FFFFC000"/>
      </colorScale>
    </cfRule>
  </conditionalFormatting>
  <conditionalFormatting sqref="L18">
    <cfRule type="colorScale" priority="37">
      <colorScale>
        <cfvo type="num" val="0"/>
        <cfvo type="num" val="40"/>
        <color rgb="FF00B050"/>
        <color rgb="FFFFC000"/>
      </colorScale>
    </cfRule>
  </conditionalFormatting>
  <conditionalFormatting sqref="L20">
    <cfRule type="colorScale" priority="36">
      <colorScale>
        <cfvo type="num" val="-1"/>
        <cfvo type="num" val="-0.7"/>
        <color rgb="FF00B050"/>
        <color rgb="FFFFC000"/>
      </colorScale>
    </cfRule>
  </conditionalFormatting>
  <conditionalFormatting sqref="L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O12">
    <cfRule type="colorScale" priority="26">
      <colorScale>
        <cfvo type="num" val="-1"/>
        <cfvo type="num" val="0"/>
        <color rgb="FF00B050"/>
        <color rgb="FFFFC000"/>
      </colorScale>
    </cfRule>
  </conditionalFormatting>
  <conditionalFormatting sqref="M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2">
      <colorScale>
        <cfvo type="num" val="0"/>
        <cfvo type="num" val="60"/>
        <color rgb="FF00B050"/>
        <color rgb="FFFFC000"/>
      </colorScale>
    </cfRule>
  </conditionalFormatting>
  <conditionalFormatting sqref="N10">
    <cfRule type="colorScale" priority="31">
      <colorScale>
        <cfvo type="num" val="0"/>
        <cfvo type="num" val="60"/>
        <color rgb="FF00B050"/>
        <color rgb="FFFFC000"/>
      </colorScale>
    </cfRule>
  </conditionalFormatting>
  <conditionalFormatting sqref="O11">
    <cfRule type="colorScale" priority="30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28">
      <colorScale>
        <cfvo type="num" val="-1"/>
        <cfvo type="num" val="0"/>
        <color rgb="FF00B050"/>
        <color rgb="FFFFC000"/>
      </colorScale>
    </cfRule>
  </conditionalFormatting>
  <conditionalFormatting sqref="N12">
    <cfRule type="colorScale" priority="27">
      <colorScale>
        <cfvo type="num" val="-1"/>
        <cfvo type="num" val="0"/>
        <color rgb="FF00B050"/>
        <color rgb="FFFFC000"/>
      </colorScale>
    </cfRule>
  </conditionalFormatting>
  <conditionalFormatting sqref="O13">
    <cfRule type="colorScale" priority="25">
      <colorScale>
        <cfvo type="num" val="0"/>
        <cfvo type="num" val="100"/>
        <color rgb="FF00B050"/>
        <color rgb="FFFFC000"/>
      </colorScale>
    </cfRule>
  </conditionalFormatting>
  <conditionalFormatting sqref="N13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4">
    <cfRule type="colorScale" priority="23">
      <colorScale>
        <cfvo type="num" val="0"/>
        <cfvo type="num" val="0.5"/>
        <color rgb="FF00B050"/>
        <color rgb="FFFFC000"/>
      </colorScale>
    </cfRule>
  </conditionalFormatting>
  <conditionalFormatting sqref="N14">
    <cfRule type="colorScale" priority="22">
      <colorScale>
        <cfvo type="num" val="0"/>
        <cfvo type="num" val="0.5"/>
        <color rgb="FF00B050"/>
        <color rgb="FFFFC000"/>
      </colorScale>
    </cfRule>
  </conditionalFormatting>
  <conditionalFormatting sqref="O14">
    <cfRule type="colorScale" priority="21">
      <colorScale>
        <cfvo type="num" val="0"/>
        <cfvo type="num" val="0.5"/>
        <color rgb="FF00B050"/>
        <color rgb="FFFFC000"/>
      </colorScale>
    </cfRule>
  </conditionalFormatting>
  <conditionalFormatting sqref="M15">
    <cfRule type="colorScale" priority="20">
      <colorScale>
        <cfvo type="num" val="0"/>
        <cfvo type="num" val="100"/>
        <color rgb="FF00B050"/>
        <color rgb="FFFFC000"/>
      </colorScale>
    </cfRule>
  </conditionalFormatting>
  <conditionalFormatting sqref="N15">
    <cfRule type="colorScale" priority="19">
      <colorScale>
        <cfvo type="num" val="0"/>
        <cfvo type="num" val="100"/>
        <color rgb="FF00B050"/>
        <color rgb="FFFFC000"/>
      </colorScale>
    </cfRule>
  </conditionalFormatting>
  <conditionalFormatting sqref="O15">
    <cfRule type="colorScale" priority="18">
      <colorScale>
        <cfvo type="num" val="0"/>
        <cfvo type="num" val="100"/>
        <color rgb="FF00B050"/>
        <color rgb="FFFFC000"/>
      </colorScale>
    </cfRule>
  </conditionalFormatting>
  <conditionalFormatting sqref="M16">
    <cfRule type="colorScale" priority="17">
      <colorScale>
        <cfvo type="num" val="0"/>
        <cfvo type="num" val="3"/>
        <color rgb="FF00B050"/>
        <color rgb="FFFFC000"/>
      </colorScale>
    </cfRule>
  </conditionalFormatting>
  <conditionalFormatting sqref="N16">
    <cfRule type="colorScale" priority="16">
      <colorScale>
        <cfvo type="num" val="0"/>
        <cfvo type="num" val="3"/>
        <color rgb="FF00B050"/>
        <color rgb="FFFFC000"/>
      </colorScale>
    </cfRule>
  </conditionalFormatting>
  <conditionalFormatting sqref="O16">
    <cfRule type="colorScale" priority="15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14">
      <colorScale>
        <cfvo type="num" val="0"/>
        <cfvo type="num" val="40"/>
        <color rgb="FF00B050"/>
        <color rgb="FFFFC000"/>
      </colorScale>
    </cfRule>
  </conditionalFormatting>
  <conditionalFormatting sqref="N18">
    <cfRule type="colorScale" priority="13">
      <colorScale>
        <cfvo type="num" val="0"/>
        <cfvo type="num" val="40"/>
        <color rgb="FF00B050"/>
        <color rgb="FFFFC000"/>
      </colorScale>
    </cfRule>
  </conditionalFormatting>
  <conditionalFormatting sqref="O18">
    <cfRule type="colorScale" priority="12">
      <colorScale>
        <cfvo type="num" val="0"/>
        <cfvo type="num" val="40"/>
        <color rgb="FF00B050"/>
        <color rgb="FFFFC000"/>
      </colorScale>
    </cfRule>
  </conditionalFormatting>
  <conditionalFormatting sqref="L19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19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19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O19">
    <cfRule type="colorScale" priority="8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7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6">
      <colorScale>
        <cfvo type="num" val="-1"/>
        <cfvo type="num" val="-0.7"/>
        <color rgb="FF00B050"/>
        <color rgb="FFFFC000"/>
      </colorScale>
    </cfRule>
  </conditionalFormatting>
  <conditionalFormatting sqref="O20">
    <cfRule type="colorScale" priority="5">
      <colorScale>
        <cfvo type="num" val="-1"/>
        <cfvo type="num" val="-0.7"/>
        <color rgb="FF00B050"/>
        <color rgb="FFFFC000"/>
      </colorScale>
    </cfRule>
  </conditionalFormatting>
  <conditionalFormatting sqref="C4 K4">
    <cfRule type="expression" dxfId="1" priority="46">
      <formula>$C$4="False"</formula>
    </cfRule>
    <cfRule type="expression" dxfId="0" priority="47">
      <formula>$C$4="True"</formula>
    </cfRule>
  </conditionalFormatting>
  <conditionalFormatting sqref="L17">
    <cfRule type="colorScale" priority="4">
      <colorScale>
        <cfvo type="num" val="0"/>
        <cfvo type="num" val="3"/>
        <color rgb="FF00B050"/>
        <color rgb="FFFFC000"/>
      </colorScale>
    </cfRule>
  </conditionalFormatting>
  <conditionalFormatting sqref="M17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N17">
    <cfRule type="colorScale" priority="2">
      <colorScale>
        <cfvo type="num" val="0"/>
        <cfvo type="num" val="3"/>
        <color rgb="FF00B050"/>
        <color rgb="FFFFC000"/>
      </colorScale>
    </cfRule>
  </conditionalFormatting>
  <conditionalFormatting sqref="O17">
    <cfRule type="colorScale" priority="1">
      <colorScale>
        <cfvo type="num" val="0"/>
        <cfvo type="num" val="3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8" bestFit="1" customWidth="1"/>
    <col min="2" max="3" width="22.5" style="58" customWidth="1"/>
    <col min="4" max="4" width="8" style="58" bestFit="1" customWidth="1"/>
    <col min="5" max="5" width="7.5" style="58" bestFit="1" customWidth="1"/>
    <col min="6" max="16384" width="11.83203125" style="58"/>
  </cols>
  <sheetData>
    <row r="1" spans="1:3" s="3" customFormat="1" ht="15">
      <c r="A1" s="55" t="s">
        <v>47</v>
      </c>
      <c r="B1" s="55" t="s">
        <v>48</v>
      </c>
      <c r="C1" s="55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6" t="s">
        <v>56</v>
      </c>
      <c r="B7" s="56" t="str">
        <f ca="1">IFERROR((INDIRECT("summary!_comparison_declared_co2_emission_value_prediction_nedc_h_prediction_target_ratio")-1)*100,"")</f>
        <v/>
      </c>
      <c r="C7" s="56" t="str">
        <f ca="1">IFERROR((INDIRECT("summary!_comparison_declared_co2_emission_value_prediction_nedc_l_prediction_target_ratio")-1)*100,"")</f>
        <v/>
      </c>
    </row>
    <row r="8" spans="1:3" s="3" customFormat="1" ht="15">
      <c r="A8" s="55" t="s">
        <v>57</v>
      </c>
      <c r="B8" s="55"/>
      <c r="C8" s="55"/>
    </row>
    <row r="9" spans="1:3" s="3" customFormat="1" ht="15">
      <c r="A9" s="57" t="s">
        <v>58</v>
      </c>
      <c r="B9" s="42" t="str">
        <f ca="1">IFERROR(INDIRECT("summary!_results_nedc_h_prediction_output_vehicle_fuel_type__"),"")</f>
        <v/>
      </c>
      <c r="C9" s="42" t="str">
        <f ca="1">IFERROR(INDIRECT("summary!_results_nedc_l_prediction_output_vehicle_fuel_type__"),"")</f>
        <v/>
      </c>
    </row>
    <row r="10" spans="1:3" s="3" customFormat="1" ht="15">
      <c r="A10" s="57" t="s">
        <v>59</v>
      </c>
      <c r="B10" s="42" t="str">
        <f ca="1">IFERROR(INDIRECT("summary!_results_nedc_h_prediction_output_vehicle_engine_capacity__cm3_"),"")</f>
        <v/>
      </c>
      <c r="C10" s="42" t="str">
        <f ca="1">IFERROR(INDIRECT("summary!_results_nedc_l_prediction_output_vehicle_engine_capacity__cm3_"),"")</f>
        <v/>
      </c>
    </row>
    <row r="11" spans="1:3" s="3" customFormat="1" ht="15">
      <c r="A11" s="57" t="s">
        <v>60</v>
      </c>
      <c r="B11" s="42" t="str">
        <f ca="1">IFERROR(INDIRECT("summary!_results_nedc_h_prediction_output_vehicle_gear_box_type__"),"")</f>
        <v/>
      </c>
      <c r="C11" s="42" t="str">
        <f ca="1">IFERROR(INDIRECT("summary!_results_nedc_l_prediction_output_vehicle_gear_box_type__"),"")</f>
        <v/>
      </c>
    </row>
    <row r="12" spans="1:3" s="3" customFormat="1" ht="15">
      <c r="A12" s="57" t="s">
        <v>61</v>
      </c>
      <c r="B12" s="42" t="str">
        <f ca="1">IFERROR(INDIRECT("summary!_results_nedc_h_prediction_output_vehicle_engine_is_turbo__"),"")</f>
        <v/>
      </c>
      <c r="C12" s="42" t="str">
        <f ca="1">IFERROR(INDIRECT("summary!_results_nedc_l_prediction_output_vehicle_engine_is_turbo__"),"")</f>
        <v/>
      </c>
    </row>
    <row r="13" spans="1:3" ht="15">
      <c r="A13" s="55" t="s">
        <v>75</v>
      </c>
      <c r="B13" s="55"/>
      <c r="C13" s="55"/>
    </row>
    <row r="14" spans="1:3" ht="15">
      <c r="A14" s="80" t="s">
        <v>12</v>
      </c>
      <c r="B14" s="81" t="str">
        <f ca="1">IFERROR(INDIRECT("data.calibration.model_scores!_scores_alternator_model_battery_currents_wltp_h_wltp_h_score"),"")</f>
        <v/>
      </c>
      <c r="C14" s="81" t="str">
        <f ca="1">IFERROR(INDIRECT("data.calibration.model_scores!_scores_alternator_model_battery_currents_wltp_l_wltp_h_score"),"")</f>
        <v/>
      </c>
    </row>
    <row r="15" spans="1:3" ht="15">
      <c r="A15" s="80" t="s">
        <v>15</v>
      </c>
      <c r="B15" s="81" t="str">
        <f ca="1">IFERROR(INDIRECT("data.calibration.model_scores!_scores_alternator_model_alternator_currents_wltp_h_wltp_h_score"),"")</f>
        <v/>
      </c>
      <c r="C15" s="81" t="str">
        <f ca="1">IFERROR(INDIRECT("data.calibration.model_scores!_scores_alternator_model_alternator_currents_wltp_l_wltp_h_score"),"")</f>
        <v/>
      </c>
    </row>
    <row r="16" spans="1:3" ht="15">
      <c r="A16" s="80" t="s">
        <v>17</v>
      </c>
      <c r="B16" s="81" t="str">
        <f ca="1">IFERROR(-INDIRECT("data.calibration.model_scores!_scores_at_model_gears_wltp_h_wltp_h_score"),"")</f>
        <v/>
      </c>
      <c r="C16" s="81" t="str">
        <f ca="1">IFERROR(-INDIRECT("data.calibration.model_scores!_scores_at_model_gears_wltp_l_wltp_h_score"),"")</f>
        <v/>
      </c>
    </row>
    <row r="17" spans="1:3" ht="15">
      <c r="A17" s="80" t="s">
        <v>19</v>
      </c>
      <c r="B17" s="81" t="str">
        <f ca="1">IFERROR(INDIRECT("data.calibration.model_scores!_scores_clutch_torque_converter_model_engine_speeds_out_wltp_h_wltp_h_score"),"")</f>
        <v/>
      </c>
      <c r="C17" s="81" t="str">
        <f ca="1">IFERROR(INDIRECT("data.calibration.model_scores!_scores_clutch_torque_converter_model_engine_speeds_out_wltp_l_wltp_h_score"),"")</f>
        <v/>
      </c>
    </row>
    <row r="18" spans="1:3" ht="15">
      <c r="A18" s="80" t="s">
        <v>21</v>
      </c>
      <c r="B18" s="81" t="str">
        <f ca="1">IFERROR(INDIRECT("data.calibration.model_scores!_scores_co2_params_identified_co2_emissions_wltp_h_wltp_h_score"),"")</f>
        <v/>
      </c>
      <c r="C18" s="81" t="str">
        <f ca="1">IFERROR(INDIRECT("data.calibration.model_scores!_scores_co2_params_identified_co2_emissions_wltp_l_wltp_h_score"),"")</f>
        <v/>
      </c>
    </row>
    <row r="19" spans="1:3" ht="15">
      <c r="A19" s="80" t="s">
        <v>23</v>
      </c>
      <c r="B19" s="81" t="str">
        <f ca="1">IFERROR(INDIRECT("data.calibration.model_scores!_scores_engine_cold_start_speed_model_engine_speeds_out_wltp_h_wltp_h_score"),"")</f>
        <v/>
      </c>
      <c r="C19" s="81" t="str">
        <f ca="1">IFERROR(INDIRECT("data.calibration.model_scores!_scores_engine_cold_start_speed_model_engine_speeds_out_wltp_l_wltp_h_score"),"")</f>
        <v/>
      </c>
    </row>
    <row r="20" spans="1:3" ht="15">
      <c r="A20" s="80" t="s">
        <v>24</v>
      </c>
      <c r="B20" s="81" t="str">
        <f ca="1">IFERROR(INDIRECT("data.calibration.model_scores!_scores_engine_coolant_temperature_model_engine_coolant_temperatures_wltp_h_wltp_h_score"),"")</f>
        <v/>
      </c>
      <c r="C20" s="81" t="str">
        <f ca="1">IFERROR(INDIRECT("data.calibration.model_scores!_scores_engine_coolant_temperature_model_engine_coolant_temperatures_wltp_l_wltp_h_score"),"")</f>
        <v/>
      </c>
    </row>
    <row r="21" spans="1:3" ht="15">
      <c r="A21" s="80" t="s">
        <v>26</v>
      </c>
      <c r="B21" s="81" t="str">
        <f ca="1">IFERROR(INDIRECT("data.calibration.model_scores!_scores_engine_speed_model_engine_speeds_out_wltp_h_wltp_h_score"),"")</f>
        <v/>
      </c>
      <c r="C21" s="81" t="str">
        <f ca="1">IFERROR(INDIRECT("data.calibration.model_scores!_scores_engine_speed_model_engine_speeds_out_wltp_l_wltp_h_score"),"")</f>
        <v/>
      </c>
    </row>
    <row r="22" spans="1:3" ht="15">
      <c r="A22" s="80" t="s">
        <v>27</v>
      </c>
      <c r="B22" s="81" t="str">
        <f ca="1">IFERROR(-INDIRECT("data.calibration.model_scores!_scores_start_stop_model_engine_starts_wltp_h_wltp_h_score"),"")</f>
        <v/>
      </c>
      <c r="C22" s="81" t="str">
        <f ca="1">IFERROR(-INDIRECT("data.calibration.model_scores!_scores_start_stop_model_engine_starts_wltp_l_wltp_h_score"),"")</f>
        <v/>
      </c>
    </row>
    <row r="23" spans="1:3" ht="15">
      <c r="A23" s="80" t="s">
        <v>29</v>
      </c>
      <c r="B23" s="81" t="str">
        <f ca="1">IFERROR(-INDIRECT("data.calibration.model_scores!_scores_start_stop_model_on_engine_wltp_h_wltp_h_score"),"")</f>
        <v/>
      </c>
      <c r="C23" s="81" t="str">
        <f ca="1">IFERROR(-INDIRECT("data.calibration.model_scores!_scores_start_stop_model_on_engine_wltp_l_wltp_h_score"),"")</f>
        <v/>
      </c>
    </row>
    <row r="24" spans="1:3" ht="15">
      <c r="A24" s="55" t="s">
        <v>76</v>
      </c>
      <c r="B24" s="55"/>
      <c r="C24" s="55"/>
    </row>
    <row r="25" spans="1:3" ht="15">
      <c r="A25" s="80" t="s">
        <v>12</v>
      </c>
      <c r="B25" s="81" t="str">
        <f ca="1">IFERROR(INDIRECT("data.calibration.model_scores!_scores_alternator_model_battery_currents_wltp_h_wltp_l_score"),"")</f>
        <v/>
      </c>
      <c r="C25" s="81" t="str">
        <f ca="1">IFERROR(INDIRECT("data.calibration.model_scores!_scores_alternator_model_battery_currents_wltp_l_wltp_l_score"),"")</f>
        <v/>
      </c>
    </row>
    <row r="26" spans="1:3" ht="15">
      <c r="A26" s="80" t="s">
        <v>15</v>
      </c>
      <c r="B26" s="81" t="str">
        <f ca="1">IFERROR(INDIRECT("data.calibration.model_scores!_scores_alternator_model_alternator_currents_wltp_h_wltp_l_score"),"")</f>
        <v/>
      </c>
      <c r="C26" s="81" t="str">
        <f ca="1">IFERROR(INDIRECT("data.calibration.model_scores!_scores_alternator_model_alternator_currents_wltp_l_wltp_l_score"),"")</f>
        <v/>
      </c>
    </row>
    <row r="27" spans="1:3" ht="15">
      <c r="A27" s="80" t="s">
        <v>17</v>
      </c>
      <c r="B27" s="81" t="str">
        <f ca="1">IFERROR(-INDIRECT("data.calibration.model_scores!_scores_at_model_gears_wltp_h_wltp_l_score"),"")</f>
        <v/>
      </c>
      <c r="C27" s="81" t="str">
        <f ca="1">IFERROR(-INDIRECT("data.calibration.model_scores!_scores_at_model_gears_wltp_l_wltp_l_score"),"")</f>
        <v/>
      </c>
    </row>
    <row r="28" spans="1:3" ht="15">
      <c r="A28" s="80" t="s">
        <v>19</v>
      </c>
      <c r="B28" s="81" t="str">
        <f ca="1">IFERROR(INDIRECT("data.calibration.model_scores!_scores_clutch_torque_converter_model_engine_speeds_out_wltp_h_wltp_l_score"),"")</f>
        <v/>
      </c>
      <c r="C28" s="81" t="str">
        <f ca="1">IFERROR(INDIRECT("data.calibration.model_scores!_scores_clutch_torque_converter_model_engine_speeds_out_wltp_l_wltp_l_score"),"")</f>
        <v/>
      </c>
    </row>
    <row r="29" spans="1:3" ht="15">
      <c r="A29" s="80" t="s">
        <v>21</v>
      </c>
      <c r="B29" s="81" t="str">
        <f ca="1">IFERROR(INDIRECT("data.calibration.model_scores!_scores_co2_params_identified_co2_emissions_wltp_h_wltp_l_score"),"")</f>
        <v/>
      </c>
      <c r="C29" s="81" t="str">
        <f ca="1">IFERROR(INDIRECT("data.calibration.model_scores!_scores_co2_params_identified_co2_emissions_wltp_l_wltp_l_score"),"")</f>
        <v/>
      </c>
    </row>
    <row r="30" spans="1:3" ht="15">
      <c r="A30" s="80" t="s">
        <v>23</v>
      </c>
      <c r="B30" s="81" t="str">
        <f ca="1">IFERROR(INDIRECT("data.calibration.model_scores!_scores_engine_cold_start_speed_model_engine_speeds_out_wltp_h_wltp_l_score"),"")</f>
        <v/>
      </c>
      <c r="C30" s="81" t="str">
        <f ca="1">IFERROR(INDIRECT("data.calibration.model_scores!_scores_engine_cold_start_speed_model_engine_speeds_out_wltp_l_wltp_l_score"),"")</f>
        <v/>
      </c>
    </row>
    <row r="31" spans="1:3" ht="15">
      <c r="A31" s="80" t="s">
        <v>24</v>
      </c>
      <c r="B31" s="81" t="str">
        <f ca="1">IFERROR(INDIRECT("data.calibration.model_scores!_scores_engine_coolant_temperature_model_engine_coolant_temperatures_wltp_h_wltp_l_score"),"")</f>
        <v/>
      </c>
      <c r="C31" s="81" t="str">
        <f ca="1">IFERROR(INDIRECT("data.calibration.model_scores!_scores_engine_coolant_temperature_model_engine_coolant_temperatures_wltp_l_wltp_l_score"),"")</f>
        <v/>
      </c>
    </row>
    <row r="32" spans="1:3" ht="15">
      <c r="A32" s="80" t="s">
        <v>26</v>
      </c>
      <c r="B32" s="81" t="str">
        <f ca="1">IFERROR(INDIRECT("data.calibration.model_scores!_scores_engine_speed_model_engine_speeds_out_wltp_h_wltp_l_score"),"")</f>
        <v/>
      </c>
      <c r="C32" s="81" t="str">
        <f ca="1">IFERROR(INDIRECT("data.calibration.model_scores!_scores_engine_speed_model_engine_speeds_out_wltp_l_wltp_l_score"),"")</f>
        <v/>
      </c>
    </row>
    <row r="33" spans="1:3" ht="15">
      <c r="A33" s="80" t="s">
        <v>27</v>
      </c>
      <c r="B33" s="81" t="str">
        <f ca="1">IFERROR(-INDIRECT("data.calibration.model_scores!_scores_start_stop_model_engine_starts_wltp_h_wltp_l_score"),"")</f>
        <v/>
      </c>
      <c r="C33" s="81" t="str">
        <f ca="1">IFERROR(-INDIRECT("data.calibration.model_scores!_scores_start_stop_model_engine_starts_wltp_l_wltp_l_score"),"")</f>
        <v/>
      </c>
    </row>
    <row r="34" spans="1:3" ht="15">
      <c r="A34" s="80" t="s">
        <v>29</v>
      </c>
      <c r="B34" s="81" t="str">
        <f ca="1">IFERROR(-INDIRECT("data.calibration.model_scores!_scores_start_stop_model_on_engine_wltp_h_wltp_l_score"),"")</f>
        <v/>
      </c>
      <c r="C34" s="81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2018-06-01T13:36:05Z</dcterms:modified>
</cp:coreProperties>
</file>